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D:\xampp\htdocs\AGM\Docs\"/>
    </mc:Choice>
  </mc:AlternateContent>
  <xr:revisionPtr revIDLastSave="0" documentId="13_ncr:1_{9081F8D4-03B4-4673-9D3A-B02C14B542A6}" xr6:coauthVersionLast="47" xr6:coauthVersionMax="47" xr10:uidLastSave="{00000000-0000-0000-0000-000000000000}"/>
  <bookViews>
    <workbookView xWindow="-108" yWindow="-108" windowWidth="23256" windowHeight="12576" firstSheet="2" activeTab="11" xr2:uid="{00000000-000D-0000-FFFF-FFFF00000000}"/>
  </bookViews>
  <sheets>
    <sheet name="ENTREGA" sheetId="28" r:id="rId1"/>
    <sheet name="COSTOS" sheetId="1" r:id="rId2"/>
    <sheet name="INDEXADO" sheetId="29" r:id="rId3"/>
    <sheet name="APU" sheetId="20" r:id="rId4"/>
    <sheet name="Materiales " sheetId="4" r:id="rId5"/>
    <sheet name="Luminarias " sheetId="25" r:id="rId6"/>
    <sheet name="Mano Obra" sheetId="5" r:id="rId7"/>
    <sheet name="Equip, Herr y Transp" sheetId="7" r:id="rId8"/>
    <sheet name="Presupuesto EPP" sheetId="22" state="hidden" r:id="rId9"/>
    <sheet name="RELACION EXTRA" sheetId="23" state="hidden" r:id="rId10"/>
    <sheet name="Listas" sheetId="27" r:id="rId11"/>
    <sheet name="Hoja1" sheetId="30" r:id="rId12"/>
    <sheet name="Directorio" sheetId="24" r:id="rId13"/>
    <sheet name="Hoja2" sheetId="26" state="hidden" r:id="rId14"/>
    <sheet name="Lista Maestra Materiales" sheetId="13" state="hidden" r:id="rId15"/>
  </sheets>
  <externalReferences>
    <externalReference r:id="rId16"/>
    <externalReference r:id="rId17"/>
    <externalReference r:id="rId18"/>
    <externalReference r:id="rId19"/>
    <externalReference r:id="rId20"/>
    <externalReference r:id="rId21"/>
    <externalReference r:id="rId22"/>
  </externalReferences>
  <definedNames>
    <definedName name="_xlnm._FilterDatabase" localSheetId="1" hidden="1">COSTOS!#REF!</definedName>
    <definedName name="_xlnm._FilterDatabase" localSheetId="7" hidden="1">'Equip, Herr y Transp'!$A$1:$I$103</definedName>
    <definedName name="_xlnm._FilterDatabase" localSheetId="11" hidden="1">Hoja1!$A$1:$J$51</definedName>
    <definedName name="_xlnm._FilterDatabase" localSheetId="14" hidden="1">'Lista Maestra Materiales'!$B$1:$F$1428</definedName>
    <definedName name="_xlnm._FilterDatabase" localSheetId="4" hidden="1">'Materiales '!$B$1:$P$396</definedName>
    <definedName name="APU">[1]Electrico!$A$2:$G$171</definedName>
    <definedName name="_xlnm.Print_Area" localSheetId="3">APU!$A$1:$H$9567</definedName>
    <definedName name="_xlnm.Print_Area" localSheetId="1">COSTOS!$B$1:$AC$229</definedName>
    <definedName name="Consolidado">[2]Actividades!$B$2:$E$1048576</definedName>
    <definedName name="Electrico">[3]Electrico!$A$2:$G$210</definedName>
    <definedName name="her" localSheetId="14">'[4]Equip, Herr y Transp'!$B$2:$B$244</definedName>
    <definedName name="her">'Equip, Herr y Transp'!$B$2:$B$249</definedName>
    <definedName name="HERRAMIENTA">[5]Herramientas!$B$2:$B$234</definedName>
    <definedName name="Listamanodeobra">'[2]Mano de Obra'!$B$2:$E$1048576</definedName>
    <definedName name="Listamateriales">[2]Materiales!$B$3:$E$1048576</definedName>
    <definedName name="MAT" localSheetId="14">'Lista Maestra Materiales'!$C$2:$C$1692</definedName>
    <definedName name="MAT" localSheetId="6">'[6]Materiales '!$C$2:$C$1568</definedName>
    <definedName name="MAT">'Materiales '!$C$2:$C$396</definedName>
    <definedName name="Mate" localSheetId="14">'Lista Maestra Materiales'!$C$2:$C$1653</definedName>
    <definedName name="Mate">'Materiales '!$C$2:$C$396</definedName>
    <definedName name="MATERIALES" localSheetId="7">'[5]Materiales '!$B$2:$B$1543</definedName>
    <definedName name="MATERIALES" localSheetId="14">'Lista Maestra Materiales'!$C$2:$C$1665</definedName>
    <definedName name="MATERIALES" localSheetId="6">'[5]Materiales '!$B$2:$B$1537</definedName>
    <definedName name="MATERIALES">'Materiales '!$C$2:$C$396</definedName>
    <definedName name="mo" localSheetId="14">'[4]Mano Obra'!$B$3:$B$40</definedName>
    <definedName name="mo">'Mano Obra'!$B$3:$B$42</definedName>
    <definedName name="obra">'[5]Mano Obra'!$B$3:$B$24</definedName>
    <definedName name="TRABAJO">[6]Trabajos!$B$3:$B$1102</definedName>
    <definedName name="trans" localSheetId="14">#REF!</definedName>
    <definedName name="trans">#REF!</definedName>
    <definedName name="transporte">[5]Transporte!$C$5:$C$43</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51" i="30" l="1"/>
  <c r="J50" i="30"/>
  <c r="J49" i="30"/>
  <c r="J48" i="30"/>
  <c r="J47" i="30"/>
  <c r="J46" i="30"/>
  <c r="J45" i="30"/>
  <c r="J44" i="30"/>
  <c r="J43" i="30"/>
  <c r="J42" i="30"/>
  <c r="J41" i="30"/>
  <c r="J40" i="30"/>
  <c r="J39" i="30"/>
  <c r="J38" i="30"/>
  <c r="J37" i="30"/>
  <c r="J36" i="30"/>
  <c r="J35" i="30"/>
  <c r="J34" i="30"/>
  <c r="J33" i="30"/>
  <c r="J32" i="30"/>
  <c r="J31" i="30"/>
  <c r="J30" i="30"/>
  <c r="J29" i="30"/>
  <c r="J28" i="30"/>
  <c r="J27" i="30"/>
  <c r="J26" i="30"/>
  <c r="J25" i="30"/>
  <c r="J24" i="30"/>
  <c r="J23" i="30"/>
  <c r="J22" i="30"/>
  <c r="J21" i="30"/>
  <c r="J20" i="30"/>
  <c r="J19" i="30"/>
  <c r="J18" i="30"/>
  <c r="J17" i="30"/>
  <c r="J16" i="30"/>
  <c r="J15" i="30"/>
  <c r="J14" i="30"/>
  <c r="J13" i="30"/>
  <c r="J12" i="30"/>
  <c r="J11" i="30"/>
  <c r="J10" i="30"/>
  <c r="J9" i="30"/>
  <c r="J8" i="30"/>
  <c r="J7" i="30"/>
  <c r="J6" i="30"/>
  <c r="J5" i="30"/>
  <c r="J4" i="30"/>
  <c r="J3" i="30"/>
  <c r="J2" i="30"/>
  <c r="I103" i="7" l="1"/>
  <c r="I102" i="7"/>
  <c r="I101" i="7"/>
  <c r="I100" i="7"/>
  <c r="I99" i="7"/>
  <c r="I98" i="7"/>
  <c r="I97" i="7"/>
  <c r="I96" i="7"/>
  <c r="I95" i="7"/>
  <c r="I94" i="7"/>
  <c r="I93" i="7"/>
  <c r="I92" i="7"/>
  <c r="I91" i="7"/>
  <c r="I90" i="7"/>
  <c r="I89" i="7"/>
  <c r="I88" i="7"/>
  <c r="I87" i="7"/>
  <c r="I86" i="7"/>
  <c r="I85" i="7"/>
  <c r="I84" i="7"/>
  <c r="I83" i="7"/>
  <c r="I82" i="7"/>
  <c r="I81" i="7"/>
  <c r="I80" i="7"/>
  <c r="I79" i="7"/>
  <c r="I78" i="7"/>
  <c r="I77" i="7"/>
  <c r="I76" i="7"/>
  <c r="I74" i="7"/>
  <c r="I73" i="7"/>
  <c r="I72" i="7"/>
  <c r="I71" i="7"/>
  <c r="I70" i="7"/>
  <c r="I69" i="7"/>
  <c r="I68" i="7"/>
  <c r="I67" i="7"/>
  <c r="I66" i="7"/>
  <c r="I65" i="7"/>
  <c r="I64" i="7"/>
  <c r="I63" i="7"/>
  <c r="I62" i="7"/>
  <c r="I61" i="7"/>
  <c r="I60" i="7"/>
  <c r="I58" i="7"/>
  <c r="I57" i="7"/>
  <c r="I56" i="7"/>
  <c r="I55" i="7"/>
  <c r="I54" i="7"/>
  <c r="I53" i="7"/>
  <c r="I52" i="7"/>
  <c r="I51" i="7"/>
  <c r="I50" i="7"/>
  <c r="I49" i="7"/>
  <c r="I48" i="7"/>
  <c r="I47" i="7"/>
  <c r="I42" i="7"/>
  <c r="I41" i="7"/>
  <c r="I40" i="7"/>
  <c r="I39" i="7"/>
  <c r="I38" i="7"/>
  <c r="I34" i="7"/>
  <c r="I33" i="7"/>
  <c r="I32" i="7"/>
  <c r="I31" i="7"/>
  <c r="I30" i="7"/>
  <c r="I29" i="7"/>
  <c r="I28" i="7"/>
  <c r="I27" i="7"/>
  <c r="I26" i="7"/>
  <c r="I25" i="7"/>
  <c r="I24" i="7"/>
  <c r="I23" i="7"/>
  <c r="I22" i="7"/>
  <c r="I21" i="7"/>
  <c r="I20" i="7"/>
  <c r="I19" i="7"/>
  <c r="I18" i="7"/>
  <c r="I17" i="7"/>
  <c r="I16" i="7"/>
  <c r="I15" i="7"/>
  <c r="I14" i="7"/>
  <c r="I12" i="7"/>
  <c r="I11" i="7"/>
  <c r="I10" i="7"/>
  <c r="I9" i="7"/>
  <c r="I8" i="7"/>
  <c r="I7" i="7"/>
  <c r="I6" i="7"/>
  <c r="I5" i="7"/>
  <c r="I4" i="7"/>
  <c r="I3" i="7"/>
  <c r="I2" i="7"/>
  <c r="H3" i="7"/>
  <c r="H4" i="7"/>
  <c r="H5" i="7"/>
  <c r="H6" i="7"/>
  <c r="H7" i="7"/>
  <c r="H8" i="7"/>
  <c r="H9" i="7"/>
  <c r="H10" i="7"/>
  <c r="H11" i="7"/>
  <c r="H12" i="7"/>
  <c r="H13" i="7"/>
  <c r="I13" i="7" s="1"/>
  <c r="H14" i="7"/>
  <c r="H15" i="7"/>
  <c r="H16" i="7"/>
  <c r="H17" i="7"/>
  <c r="H18" i="7"/>
  <c r="H19" i="7"/>
  <c r="H20" i="7"/>
  <c r="H21" i="7"/>
  <c r="H22" i="7"/>
  <c r="H23" i="7"/>
  <c r="H24" i="7"/>
  <c r="H25" i="7"/>
  <c r="H26" i="7"/>
  <c r="H27" i="7"/>
  <c r="H28" i="7"/>
  <c r="H29" i="7"/>
  <c r="H30" i="7"/>
  <c r="H31" i="7"/>
  <c r="H32" i="7"/>
  <c r="H33" i="7"/>
  <c r="H34" i="7"/>
  <c r="H35" i="7"/>
  <c r="I35" i="7" s="1"/>
  <c r="H36" i="7"/>
  <c r="I36" i="7" s="1"/>
  <c r="H37" i="7"/>
  <c r="I37" i="7" s="1"/>
  <c r="H38" i="7"/>
  <c r="H39" i="7"/>
  <c r="H40" i="7"/>
  <c r="H41" i="7"/>
  <c r="H42" i="7"/>
  <c r="H43" i="7"/>
  <c r="I43" i="7" s="1"/>
  <c r="H44" i="7"/>
  <c r="I44" i="7" s="1"/>
  <c r="H45" i="7"/>
  <c r="I45" i="7" s="1"/>
  <c r="H46" i="7"/>
  <c r="I46" i="7" s="1"/>
  <c r="H47" i="7"/>
  <c r="H48" i="7"/>
  <c r="H49" i="7"/>
  <c r="H50" i="7"/>
  <c r="H51" i="7"/>
  <c r="H52" i="7"/>
  <c r="H53" i="7"/>
  <c r="H54" i="7"/>
  <c r="H55" i="7"/>
  <c r="H56" i="7"/>
  <c r="H57" i="7"/>
  <c r="H58" i="7"/>
  <c r="H59" i="7"/>
  <c r="I59" i="7" s="1"/>
  <c r="H60" i="7"/>
  <c r="H61" i="7"/>
  <c r="H62" i="7"/>
  <c r="H63" i="7"/>
  <c r="H64" i="7"/>
  <c r="H65" i="7"/>
  <c r="H66" i="7"/>
  <c r="H67" i="7"/>
  <c r="H68" i="7"/>
  <c r="H69" i="7"/>
  <c r="H70" i="7"/>
  <c r="H71" i="7"/>
  <c r="H72" i="7"/>
  <c r="H73" i="7"/>
  <c r="H74" i="7"/>
  <c r="H75" i="7"/>
  <c r="I75" i="7" s="1"/>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2" i="7"/>
  <c r="P334" i="4"/>
  <c r="P333" i="4"/>
  <c r="P332" i="4"/>
  <c r="P331" i="4"/>
  <c r="P330" i="4"/>
  <c r="P329" i="4"/>
  <c r="P328" i="4"/>
  <c r="P327" i="4"/>
  <c r="P326" i="4"/>
  <c r="P325" i="4"/>
  <c r="P324" i="4"/>
  <c r="P323" i="4"/>
  <c r="P322" i="4"/>
  <c r="P321" i="4"/>
  <c r="P320" i="4"/>
  <c r="P319" i="4"/>
  <c r="P318" i="4"/>
  <c r="P317" i="4"/>
  <c r="P316" i="4"/>
  <c r="P315" i="4"/>
  <c r="P314" i="4"/>
  <c r="P313" i="4"/>
  <c r="P312" i="4"/>
  <c r="P311" i="4"/>
  <c r="P310" i="4"/>
  <c r="P309" i="4"/>
  <c r="P308" i="4"/>
  <c r="P307" i="4"/>
  <c r="P306" i="4"/>
  <c r="P305" i="4"/>
  <c r="P304" i="4"/>
  <c r="P303" i="4"/>
  <c r="P302" i="4"/>
  <c r="P301"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272" i="4"/>
  <c r="P271" i="4"/>
  <c r="P270" i="4"/>
  <c r="P269" i="4"/>
  <c r="P268" i="4"/>
  <c r="P267" i="4"/>
  <c r="P266" i="4"/>
  <c r="P265" i="4"/>
  <c r="P264" i="4"/>
  <c r="P263" i="4"/>
  <c r="P262" i="4"/>
  <c r="P261" i="4"/>
  <c r="P260" i="4"/>
  <c r="P259" i="4"/>
  <c r="P258" i="4"/>
  <c r="P257" i="4"/>
  <c r="P256" i="4"/>
  <c r="P255" i="4"/>
  <c r="P254" i="4"/>
  <c r="P253" i="4"/>
  <c r="P252" i="4"/>
  <c r="P251" i="4"/>
  <c r="P250" i="4"/>
  <c r="P249" i="4"/>
  <c r="P248" i="4"/>
  <c r="P247" i="4"/>
  <c r="P246" i="4"/>
  <c r="P245" i="4"/>
  <c r="P244" i="4"/>
  <c r="P243" i="4"/>
  <c r="P242" i="4"/>
  <c r="P241" i="4"/>
  <c r="P240" i="4"/>
  <c r="P239" i="4"/>
  <c r="P238" i="4"/>
  <c r="P237" i="4"/>
  <c r="P236" i="4"/>
  <c r="P235"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204" i="4"/>
  <c r="P203" i="4"/>
  <c r="P202" i="4"/>
  <c r="P201" i="4"/>
  <c r="P200" i="4"/>
  <c r="P199" i="4"/>
  <c r="P198" i="4"/>
  <c r="P197" i="4"/>
  <c r="P196" i="4"/>
  <c r="P195" i="4"/>
  <c r="P194" i="4"/>
  <c r="P193" i="4"/>
  <c r="P192" i="4"/>
  <c r="P191" i="4"/>
  <c r="P190" i="4"/>
  <c r="P189" i="4"/>
  <c r="P188" i="4"/>
  <c r="P187" i="4"/>
  <c r="P186" i="4"/>
  <c r="P185" i="4"/>
  <c r="P184" i="4"/>
  <c r="P183" i="4"/>
  <c r="P182" i="4"/>
  <c r="P181" i="4"/>
  <c r="P180" i="4"/>
  <c r="P179"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7" i="4"/>
  <c r="P6" i="4"/>
  <c r="P5" i="4"/>
  <c r="P4" i="4"/>
  <c r="P3" i="4"/>
  <c r="O334" i="4"/>
  <c r="O333" i="4"/>
  <c r="O332" i="4"/>
  <c r="O331" i="4"/>
  <c r="O330" i="4"/>
  <c r="O329" i="4"/>
  <c r="O328" i="4"/>
  <c r="O327"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272" i="4"/>
  <c r="O271" i="4"/>
  <c r="O270" i="4"/>
  <c r="O269" i="4"/>
  <c r="O268" i="4"/>
  <c r="O267" i="4"/>
  <c r="O266" i="4"/>
  <c r="O265" i="4"/>
  <c r="O264" i="4"/>
  <c r="O263" i="4"/>
  <c r="O262" i="4"/>
  <c r="O261" i="4"/>
  <c r="O260" i="4"/>
  <c r="O259" i="4"/>
  <c r="O258" i="4"/>
  <c r="O257" i="4"/>
  <c r="O256" i="4"/>
  <c r="O255" i="4"/>
  <c r="O254" i="4"/>
  <c r="O253" i="4"/>
  <c r="O252" i="4"/>
  <c r="O251" i="4"/>
  <c r="O250" i="4"/>
  <c r="O249" i="4"/>
  <c r="O248" i="4"/>
  <c r="O247" i="4"/>
  <c r="O246" i="4"/>
  <c r="O245" i="4"/>
  <c r="O244" i="4"/>
  <c r="O243" i="4"/>
  <c r="O242" i="4"/>
  <c r="O241" i="4"/>
  <c r="O240" i="4"/>
  <c r="O239" i="4"/>
  <c r="O238" i="4"/>
  <c r="O237" i="4"/>
  <c r="O236" i="4"/>
  <c r="O235"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204" i="4"/>
  <c r="O203" i="4"/>
  <c r="O202" i="4"/>
  <c r="O201" i="4"/>
  <c r="O200" i="4"/>
  <c r="O199" i="4"/>
  <c r="O198" i="4"/>
  <c r="O197" i="4"/>
  <c r="O196" i="4"/>
  <c r="O195" i="4"/>
  <c r="O194" i="4"/>
  <c r="O193" i="4"/>
  <c r="O192" i="4"/>
  <c r="O191" i="4"/>
  <c r="O190" i="4"/>
  <c r="O189" i="4"/>
  <c r="O188" i="4"/>
  <c r="O187" i="4"/>
  <c r="O186" i="4"/>
  <c r="O185" i="4"/>
  <c r="O184" i="4"/>
  <c r="O183" i="4"/>
  <c r="O182" i="4"/>
  <c r="O181" i="4"/>
  <c r="O180" i="4"/>
  <c r="O179"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J210" i="4" l="1"/>
  <c r="L210" i="4" s="1"/>
  <c r="G210" i="4" s="1"/>
  <c r="B8598" i="20"/>
  <c r="B8597" i="20"/>
  <c r="E8592" i="20"/>
  <c r="F8592" i="20" s="1"/>
  <c r="H8593" i="20" s="1"/>
  <c r="N8568" i="20" s="1"/>
  <c r="D8588" i="20"/>
  <c r="F8588" i="20" s="1"/>
  <c r="C8588" i="20"/>
  <c r="B8588" i="20"/>
  <c r="D8587" i="20"/>
  <c r="F8587" i="20" s="1"/>
  <c r="C8587" i="20"/>
  <c r="B8587" i="20"/>
  <c r="D8586" i="20"/>
  <c r="F8586" i="20" s="1"/>
  <c r="C8586" i="20"/>
  <c r="B8586" i="20"/>
  <c r="D8585" i="20"/>
  <c r="F8585" i="20" s="1"/>
  <c r="C8585" i="20"/>
  <c r="B8585" i="20"/>
  <c r="D8584" i="20"/>
  <c r="F8584" i="20" s="1"/>
  <c r="C8584" i="20"/>
  <c r="B8584" i="20"/>
  <c r="D8583" i="20"/>
  <c r="F8583" i="20" s="1"/>
  <c r="C8583" i="20"/>
  <c r="B8583" i="20"/>
  <c r="D8582" i="20"/>
  <c r="F8582" i="20" s="1"/>
  <c r="C8582" i="20"/>
  <c r="B8582" i="20"/>
  <c r="D8581" i="20"/>
  <c r="F8581" i="20" s="1"/>
  <c r="C8581" i="20"/>
  <c r="C8580" i="20"/>
  <c r="E8576" i="20"/>
  <c r="D8576" i="20"/>
  <c r="B8576" i="20"/>
  <c r="D8575" i="20"/>
  <c r="B8575" i="20"/>
  <c r="D8574" i="20"/>
  <c r="B8574" i="20"/>
  <c r="D8573" i="20"/>
  <c r="B8573" i="20"/>
  <c r="B8568" i="20"/>
  <c r="H8567" i="20"/>
  <c r="H8563" i="20"/>
  <c r="E8596" i="20" s="1"/>
  <c r="J297" i="4"/>
  <c r="L297" i="4" s="1"/>
  <c r="G297" i="4" s="1"/>
  <c r="D8533" i="20" s="1"/>
  <c r="F8533" i="20" s="1"/>
  <c r="B8551" i="20"/>
  <c r="B8550" i="20"/>
  <c r="E8545" i="20"/>
  <c r="F8545" i="20" s="1"/>
  <c r="H8546" i="20" s="1"/>
  <c r="N8513" i="20" s="1"/>
  <c r="C8541" i="20"/>
  <c r="B8541" i="20"/>
  <c r="C8540" i="20"/>
  <c r="B8540" i="20"/>
  <c r="C8539" i="20"/>
  <c r="B8539" i="20"/>
  <c r="C8538" i="20"/>
  <c r="B8538" i="20"/>
  <c r="C8537" i="20"/>
  <c r="B8537" i="20"/>
  <c r="C8536" i="20"/>
  <c r="B8536" i="20"/>
  <c r="C8535" i="20"/>
  <c r="B8535" i="20"/>
  <c r="C8534" i="20"/>
  <c r="B8534" i="20"/>
  <c r="C8533" i="20"/>
  <c r="B8533" i="20"/>
  <c r="C8532" i="20"/>
  <c r="B8532" i="20"/>
  <c r="C8531" i="20"/>
  <c r="B8531" i="20"/>
  <c r="C8530" i="20"/>
  <c r="B8530" i="20"/>
  <c r="C8529" i="20"/>
  <c r="B8529" i="20"/>
  <c r="C8528" i="20"/>
  <c r="B8528" i="20"/>
  <c r="C8527" i="20"/>
  <c r="B8527" i="20"/>
  <c r="C8526" i="20"/>
  <c r="C8525" i="20"/>
  <c r="E8521" i="20"/>
  <c r="D8521" i="20"/>
  <c r="B8521" i="20"/>
  <c r="E8520" i="20"/>
  <c r="D8520" i="20"/>
  <c r="B8520" i="20"/>
  <c r="E8519" i="20"/>
  <c r="D8519" i="20"/>
  <c r="B8519" i="20"/>
  <c r="D8518" i="20"/>
  <c r="B8518" i="20"/>
  <c r="B8513" i="20"/>
  <c r="H8512" i="20"/>
  <c r="H8508" i="20"/>
  <c r="E8549" i="20" s="1"/>
  <c r="H9511" i="20"/>
  <c r="E9551" i="20" s="1"/>
  <c r="J310" i="4"/>
  <c r="L310" i="4" s="1"/>
  <c r="G310" i="4" s="1"/>
  <c r="B9551" i="20"/>
  <c r="B9550" i="20"/>
  <c r="E9545" i="20"/>
  <c r="F9545" i="20" s="1"/>
  <c r="H9546" i="20" s="1"/>
  <c r="N9516" i="20" s="1"/>
  <c r="D9541" i="20"/>
  <c r="F9541" i="20" s="1"/>
  <c r="C9541" i="20"/>
  <c r="B9541" i="20"/>
  <c r="D9540" i="20"/>
  <c r="F9540" i="20" s="1"/>
  <c r="C9540" i="20"/>
  <c r="B9540" i="20"/>
  <c r="D9539" i="20"/>
  <c r="F9539" i="20" s="1"/>
  <c r="C9539" i="20"/>
  <c r="B9539" i="20"/>
  <c r="D9538" i="20"/>
  <c r="F9538" i="20" s="1"/>
  <c r="C9538" i="20"/>
  <c r="B9538" i="20"/>
  <c r="D9537" i="20"/>
  <c r="F9537" i="20" s="1"/>
  <c r="C9537" i="20"/>
  <c r="B9537" i="20"/>
  <c r="D9536" i="20"/>
  <c r="F9536" i="20" s="1"/>
  <c r="C9536" i="20"/>
  <c r="B9536" i="20"/>
  <c r="D9535" i="20"/>
  <c r="F9535" i="20" s="1"/>
  <c r="C9535" i="20"/>
  <c r="B9535" i="20"/>
  <c r="D9534" i="20"/>
  <c r="F9534" i="20" s="1"/>
  <c r="C9534" i="20"/>
  <c r="B9534" i="20"/>
  <c r="D9533" i="20"/>
  <c r="F9533" i="20" s="1"/>
  <c r="C9533" i="20"/>
  <c r="B9533" i="20"/>
  <c r="D9532" i="20"/>
  <c r="F9532" i="20" s="1"/>
  <c r="C9532" i="20"/>
  <c r="B9532" i="20"/>
  <c r="D9531" i="20"/>
  <c r="F9531" i="20" s="1"/>
  <c r="C9531" i="20"/>
  <c r="B9531" i="20"/>
  <c r="D9530" i="20"/>
  <c r="F9530" i="20" s="1"/>
  <c r="C9530" i="20"/>
  <c r="B9530" i="20"/>
  <c r="C9529" i="20"/>
  <c r="C9528" i="20"/>
  <c r="D9524" i="20"/>
  <c r="B9524" i="20"/>
  <c r="E9523" i="20"/>
  <c r="D9523" i="20"/>
  <c r="B9523" i="20"/>
  <c r="D9522" i="20"/>
  <c r="B9522" i="20"/>
  <c r="D9521" i="20"/>
  <c r="B9521" i="20"/>
  <c r="B9516" i="20"/>
  <c r="H9515" i="20"/>
  <c r="H7977" i="20"/>
  <c r="E8017" i="20" s="1"/>
  <c r="B8017" i="20"/>
  <c r="B8016" i="20"/>
  <c r="E8011" i="20"/>
  <c r="F8011" i="20" s="1"/>
  <c r="H8012" i="20" s="1"/>
  <c r="N7982" i="20" s="1"/>
  <c r="D8007" i="20"/>
  <c r="F8007" i="20" s="1"/>
  <c r="C8007" i="20"/>
  <c r="B8007" i="20"/>
  <c r="D8006" i="20"/>
  <c r="F8006" i="20" s="1"/>
  <c r="C8006" i="20"/>
  <c r="B8006" i="20"/>
  <c r="D8005" i="20"/>
  <c r="F8005" i="20" s="1"/>
  <c r="C8005" i="20"/>
  <c r="B8005" i="20"/>
  <c r="D8004" i="20"/>
  <c r="F8004" i="20" s="1"/>
  <c r="C8004" i="20"/>
  <c r="B8004" i="20"/>
  <c r="D8003" i="20"/>
  <c r="F8003" i="20" s="1"/>
  <c r="C8003" i="20"/>
  <c r="B8003" i="20"/>
  <c r="D8002" i="20"/>
  <c r="F8002" i="20" s="1"/>
  <c r="C8002" i="20"/>
  <c r="B8002" i="20"/>
  <c r="D8001" i="20"/>
  <c r="F8001" i="20" s="1"/>
  <c r="C8001" i="20"/>
  <c r="B8001" i="20"/>
  <c r="D8000" i="20"/>
  <c r="F8000" i="20" s="1"/>
  <c r="C8000" i="20"/>
  <c r="B8000" i="20"/>
  <c r="D7999" i="20"/>
  <c r="F7999" i="20" s="1"/>
  <c r="C7999" i="20"/>
  <c r="B7999" i="20"/>
  <c r="D7998" i="20"/>
  <c r="F7998" i="20" s="1"/>
  <c r="C7998" i="20"/>
  <c r="B7998" i="20"/>
  <c r="D7997" i="20"/>
  <c r="F7997" i="20" s="1"/>
  <c r="C7997" i="20"/>
  <c r="B7997" i="20"/>
  <c r="E7996" i="20"/>
  <c r="C7996" i="20"/>
  <c r="B7996" i="20"/>
  <c r="E7995" i="20"/>
  <c r="C7995" i="20"/>
  <c r="C7994" i="20"/>
  <c r="E7990" i="20"/>
  <c r="D7990" i="20"/>
  <c r="B7990" i="20"/>
  <c r="E7989" i="20"/>
  <c r="D7989" i="20"/>
  <c r="B7989" i="20"/>
  <c r="D7988" i="20"/>
  <c r="B7988" i="20"/>
  <c r="D7987" i="20"/>
  <c r="B7987" i="20"/>
  <c r="B7982" i="20"/>
  <c r="H7981" i="20"/>
  <c r="B7965" i="20"/>
  <c r="B7964" i="20"/>
  <c r="E7959" i="20"/>
  <c r="F7959" i="20" s="1"/>
  <c r="H7960" i="20" s="1"/>
  <c r="N7930" i="20" s="1"/>
  <c r="D7955" i="20"/>
  <c r="F7955" i="20" s="1"/>
  <c r="C7955" i="20"/>
  <c r="B7955" i="20"/>
  <c r="D7954" i="20"/>
  <c r="F7954" i="20" s="1"/>
  <c r="C7954" i="20"/>
  <c r="B7954" i="20"/>
  <c r="D7953" i="20"/>
  <c r="F7953" i="20" s="1"/>
  <c r="C7953" i="20"/>
  <c r="B7953" i="20"/>
  <c r="D7952" i="20"/>
  <c r="F7952" i="20" s="1"/>
  <c r="C7952" i="20"/>
  <c r="B7952" i="20"/>
  <c r="D7951" i="20"/>
  <c r="F7951" i="20" s="1"/>
  <c r="C7951" i="20"/>
  <c r="B7951" i="20"/>
  <c r="D7950" i="20"/>
  <c r="F7950" i="20" s="1"/>
  <c r="C7950" i="20"/>
  <c r="B7950" i="20"/>
  <c r="D7949" i="20"/>
  <c r="F7949" i="20" s="1"/>
  <c r="C7949" i="20"/>
  <c r="B7949" i="20"/>
  <c r="D7948" i="20"/>
  <c r="F7948" i="20" s="1"/>
  <c r="C7948" i="20"/>
  <c r="B7948" i="20"/>
  <c r="D7947" i="20"/>
  <c r="F7947" i="20" s="1"/>
  <c r="C7947" i="20"/>
  <c r="B7947" i="20"/>
  <c r="D7946" i="20"/>
  <c r="F7946" i="20" s="1"/>
  <c r="C7946" i="20"/>
  <c r="B7946" i="20"/>
  <c r="D7945" i="20"/>
  <c r="F7945" i="20" s="1"/>
  <c r="C7945" i="20"/>
  <c r="B7945" i="20"/>
  <c r="E7944" i="20"/>
  <c r="D7944" i="20"/>
  <c r="C7944" i="20"/>
  <c r="B7944" i="20"/>
  <c r="E7943" i="20"/>
  <c r="D7943" i="20"/>
  <c r="C7943" i="20"/>
  <c r="C7942" i="20"/>
  <c r="E7938" i="20"/>
  <c r="D7938" i="20"/>
  <c r="B7938" i="20"/>
  <c r="E7937" i="20"/>
  <c r="D7937" i="20"/>
  <c r="B7937" i="20"/>
  <c r="D7936" i="20"/>
  <c r="B7936" i="20"/>
  <c r="D7935" i="20"/>
  <c r="B7935" i="20"/>
  <c r="B7930" i="20"/>
  <c r="H7929" i="20"/>
  <c r="H7925" i="20"/>
  <c r="E7963" i="20" s="1"/>
  <c r="H7873" i="20"/>
  <c r="E7913" i="20" s="1"/>
  <c r="J38" i="4"/>
  <c r="L38" i="4" s="1"/>
  <c r="G38" i="4" s="1"/>
  <c r="J37" i="4"/>
  <c r="L37" i="4" s="1"/>
  <c r="G37" i="4" s="1"/>
  <c r="B7913" i="20"/>
  <c r="B7912" i="20"/>
  <c r="E7907" i="20"/>
  <c r="F7907" i="20" s="1"/>
  <c r="H7908" i="20" s="1"/>
  <c r="N7878" i="20" s="1"/>
  <c r="D7903" i="20"/>
  <c r="F7903" i="20" s="1"/>
  <c r="C7903" i="20"/>
  <c r="B7903" i="20"/>
  <c r="D7902" i="20"/>
  <c r="F7902" i="20" s="1"/>
  <c r="C7902" i="20"/>
  <c r="B7902" i="20"/>
  <c r="D7901" i="20"/>
  <c r="F7901" i="20" s="1"/>
  <c r="C7901" i="20"/>
  <c r="B7901" i="20"/>
  <c r="D7900" i="20"/>
  <c r="F7900" i="20" s="1"/>
  <c r="C7900" i="20"/>
  <c r="B7900" i="20"/>
  <c r="D7899" i="20"/>
  <c r="F7899" i="20" s="1"/>
  <c r="C7899" i="20"/>
  <c r="B7899" i="20"/>
  <c r="D7898" i="20"/>
  <c r="F7898" i="20" s="1"/>
  <c r="C7898" i="20"/>
  <c r="B7898" i="20"/>
  <c r="D7897" i="20"/>
  <c r="F7897" i="20" s="1"/>
  <c r="C7897" i="20"/>
  <c r="B7897" i="20"/>
  <c r="D7896" i="20"/>
  <c r="F7896" i="20" s="1"/>
  <c r="C7896" i="20"/>
  <c r="B7896" i="20"/>
  <c r="D7895" i="20"/>
  <c r="F7895" i="20" s="1"/>
  <c r="C7895" i="20"/>
  <c r="B7895" i="20"/>
  <c r="D7894" i="20"/>
  <c r="F7894" i="20" s="1"/>
  <c r="C7894" i="20"/>
  <c r="B7894" i="20"/>
  <c r="D7893" i="20"/>
  <c r="F7893" i="20" s="1"/>
  <c r="C7893" i="20"/>
  <c r="B7893" i="20"/>
  <c r="C7892" i="20"/>
  <c r="B7892" i="20"/>
  <c r="E7891" i="20"/>
  <c r="C7891" i="20"/>
  <c r="C7890" i="20"/>
  <c r="E7886" i="20"/>
  <c r="D7886" i="20"/>
  <c r="B7886" i="20"/>
  <c r="E7885" i="20"/>
  <c r="D7885" i="20"/>
  <c r="B7885" i="20"/>
  <c r="D7884" i="20"/>
  <c r="B7884" i="20"/>
  <c r="D7883" i="20"/>
  <c r="B7883" i="20"/>
  <c r="B7878" i="20"/>
  <c r="H7877" i="20"/>
  <c r="H7821" i="20"/>
  <c r="E7861" i="20" s="1"/>
  <c r="B7861" i="20"/>
  <c r="B7860" i="20"/>
  <c r="E7855" i="20"/>
  <c r="F7855" i="20" s="1"/>
  <c r="H7856" i="20" s="1"/>
  <c r="N7826" i="20" s="1"/>
  <c r="D7851" i="20"/>
  <c r="F7851" i="20" s="1"/>
  <c r="C7851" i="20"/>
  <c r="B7851" i="20"/>
  <c r="D7850" i="20"/>
  <c r="F7850" i="20" s="1"/>
  <c r="C7850" i="20"/>
  <c r="B7850" i="20"/>
  <c r="D7849" i="20"/>
  <c r="F7849" i="20" s="1"/>
  <c r="C7849" i="20"/>
  <c r="B7849" i="20"/>
  <c r="D7848" i="20"/>
  <c r="F7848" i="20" s="1"/>
  <c r="C7848" i="20"/>
  <c r="B7848" i="20"/>
  <c r="D7847" i="20"/>
  <c r="F7847" i="20" s="1"/>
  <c r="C7847" i="20"/>
  <c r="B7847" i="20"/>
  <c r="D7846" i="20"/>
  <c r="F7846" i="20" s="1"/>
  <c r="C7846" i="20"/>
  <c r="B7846" i="20"/>
  <c r="D7845" i="20"/>
  <c r="F7845" i="20" s="1"/>
  <c r="C7845" i="20"/>
  <c r="B7845" i="20"/>
  <c r="D7844" i="20"/>
  <c r="F7844" i="20" s="1"/>
  <c r="C7844" i="20"/>
  <c r="B7844" i="20"/>
  <c r="D7843" i="20"/>
  <c r="F7843" i="20" s="1"/>
  <c r="C7843" i="20"/>
  <c r="B7843" i="20"/>
  <c r="D7842" i="20"/>
  <c r="F7842" i="20" s="1"/>
  <c r="C7842" i="20"/>
  <c r="B7842" i="20"/>
  <c r="D7841" i="20"/>
  <c r="F7841" i="20" s="1"/>
  <c r="C7841" i="20"/>
  <c r="B7841" i="20"/>
  <c r="C7840" i="20"/>
  <c r="B7840" i="20"/>
  <c r="E7839" i="20"/>
  <c r="C7839" i="20"/>
  <c r="C7838" i="20"/>
  <c r="E7834" i="20"/>
  <c r="D7834" i="20"/>
  <c r="B7834" i="20"/>
  <c r="E7833" i="20"/>
  <c r="D7833" i="20"/>
  <c r="B7833" i="20"/>
  <c r="D7832" i="20"/>
  <c r="B7832" i="20"/>
  <c r="D7831" i="20"/>
  <c r="B7831" i="20"/>
  <c r="B7826" i="20"/>
  <c r="H7825" i="20"/>
  <c r="B7809" i="20"/>
  <c r="B7808" i="20"/>
  <c r="E7803" i="20"/>
  <c r="F7803" i="20" s="1"/>
  <c r="H7804" i="20" s="1"/>
  <c r="N7774" i="20" s="1"/>
  <c r="D7799" i="20"/>
  <c r="F7799" i="20" s="1"/>
  <c r="C7799" i="20"/>
  <c r="B7799" i="20"/>
  <c r="D7798" i="20"/>
  <c r="F7798" i="20" s="1"/>
  <c r="C7798" i="20"/>
  <c r="B7798" i="20"/>
  <c r="D7797" i="20"/>
  <c r="F7797" i="20" s="1"/>
  <c r="C7797" i="20"/>
  <c r="B7797" i="20"/>
  <c r="D7796" i="20"/>
  <c r="F7796" i="20" s="1"/>
  <c r="C7796" i="20"/>
  <c r="B7796" i="20"/>
  <c r="D7795" i="20"/>
  <c r="F7795" i="20" s="1"/>
  <c r="C7795" i="20"/>
  <c r="B7795" i="20"/>
  <c r="D7794" i="20"/>
  <c r="F7794" i="20" s="1"/>
  <c r="C7794" i="20"/>
  <c r="B7794" i="20"/>
  <c r="D7793" i="20"/>
  <c r="F7793" i="20" s="1"/>
  <c r="C7793" i="20"/>
  <c r="B7793" i="20"/>
  <c r="D7792" i="20"/>
  <c r="F7792" i="20" s="1"/>
  <c r="C7792" i="20"/>
  <c r="B7792" i="20"/>
  <c r="D7791" i="20"/>
  <c r="F7791" i="20" s="1"/>
  <c r="C7791" i="20"/>
  <c r="B7791" i="20"/>
  <c r="D7790" i="20"/>
  <c r="F7790" i="20" s="1"/>
  <c r="C7790" i="20"/>
  <c r="B7790" i="20"/>
  <c r="D7789" i="20"/>
  <c r="F7789" i="20" s="1"/>
  <c r="C7789" i="20"/>
  <c r="B7789" i="20"/>
  <c r="C7788" i="20"/>
  <c r="B7788" i="20"/>
  <c r="E7787" i="20"/>
  <c r="C7787" i="20"/>
  <c r="C7786" i="20"/>
  <c r="E7782" i="20"/>
  <c r="D7782" i="20"/>
  <c r="B7782" i="20"/>
  <c r="E7781" i="20"/>
  <c r="D7781" i="20"/>
  <c r="B7781" i="20"/>
  <c r="D7780" i="20"/>
  <c r="B7780" i="20"/>
  <c r="D7779" i="20"/>
  <c r="B7779" i="20"/>
  <c r="B7774" i="20"/>
  <c r="H7773" i="20"/>
  <c r="H7769" i="20"/>
  <c r="E7807" i="20" s="1"/>
  <c r="H7717" i="20"/>
  <c r="F7730" i="20" s="1"/>
  <c r="E7735" i="20"/>
  <c r="B7757" i="20"/>
  <c r="B7756" i="20"/>
  <c r="E7751" i="20"/>
  <c r="F7751" i="20" s="1"/>
  <c r="H7752" i="20" s="1"/>
  <c r="N7722" i="20" s="1"/>
  <c r="D7747" i="20"/>
  <c r="F7747" i="20" s="1"/>
  <c r="C7747" i="20"/>
  <c r="B7747" i="20"/>
  <c r="D7746" i="20"/>
  <c r="F7746" i="20" s="1"/>
  <c r="C7746" i="20"/>
  <c r="B7746" i="20"/>
  <c r="D7745" i="20"/>
  <c r="F7745" i="20" s="1"/>
  <c r="C7745" i="20"/>
  <c r="B7745" i="20"/>
  <c r="D7744" i="20"/>
  <c r="F7744" i="20" s="1"/>
  <c r="C7744" i="20"/>
  <c r="B7744" i="20"/>
  <c r="D7743" i="20"/>
  <c r="F7743" i="20" s="1"/>
  <c r="C7743" i="20"/>
  <c r="B7743" i="20"/>
  <c r="D7742" i="20"/>
  <c r="F7742" i="20" s="1"/>
  <c r="C7742" i="20"/>
  <c r="B7742" i="20"/>
  <c r="D7741" i="20"/>
  <c r="F7741" i="20" s="1"/>
  <c r="C7741" i="20"/>
  <c r="B7741" i="20"/>
  <c r="D7740" i="20"/>
  <c r="F7740" i="20" s="1"/>
  <c r="C7740" i="20"/>
  <c r="B7740" i="20"/>
  <c r="D7739" i="20"/>
  <c r="F7739" i="20" s="1"/>
  <c r="C7739" i="20"/>
  <c r="B7739" i="20"/>
  <c r="D7738" i="20"/>
  <c r="F7738" i="20" s="1"/>
  <c r="C7738" i="20"/>
  <c r="B7738" i="20"/>
  <c r="D7737" i="20"/>
  <c r="F7737" i="20" s="1"/>
  <c r="C7737" i="20"/>
  <c r="B7737" i="20"/>
  <c r="E7736" i="20"/>
  <c r="D7736" i="20"/>
  <c r="C7736" i="20"/>
  <c r="B7736" i="20"/>
  <c r="C7735" i="20"/>
  <c r="C7734" i="20"/>
  <c r="E7730" i="20"/>
  <c r="D7730" i="20"/>
  <c r="B7730" i="20"/>
  <c r="E7729" i="20"/>
  <c r="D7729" i="20"/>
  <c r="B7729" i="20"/>
  <c r="D7728" i="20"/>
  <c r="B7728" i="20"/>
  <c r="D7727" i="20"/>
  <c r="B7727" i="20"/>
  <c r="B7722" i="20"/>
  <c r="H7721" i="20"/>
  <c r="B7705" i="20"/>
  <c r="B7704" i="20"/>
  <c r="E7699" i="20"/>
  <c r="F7699" i="20" s="1"/>
  <c r="H7700" i="20" s="1"/>
  <c r="N7670" i="20" s="1"/>
  <c r="D7695" i="20"/>
  <c r="F7695" i="20" s="1"/>
  <c r="C7695" i="20"/>
  <c r="B7695" i="20"/>
  <c r="D7694" i="20"/>
  <c r="F7694" i="20" s="1"/>
  <c r="C7694" i="20"/>
  <c r="B7694" i="20"/>
  <c r="D7693" i="20"/>
  <c r="F7693" i="20" s="1"/>
  <c r="C7693" i="20"/>
  <c r="B7693" i="20"/>
  <c r="D7692" i="20"/>
  <c r="F7692" i="20" s="1"/>
  <c r="C7692" i="20"/>
  <c r="B7692" i="20"/>
  <c r="D7691" i="20"/>
  <c r="F7691" i="20" s="1"/>
  <c r="C7691" i="20"/>
  <c r="B7691" i="20"/>
  <c r="D7690" i="20"/>
  <c r="F7690" i="20" s="1"/>
  <c r="C7690" i="20"/>
  <c r="B7690" i="20"/>
  <c r="D7689" i="20"/>
  <c r="F7689" i="20" s="1"/>
  <c r="C7689" i="20"/>
  <c r="B7689" i="20"/>
  <c r="D7688" i="20"/>
  <c r="F7688" i="20" s="1"/>
  <c r="C7688" i="20"/>
  <c r="B7688" i="20"/>
  <c r="D7687" i="20"/>
  <c r="F7687" i="20" s="1"/>
  <c r="C7687" i="20"/>
  <c r="B7687" i="20"/>
  <c r="D7686" i="20"/>
  <c r="F7686" i="20" s="1"/>
  <c r="C7686" i="20"/>
  <c r="B7686" i="20"/>
  <c r="D7685" i="20"/>
  <c r="F7685" i="20" s="1"/>
  <c r="C7685" i="20"/>
  <c r="B7685" i="20"/>
  <c r="E7684" i="20"/>
  <c r="C7684" i="20"/>
  <c r="B7684" i="20"/>
  <c r="E7683" i="20"/>
  <c r="C7683" i="20"/>
  <c r="C7682" i="20"/>
  <c r="E7678" i="20"/>
  <c r="D7678" i="20"/>
  <c r="B7678" i="20"/>
  <c r="E7677" i="20"/>
  <c r="D7677" i="20"/>
  <c r="B7677" i="20"/>
  <c r="D7676" i="20"/>
  <c r="B7676" i="20"/>
  <c r="D7675" i="20"/>
  <c r="B7675" i="20"/>
  <c r="B7670" i="20"/>
  <c r="H7669" i="20"/>
  <c r="H7665" i="20"/>
  <c r="E7703" i="20" s="1"/>
  <c r="B7653" i="20"/>
  <c r="B7652" i="20"/>
  <c r="E7647" i="20"/>
  <c r="F7647" i="20" s="1"/>
  <c r="H7648" i="20" s="1"/>
  <c r="N7618" i="20" s="1"/>
  <c r="D7643" i="20"/>
  <c r="F7643" i="20" s="1"/>
  <c r="C7643" i="20"/>
  <c r="B7643" i="20"/>
  <c r="D7642" i="20"/>
  <c r="F7642" i="20" s="1"/>
  <c r="C7642" i="20"/>
  <c r="B7642" i="20"/>
  <c r="D7641" i="20"/>
  <c r="F7641" i="20" s="1"/>
  <c r="C7641" i="20"/>
  <c r="B7641" i="20"/>
  <c r="D7640" i="20"/>
  <c r="F7640" i="20" s="1"/>
  <c r="C7640" i="20"/>
  <c r="B7640" i="20"/>
  <c r="D7639" i="20"/>
  <c r="F7639" i="20" s="1"/>
  <c r="C7639" i="20"/>
  <c r="B7639" i="20"/>
  <c r="D7638" i="20"/>
  <c r="F7638" i="20" s="1"/>
  <c r="C7638" i="20"/>
  <c r="B7638" i="20"/>
  <c r="D7637" i="20"/>
  <c r="F7637" i="20" s="1"/>
  <c r="C7637" i="20"/>
  <c r="B7637" i="20"/>
  <c r="D7636" i="20"/>
  <c r="F7636" i="20" s="1"/>
  <c r="C7636" i="20"/>
  <c r="B7636" i="20"/>
  <c r="D7635" i="20"/>
  <c r="F7635" i="20" s="1"/>
  <c r="C7635" i="20"/>
  <c r="B7635" i="20"/>
  <c r="D7634" i="20"/>
  <c r="F7634" i="20" s="1"/>
  <c r="C7634" i="20"/>
  <c r="B7634" i="20"/>
  <c r="D7633" i="20"/>
  <c r="F7633" i="20" s="1"/>
  <c r="C7633" i="20"/>
  <c r="B7633" i="20"/>
  <c r="E7632" i="20"/>
  <c r="C7632" i="20"/>
  <c r="B7632" i="20"/>
  <c r="E7631" i="20"/>
  <c r="C7631" i="20"/>
  <c r="C7630" i="20"/>
  <c r="E7626" i="20"/>
  <c r="D7626" i="20"/>
  <c r="B7626" i="20"/>
  <c r="E7625" i="20"/>
  <c r="D7625" i="20"/>
  <c r="B7625" i="20"/>
  <c r="D7624" i="20"/>
  <c r="B7624" i="20"/>
  <c r="D7623" i="20"/>
  <c r="B7623" i="20"/>
  <c r="B7618" i="20"/>
  <c r="H7617" i="20"/>
  <c r="H7613" i="20"/>
  <c r="E7651" i="20" s="1"/>
  <c r="H7561" i="20"/>
  <c r="E7601" i="20" s="1"/>
  <c r="B7601" i="20"/>
  <c r="B7600" i="20"/>
  <c r="E7595" i="20"/>
  <c r="F7595" i="20" s="1"/>
  <c r="H7596" i="20" s="1"/>
  <c r="N7566" i="20" s="1"/>
  <c r="D7591" i="20"/>
  <c r="F7591" i="20" s="1"/>
  <c r="C7591" i="20"/>
  <c r="B7591" i="20"/>
  <c r="D7590" i="20"/>
  <c r="F7590" i="20" s="1"/>
  <c r="C7590" i="20"/>
  <c r="B7590" i="20"/>
  <c r="D7589" i="20"/>
  <c r="F7589" i="20" s="1"/>
  <c r="C7589" i="20"/>
  <c r="B7589" i="20"/>
  <c r="D7588" i="20"/>
  <c r="F7588" i="20" s="1"/>
  <c r="C7588" i="20"/>
  <c r="B7588" i="20"/>
  <c r="D7587" i="20"/>
  <c r="F7587" i="20" s="1"/>
  <c r="C7587" i="20"/>
  <c r="B7587" i="20"/>
  <c r="D7586" i="20"/>
  <c r="F7586" i="20" s="1"/>
  <c r="C7586" i="20"/>
  <c r="B7586" i="20"/>
  <c r="D7585" i="20"/>
  <c r="F7585" i="20" s="1"/>
  <c r="C7585" i="20"/>
  <c r="B7585" i="20"/>
  <c r="D7584" i="20"/>
  <c r="F7584" i="20" s="1"/>
  <c r="C7584" i="20"/>
  <c r="B7584" i="20"/>
  <c r="D7583" i="20"/>
  <c r="F7583" i="20" s="1"/>
  <c r="C7583" i="20"/>
  <c r="B7583" i="20"/>
  <c r="D7582" i="20"/>
  <c r="F7582" i="20" s="1"/>
  <c r="C7582" i="20"/>
  <c r="B7582" i="20"/>
  <c r="D7581" i="20"/>
  <c r="F7581" i="20" s="1"/>
  <c r="C7581" i="20"/>
  <c r="B7581" i="20"/>
  <c r="E7580" i="20"/>
  <c r="C7580" i="20"/>
  <c r="B7580" i="20"/>
  <c r="E7579" i="20"/>
  <c r="C7579" i="20"/>
  <c r="C7578" i="20"/>
  <c r="E7574" i="20"/>
  <c r="D7574" i="20"/>
  <c r="B7574" i="20"/>
  <c r="E7573" i="20"/>
  <c r="D7573" i="20"/>
  <c r="B7573" i="20"/>
  <c r="D7572" i="20"/>
  <c r="B7572" i="20"/>
  <c r="D7571" i="20"/>
  <c r="B7571" i="20"/>
  <c r="B7566" i="20"/>
  <c r="H7565" i="20"/>
  <c r="J50" i="4"/>
  <c r="L50" i="4" s="1"/>
  <c r="G50" i="4" s="1"/>
  <c r="D7682" i="20" s="1"/>
  <c r="F7682" i="20" s="1"/>
  <c r="J51" i="4"/>
  <c r="L51" i="4" s="1"/>
  <c r="G51" i="4" s="1"/>
  <c r="D7630" i="20" s="1"/>
  <c r="F7630" i="20" s="1"/>
  <c r="J52" i="4"/>
  <c r="L52" i="4" s="1"/>
  <c r="G52" i="4" s="1"/>
  <c r="D7578" i="20" s="1"/>
  <c r="F7578" i="20" s="1"/>
  <c r="B7548" i="20"/>
  <c r="B7547" i="20"/>
  <c r="E7542" i="20"/>
  <c r="F7542" i="20" s="1"/>
  <c r="H7543" i="20" s="1"/>
  <c r="N7513" i="20" s="1"/>
  <c r="D7538" i="20"/>
  <c r="F7538" i="20" s="1"/>
  <c r="C7538" i="20"/>
  <c r="B7538" i="20"/>
  <c r="D7537" i="20"/>
  <c r="F7537" i="20" s="1"/>
  <c r="C7537" i="20"/>
  <c r="B7537" i="20"/>
  <c r="D7536" i="20"/>
  <c r="F7536" i="20" s="1"/>
  <c r="C7536" i="20"/>
  <c r="B7536" i="20"/>
  <c r="D7535" i="20"/>
  <c r="F7535" i="20" s="1"/>
  <c r="C7535" i="20"/>
  <c r="B7535" i="20"/>
  <c r="D7534" i="20"/>
  <c r="F7534" i="20" s="1"/>
  <c r="C7534" i="20"/>
  <c r="B7534" i="20"/>
  <c r="D7533" i="20"/>
  <c r="F7533" i="20" s="1"/>
  <c r="C7533" i="20"/>
  <c r="B7533" i="20"/>
  <c r="D7532" i="20"/>
  <c r="F7532" i="20" s="1"/>
  <c r="C7532" i="20"/>
  <c r="B7532" i="20"/>
  <c r="D7531" i="20"/>
  <c r="F7531" i="20" s="1"/>
  <c r="C7531" i="20"/>
  <c r="B7531" i="20"/>
  <c r="D7530" i="20"/>
  <c r="F7530" i="20" s="1"/>
  <c r="C7530" i="20"/>
  <c r="B7530" i="20"/>
  <c r="D7529" i="20"/>
  <c r="F7529" i="20" s="1"/>
  <c r="C7529" i="20"/>
  <c r="B7529" i="20"/>
  <c r="D7528" i="20"/>
  <c r="F7528" i="20" s="1"/>
  <c r="C7528" i="20"/>
  <c r="B7528" i="20"/>
  <c r="E7527" i="20"/>
  <c r="C7527" i="20"/>
  <c r="B7527" i="20"/>
  <c r="E7526" i="20"/>
  <c r="C7526" i="20"/>
  <c r="C7525" i="20"/>
  <c r="E7521" i="20"/>
  <c r="D7521" i="20"/>
  <c r="B7521" i="20"/>
  <c r="E7520" i="20"/>
  <c r="D7520" i="20"/>
  <c r="B7520" i="20"/>
  <c r="D7519" i="20"/>
  <c r="B7519" i="20"/>
  <c r="D7518" i="20"/>
  <c r="B7518" i="20"/>
  <c r="B7513" i="20"/>
  <c r="H7512" i="20"/>
  <c r="H7508" i="20"/>
  <c r="E7546" i="20" s="1"/>
  <c r="H5631" i="20"/>
  <c r="E5670" i="20" s="1"/>
  <c r="J259" i="4"/>
  <c r="L259" i="4" s="1"/>
  <c r="G259" i="4" s="1"/>
  <c r="B5670" i="20"/>
  <c r="B5669" i="20"/>
  <c r="E5664" i="20"/>
  <c r="F5664" i="20" s="1"/>
  <c r="H5665" i="20" s="1"/>
  <c r="N5636" i="20" s="1"/>
  <c r="D5660" i="20"/>
  <c r="F5660" i="20" s="1"/>
  <c r="C5660" i="20"/>
  <c r="B5660" i="20"/>
  <c r="D5659" i="20"/>
  <c r="F5659" i="20" s="1"/>
  <c r="C5659" i="20"/>
  <c r="B5659" i="20"/>
  <c r="D5658" i="20"/>
  <c r="F5658" i="20" s="1"/>
  <c r="C5658" i="20"/>
  <c r="B5658" i="20"/>
  <c r="D5657" i="20"/>
  <c r="F5657" i="20" s="1"/>
  <c r="C5657" i="20"/>
  <c r="B5657" i="20"/>
  <c r="D5656" i="20"/>
  <c r="F5656" i="20" s="1"/>
  <c r="C5656" i="20"/>
  <c r="B5656" i="20"/>
  <c r="D5655" i="20"/>
  <c r="F5655" i="20" s="1"/>
  <c r="C5655" i="20"/>
  <c r="B5655" i="20"/>
  <c r="D5654" i="20"/>
  <c r="F5654" i="20" s="1"/>
  <c r="C5654" i="20"/>
  <c r="B5654" i="20"/>
  <c r="D5653" i="20"/>
  <c r="F5653" i="20" s="1"/>
  <c r="C5653" i="20"/>
  <c r="B5653" i="20"/>
  <c r="D5652" i="20"/>
  <c r="F5652" i="20" s="1"/>
  <c r="C5652" i="20"/>
  <c r="B5652" i="20"/>
  <c r="D5651" i="20"/>
  <c r="F5651" i="20" s="1"/>
  <c r="C5651" i="20"/>
  <c r="B5651" i="20"/>
  <c r="D5650" i="20"/>
  <c r="F5650" i="20" s="1"/>
  <c r="C5650" i="20"/>
  <c r="B5650" i="20"/>
  <c r="D5649" i="20"/>
  <c r="F5649" i="20" s="1"/>
  <c r="C5649" i="20"/>
  <c r="B5649" i="20"/>
  <c r="C5648" i="20"/>
  <c r="C5647" i="20"/>
  <c r="E5643" i="20"/>
  <c r="D5643" i="20"/>
  <c r="B5643" i="20"/>
  <c r="E5642" i="20"/>
  <c r="D5642" i="20"/>
  <c r="B5642" i="20"/>
  <c r="D5641" i="20"/>
  <c r="B5641" i="20"/>
  <c r="B5636" i="20"/>
  <c r="H5635" i="20"/>
  <c r="B4235" i="20"/>
  <c r="B4234" i="20"/>
  <c r="E4229" i="20"/>
  <c r="F4229" i="20" s="1"/>
  <c r="H4230" i="20" s="1"/>
  <c r="N4201" i="20" s="1"/>
  <c r="D4225" i="20"/>
  <c r="F4225" i="20" s="1"/>
  <c r="C4225" i="20"/>
  <c r="B4225" i="20"/>
  <c r="D4224" i="20"/>
  <c r="F4224" i="20" s="1"/>
  <c r="C4224" i="20"/>
  <c r="B4224" i="20"/>
  <c r="D4223" i="20"/>
  <c r="F4223" i="20" s="1"/>
  <c r="C4223" i="20"/>
  <c r="B4223" i="20"/>
  <c r="D4222" i="20"/>
  <c r="F4222" i="20" s="1"/>
  <c r="C4222" i="20"/>
  <c r="B4222" i="20"/>
  <c r="D4221" i="20"/>
  <c r="F4221" i="20" s="1"/>
  <c r="C4221" i="20"/>
  <c r="B4221" i="20"/>
  <c r="D4220" i="20"/>
  <c r="F4220" i="20" s="1"/>
  <c r="C4220" i="20"/>
  <c r="B4220" i="20"/>
  <c r="C4219" i="20"/>
  <c r="B4219" i="20"/>
  <c r="C4218" i="20"/>
  <c r="B4218" i="20"/>
  <c r="C4217" i="20"/>
  <c r="B4217" i="20"/>
  <c r="C4216" i="20"/>
  <c r="B4216" i="20"/>
  <c r="C4215" i="20"/>
  <c r="B4215" i="20"/>
  <c r="C4214" i="20"/>
  <c r="B4214" i="20"/>
  <c r="C4213" i="20"/>
  <c r="C4212" i="20"/>
  <c r="D4208" i="20"/>
  <c r="B4208" i="20"/>
  <c r="D4207" i="20"/>
  <c r="B4207" i="20"/>
  <c r="L4206" i="20"/>
  <c r="D4206" i="20"/>
  <c r="B4206" i="20"/>
  <c r="B4201" i="20"/>
  <c r="H4200" i="20"/>
  <c r="H4196" i="20"/>
  <c r="E4233" i="20" s="1"/>
  <c r="L4155" i="20"/>
  <c r="B4184" i="20"/>
  <c r="B4183" i="20"/>
  <c r="E4178" i="20"/>
  <c r="F4178" i="20" s="1"/>
  <c r="H4179" i="20" s="1"/>
  <c r="N4150" i="20" s="1"/>
  <c r="D4174" i="20"/>
  <c r="F4174" i="20" s="1"/>
  <c r="C4174" i="20"/>
  <c r="B4174" i="20"/>
  <c r="D4173" i="20"/>
  <c r="F4173" i="20" s="1"/>
  <c r="C4173" i="20"/>
  <c r="B4173" i="20"/>
  <c r="D4172" i="20"/>
  <c r="F4172" i="20" s="1"/>
  <c r="C4172" i="20"/>
  <c r="B4172" i="20"/>
  <c r="D4171" i="20"/>
  <c r="F4171" i="20" s="1"/>
  <c r="C4171" i="20"/>
  <c r="B4171" i="20"/>
  <c r="D4170" i="20"/>
  <c r="F4170" i="20" s="1"/>
  <c r="C4170" i="20"/>
  <c r="B4170" i="20"/>
  <c r="D4169" i="20"/>
  <c r="F4169" i="20" s="1"/>
  <c r="C4169" i="20"/>
  <c r="B4169" i="20"/>
  <c r="C4168" i="20"/>
  <c r="B4168" i="20"/>
  <c r="C4167" i="20"/>
  <c r="B4167" i="20"/>
  <c r="C4166" i="20"/>
  <c r="B4166" i="20"/>
  <c r="C4165" i="20"/>
  <c r="B4165" i="20"/>
  <c r="C4164" i="20"/>
  <c r="B4164" i="20"/>
  <c r="C4163" i="20"/>
  <c r="B4163" i="20"/>
  <c r="C4162" i="20"/>
  <c r="C4161" i="20"/>
  <c r="D4157" i="20"/>
  <c r="B4157" i="20"/>
  <c r="D4156" i="20"/>
  <c r="B4156" i="20"/>
  <c r="D4155" i="20"/>
  <c r="B4155" i="20"/>
  <c r="B4150" i="20"/>
  <c r="H4149" i="20"/>
  <c r="H4145" i="20"/>
  <c r="E4182" i="20" s="1"/>
  <c r="H274" i="4"/>
  <c r="J274" i="4" s="1"/>
  <c r="L274" i="4" s="1"/>
  <c r="G274" i="4" s="1"/>
  <c r="D4212" i="20" s="1"/>
  <c r="F4212" i="20" s="1"/>
  <c r="H273" i="4"/>
  <c r="J273" i="4" s="1"/>
  <c r="L273" i="4" s="1"/>
  <c r="G273" i="4" s="1"/>
  <c r="D4161" i="20" s="1"/>
  <c r="F4161" i="20" s="1"/>
  <c r="H278" i="4"/>
  <c r="H277" i="4"/>
  <c r="J277" i="4" s="1"/>
  <c r="L277" i="4" s="1"/>
  <c r="G277" i="4" s="1"/>
  <c r="B4133" i="20"/>
  <c r="B4132" i="20"/>
  <c r="E4127" i="20"/>
  <c r="F4127" i="20" s="1"/>
  <c r="H4128" i="20" s="1"/>
  <c r="N4099" i="20" s="1"/>
  <c r="D4123" i="20"/>
  <c r="F4123" i="20" s="1"/>
  <c r="C4123" i="20"/>
  <c r="B4123" i="20"/>
  <c r="D4122" i="20"/>
  <c r="F4122" i="20" s="1"/>
  <c r="C4122" i="20"/>
  <c r="B4122" i="20"/>
  <c r="D4121" i="20"/>
  <c r="F4121" i="20" s="1"/>
  <c r="C4121" i="20"/>
  <c r="B4121" i="20"/>
  <c r="D4120" i="20"/>
  <c r="F4120" i="20" s="1"/>
  <c r="C4120" i="20"/>
  <c r="B4120" i="20"/>
  <c r="D4119" i="20"/>
  <c r="F4119" i="20" s="1"/>
  <c r="C4119" i="20"/>
  <c r="B4119" i="20"/>
  <c r="D4118" i="20"/>
  <c r="F4118" i="20" s="1"/>
  <c r="C4118" i="20"/>
  <c r="B4118" i="20"/>
  <c r="C4117" i="20"/>
  <c r="B4117" i="20"/>
  <c r="C4116" i="20"/>
  <c r="B4116" i="20"/>
  <c r="C4115" i="20"/>
  <c r="B4115" i="20"/>
  <c r="C4114" i="20"/>
  <c r="B4114" i="20"/>
  <c r="C4113" i="20"/>
  <c r="B4113" i="20"/>
  <c r="C4112" i="20"/>
  <c r="B4112" i="20"/>
  <c r="C4111" i="20"/>
  <c r="C4110" i="20"/>
  <c r="D4106" i="20"/>
  <c r="B4106" i="20"/>
  <c r="D4105" i="20"/>
  <c r="B4105" i="20"/>
  <c r="D4104" i="20"/>
  <c r="B4104" i="20"/>
  <c r="B4099" i="20"/>
  <c r="H4098" i="20"/>
  <c r="H4094" i="20"/>
  <c r="F4106" i="20" s="1"/>
  <c r="H3941" i="20"/>
  <c r="H3992" i="20"/>
  <c r="H4043" i="20"/>
  <c r="H199" i="4"/>
  <c r="H198" i="4"/>
  <c r="H197" i="4"/>
  <c r="H194" i="4"/>
  <c r="H193" i="4"/>
  <c r="H192" i="4"/>
  <c r="H191" i="4"/>
  <c r="J191" i="4" s="1"/>
  <c r="L191" i="4" s="1"/>
  <c r="G191" i="4" s="1"/>
  <c r="F8575" i="20" l="1"/>
  <c r="F7987" i="20"/>
  <c r="F9522" i="20"/>
  <c r="E8598" i="20"/>
  <c r="F8520" i="20"/>
  <c r="G8520" i="20" s="1"/>
  <c r="E9549" i="20"/>
  <c r="F9524" i="20"/>
  <c r="F8574" i="20"/>
  <c r="F8576" i="20"/>
  <c r="G8576" i="20" s="1"/>
  <c r="E8597" i="20"/>
  <c r="F8521" i="20"/>
  <c r="G8521" i="20" s="1"/>
  <c r="F8573" i="20"/>
  <c r="E8015" i="20"/>
  <c r="F7990" i="20"/>
  <c r="G7990" i="20" s="1"/>
  <c r="E8551" i="20"/>
  <c r="F8519" i="20"/>
  <c r="G8519" i="20" s="1"/>
  <c r="E8550" i="20"/>
  <c r="F8518" i="20"/>
  <c r="F7944" i="20"/>
  <c r="F9521" i="20"/>
  <c r="E9550" i="20"/>
  <c r="F9523" i="20"/>
  <c r="G9523" i="20" s="1"/>
  <c r="F7935" i="20"/>
  <c r="F7989" i="20"/>
  <c r="G7989" i="20" s="1"/>
  <c r="E8016" i="20"/>
  <c r="E7965" i="20"/>
  <c r="F7938" i="20"/>
  <c r="G7938" i="20" s="1"/>
  <c r="F7988" i="20"/>
  <c r="F7886" i="20"/>
  <c r="G7886" i="20" s="1"/>
  <c r="F7943" i="20"/>
  <c r="F7937" i="20"/>
  <c r="G7937" i="20" s="1"/>
  <c r="E7964" i="20"/>
  <c r="F7834" i="20"/>
  <c r="G7834" i="20" s="1"/>
  <c r="F7936" i="20"/>
  <c r="F7884" i="20"/>
  <c r="F7883" i="20"/>
  <c r="E7912" i="20"/>
  <c r="F7885" i="20"/>
  <c r="G7885" i="20" s="1"/>
  <c r="E7911" i="20"/>
  <c r="F7832" i="20"/>
  <c r="F7831" i="20"/>
  <c r="E7860" i="20"/>
  <c r="F7833" i="20"/>
  <c r="G7833" i="20" s="1"/>
  <c r="E7859" i="20"/>
  <c r="F7779" i="20"/>
  <c r="F7782" i="20"/>
  <c r="G7782" i="20" s="1"/>
  <c r="F7736" i="20"/>
  <c r="E7809" i="20"/>
  <c r="G7730" i="20"/>
  <c r="E7705" i="20"/>
  <c r="E7755" i="20"/>
  <c r="F7781" i="20"/>
  <c r="G7781" i="20" s="1"/>
  <c r="E7808" i="20"/>
  <c r="F7729" i="20"/>
  <c r="G7729" i="20" s="1"/>
  <c r="F7727" i="20"/>
  <c r="F7780" i="20"/>
  <c r="F7675" i="20"/>
  <c r="E7757" i="20"/>
  <c r="F7626" i="20"/>
  <c r="G7626" i="20" s="1"/>
  <c r="F7624" i="20"/>
  <c r="E7756" i="20"/>
  <c r="E7653" i="20"/>
  <c r="F7678" i="20"/>
  <c r="G7678" i="20" s="1"/>
  <c r="F7728" i="20"/>
  <c r="F7623" i="20"/>
  <c r="F7677" i="20"/>
  <c r="G7677" i="20" s="1"/>
  <c r="E7704" i="20"/>
  <c r="F7676" i="20"/>
  <c r="F7571" i="20"/>
  <c r="F7625" i="20"/>
  <c r="G7625" i="20" s="1"/>
  <c r="E7652" i="20"/>
  <c r="F7574" i="20"/>
  <c r="G7574" i="20" s="1"/>
  <c r="E7599" i="20"/>
  <c r="F7573" i="20"/>
  <c r="G7573" i="20" s="1"/>
  <c r="E7600" i="20"/>
  <c r="F7572" i="20"/>
  <c r="E7548" i="20"/>
  <c r="F7518" i="20"/>
  <c r="F7521" i="20"/>
  <c r="G7521" i="20" s="1"/>
  <c r="F7519" i="20"/>
  <c r="F7520" i="20"/>
  <c r="G7520" i="20" s="1"/>
  <c r="E7547" i="20"/>
  <c r="F5641" i="20"/>
  <c r="E5668" i="20"/>
  <c r="F4206" i="20"/>
  <c r="E5669" i="20"/>
  <c r="F5642" i="20"/>
  <c r="E4235" i="20"/>
  <c r="F4157" i="20"/>
  <c r="F4208" i="20"/>
  <c r="F4155" i="20"/>
  <c r="E4234" i="20"/>
  <c r="F4207" i="20"/>
  <c r="E4184" i="20"/>
  <c r="E4183" i="20"/>
  <c r="F4156" i="20"/>
  <c r="E4133" i="20"/>
  <c r="F4104" i="20"/>
  <c r="E4132" i="20"/>
  <c r="F4105" i="20"/>
  <c r="E4131" i="20"/>
  <c r="G5642" i="20" l="1"/>
  <c r="F5643" i="20"/>
  <c r="G5643" i="20" s="1"/>
  <c r="J198" i="4" l="1"/>
  <c r="L198" i="4" s="1"/>
  <c r="G198" i="4" s="1"/>
  <c r="D4008" i="20" s="1"/>
  <c r="F4008" i="20" s="1"/>
  <c r="E4082" i="20"/>
  <c r="B4082" i="20"/>
  <c r="B4081" i="20"/>
  <c r="E4076" i="20"/>
  <c r="F4076" i="20" s="1"/>
  <c r="H4077" i="20" s="1"/>
  <c r="N4048" i="20" s="1"/>
  <c r="D4072" i="20"/>
  <c r="F4072" i="20" s="1"/>
  <c r="C4072" i="20"/>
  <c r="B4072" i="20"/>
  <c r="D4071" i="20"/>
  <c r="F4071" i="20" s="1"/>
  <c r="C4071" i="20"/>
  <c r="B4071" i="20"/>
  <c r="D4070" i="20"/>
  <c r="F4070" i="20" s="1"/>
  <c r="C4070" i="20"/>
  <c r="B4070" i="20"/>
  <c r="D4069" i="20"/>
  <c r="F4069" i="20" s="1"/>
  <c r="C4069" i="20"/>
  <c r="B4069" i="20"/>
  <c r="D4068" i="20"/>
  <c r="F4068" i="20" s="1"/>
  <c r="C4068" i="20"/>
  <c r="B4068" i="20"/>
  <c r="D4067" i="20"/>
  <c r="F4067" i="20" s="1"/>
  <c r="C4067" i="20"/>
  <c r="B4067" i="20"/>
  <c r="C4066" i="20"/>
  <c r="B4066" i="20"/>
  <c r="C4065" i="20"/>
  <c r="B4065" i="20"/>
  <c r="C4064" i="20"/>
  <c r="B4064" i="20"/>
  <c r="C4063" i="20"/>
  <c r="B4063" i="20"/>
  <c r="C4062" i="20"/>
  <c r="B4062" i="20"/>
  <c r="C4061" i="20"/>
  <c r="B4061" i="20"/>
  <c r="C4060" i="20"/>
  <c r="C4059" i="20"/>
  <c r="D4055" i="20"/>
  <c r="B4055" i="20"/>
  <c r="D4054" i="20"/>
  <c r="B4054" i="20"/>
  <c r="F4053" i="20"/>
  <c r="D4053" i="20"/>
  <c r="B4053" i="20"/>
  <c r="B4048" i="20"/>
  <c r="H4047" i="20"/>
  <c r="E4080" i="20"/>
  <c r="E4031" i="20"/>
  <c r="B4031" i="20"/>
  <c r="B4030" i="20"/>
  <c r="E4025" i="20"/>
  <c r="F4025" i="20" s="1"/>
  <c r="H4026" i="20" s="1"/>
  <c r="N3997" i="20" s="1"/>
  <c r="D4021" i="20"/>
  <c r="F4021" i="20" s="1"/>
  <c r="C4021" i="20"/>
  <c r="B4021" i="20"/>
  <c r="D4020" i="20"/>
  <c r="F4020" i="20" s="1"/>
  <c r="C4020" i="20"/>
  <c r="B4020" i="20"/>
  <c r="D4019" i="20"/>
  <c r="F4019" i="20" s="1"/>
  <c r="C4019" i="20"/>
  <c r="B4019" i="20"/>
  <c r="D4018" i="20"/>
  <c r="F4018" i="20" s="1"/>
  <c r="C4018" i="20"/>
  <c r="B4018" i="20"/>
  <c r="D4017" i="20"/>
  <c r="F4017" i="20" s="1"/>
  <c r="C4017" i="20"/>
  <c r="B4017" i="20"/>
  <c r="D4016" i="20"/>
  <c r="F4016" i="20" s="1"/>
  <c r="C4016" i="20"/>
  <c r="B4016" i="20"/>
  <c r="C4015" i="20"/>
  <c r="B4015" i="20"/>
  <c r="C4014" i="20"/>
  <c r="B4014" i="20"/>
  <c r="C4013" i="20"/>
  <c r="B4013" i="20"/>
  <c r="C4012" i="20"/>
  <c r="B4012" i="20"/>
  <c r="C4011" i="20"/>
  <c r="B4011" i="20"/>
  <c r="C4010" i="20"/>
  <c r="B4010" i="20"/>
  <c r="C4009" i="20"/>
  <c r="C4008" i="20"/>
  <c r="D4004" i="20"/>
  <c r="B4004" i="20"/>
  <c r="D4003" i="20"/>
  <c r="B4003" i="20"/>
  <c r="F4002" i="20"/>
  <c r="D4002" i="20"/>
  <c r="B4002" i="20"/>
  <c r="B3997" i="20"/>
  <c r="H3996" i="20"/>
  <c r="E4029" i="20"/>
  <c r="F3951" i="20"/>
  <c r="B3980" i="20"/>
  <c r="B3979" i="20"/>
  <c r="E3974" i="20"/>
  <c r="F3974" i="20" s="1"/>
  <c r="H3975" i="20" s="1"/>
  <c r="N3946" i="20" s="1"/>
  <c r="D3970" i="20"/>
  <c r="F3970" i="20" s="1"/>
  <c r="C3970" i="20"/>
  <c r="B3970" i="20"/>
  <c r="D3969" i="20"/>
  <c r="F3969" i="20" s="1"/>
  <c r="C3969" i="20"/>
  <c r="B3969" i="20"/>
  <c r="D3968" i="20"/>
  <c r="F3968" i="20" s="1"/>
  <c r="C3968" i="20"/>
  <c r="B3968" i="20"/>
  <c r="D3967" i="20"/>
  <c r="F3967" i="20" s="1"/>
  <c r="C3967" i="20"/>
  <c r="B3967" i="20"/>
  <c r="D3966" i="20"/>
  <c r="F3966" i="20" s="1"/>
  <c r="C3966" i="20"/>
  <c r="B3966" i="20"/>
  <c r="D3965" i="20"/>
  <c r="F3965" i="20" s="1"/>
  <c r="C3965" i="20"/>
  <c r="B3965" i="20"/>
  <c r="C3964" i="20"/>
  <c r="B3964" i="20"/>
  <c r="C3963" i="20"/>
  <c r="B3963" i="20"/>
  <c r="C3962" i="20"/>
  <c r="B3962" i="20"/>
  <c r="C3961" i="20"/>
  <c r="B3961" i="20"/>
  <c r="C3960" i="20"/>
  <c r="B3960" i="20"/>
  <c r="C3959" i="20"/>
  <c r="B3959" i="20"/>
  <c r="C3958" i="20"/>
  <c r="C3957" i="20"/>
  <c r="D3953" i="20"/>
  <c r="B3953" i="20"/>
  <c r="D3952" i="20"/>
  <c r="B3952" i="20"/>
  <c r="D3951" i="20"/>
  <c r="B3951" i="20"/>
  <c r="B3946" i="20"/>
  <c r="H3945" i="20"/>
  <c r="F4055" i="20" l="1"/>
  <c r="E4081" i="20"/>
  <c r="F4054" i="20"/>
  <c r="F4004" i="20"/>
  <c r="E3978" i="20"/>
  <c r="E4030" i="20"/>
  <c r="F4003" i="20"/>
  <c r="E3980" i="20"/>
  <c r="F3953" i="20"/>
  <c r="E3979" i="20"/>
  <c r="F3952" i="20"/>
  <c r="C14" i="29"/>
  <c r="D14" i="29" s="1"/>
  <c r="E14" i="29" s="1"/>
  <c r="F14" i="29" s="1"/>
  <c r="G14" i="29" s="1"/>
  <c r="H14" i="29" s="1"/>
  <c r="I14" i="29" s="1"/>
  <c r="C21" i="29" s="1"/>
  <c r="C10" i="29"/>
  <c r="C6" i="29"/>
  <c r="A4" i="29"/>
  <c r="H18" i="29" s="1"/>
  <c r="D15" i="29"/>
  <c r="E15" i="29" s="1"/>
  <c r="F15" i="29" s="1"/>
  <c r="G15" i="29" s="1"/>
  <c r="H15" i="29" s="1"/>
  <c r="I15" i="29" s="1"/>
  <c r="F18" i="29" l="1"/>
  <c r="D18" i="29"/>
  <c r="E18" i="29"/>
  <c r="G18" i="29"/>
  <c r="D12" i="29"/>
  <c r="E12" i="29" s="1"/>
  <c r="F12" i="29" s="1"/>
  <c r="G12" i="29" s="1"/>
  <c r="H12" i="29" s="1"/>
  <c r="I12" i="29" s="1"/>
  <c r="D11" i="29"/>
  <c r="E11" i="29" s="1"/>
  <c r="F11" i="29" s="1"/>
  <c r="G11" i="29" s="1"/>
  <c r="H11" i="29" s="1"/>
  <c r="I11" i="29" s="1"/>
  <c r="D10" i="29"/>
  <c r="E10" i="29" s="1"/>
  <c r="F10" i="29" s="1"/>
  <c r="G10" i="29" s="1"/>
  <c r="H10" i="29" s="1"/>
  <c r="I10" i="29" s="1"/>
  <c r="B21" i="29" s="1"/>
  <c r="D7" i="29"/>
  <c r="E7" i="29" s="1"/>
  <c r="F7" i="29" s="1"/>
  <c r="G7" i="29" s="1"/>
  <c r="H7" i="29" s="1"/>
  <c r="I7" i="29" s="1"/>
  <c r="D6" i="29"/>
  <c r="E6" i="29" s="1"/>
  <c r="F6" i="29" s="1"/>
  <c r="G6" i="29" s="1"/>
  <c r="H6" i="29" s="1"/>
  <c r="I6" i="29" s="1"/>
  <c r="A21" i="29" s="1"/>
  <c r="J302" i="4"/>
  <c r="L302" i="4" s="1"/>
  <c r="G302" i="4" s="1"/>
  <c r="J299" i="4"/>
  <c r="L299" i="4" s="1"/>
  <c r="G299" i="4" s="1"/>
  <c r="J300" i="4"/>
  <c r="L300" i="4" s="1"/>
  <c r="G300" i="4" s="1"/>
  <c r="J305" i="4"/>
  <c r="L305" i="4" s="1"/>
  <c r="G305" i="4" s="1"/>
  <c r="B9499" i="20"/>
  <c r="B9498" i="20"/>
  <c r="E9493" i="20"/>
  <c r="F9493" i="20" s="1"/>
  <c r="H9494" i="20" s="1"/>
  <c r="N9464" i="20" s="1"/>
  <c r="D9489" i="20"/>
  <c r="F9489" i="20" s="1"/>
  <c r="C9489" i="20"/>
  <c r="B9489" i="20"/>
  <c r="D9488" i="20"/>
  <c r="F9488" i="20" s="1"/>
  <c r="C9488" i="20"/>
  <c r="B9488" i="20"/>
  <c r="D9487" i="20"/>
  <c r="F9487" i="20" s="1"/>
  <c r="C9487" i="20"/>
  <c r="B9487" i="20"/>
  <c r="D9486" i="20"/>
  <c r="F9486" i="20" s="1"/>
  <c r="C9486" i="20"/>
  <c r="B9486" i="20"/>
  <c r="D9485" i="20"/>
  <c r="F9485" i="20" s="1"/>
  <c r="C9485" i="20"/>
  <c r="B9485" i="20"/>
  <c r="D9484" i="20"/>
  <c r="F9484" i="20" s="1"/>
  <c r="C9484" i="20"/>
  <c r="B9484" i="20"/>
  <c r="D9483" i="20"/>
  <c r="F9483" i="20" s="1"/>
  <c r="C9483" i="20"/>
  <c r="B9483" i="20"/>
  <c r="D9482" i="20"/>
  <c r="F9482" i="20" s="1"/>
  <c r="C9482" i="20"/>
  <c r="B9482" i="20"/>
  <c r="D9481" i="20"/>
  <c r="F9481" i="20" s="1"/>
  <c r="C9481" i="20"/>
  <c r="B9481" i="20"/>
  <c r="D9480" i="20"/>
  <c r="F9480" i="20" s="1"/>
  <c r="C9480" i="20"/>
  <c r="B9480" i="20"/>
  <c r="D9479" i="20"/>
  <c r="F9479" i="20" s="1"/>
  <c r="C9479" i="20"/>
  <c r="B9479" i="20"/>
  <c r="D9478" i="20"/>
  <c r="F9478" i="20" s="1"/>
  <c r="C9478" i="20"/>
  <c r="B9478" i="20"/>
  <c r="C9477" i="20"/>
  <c r="C9476" i="20"/>
  <c r="D9472" i="20"/>
  <c r="B9472" i="20"/>
  <c r="E9471" i="20"/>
  <c r="D9471" i="20"/>
  <c r="B9471" i="20"/>
  <c r="D9470" i="20"/>
  <c r="B9470" i="20"/>
  <c r="D9469" i="20"/>
  <c r="B9469" i="20"/>
  <c r="B9464" i="20"/>
  <c r="H9463" i="20"/>
  <c r="H9459" i="20"/>
  <c r="E9497" i="20" s="1"/>
  <c r="B9447" i="20"/>
  <c r="B9446" i="20"/>
  <c r="E9441" i="20"/>
  <c r="F9441" i="20" s="1"/>
  <c r="H9442" i="20" s="1"/>
  <c r="N9412" i="20" s="1"/>
  <c r="D9437" i="20"/>
  <c r="F9437" i="20" s="1"/>
  <c r="C9437" i="20"/>
  <c r="B9437" i="20"/>
  <c r="D9436" i="20"/>
  <c r="F9436" i="20" s="1"/>
  <c r="C9436" i="20"/>
  <c r="B9436" i="20"/>
  <c r="D9435" i="20"/>
  <c r="F9435" i="20" s="1"/>
  <c r="C9435" i="20"/>
  <c r="B9435" i="20"/>
  <c r="D9434" i="20"/>
  <c r="F9434" i="20" s="1"/>
  <c r="C9434" i="20"/>
  <c r="B9434" i="20"/>
  <c r="D9433" i="20"/>
  <c r="F9433" i="20" s="1"/>
  <c r="C9433" i="20"/>
  <c r="B9433" i="20"/>
  <c r="D9432" i="20"/>
  <c r="F9432" i="20" s="1"/>
  <c r="C9432" i="20"/>
  <c r="B9432" i="20"/>
  <c r="D9431" i="20"/>
  <c r="F9431" i="20" s="1"/>
  <c r="C9431" i="20"/>
  <c r="B9431" i="20"/>
  <c r="D9430" i="20"/>
  <c r="F9430" i="20" s="1"/>
  <c r="C9430" i="20"/>
  <c r="B9430" i="20"/>
  <c r="D9429" i="20"/>
  <c r="F9429" i="20" s="1"/>
  <c r="C9429" i="20"/>
  <c r="B9429" i="20"/>
  <c r="D9428" i="20"/>
  <c r="F9428" i="20" s="1"/>
  <c r="C9428" i="20"/>
  <c r="B9428" i="20"/>
  <c r="D9427" i="20"/>
  <c r="F9427" i="20" s="1"/>
  <c r="C9427" i="20"/>
  <c r="B9427" i="20"/>
  <c r="D9426" i="20"/>
  <c r="F9426" i="20" s="1"/>
  <c r="C9426" i="20"/>
  <c r="B9426" i="20"/>
  <c r="C9425" i="20"/>
  <c r="C9424" i="20"/>
  <c r="D9420" i="20"/>
  <c r="B9420" i="20"/>
  <c r="E9419" i="20"/>
  <c r="D9419" i="20"/>
  <c r="B9419" i="20"/>
  <c r="D9418" i="20"/>
  <c r="B9418" i="20"/>
  <c r="D9417" i="20"/>
  <c r="B9417" i="20"/>
  <c r="B9412" i="20"/>
  <c r="H9411" i="20"/>
  <c r="H9407" i="20"/>
  <c r="E9445" i="20" s="1"/>
  <c r="H9355" i="20"/>
  <c r="E9395" i="20" s="1"/>
  <c r="B9395" i="20"/>
  <c r="B9394" i="20"/>
  <c r="E9389" i="20"/>
  <c r="F9389" i="20" s="1"/>
  <c r="H9390" i="20" s="1"/>
  <c r="N9360" i="20" s="1"/>
  <c r="D9385" i="20"/>
  <c r="F9385" i="20" s="1"/>
  <c r="C9385" i="20"/>
  <c r="B9385" i="20"/>
  <c r="D9384" i="20"/>
  <c r="F9384" i="20" s="1"/>
  <c r="C9384" i="20"/>
  <c r="B9384" i="20"/>
  <c r="D9383" i="20"/>
  <c r="F9383" i="20" s="1"/>
  <c r="C9383" i="20"/>
  <c r="B9383" i="20"/>
  <c r="D9382" i="20"/>
  <c r="F9382" i="20" s="1"/>
  <c r="C9382" i="20"/>
  <c r="B9382" i="20"/>
  <c r="D9381" i="20"/>
  <c r="F9381" i="20" s="1"/>
  <c r="C9381" i="20"/>
  <c r="B9381" i="20"/>
  <c r="D9380" i="20"/>
  <c r="F9380" i="20" s="1"/>
  <c r="C9380" i="20"/>
  <c r="B9380" i="20"/>
  <c r="D9379" i="20"/>
  <c r="F9379" i="20" s="1"/>
  <c r="C9379" i="20"/>
  <c r="B9379" i="20"/>
  <c r="D9378" i="20"/>
  <c r="F9378" i="20" s="1"/>
  <c r="C9378" i="20"/>
  <c r="B9378" i="20"/>
  <c r="D9377" i="20"/>
  <c r="F9377" i="20" s="1"/>
  <c r="C9377" i="20"/>
  <c r="B9377" i="20"/>
  <c r="D9376" i="20"/>
  <c r="F9376" i="20" s="1"/>
  <c r="C9376" i="20"/>
  <c r="B9376" i="20"/>
  <c r="D9375" i="20"/>
  <c r="F9375" i="20" s="1"/>
  <c r="C9375" i="20"/>
  <c r="B9375" i="20"/>
  <c r="D9374" i="20"/>
  <c r="F9374" i="20" s="1"/>
  <c r="C9374" i="20"/>
  <c r="B9374" i="20"/>
  <c r="C9373" i="20"/>
  <c r="C9372" i="20"/>
  <c r="E9368" i="20"/>
  <c r="D9368" i="20"/>
  <c r="B9368" i="20"/>
  <c r="E9367" i="20"/>
  <c r="D9367" i="20"/>
  <c r="B9367" i="20"/>
  <c r="D9366" i="20"/>
  <c r="B9366" i="20"/>
  <c r="D9365" i="20"/>
  <c r="B9365" i="20"/>
  <c r="B9360" i="20"/>
  <c r="H9359" i="20"/>
  <c r="H9303" i="20"/>
  <c r="F9314" i="20" s="1"/>
  <c r="B9343" i="20"/>
  <c r="B9342" i="20"/>
  <c r="E9337" i="20"/>
  <c r="F9337" i="20" s="1"/>
  <c r="H9338" i="20" s="1"/>
  <c r="N9308" i="20" s="1"/>
  <c r="D9333" i="20"/>
  <c r="F9333" i="20" s="1"/>
  <c r="C9333" i="20"/>
  <c r="B9333" i="20"/>
  <c r="D9332" i="20"/>
  <c r="F9332" i="20" s="1"/>
  <c r="C9332" i="20"/>
  <c r="B9332" i="20"/>
  <c r="D9331" i="20"/>
  <c r="F9331" i="20" s="1"/>
  <c r="C9331" i="20"/>
  <c r="B9331" i="20"/>
  <c r="D9330" i="20"/>
  <c r="F9330" i="20" s="1"/>
  <c r="C9330" i="20"/>
  <c r="B9330" i="20"/>
  <c r="D9329" i="20"/>
  <c r="F9329" i="20" s="1"/>
  <c r="C9329" i="20"/>
  <c r="B9329" i="20"/>
  <c r="D9328" i="20"/>
  <c r="F9328" i="20" s="1"/>
  <c r="C9328" i="20"/>
  <c r="B9328" i="20"/>
  <c r="D9327" i="20"/>
  <c r="F9327" i="20" s="1"/>
  <c r="C9327" i="20"/>
  <c r="B9327" i="20"/>
  <c r="D9326" i="20"/>
  <c r="F9326" i="20" s="1"/>
  <c r="C9326" i="20"/>
  <c r="B9326" i="20"/>
  <c r="D9325" i="20"/>
  <c r="F9325" i="20" s="1"/>
  <c r="C9325" i="20"/>
  <c r="B9325" i="20"/>
  <c r="D9324" i="20"/>
  <c r="F9324" i="20" s="1"/>
  <c r="C9324" i="20"/>
  <c r="B9324" i="20"/>
  <c r="D9323" i="20"/>
  <c r="F9323" i="20" s="1"/>
  <c r="C9323" i="20"/>
  <c r="B9323" i="20"/>
  <c r="D9322" i="20"/>
  <c r="F9322" i="20" s="1"/>
  <c r="C9322" i="20"/>
  <c r="B9322" i="20"/>
  <c r="C9321" i="20"/>
  <c r="C9320" i="20"/>
  <c r="E9316" i="20"/>
  <c r="D9316" i="20"/>
  <c r="B9316" i="20"/>
  <c r="E9315" i="20"/>
  <c r="D9315" i="20"/>
  <c r="B9315" i="20"/>
  <c r="D9314" i="20"/>
  <c r="B9314" i="20"/>
  <c r="D9313" i="20"/>
  <c r="B9313" i="20"/>
  <c r="B9308" i="20"/>
  <c r="H9307" i="20"/>
  <c r="E10" i="28"/>
  <c r="E11" i="28"/>
  <c r="E12" i="28"/>
  <c r="E13" i="28"/>
  <c r="E14" i="28"/>
  <c r="E15" i="28"/>
  <c r="E16" i="28"/>
  <c r="E17" i="28"/>
  <c r="E18" i="28"/>
  <c r="D10" i="28"/>
  <c r="D11" i="28"/>
  <c r="D12" i="28"/>
  <c r="D13" i="28"/>
  <c r="D14" i="28"/>
  <c r="D15" i="28"/>
  <c r="D16" i="28"/>
  <c r="D17" i="28"/>
  <c r="D18" i="28"/>
  <c r="C10" i="28"/>
  <c r="C11" i="28"/>
  <c r="C12" i="28"/>
  <c r="C13" i="28"/>
  <c r="C14" i="28"/>
  <c r="C15" i="28"/>
  <c r="C16" i="28"/>
  <c r="C17" i="28"/>
  <c r="C18" i="28"/>
  <c r="E9" i="28"/>
  <c r="C9" i="28"/>
  <c r="D9" i="28"/>
  <c r="G16" i="28"/>
  <c r="G17" i="28"/>
  <c r="G18" i="28"/>
  <c r="G14" i="28"/>
  <c r="B4" i="28"/>
  <c r="F9368" i="20" l="1"/>
  <c r="G9368" i="20" s="1"/>
  <c r="F9472" i="20"/>
  <c r="F9470" i="20"/>
  <c r="F9469" i="20"/>
  <c r="E9499" i="20"/>
  <c r="F21" i="29"/>
  <c r="G21" i="29"/>
  <c r="D21" i="29"/>
  <c r="E21" i="29"/>
  <c r="J21" i="29" s="1"/>
  <c r="F9420" i="20"/>
  <c r="E9446" i="20"/>
  <c r="E9498" i="20"/>
  <c r="F9471" i="20"/>
  <c r="G9471" i="20" s="1"/>
  <c r="F9417" i="20"/>
  <c r="F9418" i="20"/>
  <c r="E9447" i="20"/>
  <c r="F9366" i="20"/>
  <c r="F9419" i="20"/>
  <c r="G9419" i="20" s="1"/>
  <c r="E9393" i="20"/>
  <c r="F9365" i="20"/>
  <c r="F9367" i="20"/>
  <c r="G9367" i="20" s="1"/>
  <c r="E9394" i="20"/>
  <c r="E9343" i="20"/>
  <c r="F9316" i="20"/>
  <c r="G9316" i="20" s="1"/>
  <c r="F9313" i="20"/>
  <c r="E9342" i="20"/>
  <c r="F9315" i="20"/>
  <c r="G9315" i="20" s="1"/>
  <c r="E9341" i="20"/>
  <c r="H18" i="28"/>
  <c r="I18" i="28" s="1"/>
  <c r="H17" i="28"/>
  <c r="I17" i="28" s="1"/>
  <c r="F15" i="28"/>
  <c r="F11" i="28"/>
  <c r="F14" i="28"/>
  <c r="H16" i="28"/>
  <c r="I16" i="28" s="1"/>
  <c r="H14" i="28"/>
  <c r="I14" i="28" s="1"/>
  <c r="F12" i="28"/>
  <c r="F17" i="28"/>
  <c r="F18" i="28"/>
  <c r="F10" i="28"/>
  <c r="F13" i="28"/>
  <c r="F16" i="28"/>
  <c r="H21" i="29" l="1"/>
  <c r="I21" i="29" s="1"/>
  <c r="C14" i="1" l="1"/>
  <c r="G8514" i="20" l="1"/>
  <c r="B8514" i="20"/>
  <c r="B8564" i="20"/>
  <c r="B8509" i="20"/>
  <c r="G8570" i="20"/>
  <c r="G8569" i="20"/>
  <c r="B8569" i="20"/>
  <c r="G8515" i="20"/>
  <c r="G7983" i="20"/>
  <c r="G9518" i="20"/>
  <c r="B9512" i="20"/>
  <c r="B7983" i="20"/>
  <c r="G7932" i="20"/>
  <c r="G7931" i="20"/>
  <c r="G9517" i="20"/>
  <c r="B7931" i="20"/>
  <c r="B7978" i="20"/>
  <c r="B9517" i="20"/>
  <c r="B7926" i="20"/>
  <c r="G7984" i="20"/>
  <c r="B7874" i="20"/>
  <c r="B7822" i="20"/>
  <c r="B7718" i="20"/>
  <c r="G7776" i="20"/>
  <c r="G7828" i="20"/>
  <c r="G7724" i="20"/>
  <c r="G7879" i="20"/>
  <c r="G7775" i="20"/>
  <c r="G7880" i="20"/>
  <c r="B7775" i="20"/>
  <c r="G7827" i="20"/>
  <c r="G7723" i="20"/>
  <c r="B7879" i="20"/>
  <c r="B7827" i="20"/>
  <c r="B7723" i="20"/>
  <c r="B7770" i="20"/>
  <c r="B7567" i="20"/>
  <c r="G7515" i="20"/>
  <c r="G7514" i="20"/>
  <c r="G7671" i="20"/>
  <c r="B7562" i="20"/>
  <c r="B7666" i="20"/>
  <c r="G7567" i="20"/>
  <c r="G7672" i="20"/>
  <c r="G7620" i="20"/>
  <c r="B7514" i="20"/>
  <c r="G7619" i="20"/>
  <c r="B7671" i="20"/>
  <c r="B7619" i="20"/>
  <c r="G7568" i="20"/>
  <c r="B7614" i="20"/>
  <c r="B7509" i="20"/>
  <c r="G5638" i="20"/>
  <c r="G5637" i="20"/>
  <c r="G4203" i="20"/>
  <c r="G4152" i="20"/>
  <c r="B4146" i="20"/>
  <c r="B5637" i="20"/>
  <c r="G4202" i="20"/>
  <c r="G4151" i="20"/>
  <c r="B4202" i="20"/>
  <c r="B4151" i="20"/>
  <c r="B5632" i="20"/>
  <c r="B4197" i="20"/>
  <c r="G4101" i="20"/>
  <c r="G4100" i="20"/>
  <c r="B4100" i="20"/>
  <c r="B4095" i="20"/>
  <c r="G3948" i="20"/>
  <c r="G3999" i="20"/>
  <c r="G3947" i="20"/>
  <c r="G4049" i="20"/>
  <c r="G3998" i="20"/>
  <c r="B3947" i="20"/>
  <c r="B3993" i="20"/>
  <c r="G4050" i="20"/>
  <c r="B4049" i="20"/>
  <c r="B3998" i="20"/>
  <c r="B3942" i="20"/>
  <c r="B4044" i="20"/>
  <c r="G9414" i="20"/>
  <c r="G9310" i="20"/>
  <c r="G9466" i="20"/>
  <c r="G9413" i="20"/>
  <c r="G9362" i="20"/>
  <c r="G9309" i="20"/>
  <c r="G9465" i="20"/>
  <c r="B9413" i="20"/>
  <c r="G9361" i="20"/>
  <c r="B9309" i="20"/>
  <c r="B9465" i="20"/>
  <c r="B9361" i="20"/>
  <c r="B9408" i="20"/>
  <c r="B9304" i="20"/>
  <c r="B9460" i="20"/>
  <c r="B9356" i="20"/>
  <c r="Y14" i="1"/>
  <c r="X14" i="1"/>
  <c r="W14" i="1"/>
  <c r="V14" i="1"/>
  <c r="U14" i="1"/>
  <c r="I8536" i="20" l="1"/>
  <c r="I8528" i="20"/>
  <c r="I8527" i="20"/>
  <c r="I8525" i="20"/>
  <c r="I8529" i="20"/>
  <c r="I8538" i="20"/>
  <c r="I8535" i="20"/>
  <c r="I8530" i="20"/>
  <c r="I8537" i="20"/>
  <c r="I8532" i="20"/>
  <c r="I8526" i="20"/>
  <c r="I8531" i="20"/>
  <c r="I8539" i="20"/>
  <c r="I8533" i="20"/>
  <c r="I8540" i="20"/>
  <c r="I8534" i="20"/>
  <c r="I8541" i="20"/>
  <c r="I8583" i="20"/>
  <c r="I8588" i="20"/>
  <c r="I8581" i="20"/>
  <c r="I8587" i="20"/>
  <c r="I8586" i="20"/>
  <c r="I8582" i="20"/>
  <c r="I8585" i="20"/>
  <c r="I8584" i="20"/>
  <c r="I8580" i="20"/>
  <c r="I7950" i="20"/>
  <c r="I7948" i="20"/>
  <c r="I7947" i="20"/>
  <c r="I7946" i="20"/>
  <c r="I7942" i="20"/>
  <c r="I7955" i="20"/>
  <c r="I7952" i="20"/>
  <c r="I7953" i="20"/>
  <c r="I7943" i="20"/>
  <c r="I7949" i="20"/>
  <c r="I7945" i="20"/>
  <c r="I7954" i="20"/>
  <c r="I7944" i="20"/>
  <c r="I7951" i="20"/>
  <c r="I8002" i="20"/>
  <c r="I7999" i="20"/>
  <c r="I7998" i="20"/>
  <c r="I7996" i="20"/>
  <c r="I8007" i="20"/>
  <c r="I7994" i="20"/>
  <c r="I7997" i="20"/>
  <c r="I8004" i="20"/>
  <c r="I8006" i="20"/>
  <c r="I8000" i="20"/>
  <c r="I7995" i="20"/>
  <c r="I8001" i="20"/>
  <c r="I8003" i="20"/>
  <c r="I8005" i="20"/>
  <c r="I9536" i="20"/>
  <c r="I9541" i="20"/>
  <c r="I9539" i="20"/>
  <c r="I9528" i="20"/>
  <c r="I9534" i="20"/>
  <c r="I9532" i="20"/>
  <c r="I9533" i="20"/>
  <c r="I9531" i="20"/>
  <c r="I9540" i="20"/>
  <c r="I9530" i="20"/>
  <c r="I9538" i="20"/>
  <c r="I9529" i="20"/>
  <c r="I9535" i="20"/>
  <c r="I9537" i="20"/>
  <c r="I7742" i="20"/>
  <c r="I7738" i="20"/>
  <c r="I7734" i="20"/>
  <c r="I7736" i="20"/>
  <c r="I7747" i="20"/>
  <c r="I7741" i="20"/>
  <c r="I7740" i="20"/>
  <c r="I7744" i="20"/>
  <c r="I7743" i="20"/>
  <c r="I7739" i="20"/>
  <c r="I7735" i="20"/>
  <c r="I7746" i="20"/>
  <c r="I7737" i="20"/>
  <c r="I7745" i="20"/>
  <c r="I7846" i="20"/>
  <c r="I7843" i="20"/>
  <c r="I7841" i="20"/>
  <c r="I7849" i="20"/>
  <c r="I7851" i="20"/>
  <c r="I7840" i="20"/>
  <c r="I7848" i="20"/>
  <c r="I7847" i="20"/>
  <c r="I7844" i="20"/>
  <c r="I7850" i="20"/>
  <c r="I7839" i="20"/>
  <c r="I7845" i="20"/>
  <c r="I7842" i="20"/>
  <c r="I7838" i="20"/>
  <c r="I7794" i="20"/>
  <c r="I7788" i="20"/>
  <c r="I7797" i="20"/>
  <c r="I7795" i="20"/>
  <c r="I7791" i="20"/>
  <c r="I7799" i="20"/>
  <c r="I7793" i="20"/>
  <c r="I7790" i="20"/>
  <c r="I7796" i="20"/>
  <c r="I7789" i="20"/>
  <c r="I7792" i="20"/>
  <c r="I7787" i="20"/>
  <c r="I7786" i="20"/>
  <c r="I7798" i="20"/>
  <c r="I7898" i="20"/>
  <c r="I7893" i="20"/>
  <c r="I7902" i="20"/>
  <c r="I7900" i="20"/>
  <c r="I7896" i="20"/>
  <c r="I7903" i="20"/>
  <c r="I7897" i="20"/>
  <c r="I7901" i="20"/>
  <c r="I7890" i="20"/>
  <c r="I7899" i="20"/>
  <c r="I7892" i="20"/>
  <c r="I7894" i="20"/>
  <c r="I7895" i="20"/>
  <c r="I7891" i="20"/>
  <c r="I7690" i="20"/>
  <c r="I7695" i="20"/>
  <c r="I7687" i="20"/>
  <c r="I7683" i="20"/>
  <c r="I7692" i="20"/>
  <c r="I7688" i="20"/>
  <c r="I7682" i="20"/>
  <c r="I7693" i="20"/>
  <c r="I7691" i="20"/>
  <c r="I7686" i="20"/>
  <c r="I7689" i="20"/>
  <c r="I7684" i="20"/>
  <c r="I7694" i="20"/>
  <c r="I7685" i="20"/>
  <c r="I7586" i="20"/>
  <c r="I7588" i="20"/>
  <c r="I7578" i="20"/>
  <c r="I7585" i="20"/>
  <c r="I7581" i="20"/>
  <c r="I7580" i="20"/>
  <c r="I7589" i="20"/>
  <c r="I7583" i="20"/>
  <c r="I7579" i="20"/>
  <c r="I7591" i="20"/>
  <c r="I7582" i="20"/>
  <c r="I7587" i="20"/>
  <c r="I7590" i="20"/>
  <c r="I7584" i="20"/>
  <c r="I7533" i="20"/>
  <c r="I7535" i="20"/>
  <c r="I7531" i="20"/>
  <c r="I7532" i="20"/>
  <c r="I7525" i="20"/>
  <c r="I7528" i="20"/>
  <c r="I7534" i="20"/>
  <c r="I7529" i="20"/>
  <c r="I7527" i="20"/>
  <c r="I7530" i="20"/>
  <c r="I7538" i="20"/>
  <c r="I7537" i="20"/>
  <c r="I7536" i="20"/>
  <c r="I7526" i="20"/>
  <c r="I7638" i="20"/>
  <c r="I7630" i="20"/>
  <c r="I7633" i="20"/>
  <c r="I7643" i="20"/>
  <c r="I7632" i="20"/>
  <c r="I7634" i="20"/>
  <c r="I7641" i="20"/>
  <c r="I7639" i="20"/>
  <c r="I7635" i="20"/>
  <c r="I7640" i="20"/>
  <c r="I7642" i="20"/>
  <c r="I7637" i="20"/>
  <c r="I7636" i="20"/>
  <c r="I7631" i="20"/>
  <c r="I4169" i="20"/>
  <c r="I4174" i="20"/>
  <c r="I4165" i="20"/>
  <c r="I4172" i="20"/>
  <c r="I4161" i="20"/>
  <c r="I4173" i="20"/>
  <c r="I4166" i="20"/>
  <c r="I4162" i="20"/>
  <c r="I4163" i="20"/>
  <c r="I4170" i="20"/>
  <c r="I4171" i="20"/>
  <c r="I4168" i="20"/>
  <c r="I4167" i="20"/>
  <c r="I4164" i="20"/>
  <c r="I4223" i="20"/>
  <c r="I4224" i="20"/>
  <c r="I4222" i="20"/>
  <c r="I4213" i="20"/>
  <c r="I4220" i="20"/>
  <c r="I4221" i="20"/>
  <c r="I4225" i="20"/>
  <c r="I4214" i="20"/>
  <c r="I4218" i="20"/>
  <c r="I4212" i="20"/>
  <c r="I4217" i="20"/>
  <c r="I4215" i="20"/>
  <c r="I4219" i="20"/>
  <c r="I4216" i="20"/>
  <c r="I5655" i="20"/>
  <c r="I5654" i="20"/>
  <c r="I5652" i="20"/>
  <c r="I5651" i="20"/>
  <c r="I5650" i="20"/>
  <c r="I5660" i="20"/>
  <c r="I5659" i="20"/>
  <c r="I5658" i="20"/>
  <c r="I5649" i="20"/>
  <c r="I5647" i="20"/>
  <c r="I5648" i="20"/>
  <c r="I5657" i="20"/>
  <c r="I5656" i="20"/>
  <c r="I5653" i="20"/>
  <c r="I4118" i="20"/>
  <c r="I4123" i="20"/>
  <c r="I4114" i="20"/>
  <c r="I4121" i="20"/>
  <c r="I4112" i="20"/>
  <c r="I4122" i="20"/>
  <c r="I4110" i="20"/>
  <c r="I4115" i="20"/>
  <c r="I4111" i="20"/>
  <c r="I4120" i="20"/>
  <c r="I4119" i="20"/>
  <c r="I4116" i="20"/>
  <c r="I4117" i="20"/>
  <c r="I4113" i="20"/>
  <c r="I4016" i="20"/>
  <c r="I4018" i="20"/>
  <c r="I4021" i="20"/>
  <c r="I4014" i="20"/>
  <c r="I4015" i="20"/>
  <c r="I4019" i="20"/>
  <c r="I4010" i="20"/>
  <c r="I4008" i="20"/>
  <c r="I4009" i="20"/>
  <c r="I4012" i="20"/>
  <c r="I4013" i="20"/>
  <c r="I4017" i="20"/>
  <c r="I4020" i="20"/>
  <c r="I4011" i="20"/>
  <c r="I3965" i="20"/>
  <c r="I3962" i="20"/>
  <c r="I3966" i="20"/>
  <c r="I3964" i="20"/>
  <c r="I3959" i="20"/>
  <c r="I3961" i="20"/>
  <c r="I3970" i="20"/>
  <c r="I3960" i="20"/>
  <c r="I3957" i="20"/>
  <c r="I3958" i="20"/>
  <c r="I3963" i="20"/>
  <c r="I3968" i="20"/>
  <c r="I3967" i="20"/>
  <c r="I3969" i="20"/>
  <c r="I4067" i="20"/>
  <c r="I4061" i="20"/>
  <c r="I4071" i="20"/>
  <c r="I4068" i="20"/>
  <c r="I4069" i="20"/>
  <c r="I4070" i="20"/>
  <c r="I4064" i="20"/>
  <c r="I4063" i="20"/>
  <c r="I4072" i="20"/>
  <c r="I4066" i="20"/>
  <c r="I4060" i="20"/>
  <c r="I4059" i="20"/>
  <c r="I4062" i="20"/>
  <c r="I4065" i="20"/>
  <c r="I9380" i="20"/>
  <c r="I9374" i="20"/>
  <c r="I9382" i="20"/>
  <c r="I9379" i="20"/>
  <c r="I9377" i="20"/>
  <c r="I9376" i="20"/>
  <c r="I9384" i="20"/>
  <c r="I9373" i="20"/>
  <c r="I9375" i="20"/>
  <c r="I9372" i="20"/>
  <c r="I9381" i="20"/>
  <c r="I9378" i="20"/>
  <c r="I9385" i="20"/>
  <c r="I9383" i="20"/>
  <c r="I9484" i="20"/>
  <c r="I9477" i="20"/>
  <c r="I9478" i="20"/>
  <c r="I9482" i="20"/>
  <c r="I9485" i="20"/>
  <c r="I9489" i="20"/>
  <c r="I9476" i="20"/>
  <c r="I9486" i="20"/>
  <c r="I9481" i="20"/>
  <c r="I9483" i="20"/>
  <c r="I9479" i="20"/>
  <c r="I9480" i="20"/>
  <c r="I9487" i="20"/>
  <c r="I9488" i="20"/>
  <c r="I9328" i="20"/>
  <c r="I9323" i="20"/>
  <c r="I9324" i="20"/>
  <c r="I9325" i="20"/>
  <c r="I9327" i="20"/>
  <c r="I9333" i="20"/>
  <c r="I9320" i="20"/>
  <c r="I9331" i="20"/>
  <c r="I9332" i="20"/>
  <c r="I9326" i="20"/>
  <c r="I9322" i="20"/>
  <c r="I9321" i="20"/>
  <c r="I9330" i="20"/>
  <c r="I9329" i="20"/>
  <c r="I9432" i="20"/>
  <c r="I9436" i="20"/>
  <c r="I9429" i="20"/>
  <c r="I9427" i="20"/>
  <c r="I9424" i="20"/>
  <c r="I9437" i="20"/>
  <c r="I9435" i="20"/>
  <c r="I9434" i="20"/>
  <c r="I9428" i="20"/>
  <c r="I9430" i="20"/>
  <c r="I9426" i="20"/>
  <c r="I9425" i="20"/>
  <c r="I9433" i="20"/>
  <c r="I9431" i="20"/>
  <c r="H9042" i="20"/>
  <c r="H8990" i="20"/>
  <c r="H8938" i="20"/>
  <c r="H8611" i="20"/>
  <c r="H8398" i="20"/>
  <c r="H8343" i="20"/>
  <c r="H8288" i="20"/>
  <c r="H8233" i="20"/>
  <c r="H8178" i="20"/>
  <c r="H8029" i="20"/>
  <c r="H7455" i="20"/>
  <c r="H7403" i="20"/>
  <c r="H7350" i="20"/>
  <c r="H7243" i="20"/>
  <c r="H7191" i="20"/>
  <c r="H7139" i="20"/>
  <c r="H7087" i="20"/>
  <c r="H7035" i="20"/>
  <c r="H6983" i="20"/>
  <c r="H6931" i="20"/>
  <c r="H6879" i="20"/>
  <c r="H6827" i="20"/>
  <c r="H6775" i="20"/>
  <c r="H6723" i="20"/>
  <c r="H6671" i="20"/>
  <c r="H6619" i="20"/>
  <c r="H6567" i="20"/>
  <c r="H6514" i="20"/>
  <c r="H6462" i="20"/>
  <c r="H6410" i="20"/>
  <c r="H6358" i="20"/>
  <c r="H6306" i="20"/>
  <c r="H6254" i="20"/>
  <c r="H6202" i="20"/>
  <c r="H6150" i="20"/>
  <c r="H6099" i="20"/>
  <c r="H6047" i="20"/>
  <c r="H5995" i="20"/>
  <c r="H5943" i="20"/>
  <c r="H5891" i="20"/>
  <c r="H5839" i="20"/>
  <c r="H5426" i="20"/>
  <c r="H5375" i="20"/>
  <c r="H5324" i="20"/>
  <c r="H5273" i="20"/>
  <c r="H5221" i="20"/>
  <c r="H5017" i="20"/>
  <c r="H4966" i="20"/>
  <c r="H4864" i="20"/>
  <c r="H4813" i="20"/>
  <c r="H4762" i="20"/>
  <c r="H4660" i="20"/>
  <c r="H4609" i="20"/>
  <c r="H4558" i="20"/>
  <c r="H4507" i="20"/>
  <c r="H4455" i="20"/>
  <c r="H4404" i="20"/>
  <c r="H4353" i="20"/>
  <c r="H4302" i="20"/>
  <c r="H4251" i="20"/>
  <c r="J257" i="4"/>
  <c r="L257" i="4" s="1"/>
  <c r="G257" i="4" s="1"/>
  <c r="J252" i="4"/>
  <c r="L252" i="4" s="1"/>
  <c r="G252" i="4" s="1"/>
  <c r="J253" i="4"/>
  <c r="L253" i="4" s="1"/>
  <c r="G253" i="4" s="1"/>
  <c r="J243" i="4"/>
  <c r="L243" i="4" s="1"/>
  <c r="G243" i="4" s="1"/>
  <c r="J238" i="4"/>
  <c r="L238" i="4" s="1"/>
  <c r="G238" i="4" s="1"/>
  <c r="J236" i="4"/>
  <c r="L236" i="4" s="1"/>
  <c r="G236" i="4" s="1"/>
  <c r="J237" i="4"/>
  <c r="L237" i="4" s="1"/>
  <c r="G237" i="4" s="1"/>
  <c r="J228" i="4"/>
  <c r="L228" i="4" s="1"/>
  <c r="G228" i="4" s="1"/>
  <c r="J48" i="4"/>
  <c r="L48" i="4" s="1"/>
  <c r="G48" i="4" s="1"/>
  <c r="J192" i="4" l="1"/>
  <c r="L192" i="4" s="1"/>
  <c r="G192" i="4" s="1"/>
  <c r="B3929" i="20"/>
  <c r="B3928" i="20"/>
  <c r="E3923" i="20"/>
  <c r="F3923" i="20" s="1"/>
  <c r="H3924" i="20" s="1"/>
  <c r="N3895" i="20" s="1"/>
  <c r="D3919" i="20"/>
  <c r="F3919" i="20" s="1"/>
  <c r="C3919" i="20"/>
  <c r="B3919" i="20"/>
  <c r="D3918" i="20"/>
  <c r="F3918" i="20" s="1"/>
  <c r="C3918" i="20"/>
  <c r="B3918" i="20"/>
  <c r="D3917" i="20"/>
  <c r="F3917" i="20" s="1"/>
  <c r="C3917" i="20"/>
  <c r="B3917" i="20"/>
  <c r="D3916" i="20"/>
  <c r="F3916" i="20" s="1"/>
  <c r="C3916" i="20"/>
  <c r="B3916" i="20"/>
  <c r="D3915" i="20"/>
  <c r="F3915" i="20" s="1"/>
  <c r="C3915" i="20"/>
  <c r="B3915" i="20"/>
  <c r="D3914" i="20"/>
  <c r="F3914" i="20" s="1"/>
  <c r="C3914" i="20"/>
  <c r="B3914" i="20"/>
  <c r="C3913" i="20"/>
  <c r="B3913" i="20"/>
  <c r="C3912" i="20"/>
  <c r="B3912" i="20"/>
  <c r="C3911" i="20"/>
  <c r="B3911" i="20"/>
  <c r="C3910" i="20"/>
  <c r="B3910" i="20"/>
  <c r="C3909" i="20"/>
  <c r="B3909" i="20"/>
  <c r="C3908" i="20"/>
  <c r="B3908" i="20"/>
  <c r="C3907" i="20"/>
  <c r="C3906" i="20"/>
  <c r="D3902" i="20"/>
  <c r="B3902" i="20"/>
  <c r="D3901" i="20"/>
  <c r="B3901" i="20"/>
  <c r="D3900" i="20"/>
  <c r="B3900" i="20"/>
  <c r="G3897" i="20"/>
  <c r="I3914" i="20" s="1"/>
  <c r="G3896" i="20"/>
  <c r="B3896" i="20"/>
  <c r="B3895" i="20"/>
  <c r="H3894" i="20"/>
  <c r="B3891" i="20"/>
  <c r="H3890" i="20"/>
  <c r="E3927" i="20" s="1"/>
  <c r="H7295" i="20"/>
  <c r="F7307" i="20" s="1"/>
  <c r="E7313" i="20"/>
  <c r="E7314" i="20" s="1"/>
  <c r="E7315" i="20" s="1"/>
  <c r="E7316" i="20" s="1"/>
  <c r="B7335" i="20"/>
  <c r="B7334" i="20"/>
  <c r="E7329" i="20"/>
  <c r="F7329" i="20" s="1"/>
  <c r="H7330" i="20" s="1"/>
  <c r="N7300" i="20" s="1"/>
  <c r="D7325" i="20"/>
  <c r="F7325" i="20" s="1"/>
  <c r="C7325" i="20"/>
  <c r="B7325" i="20"/>
  <c r="D7324" i="20"/>
  <c r="F7324" i="20" s="1"/>
  <c r="C7324" i="20"/>
  <c r="B7324" i="20"/>
  <c r="D7323" i="20"/>
  <c r="F7323" i="20" s="1"/>
  <c r="C7323" i="20"/>
  <c r="B7323" i="20"/>
  <c r="D7322" i="20"/>
  <c r="F7322" i="20" s="1"/>
  <c r="C7322" i="20"/>
  <c r="B7322" i="20"/>
  <c r="D7321" i="20"/>
  <c r="F7321" i="20" s="1"/>
  <c r="C7321" i="20"/>
  <c r="B7321" i="20"/>
  <c r="D7320" i="20"/>
  <c r="F7320" i="20" s="1"/>
  <c r="C7320" i="20"/>
  <c r="B7320" i="20"/>
  <c r="D7319" i="20"/>
  <c r="F7319" i="20" s="1"/>
  <c r="C7319" i="20"/>
  <c r="B7319" i="20"/>
  <c r="D7318" i="20"/>
  <c r="F7318" i="20" s="1"/>
  <c r="C7318" i="20"/>
  <c r="B7318" i="20"/>
  <c r="D7317" i="20"/>
  <c r="F7317" i="20" s="1"/>
  <c r="C7317" i="20"/>
  <c r="B7317" i="20"/>
  <c r="C7316" i="20"/>
  <c r="B7316" i="20"/>
  <c r="C7315" i="20"/>
  <c r="B7315" i="20"/>
  <c r="C7314" i="20"/>
  <c r="B7314" i="20"/>
  <c r="C7313" i="20"/>
  <c r="C7312" i="20"/>
  <c r="E7308" i="20"/>
  <c r="D7308" i="20"/>
  <c r="B7308" i="20"/>
  <c r="E7307" i="20"/>
  <c r="D7307" i="20"/>
  <c r="B7307" i="20"/>
  <c r="D7306" i="20"/>
  <c r="B7306" i="20"/>
  <c r="D7305" i="20"/>
  <c r="B7305" i="20"/>
  <c r="G7302" i="20"/>
  <c r="I7320" i="20" s="1"/>
  <c r="G7301" i="20"/>
  <c r="B7301" i="20"/>
  <c r="B7300" i="20"/>
  <c r="H7299" i="20"/>
  <c r="B7296" i="20"/>
  <c r="F3900" i="20" l="1"/>
  <c r="E3929" i="20"/>
  <c r="I3908" i="20"/>
  <c r="I3906" i="20"/>
  <c r="I3919" i="20"/>
  <c r="I3913" i="20"/>
  <c r="I3909" i="20"/>
  <c r="I3911" i="20"/>
  <c r="I3916" i="20"/>
  <c r="I3910" i="20"/>
  <c r="I3918" i="20"/>
  <c r="E3928" i="20"/>
  <c r="I3907" i="20"/>
  <c r="I3915" i="20"/>
  <c r="F3902" i="20"/>
  <c r="F3901" i="20"/>
  <c r="I3912" i="20"/>
  <c r="I3917" i="20"/>
  <c r="G7307" i="20"/>
  <c r="I7322" i="20"/>
  <c r="F7305" i="20"/>
  <c r="F7308" i="20"/>
  <c r="G7308" i="20" s="1"/>
  <c r="I7316" i="20"/>
  <c r="I7325" i="20"/>
  <c r="I7314" i="20"/>
  <c r="I7313" i="20"/>
  <c r="I7319" i="20"/>
  <c r="I7317" i="20"/>
  <c r="E7335" i="20"/>
  <c r="I7321" i="20"/>
  <c r="I7318" i="20"/>
  <c r="I7324" i="20"/>
  <c r="E7334" i="20"/>
  <c r="F7306" i="20"/>
  <c r="I7312" i="20"/>
  <c r="I7315" i="20"/>
  <c r="I7323" i="20"/>
  <c r="E7333" i="20"/>
  <c r="H5580" i="20"/>
  <c r="F5591" i="20" s="1"/>
  <c r="J260" i="4"/>
  <c r="L260" i="4" s="1"/>
  <c r="G260" i="4" s="1"/>
  <c r="B5619" i="20"/>
  <c r="B5618" i="20"/>
  <c r="E5613" i="20"/>
  <c r="F5613" i="20" s="1"/>
  <c r="H5614" i="20" s="1"/>
  <c r="N5585" i="20" s="1"/>
  <c r="D5609" i="20"/>
  <c r="F5609" i="20" s="1"/>
  <c r="C5609" i="20"/>
  <c r="B5609" i="20"/>
  <c r="D5608" i="20"/>
  <c r="F5608" i="20" s="1"/>
  <c r="C5608" i="20"/>
  <c r="B5608" i="20"/>
  <c r="D5607" i="20"/>
  <c r="F5607" i="20" s="1"/>
  <c r="C5607" i="20"/>
  <c r="B5607" i="20"/>
  <c r="D5606" i="20"/>
  <c r="F5606" i="20" s="1"/>
  <c r="C5606" i="20"/>
  <c r="B5606" i="20"/>
  <c r="D5605" i="20"/>
  <c r="F5605" i="20" s="1"/>
  <c r="C5605" i="20"/>
  <c r="B5605" i="20"/>
  <c r="D5604" i="20"/>
  <c r="F5604" i="20" s="1"/>
  <c r="C5604" i="20"/>
  <c r="B5604" i="20"/>
  <c r="D5603" i="20"/>
  <c r="F5603" i="20" s="1"/>
  <c r="C5603" i="20"/>
  <c r="B5603" i="20"/>
  <c r="D5602" i="20"/>
  <c r="F5602" i="20" s="1"/>
  <c r="C5602" i="20"/>
  <c r="B5602" i="20"/>
  <c r="D5601" i="20"/>
  <c r="F5601" i="20" s="1"/>
  <c r="C5601" i="20"/>
  <c r="B5601" i="20"/>
  <c r="D5600" i="20"/>
  <c r="F5600" i="20" s="1"/>
  <c r="C5600" i="20"/>
  <c r="B5600" i="20"/>
  <c r="D5599" i="20"/>
  <c r="F5599" i="20" s="1"/>
  <c r="C5599" i="20"/>
  <c r="B5599" i="20"/>
  <c r="D5598" i="20"/>
  <c r="F5598" i="20" s="1"/>
  <c r="C5598" i="20"/>
  <c r="B5598" i="20"/>
  <c r="C5597" i="20"/>
  <c r="C5596" i="20"/>
  <c r="E5592" i="20"/>
  <c r="D5592" i="20"/>
  <c r="B5592" i="20"/>
  <c r="E5591" i="20"/>
  <c r="D5591" i="20"/>
  <c r="B5591" i="20"/>
  <c r="D5590" i="20"/>
  <c r="B5590" i="20"/>
  <c r="G5587" i="20"/>
  <c r="I5604" i="20" s="1"/>
  <c r="G5586" i="20"/>
  <c r="B5586" i="20"/>
  <c r="B5585" i="20"/>
  <c r="H5584" i="20"/>
  <c r="B5581" i="20"/>
  <c r="F5590" i="20" l="1"/>
  <c r="G5591" i="20"/>
  <c r="F5592" i="20"/>
  <c r="G5592" i="20" s="1"/>
  <c r="I5601" i="20"/>
  <c r="I5609" i="20"/>
  <c r="E5619" i="20"/>
  <c r="I5598" i="20"/>
  <c r="I5606" i="20"/>
  <c r="I5596" i="20"/>
  <c r="I5603" i="20"/>
  <c r="I5608" i="20"/>
  <c r="E5618" i="20"/>
  <c r="I5600" i="20"/>
  <c r="I5597" i="20"/>
  <c r="I5605" i="20"/>
  <c r="I5602" i="20"/>
  <c r="I5599" i="20"/>
  <c r="I5607" i="20"/>
  <c r="E5617" i="20"/>
  <c r="B3878" i="20" l="1"/>
  <c r="B3877" i="20"/>
  <c r="E3872" i="20"/>
  <c r="F3872" i="20" s="1"/>
  <c r="H3873" i="20" s="1"/>
  <c r="N3844" i="20" s="1"/>
  <c r="D3868" i="20"/>
  <c r="F3868" i="20" s="1"/>
  <c r="C3868" i="20"/>
  <c r="B3868" i="20"/>
  <c r="D3867" i="20"/>
  <c r="F3867" i="20" s="1"/>
  <c r="C3867" i="20"/>
  <c r="B3867" i="20"/>
  <c r="D3866" i="20"/>
  <c r="F3866" i="20" s="1"/>
  <c r="C3866" i="20"/>
  <c r="B3866" i="20"/>
  <c r="D3865" i="20"/>
  <c r="F3865" i="20" s="1"/>
  <c r="C3865" i="20"/>
  <c r="B3865" i="20"/>
  <c r="D3864" i="20"/>
  <c r="F3864" i="20" s="1"/>
  <c r="C3864" i="20"/>
  <c r="B3864" i="20"/>
  <c r="D3863" i="20"/>
  <c r="F3863" i="20" s="1"/>
  <c r="C3863" i="20"/>
  <c r="B3863" i="20"/>
  <c r="C3862" i="20"/>
  <c r="B3862" i="20"/>
  <c r="C3861" i="20"/>
  <c r="B3861" i="20"/>
  <c r="C3860" i="20"/>
  <c r="B3860" i="20"/>
  <c r="C3859" i="20"/>
  <c r="B3859" i="20"/>
  <c r="C3858" i="20"/>
  <c r="B3858" i="20"/>
  <c r="C3857" i="20"/>
  <c r="B3857" i="20"/>
  <c r="C3856" i="20"/>
  <c r="C3855" i="20"/>
  <c r="D3851" i="20"/>
  <c r="B3851" i="20"/>
  <c r="D3850" i="20"/>
  <c r="B3850" i="20"/>
  <c r="D3849" i="20"/>
  <c r="B3849" i="20"/>
  <c r="G3846" i="20"/>
  <c r="I3863" i="20" s="1"/>
  <c r="G3845" i="20"/>
  <c r="B3845" i="20"/>
  <c r="B3844" i="20"/>
  <c r="H3843" i="20"/>
  <c r="B3840" i="20"/>
  <c r="H3839" i="20"/>
  <c r="E3876" i="20" s="1"/>
  <c r="B3827" i="20"/>
  <c r="B3826" i="20"/>
  <c r="E3821" i="20"/>
  <c r="F3821" i="20" s="1"/>
  <c r="H3822" i="20" s="1"/>
  <c r="N3793" i="20" s="1"/>
  <c r="D3817" i="20"/>
  <c r="F3817" i="20" s="1"/>
  <c r="C3817" i="20"/>
  <c r="B3817" i="20"/>
  <c r="D3816" i="20"/>
  <c r="F3816" i="20" s="1"/>
  <c r="C3816" i="20"/>
  <c r="B3816" i="20"/>
  <c r="D3815" i="20"/>
  <c r="F3815" i="20" s="1"/>
  <c r="C3815" i="20"/>
  <c r="B3815" i="20"/>
  <c r="D3814" i="20"/>
  <c r="F3814" i="20" s="1"/>
  <c r="C3814" i="20"/>
  <c r="B3814" i="20"/>
  <c r="D3813" i="20"/>
  <c r="F3813" i="20" s="1"/>
  <c r="C3813" i="20"/>
  <c r="B3813" i="20"/>
  <c r="D3812" i="20"/>
  <c r="F3812" i="20" s="1"/>
  <c r="C3812" i="20"/>
  <c r="B3812" i="20"/>
  <c r="C3811" i="20"/>
  <c r="B3811" i="20"/>
  <c r="C3810" i="20"/>
  <c r="B3810" i="20"/>
  <c r="C3809" i="20"/>
  <c r="B3809" i="20"/>
  <c r="C3808" i="20"/>
  <c r="B3808" i="20"/>
  <c r="C3807" i="20"/>
  <c r="B3807" i="20"/>
  <c r="C3806" i="20"/>
  <c r="B3806" i="20"/>
  <c r="C3805" i="20"/>
  <c r="C3804" i="20"/>
  <c r="D3800" i="20"/>
  <c r="B3800" i="20"/>
  <c r="D3799" i="20"/>
  <c r="B3799" i="20"/>
  <c r="D3798" i="20"/>
  <c r="B3798" i="20"/>
  <c r="G3795" i="20"/>
  <c r="I3812" i="20" s="1"/>
  <c r="G3794" i="20"/>
  <c r="B3794" i="20"/>
  <c r="B3793" i="20"/>
  <c r="H3792" i="20"/>
  <c r="B3789" i="20"/>
  <c r="H3788" i="20"/>
  <c r="E3825" i="20" s="1"/>
  <c r="H5529" i="20"/>
  <c r="E5566" i="20" s="1"/>
  <c r="B5568" i="20"/>
  <c r="B5567" i="20"/>
  <c r="E5562" i="20"/>
  <c r="F5562" i="20" s="1"/>
  <c r="H5563" i="20" s="1"/>
  <c r="N5534" i="20" s="1"/>
  <c r="D5558" i="20"/>
  <c r="F5558" i="20" s="1"/>
  <c r="C5558" i="20"/>
  <c r="B5558" i="20"/>
  <c r="D5557" i="20"/>
  <c r="F5557" i="20" s="1"/>
  <c r="C5557" i="20"/>
  <c r="B5557" i="20"/>
  <c r="D5556" i="20"/>
  <c r="F5556" i="20" s="1"/>
  <c r="C5556" i="20"/>
  <c r="B5556" i="20"/>
  <c r="D5555" i="20"/>
  <c r="F5555" i="20" s="1"/>
  <c r="C5555" i="20"/>
  <c r="B5555" i="20"/>
  <c r="D5554" i="20"/>
  <c r="F5554" i="20" s="1"/>
  <c r="C5554" i="20"/>
  <c r="B5554" i="20"/>
  <c r="D5553" i="20"/>
  <c r="F5553" i="20" s="1"/>
  <c r="C5553" i="20"/>
  <c r="B5553" i="20"/>
  <c r="D5552" i="20"/>
  <c r="F5552" i="20" s="1"/>
  <c r="C5552" i="20"/>
  <c r="B5552" i="20"/>
  <c r="D5551" i="20"/>
  <c r="F5551" i="20" s="1"/>
  <c r="C5551" i="20"/>
  <c r="B5551" i="20"/>
  <c r="D5550" i="20"/>
  <c r="F5550" i="20" s="1"/>
  <c r="C5550" i="20"/>
  <c r="B5550" i="20"/>
  <c r="D5549" i="20"/>
  <c r="F5549" i="20" s="1"/>
  <c r="C5549" i="20"/>
  <c r="B5549" i="20"/>
  <c r="D5548" i="20"/>
  <c r="F5548" i="20" s="1"/>
  <c r="C5548" i="20"/>
  <c r="B5548" i="20"/>
  <c r="D5547" i="20"/>
  <c r="F5547" i="20" s="1"/>
  <c r="C5547" i="20"/>
  <c r="B5547" i="20"/>
  <c r="C5546" i="20"/>
  <c r="C5545" i="20"/>
  <c r="E5541" i="20"/>
  <c r="D5541" i="20"/>
  <c r="B5541" i="20"/>
  <c r="E5540" i="20"/>
  <c r="D5540" i="20"/>
  <c r="B5540" i="20"/>
  <c r="D5539" i="20"/>
  <c r="B5539" i="20"/>
  <c r="G5536" i="20"/>
  <c r="I5553" i="20" s="1"/>
  <c r="G5535" i="20"/>
  <c r="B5535" i="20"/>
  <c r="B5534" i="20"/>
  <c r="H5533" i="20"/>
  <c r="B5530" i="20"/>
  <c r="H8721" i="20"/>
  <c r="F8733" i="20" s="1"/>
  <c r="B8764" i="20"/>
  <c r="B8763" i="20"/>
  <c r="E8758" i="20"/>
  <c r="F8758" i="20" s="1"/>
  <c r="H8759" i="20" s="1"/>
  <c r="N8726" i="20" s="1"/>
  <c r="D8754" i="20"/>
  <c r="F8754" i="20" s="1"/>
  <c r="C8754" i="20"/>
  <c r="B8754" i="20"/>
  <c r="D8753" i="20"/>
  <c r="F8753" i="20" s="1"/>
  <c r="C8753" i="20"/>
  <c r="B8753" i="20"/>
  <c r="D8752" i="20"/>
  <c r="F8752" i="20" s="1"/>
  <c r="C8752" i="20"/>
  <c r="B8752" i="20"/>
  <c r="D8751" i="20"/>
  <c r="F8751" i="20" s="1"/>
  <c r="C8751" i="20"/>
  <c r="B8751" i="20"/>
  <c r="D8750" i="20"/>
  <c r="F8750" i="20" s="1"/>
  <c r="C8750" i="20"/>
  <c r="B8750" i="20"/>
  <c r="D8749" i="20"/>
  <c r="F8749" i="20" s="1"/>
  <c r="C8749" i="20"/>
  <c r="B8749" i="20"/>
  <c r="D8748" i="20"/>
  <c r="F8748" i="20" s="1"/>
  <c r="C8748" i="20"/>
  <c r="B8748" i="20"/>
  <c r="D8747" i="20"/>
  <c r="F8747" i="20" s="1"/>
  <c r="C8747" i="20"/>
  <c r="B8747" i="20"/>
  <c r="D8746" i="20"/>
  <c r="F8746" i="20" s="1"/>
  <c r="C8746" i="20"/>
  <c r="B8746" i="20"/>
  <c r="D8745" i="20"/>
  <c r="F8745" i="20" s="1"/>
  <c r="C8745" i="20"/>
  <c r="B8745" i="20"/>
  <c r="D8744" i="20"/>
  <c r="F8744" i="20" s="1"/>
  <c r="C8744" i="20"/>
  <c r="B8744" i="20"/>
  <c r="D8743" i="20"/>
  <c r="F8743" i="20" s="1"/>
  <c r="C8743" i="20"/>
  <c r="B8743" i="20"/>
  <c r="D8742" i="20"/>
  <c r="F8742" i="20" s="1"/>
  <c r="C8742" i="20"/>
  <c r="B8742" i="20"/>
  <c r="C8741" i="20"/>
  <c r="B8741" i="20"/>
  <c r="C8740" i="20"/>
  <c r="B8740" i="20"/>
  <c r="C8739" i="20"/>
  <c r="C8738" i="20"/>
  <c r="E8734" i="20"/>
  <c r="D8734" i="20"/>
  <c r="B8734" i="20"/>
  <c r="E8733" i="20"/>
  <c r="D8733" i="20"/>
  <c r="B8733" i="20"/>
  <c r="D8732" i="20"/>
  <c r="B8732" i="20"/>
  <c r="D8731" i="20"/>
  <c r="B8731" i="20"/>
  <c r="G8728" i="20"/>
  <c r="I8749" i="20" s="1"/>
  <c r="G8727" i="20"/>
  <c r="B8727" i="20"/>
  <c r="B8726" i="20"/>
  <c r="H8725" i="20"/>
  <c r="B8722" i="20"/>
  <c r="H8779" i="20"/>
  <c r="H8453" i="20"/>
  <c r="F8465" i="20" s="1"/>
  <c r="J142" i="4"/>
  <c r="L142" i="4" s="1"/>
  <c r="G142" i="4" s="1"/>
  <c r="B8496" i="20"/>
  <c r="B8495" i="20"/>
  <c r="E8490" i="20"/>
  <c r="F8490" i="20" s="1"/>
  <c r="H8491" i="20" s="1"/>
  <c r="N8458" i="20" s="1"/>
  <c r="C8486" i="20"/>
  <c r="B8486" i="20"/>
  <c r="C8485" i="20"/>
  <c r="B8485" i="20"/>
  <c r="C8484" i="20"/>
  <c r="B8484" i="20"/>
  <c r="C8483" i="20"/>
  <c r="B8483" i="20"/>
  <c r="C8482" i="20"/>
  <c r="B8482" i="20"/>
  <c r="C8481" i="20"/>
  <c r="B8481" i="20"/>
  <c r="C8480" i="20"/>
  <c r="B8480" i="20"/>
  <c r="C8479" i="20"/>
  <c r="B8479" i="20"/>
  <c r="C8478" i="20"/>
  <c r="B8478" i="20"/>
  <c r="C8477" i="20"/>
  <c r="B8477" i="20"/>
  <c r="C8476" i="20"/>
  <c r="B8476" i="20"/>
  <c r="C8475" i="20"/>
  <c r="B8475" i="20"/>
  <c r="C8474" i="20"/>
  <c r="B8474" i="20"/>
  <c r="C8473" i="20"/>
  <c r="B8473" i="20"/>
  <c r="C8472" i="20"/>
  <c r="B8472" i="20"/>
  <c r="C8471" i="20"/>
  <c r="C8470" i="20"/>
  <c r="E8466" i="20"/>
  <c r="D8466" i="20"/>
  <c r="B8466" i="20"/>
  <c r="E8465" i="20"/>
  <c r="D8465" i="20"/>
  <c r="B8465" i="20"/>
  <c r="E8464" i="20"/>
  <c r="D8464" i="20"/>
  <c r="B8464" i="20"/>
  <c r="D8463" i="20"/>
  <c r="B8463" i="20"/>
  <c r="G8460" i="20"/>
  <c r="I8481" i="20" s="1"/>
  <c r="G8459" i="20"/>
  <c r="B8459" i="20"/>
  <c r="B8458" i="20"/>
  <c r="H8457" i="20"/>
  <c r="B8454" i="20"/>
  <c r="J298" i="4"/>
  <c r="L298" i="4" s="1"/>
  <c r="J296" i="4"/>
  <c r="L296" i="4" s="1"/>
  <c r="G296" i="4" s="1"/>
  <c r="J295" i="4"/>
  <c r="L295" i="4" s="1"/>
  <c r="G295" i="4" s="1"/>
  <c r="B8441" i="20"/>
  <c r="B8440" i="20"/>
  <c r="E8435" i="20"/>
  <c r="F8435" i="20" s="1"/>
  <c r="H8436" i="20" s="1"/>
  <c r="N8403" i="20" s="1"/>
  <c r="C8431" i="20"/>
  <c r="B8431" i="20"/>
  <c r="C8430" i="20"/>
  <c r="B8430" i="20"/>
  <c r="C8429" i="20"/>
  <c r="B8429" i="20"/>
  <c r="C8428" i="20"/>
  <c r="B8428" i="20"/>
  <c r="C8427" i="20"/>
  <c r="B8427" i="20"/>
  <c r="C8426" i="20"/>
  <c r="B8426" i="20"/>
  <c r="C8425" i="20"/>
  <c r="B8425" i="20"/>
  <c r="C8424" i="20"/>
  <c r="B8424" i="20"/>
  <c r="C8423" i="20"/>
  <c r="B8423" i="20"/>
  <c r="C8422" i="20"/>
  <c r="B8422" i="20"/>
  <c r="C8421" i="20"/>
  <c r="B8421" i="20"/>
  <c r="C8420" i="20"/>
  <c r="B8420" i="20"/>
  <c r="C8419" i="20"/>
  <c r="B8419" i="20"/>
  <c r="C8418" i="20"/>
  <c r="B8418" i="20"/>
  <c r="C8417" i="20"/>
  <c r="B8417" i="20"/>
  <c r="C8416" i="20"/>
  <c r="C8415" i="20"/>
  <c r="E8411" i="20"/>
  <c r="D8411" i="20"/>
  <c r="B8411" i="20"/>
  <c r="E8410" i="20"/>
  <c r="D8410" i="20"/>
  <c r="B8410" i="20"/>
  <c r="E8409" i="20"/>
  <c r="D8409" i="20"/>
  <c r="B8409" i="20"/>
  <c r="D8408" i="20"/>
  <c r="B8408" i="20"/>
  <c r="G8405" i="20"/>
  <c r="I8426" i="20" s="1"/>
  <c r="G8404" i="20"/>
  <c r="B8404" i="20"/>
  <c r="B8403" i="20"/>
  <c r="H8402" i="20"/>
  <c r="B8399" i="20"/>
  <c r="E8439" i="20"/>
  <c r="B3776" i="20"/>
  <c r="B3775" i="20"/>
  <c r="E3770" i="20"/>
  <c r="F3770" i="20" s="1"/>
  <c r="H3771" i="20" s="1"/>
  <c r="N3742" i="20" s="1"/>
  <c r="D3766" i="20"/>
  <c r="F3766" i="20" s="1"/>
  <c r="C3766" i="20"/>
  <c r="B3766" i="20"/>
  <c r="D3765" i="20"/>
  <c r="F3765" i="20" s="1"/>
  <c r="C3765" i="20"/>
  <c r="B3765" i="20"/>
  <c r="D3764" i="20"/>
  <c r="F3764" i="20" s="1"/>
  <c r="C3764" i="20"/>
  <c r="B3764" i="20"/>
  <c r="D3763" i="20"/>
  <c r="F3763" i="20" s="1"/>
  <c r="C3763" i="20"/>
  <c r="B3763" i="20"/>
  <c r="D3762" i="20"/>
  <c r="F3762" i="20" s="1"/>
  <c r="C3762" i="20"/>
  <c r="B3762" i="20"/>
  <c r="D3761" i="20"/>
  <c r="F3761" i="20" s="1"/>
  <c r="C3761" i="20"/>
  <c r="B3761" i="20"/>
  <c r="C3760" i="20"/>
  <c r="B3760" i="20"/>
  <c r="C3759" i="20"/>
  <c r="B3759" i="20"/>
  <c r="C3758" i="20"/>
  <c r="B3758" i="20"/>
  <c r="C3757" i="20"/>
  <c r="B3757" i="20"/>
  <c r="C3756" i="20"/>
  <c r="B3756" i="20"/>
  <c r="C3755" i="20"/>
  <c r="B3755" i="20"/>
  <c r="C3754" i="20"/>
  <c r="C3753" i="20"/>
  <c r="D3749" i="20"/>
  <c r="B3749" i="20"/>
  <c r="D3748" i="20"/>
  <c r="B3748" i="20"/>
  <c r="D3747" i="20"/>
  <c r="B3747" i="20"/>
  <c r="G3744" i="20"/>
  <c r="I3761" i="20" s="1"/>
  <c r="G3743" i="20"/>
  <c r="B3743" i="20"/>
  <c r="B3742" i="20"/>
  <c r="H3741" i="20"/>
  <c r="B3738" i="20"/>
  <c r="H3737" i="20"/>
  <c r="E3774" i="20" s="1"/>
  <c r="G3693" i="20"/>
  <c r="I3710" i="20" s="1"/>
  <c r="B3725" i="20"/>
  <c r="B3724" i="20"/>
  <c r="E3719" i="20"/>
  <c r="F3719" i="20" s="1"/>
  <c r="H3720" i="20" s="1"/>
  <c r="N3691" i="20" s="1"/>
  <c r="D3715" i="20"/>
  <c r="F3715" i="20" s="1"/>
  <c r="C3715" i="20"/>
  <c r="B3715" i="20"/>
  <c r="D3714" i="20"/>
  <c r="F3714" i="20" s="1"/>
  <c r="C3714" i="20"/>
  <c r="B3714" i="20"/>
  <c r="D3713" i="20"/>
  <c r="F3713" i="20" s="1"/>
  <c r="C3713" i="20"/>
  <c r="B3713" i="20"/>
  <c r="D3712" i="20"/>
  <c r="F3712" i="20" s="1"/>
  <c r="C3712" i="20"/>
  <c r="B3712" i="20"/>
  <c r="D3711" i="20"/>
  <c r="F3711" i="20" s="1"/>
  <c r="C3711" i="20"/>
  <c r="B3711" i="20"/>
  <c r="D3710" i="20"/>
  <c r="F3710" i="20" s="1"/>
  <c r="C3710" i="20"/>
  <c r="B3710" i="20"/>
  <c r="D3709" i="20"/>
  <c r="F3709" i="20" s="1"/>
  <c r="C3709" i="20"/>
  <c r="B3709" i="20"/>
  <c r="D3708" i="20"/>
  <c r="F3708" i="20" s="1"/>
  <c r="C3708" i="20"/>
  <c r="B3708" i="20"/>
  <c r="D3707" i="20"/>
  <c r="F3707" i="20" s="1"/>
  <c r="C3707" i="20"/>
  <c r="B3707" i="20"/>
  <c r="D3706" i="20"/>
  <c r="F3706" i="20" s="1"/>
  <c r="C3706" i="20"/>
  <c r="B3706" i="20"/>
  <c r="C3705" i="20"/>
  <c r="B3705" i="20"/>
  <c r="C3704" i="20"/>
  <c r="B3704" i="20"/>
  <c r="C3703" i="20"/>
  <c r="C3702" i="20"/>
  <c r="D3698" i="20"/>
  <c r="B3698" i="20"/>
  <c r="D3697" i="20"/>
  <c r="B3697" i="20"/>
  <c r="D3696" i="20"/>
  <c r="B3696" i="20"/>
  <c r="G3692" i="20"/>
  <c r="B3692" i="20"/>
  <c r="B3691" i="20"/>
  <c r="H3690" i="20"/>
  <c r="B3687" i="20"/>
  <c r="H3686" i="20"/>
  <c r="E3723" i="20" s="1"/>
  <c r="B3674" i="20"/>
  <c r="B3673" i="20"/>
  <c r="E3668" i="20"/>
  <c r="F3668" i="20" s="1"/>
  <c r="H3669" i="20" s="1"/>
  <c r="N3640" i="20" s="1"/>
  <c r="D3664" i="20"/>
  <c r="F3664" i="20" s="1"/>
  <c r="C3664" i="20"/>
  <c r="B3664" i="20"/>
  <c r="D3663" i="20"/>
  <c r="F3663" i="20" s="1"/>
  <c r="C3663" i="20"/>
  <c r="B3663" i="20"/>
  <c r="D3662" i="20"/>
  <c r="F3662" i="20" s="1"/>
  <c r="C3662" i="20"/>
  <c r="B3662" i="20"/>
  <c r="D3661" i="20"/>
  <c r="F3661" i="20" s="1"/>
  <c r="C3661" i="20"/>
  <c r="B3661" i="20"/>
  <c r="D3660" i="20"/>
  <c r="F3660" i="20" s="1"/>
  <c r="C3660" i="20"/>
  <c r="B3660" i="20"/>
  <c r="D3659" i="20"/>
  <c r="F3659" i="20" s="1"/>
  <c r="C3659" i="20"/>
  <c r="B3659" i="20"/>
  <c r="D3658" i="20"/>
  <c r="F3658" i="20" s="1"/>
  <c r="C3658" i="20"/>
  <c r="B3658" i="20"/>
  <c r="D3657" i="20"/>
  <c r="F3657" i="20" s="1"/>
  <c r="C3657" i="20"/>
  <c r="B3657" i="20"/>
  <c r="D3656" i="20"/>
  <c r="F3656" i="20" s="1"/>
  <c r="C3656" i="20"/>
  <c r="B3656" i="20"/>
  <c r="D3655" i="20"/>
  <c r="F3655" i="20" s="1"/>
  <c r="C3655" i="20"/>
  <c r="B3655" i="20"/>
  <c r="C3654" i="20"/>
  <c r="B3654" i="20"/>
  <c r="C3653" i="20"/>
  <c r="B3653" i="20"/>
  <c r="C3652" i="20"/>
  <c r="C3651" i="20"/>
  <c r="D3647" i="20"/>
  <c r="B3647" i="20"/>
  <c r="D3646" i="20"/>
  <c r="B3646" i="20"/>
  <c r="D3645" i="20"/>
  <c r="B3645" i="20"/>
  <c r="G3642" i="20"/>
  <c r="I3659" i="20" s="1"/>
  <c r="G3641" i="20"/>
  <c r="B3641" i="20"/>
  <c r="B3640" i="20"/>
  <c r="H3639" i="20"/>
  <c r="B3636" i="20"/>
  <c r="H3635" i="20"/>
  <c r="E3672" i="20" s="1"/>
  <c r="J20" i="4"/>
  <c r="L20" i="4" s="1"/>
  <c r="G20" i="4" s="1"/>
  <c r="D3651" i="20" s="1"/>
  <c r="F3651" i="20" s="1"/>
  <c r="B3623" i="20"/>
  <c r="B3622" i="20"/>
  <c r="E3617" i="20"/>
  <c r="F3617" i="20" s="1"/>
  <c r="H3618" i="20" s="1"/>
  <c r="N3589" i="20" s="1"/>
  <c r="D3613" i="20"/>
  <c r="F3613" i="20" s="1"/>
  <c r="C3613" i="20"/>
  <c r="B3613" i="20"/>
  <c r="D3612" i="20"/>
  <c r="F3612" i="20" s="1"/>
  <c r="C3612" i="20"/>
  <c r="B3612" i="20"/>
  <c r="D3611" i="20"/>
  <c r="F3611" i="20" s="1"/>
  <c r="C3611" i="20"/>
  <c r="B3611" i="20"/>
  <c r="D3610" i="20"/>
  <c r="F3610" i="20" s="1"/>
  <c r="C3610" i="20"/>
  <c r="B3610" i="20"/>
  <c r="D3609" i="20"/>
  <c r="F3609" i="20" s="1"/>
  <c r="C3609" i="20"/>
  <c r="B3609" i="20"/>
  <c r="D3608" i="20"/>
  <c r="F3608" i="20" s="1"/>
  <c r="C3608" i="20"/>
  <c r="B3608" i="20"/>
  <c r="D3607" i="20"/>
  <c r="F3607" i="20" s="1"/>
  <c r="C3607" i="20"/>
  <c r="B3607" i="20"/>
  <c r="D3606" i="20"/>
  <c r="F3606" i="20" s="1"/>
  <c r="C3606" i="20"/>
  <c r="B3606" i="20"/>
  <c r="D3605" i="20"/>
  <c r="F3605" i="20" s="1"/>
  <c r="C3605" i="20"/>
  <c r="B3605" i="20"/>
  <c r="D3604" i="20"/>
  <c r="F3604" i="20" s="1"/>
  <c r="C3604" i="20"/>
  <c r="B3604" i="20"/>
  <c r="C3603" i="20"/>
  <c r="B3603" i="20"/>
  <c r="C3602" i="20"/>
  <c r="B3602" i="20"/>
  <c r="C3601" i="20"/>
  <c r="C3600" i="20"/>
  <c r="D3596" i="20"/>
  <c r="B3596" i="20"/>
  <c r="D3595" i="20"/>
  <c r="B3595" i="20"/>
  <c r="D3594" i="20"/>
  <c r="B3594" i="20"/>
  <c r="G3591" i="20"/>
  <c r="I3608" i="20" s="1"/>
  <c r="G3590" i="20"/>
  <c r="B3590" i="20"/>
  <c r="B3589" i="20"/>
  <c r="H3588" i="20"/>
  <c r="B3585" i="20"/>
  <c r="H3584" i="20"/>
  <c r="E3621" i="20" s="1"/>
  <c r="J325" i="4"/>
  <c r="L325" i="4" s="1"/>
  <c r="G325" i="4" s="1"/>
  <c r="H9251" i="20"/>
  <c r="F9264" i="20" s="1"/>
  <c r="B9291" i="20"/>
  <c r="B9290" i="20"/>
  <c r="E9285" i="20"/>
  <c r="F9285" i="20" s="1"/>
  <c r="H9286" i="20" s="1"/>
  <c r="N9256" i="20" s="1"/>
  <c r="D9281" i="20"/>
  <c r="F9281" i="20" s="1"/>
  <c r="C9281" i="20"/>
  <c r="B9281" i="20"/>
  <c r="D9280" i="20"/>
  <c r="F9280" i="20" s="1"/>
  <c r="C9280" i="20"/>
  <c r="B9280" i="20"/>
  <c r="D9279" i="20"/>
  <c r="F9279" i="20" s="1"/>
  <c r="C9279" i="20"/>
  <c r="B9279" i="20"/>
  <c r="D9278" i="20"/>
  <c r="F9278" i="20" s="1"/>
  <c r="C9278" i="20"/>
  <c r="B9278" i="20"/>
  <c r="D9277" i="20"/>
  <c r="F9277" i="20" s="1"/>
  <c r="C9277" i="20"/>
  <c r="B9277" i="20"/>
  <c r="D9276" i="20"/>
  <c r="F9276" i="20" s="1"/>
  <c r="C9276" i="20"/>
  <c r="B9276" i="20"/>
  <c r="D9275" i="20"/>
  <c r="F9275" i="20" s="1"/>
  <c r="C9275" i="20"/>
  <c r="B9275" i="20"/>
  <c r="D9274" i="20"/>
  <c r="F9274" i="20" s="1"/>
  <c r="C9274" i="20"/>
  <c r="B9274" i="20"/>
  <c r="D9273" i="20"/>
  <c r="F9273" i="20" s="1"/>
  <c r="C9273" i="20"/>
  <c r="B9273" i="20"/>
  <c r="D9272" i="20"/>
  <c r="F9272" i="20" s="1"/>
  <c r="C9272" i="20"/>
  <c r="B9272" i="20"/>
  <c r="D9271" i="20"/>
  <c r="F9271" i="20" s="1"/>
  <c r="C9271" i="20"/>
  <c r="B9271" i="20"/>
  <c r="D9270" i="20"/>
  <c r="F9270" i="20" s="1"/>
  <c r="C9270" i="20"/>
  <c r="B9270" i="20"/>
  <c r="C9269" i="20"/>
  <c r="C9268" i="20"/>
  <c r="D9264" i="20"/>
  <c r="B9264" i="20"/>
  <c r="E9263" i="20"/>
  <c r="D9263" i="20"/>
  <c r="B9263" i="20"/>
  <c r="D9262" i="20"/>
  <c r="B9262" i="20"/>
  <c r="D9261" i="20"/>
  <c r="B9261" i="20"/>
  <c r="G9258" i="20"/>
  <c r="I9276" i="20" s="1"/>
  <c r="G9257" i="20"/>
  <c r="B9257" i="20"/>
  <c r="B9256" i="20"/>
  <c r="H9255" i="20"/>
  <c r="B9252" i="20"/>
  <c r="G6886" i="20"/>
  <c r="I6904" i="20" s="1"/>
  <c r="G6782" i="20"/>
  <c r="I6800" i="20" s="1"/>
  <c r="B7390" i="20"/>
  <c r="B7389" i="20"/>
  <c r="E7384" i="20"/>
  <c r="F7384" i="20" s="1"/>
  <c r="H7385" i="20" s="1"/>
  <c r="N7355" i="20" s="1"/>
  <c r="D7380" i="20"/>
  <c r="F7380" i="20" s="1"/>
  <c r="C7380" i="20"/>
  <c r="B7380" i="20"/>
  <c r="D7379" i="20"/>
  <c r="F7379" i="20" s="1"/>
  <c r="C7379" i="20"/>
  <c r="B7379" i="20"/>
  <c r="D7378" i="20"/>
  <c r="F7378" i="20" s="1"/>
  <c r="C7378" i="20"/>
  <c r="B7378" i="20"/>
  <c r="D7377" i="20"/>
  <c r="F7377" i="20" s="1"/>
  <c r="C7377" i="20"/>
  <c r="B7377" i="20"/>
  <c r="D7376" i="20"/>
  <c r="F7376" i="20" s="1"/>
  <c r="C7376" i="20"/>
  <c r="B7376" i="20"/>
  <c r="D7375" i="20"/>
  <c r="F7375" i="20" s="1"/>
  <c r="C7375" i="20"/>
  <c r="B7375" i="20"/>
  <c r="D7374" i="20"/>
  <c r="F7374" i="20" s="1"/>
  <c r="C7374" i="20"/>
  <c r="B7374" i="20"/>
  <c r="D7373" i="20"/>
  <c r="F7373" i="20" s="1"/>
  <c r="C7373" i="20"/>
  <c r="B7373" i="20"/>
  <c r="D7372" i="20"/>
  <c r="F7372" i="20" s="1"/>
  <c r="C7372" i="20"/>
  <c r="B7372" i="20"/>
  <c r="D7371" i="20"/>
  <c r="F7371" i="20" s="1"/>
  <c r="C7371" i="20"/>
  <c r="B7371" i="20"/>
  <c r="D7370" i="20"/>
  <c r="F7370" i="20" s="1"/>
  <c r="C7370" i="20"/>
  <c r="B7370" i="20"/>
  <c r="E7369" i="20"/>
  <c r="D7369" i="20"/>
  <c r="C7369" i="20"/>
  <c r="B7369" i="20"/>
  <c r="E7368" i="20"/>
  <c r="D7368" i="20"/>
  <c r="C7368" i="20"/>
  <c r="C7367" i="20"/>
  <c r="E7363" i="20"/>
  <c r="D7363" i="20"/>
  <c r="B7363" i="20"/>
  <c r="E7362" i="20"/>
  <c r="D7362" i="20"/>
  <c r="B7362" i="20"/>
  <c r="D7361" i="20"/>
  <c r="B7361" i="20"/>
  <c r="D7360" i="20"/>
  <c r="B7360" i="20"/>
  <c r="G7357" i="20"/>
  <c r="I7375" i="20" s="1"/>
  <c r="G7356" i="20"/>
  <c r="B7356" i="20"/>
  <c r="B7355" i="20"/>
  <c r="H7354" i="20"/>
  <c r="B7351" i="20"/>
  <c r="E7388" i="20"/>
  <c r="J47" i="4"/>
  <c r="L47" i="4" s="1"/>
  <c r="G47" i="4" s="1"/>
  <c r="D7942" i="20" s="1"/>
  <c r="F7942" i="20" s="1"/>
  <c r="H7956" i="20" s="1"/>
  <c r="B7283" i="20"/>
  <c r="B7282" i="20"/>
  <c r="E7277" i="20"/>
  <c r="F7277" i="20" s="1"/>
  <c r="H7278" i="20" s="1"/>
  <c r="N7248" i="20" s="1"/>
  <c r="D7273" i="20"/>
  <c r="F7273" i="20" s="1"/>
  <c r="C7273" i="20"/>
  <c r="B7273" i="20"/>
  <c r="D7272" i="20"/>
  <c r="F7272" i="20" s="1"/>
  <c r="C7272" i="20"/>
  <c r="B7272" i="20"/>
  <c r="D7271" i="20"/>
  <c r="F7271" i="20" s="1"/>
  <c r="C7271" i="20"/>
  <c r="B7271" i="20"/>
  <c r="D7270" i="20"/>
  <c r="F7270" i="20" s="1"/>
  <c r="C7270" i="20"/>
  <c r="B7270" i="20"/>
  <c r="D7269" i="20"/>
  <c r="F7269" i="20" s="1"/>
  <c r="C7269" i="20"/>
  <c r="B7269" i="20"/>
  <c r="D7268" i="20"/>
  <c r="F7268" i="20" s="1"/>
  <c r="C7268" i="20"/>
  <c r="B7268" i="20"/>
  <c r="D7267" i="20"/>
  <c r="F7267" i="20" s="1"/>
  <c r="C7267" i="20"/>
  <c r="B7267" i="20"/>
  <c r="D7266" i="20"/>
  <c r="F7266" i="20" s="1"/>
  <c r="C7266" i="20"/>
  <c r="B7266" i="20"/>
  <c r="D7265" i="20"/>
  <c r="F7265" i="20" s="1"/>
  <c r="C7265" i="20"/>
  <c r="B7265" i="20"/>
  <c r="D7264" i="20"/>
  <c r="F7264" i="20" s="1"/>
  <c r="C7264" i="20"/>
  <c r="B7264" i="20"/>
  <c r="D7263" i="20"/>
  <c r="F7263" i="20" s="1"/>
  <c r="C7263" i="20"/>
  <c r="B7263" i="20"/>
  <c r="E7262" i="20"/>
  <c r="D7262" i="20"/>
  <c r="C7262" i="20"/>
  <c r="B7262" i="20"/>
  <c r="E7261" i="20"/>
  <c r="D7261" i="20"/>
  <c r="C7261" i="20"/>
  <c r="C7260" i="20"/>
  <c r="E7256" i="20"/>
  <c r="D7256" i="20"/>
  <c r="B7256" i="20"/>
  <c r="E7255" i="20"/>
  <c r="D7255" i="20"/>
  <c r="B7255" i="20"/>
  <c r="D7254" i="20"/>
  <c r="B7254" i="20"/>
  <c r="D7253" i="20"/>
  <c r="B7253" i="20"/>
  <c r="G7250" i="20"/>
  <c r="I7268" i="20" s="1"/>
  <c r="G7249" i="20"/>
  <c r="B7249" i="20"/>
  <c r="B7248" i="20"/>
  <c r="H7247" i="20"/>
  <c r="B7244" i="20"/>
  <c r="E7281" i="20"/>
  <c r="B7231" i="20"/>
  <c r="B7230" i="20"/>
  <c r="E7225" i="20"/>
  <c r="F7225" i="20" s="1"/>
  <c r="H7226" i="20" s="1"/>
  <c r="N7196" i="20" s="1"/>
  <c r="D7221" i="20"/>
  <c r="F7221" i="20" s="1"/>
  <c r="C7221" i="20"/>
  <c r="B7221" i="20"/>
  <c r="D7220" i="20"/>
  <c r="F7220" i="20" s="1"/>
  <c r="C7220" i="20"/>
  <c r="B7220" i="20"/>
  <c r="D7219" i="20"/>
  <c r="F7219" i="20" s="1"/>
  <c r="C7219" i="20"/>
  <c r="B7219" i="20"/>
  <c r="D7218" i="20"/>
  <c r="F7218" i="20" s="1"/>
  <c r="C7218" i="20"/>
  <c r="B7218" i="20"/>
  <c r="D7217" i="20"/>
  <c r="F7217" i="20" s="1"/>
  <c r="C7217" i="20"/>
  <c r="B7217" i="20"/>
  <c r="D7216" i="20"/>
  <c r="F7216" i="20" s="1"/>
  <c r="C7216" i="20"/>
  <c r="B7216" i="20"/>
  <c r="D7215" i="20"/>
  <c r="F7215" i="20" s="1"/>
  <c r="C7215" i="20"/>
  <c r="B7215" i="20"/>
  <c r="D7214" i="20"/>
  <c r="F7214" i="20" s="1"/>
  <c r="C7214" i="20"/>
  <c r="B7214" i="20"/>
  <c r="D7213" i="20"/>
  <c r="F7213" i="20" s="1"/>
  <c r="C7213" i="20"/>
  <c r="B7213" i="20"/>
  <c r="D7212" i="20"/>
  <c r="F7212" i="20" s="1"/>
  <c r="C7212" i="20"/>
  <c r="B7212" i="20"/>
  <c r="D7211" i="20"/>
  <c r="F7211" i="20" s="1"/>
  <c r="C7211" i="20"/>
  <c r="B7211" i="20"/>
  <c r="E7210" i="20"/>
  <c r="D7210" i="20"/>
  <c r="C7210" i="20"/>
  <c r="B7210" i="20"/>
  <c r="E7209" i="20"/>
  <c r="D7209" i="20"/>
  <c r="C7209" i="20"/>
  <c r="C7208" i="20"/>
  <c r="E7204" i="20"/>
  <c r="D7204" i="20"/>
  <c r="B7204" i="20"/>
  <c r="E7203" i="20"/>
  <c r="D7203" i="20"/>
  <c r="B7203" i="20"/>
  <c r="D7202" i="20"/>
  <c r="B7202" i="20"/>
  <c r="D7201" i="20"/>
  <c r="B7201" i="20"/>
  <c r="G7198" i="20"/>
  <c r="I7216" i="20" s="1"/>
  <c r="G7197" i="20"/>
  <c r="B7197" i="20"/>
  <c r="B7196" i="20"/>
  <c r="H7195" i="20"/>
  <c r="B7192" i="20"/>
  <c r="E7229" i="20"/>
  <c r="B7179" i="20"/>
  <c r="B7178" i="20"/>
  <c r="E7173" i="20"/>
  <c r="F7173" i="20" s="1"/>
  <c r="H7174" i="20" s="1"/>
  <c r="N7144" i="20" s="1"/>
  <c r="D7169" i="20"/>
  <c r="F7169" i="20" s="1"/>
  <c r="C7169" i="20"/>
  <c r="B7169" i="20"/>
  <c r="D7168" i="20"/>
  <c r="F7168" i="20" s="1"/>
  <c r="C7168" i="20"/>
  <c r="B7168" i="20"/>
  <c r="D7167" i="20"/>
  <c r="F7167" i="20" s="1"/>
  <c r="C7167" i="20"/>
  <c r="B7167" i="20"/>
  <c r="D7166" i="20"/>
  <c r="F7166" i="20" s="1"/>
  <c r="C7166" i="20"/>
  <c r="B7166" i="20"/>
  <c r="D7165" i="20"/>
  <c r="F7165" i="20" s="1"/>
  <c r="C7165" i="20"/>
  <c r="B7165" i="20"/>
  <c r="D7164" i="20"/>
  <c r="F7164" i="20" s="1"/>
  <c r="C7164" i="20"/>
  <c r="B7164" i="20"/>
  <c r="D7163" i="20"/>
  <c r="F7163" i="20" s="1"/>
  <c r="C7163" i="20"/>
  <c r="B7163" i="20"/>
  <c r="D7162" i="20"/>
  <c r="F7162" i="20" s="1"/>
  <c r="C7162" i="20"/>
  <c r="B7162" i="20"/>
  <c r="D7161" i="20"/>
  <c r="F7161" i="20" s="1"/>
  <c r="C7161" i="20"/>
  <c r="B7161" i="20"/>
  <c r="D7160" i="20"/>
  <c r="F7160" i="20" s="1"/>
  <c r="C7160" i="20"/>
  <c r="B7160" i="20"/>
  <c r="D7159" i="20"/>
  <c r="F7159" i="20" s="1"/>
  <c r="C7159" i="20"/>
  <c r="B7159" i="20"/>
  <c r="E7158" i="20"/>
  <c r="D7158" i="20"/>
  <c r="C7158" i="20"/>
  <c r="B7158" i="20"/>
  <c r="E7157" i="20"/>
  <c r="D7157" i="20"/>
  <c r="C7157" i="20"/>
  <c r="C7156" i="20"/>
  <c r="E7152" i="20"/>
  <c r="D7152" i="20"/>
  <c r="B7152" i="20"/>
  <c r="E7151" i="20"/>
  <c r="D7151" i="20"/>
  <c r="B7151" i="20"/>
  <c r="D7150" i="20"/>
  <c r="B7150" i="20"/>
  <c r="D7149" i="20"/>
  <c r="B7149" i="20"/>
  <c r="G7146" i="20"/>
  <c r="I7164" i="20" s="1"/>
  <c r="G7145" i="20"/>
  <c r="B7145" i="20"/>
  <c r="B7144" i="20"/>
  <c r="H7143" i="20"/>
  <c r="B7140" i="20"/>
  <c r="F7151" i="20"/>
  <c r="E7125" i="20"/>
  <c r="B7127" i="20"/>
  <c r="B7126" i="20"/>
  <c r="E7121" i="20"/>
  <c r="F7121" i="20" s="1"/>
  <c r="H7122" i="20" s="1"/>
  <c r="N7092" i="20" s="1"/>
  <c r="D7117" i="20"/>
  <c r="F7117" i="20" s="1"/>
  <c r="C7117" i="20"/>
  <c r="B7117" i="20"/>
  <c r="D7116" i="20"/>
  <c r="F7116" i="20" s="1"/>
  <c r="C7116" i="20"/>
  <c r="B7116" i="20"/>
  <c r="D7115" i="20"/>
  <c r="F7115" i="20" s="1"/>
  <c r="C7115" i="20"/>
  <c r="B7115" i="20"/>
  <c r="D7114" i="20"/>
  <c r="F7114" i="20" s="1"/>
  <c r="C7114" i="20"/>
  <c r="B7114" i="20"/>
  <c r="D7113" i="20"/>
  <c r="F7113" i="20" s="1"/>
  <c r="C7113" i="20"/>
  <c r="B7113" i="20"/>
  <c r="D7112" i="20"/>
  <c r="F7112" i="20" s="1"/>
  <c r="C7112" i="20"/>
  <c r="B7112" i="20"/>
  <c r="D7111" i="20"/>
  <c r="F7111" i="20" s="1"/>
  <c r="C7111" i="20"/>
  <c r="B7111" i="20"/>
  <c r="D7110" i="20"/>
  <c r="F7110" i="20" s="1"/>
  <c r="C7110" i="20"/>
  <c r="B7110" i="20"/>
  <c r="D7109" i="20"/>
  <c r="F7109" i="20" s="1"/>
  <c r="C7109" i="20"/>
  <c r="B7109" i="20"/>
  <c r="D7108" i="20"/>
  <c r="F7108" i="20" s="1"/>
  <c r="C7108" i="20"/>
  <c r="B7108" i="20"/>
  <c r="D7107" i="20"/>
  <c r="F7107" i="20" s="1"/>
  <c r="C7107" i="20"/>
  <c r="B7107" i="20"/>
  <c r="E7106" i="20"/>
  <c r="D7106" i="20"/>
  <c r="C7106" i="20"/>
  <c r="B7106" i="20"/>
  <c r="E7105" i="20"/>
  <c r="D7105" i="20"/>
  <c r="C7105" i="20"/>
  <c r="C7104" i="20"/>
  <c r="E7100" i="20"/>
  <c r="D7100" i="20"/>
  <c r="B7100" i="20"/>
  <c r="E7099" i="20"/>
  <c r="D7099" i="20"/>
  <c r="B7099" i="20"/>
  <c r="D7098" i="20"/>
  <c r="B7098" i="20"/>
  <c r="D7097" i="20"/>
  <c r="B7097" i="20"/>
  <c r="G7094" i="20"/>
  <c r="I7112" i="20" s="1"/>
  <c r="G7093" i="20"/>
  <c r="B7093" i="20"/>
  <c r="B7092" i="20"/>
  <c r="H7091" i="20"/>
  <c r="B7088" i="20"/>
  <c r="B7075" i="20"/>
  <c r="B7074" i="20"/>
  <c r="E7069" i="20"/>
  <c r="F7069" i="20" s="1"/>
  <c r="H7070" i="20" s="1"/>
  <c r="N7040" i="20" s="1"/>
  <c r="D7065" i="20"/>
  <c r="F7065" i="20" s="1"/>
  <c r="C7065" i="20"/>
  <c r="B7065" i="20"/>
  <c r="D7064" i="20"/>
  <c r="F7064" i="20" s="1"/>
  <c r="C7064" i="20"/>
  <c r="B7064" i="20"/>
  <c r="D7063" i="20"/>
  <c r="F7063" i="20" s="1"/>
  <c r="C7063" i="20"/>
  <c r="B7063" i="20"/>
  <c r="D7062" i="20"/>
  <c r="F7062" i="20" s="1"/>
  <c r="C7062" i="20"/>
  <c r="B7062" i="20"/>
  <c r="D7061" i="20"/>
  <c r="F7061" i="20" s="1"/>
  <c r="C7061" i="20"/>
  <c r="B7061" i="20"/>
  <c r="D7060" i="20"/>
  <c r="F7060" i="20" s="1"/>
  <c r="C7060" i="20"/>
  <c r="B7060" i="20"/>
  <c r="D7059" i="20"/>
  <c r="F7059" i="20" s="1"/>
  <c r="C7059" i="20"/>
  <c r="B7059" i="20"/>
  <c r="D7058" i="20"/>
  <c r="F7058" i="20" s="1"/>
  <c r="C7058" i="20"/>
  <c r="B7058" i="20"/>
  <c r="D7057" i="20"/>
  <c r="F7057" i="20" s="1"/>
  <c r="C7057" i="20"/>
  <c r="B7057" i="20"/>
  <c r="D7056" i="20"/>
  <c r="F7056" i="20" s="1"/>
  <c r="C7056" i="20"/>
  <c r="B7056" i="20"/>
  <c r="D7055" i="20"/>
  <c r="F7055" i="20" s="1"/>
  <c r="C7055" i="20"/>
  <c r="B7055" i="20"/>
  <c r="E7054" i="20"/>
  <c r="D7054" i="20"/>
  <c r="C7054" i="20"/>
  <c r="B7054" i="20"/>
  <c r="E7053" i="20"/>
  <c r="D7053" i="20"/>
  <c r="C7053" i="20"/>
  <c r="C7052" i="20"/>
  <c r="E7048" i="20"/>
  <c r="D7048" i="20"/>
  <c r="B7048" i="20"/>
  <c r="E7047" i="20"/>
  <c r="D7047" i="20"/>
  <c r="B7047" i="20"/>
  <c r="D7046" i="20"/>
  <c r="B7046" i="20"/>
  <c r="D7045" i="20"/>
  <c r="B7045" i="20"/>
  <c r="G7042" i="20"/>
  <c r="I7060" i="20" s="1"/>
  <c r="G7041" i="20"/>
  <c r="B7041" i="20"/>
  <c r="B7040" i="20"/>
  <c r="H7039" i="20"/>
  <c r="B7036" i="20"/>
  <c r="E7073" i="20"/>
  <c r="J60" i="4"/>
  <c r="L60" i="4" s="1"/>
  <c r="G60" i="4" s="1"/>
  <c r="D6896" i="20" s="1"/>
  <c r="F6896" i="20" s="1"/>
  <c r="B7023" i="20"/>
  <c r="B7022" i="20"/>
  <c r="E7017" i="20"/>
  <c r="F7017" i="20" s="1"/>
  <c r="H7018" i="20" s="1"/>
  <c r="N6988" i="20" s="1"/>
  <c r="D7013" i="20"/>
  <c r="F7013" i="20" s="1"/>
  <c r="C7013" i="20"/>
  <c r="B7013" i="20"/>
  <c r="D7012" i="20"/>
  <c r="F7012" i="20" s="1"/>
  <c r="C7012" i="20"/>
  <c r="B7012" i="20"/>
  <c r="D7011" i="20"/>
  <c r="F7011" i="20" s="1"/>
  <c r="C7011" i="20"/>
  <c r="B7011" i="20"/>
  <c r="D7010" i="20"/>
  <c r="F7010" i="20" s="1"/>
  <c r="C7010" i="20"/>
  <c r="B7010" i="20"/>
  <c r="D7009" i="20"/>
  <c r="F7009" i="20" s="1"/>
  <c r="C7009" i="20"/>
  <c r="B7009" i="20"/>
  <c r="D7008" i="20"/>
  <c r="F7008" i="20" s="1"/>
  <c r="C7008" i="20"/>
  <c r="B7008" i="20"/>
  <c r="D7007" i="20"/>
  <c r="F7007" i="20" s="1"/>
  <c r="C7007" i="20"/>
  <c r="B7007" i="20"/>
  <c r="D7006" i="20"/>
  <c r="F7006" i="20" s="1"/>
  <c r="C7006" i="20"/>
  <c r="B7006" i="20"/>
  <c r="D7005" i="20"/>
  <c r="F7005" i="20" s="1"/>
  <c r="C7005" i="20"/>
  <c r="B7005" i="20"/>
  <c r="D7004" i="20"/>
  <c r="F7004" i="20" s="1"/>
  <c r="C7004" i="20"/>
  <c r="B7004" i="20"/>
  <c r="D7003" i="20"/>
  <c r="F7003" i="20" s="1"/>
  <c r="C7003" i="20"/>
  <c r="B7003" i="20"/>
  <c r="E7002" i="20"/>
  <c r="D7002" i="20"/>
  <c r="C7002" i="20"/>
  <c r="B7002" i="20"/>
  <c r="E7001" i="20"/>
  <c r="D7001" i="20"/>
  <c r="C7001" i="20"/>
  <c r="C7000" i="20"/>
  <c r="E6996" i="20"/>
  <c r="D6996" i="20"/>
  <c r="B6996" i="20"/>
  <c r="E6995" i="20"/>
  <c r="D6995" i="20"/>
  <c r="B6995" i="20"/>
  <c r="D6994" i="20"/>
  <c r="B6994" i="20"/>
  <c r="D6993" i="20"/>
  <c r="B6993" i="20"/>
  <c r="G6990" i="20"/>
  <c r="I7008" i="20" s="1"/>
  <c r="G6989" i="20"/>
  <c r="B6989" i="20"/>
  <c r="B6988" i="20"/>
  <c r="H6987" i="20"/>
  <c r="B6984" i="20"/>
  <c r="E7021" i="20"/>
  <c r="B6971" i="20"/>
  <c r="B6970" i="20"/>
  <c r="E6965" i="20"/>
  <c r="F6965" i="20" s="1"/>
  <c r="H6966" i="20" s="1"/>
  <c r="N6936" i="20" s="1"/>
  <c r="D6961" i="20"/>
  <c r="F6961" i="20" s="1"/>
  <c r="C6961" i="20"/>
  <c r="B6961" i="20"/>
  <c r="D6960" i="20"/>
  <c r="F6960" i="20" s="1"/>
  <c r="C6960" i="20"/>
  <c r="B6960" i="20"/>
  <c r="D6959" i="20"/>
  <c r="F6959" i="20" s="1"/>
  <c r="C6959" i="20"/>
  <c r="B6959" i="20"/>
  <c r="D6958" i="20"/>
  <c r="F6958" i="20" s="1"/>
  <c r="C6958" i="20"/>
  <c r="B6958" i="20"/>
  <c r="D6957" i="20"/>
  <c r="F6957" i="20" s="1"/>
  <c r="C6957" i="20"/>
  <c r="B6957" i="20"/>
  <c r="D6956" i="20"/>
  <c r="F6956" i="20" s="1"/>
  <c r="C6956" i="20"/>
  <c r="B6956" i="20"/>
  <c r="D6955" i="20"/>
  <c r="F6955" i="20" s="1"/>
  <c r="C6955" i="20"/>
  <c r="B6955" i="20"/>
  <c r="D6954" i="20"/>
  <c r="F6954" i="20" s="1"/>
  <c r="C6954" i="20"/>
  <c r="B6954" i="20"/>
  <c r="D6953" i="20"/>
  <c r="F6953" i="20" s="1"/>
  <c r="C6953" i="20"/>
  <c r="B6953" i="20"/>
  <c r="D6952" i="20"/>
  <c r="F6952" i="20" s="1"/>
  <c r="C6952" i="20"/>
  <c r="B6952" i="20"/>
  <c r="D6951" i="20"/>
  <c r="F6951" i="20" s="1"/>
  <c r="C6951" i="20"/>
  <c r="B6951" i="20"/>
  <c r="E6950" i="20"/>
  <c r="D6950" i="20"/>
  <c r="C6950" i="20"/>
  <c r="B6950" i="20"/>
  <c r="E6949" i="20"/>
  <c r="D6949" i="20"/>
  <c r="C6949" i="20"/>
  <c r="C6948" i="20"/>
  <c r="E6944" i="20"/>
  <c r="D6944" i="20"/>
  <c r="B6944" i="20"/>
  <c r="E6943" i="20"/>
  <c r="D6943" i="20"/>
  <c r="B6943" i="20"/>
  <c r="D6942" i="20"/>
  <c r="B6942" i="20"/>
  <c r="D6941" i="20"/>
  <c r="B6941" i="20"/>
  <c r="G6938" i="20"/>
  <c r="I6956" i="20" s="1"/>
  <c r="G6937" i="20"/>
  <c r="B6937" i="20"/>
  <c r="B6936" i="20"/>
  <c r="H6935" i="20"/>
  <c r="B6932" i="20"/>
  <c r="E6969" i="20"/>
  <c r="B6919" i="20"/>
  <c r="B6918" i="20"/>
  <c r="E6913" i="20"/>
  <c r="F6913" i="20" s="1"/>
  <c r="H6914" i="20" s="1"/>
  <c r="N6884" i="20" s="1"/>
  <c r="D6909" i="20"/>
  <c r="F6909" i="20" s="1"/>
  <c r="C6909" i="20"/>
  <c r="B6909" i="20"/>
  <c r="D6908" i="20"/>
  <c r="F6908" i="20" s="1"/>
  <c r="C6908" i="20"/>
  <c r="B6908" i="20"/>
  <c r="D6907" i="20"/>
  <c r="F6907" i="20" s="1"/>
  <c r="C6907" i="20"/>
  <c r="B6907" i="20"/>
  <c r="D6906" i="20"/>
  <c r="F6906" i="20" s="1"/>
  <c r="C6906" i="20"/>
  <c r="B6906" i="20"/>
  <c r="D6905" i="20"/>
  <c r="F6905" i="20" s="1"/>
  <c r="C6905" i="20"/>
  <c r="B6905" i="20"/>
  <c r="D6904" i="20"/>
  <c r="F6904" i="20" s="1"/>
  <c r="C6904" i="20"/>
  <c r="B6904" i="20"/>
  <c r="D6903" i="20"/>
  <c r="F6903" i="20" s="1"/>
  <c r="C6903" i="20"/>
  <c r="B6903" i="20"/>
  <c r="D6902" i="20"/>
  <c r="F6902" i="20" s="1"/>
  <c r="C6902" i="20"/>
  <c r="B6902" i="20"/>
  <c r="D6901" i="20"/>
  <c r="F6901" i="20" s="1"/>
  <c r="C6901" i="20"/>
  <c r="B6901" i="20"/>
  <c r="D6900" i="20"/>
  <c r="F6900" i="20" s="1"/>
  <c r="C6900" i="20"/>
  <c r="B6900" i="20"/>
  <c r="D6899" i="20"/>
  <c r="F6899" i="20" s="1"/>
  <c r="C6899" i="20"/>
  <c r="B6899" i="20"/>
  <c r="E6898" i="20"/>
  <c r="D6898" i="20"/>
  <c r="C6898" i="20"/>
  <c r="B6898" i="20"/>
  <c r="E6897" i="20"/>
  <c r="D6897" i="20"/>
  <c r="C6897" i="20"/>
  <c r="C6896" i="20"/>
  <c r="E6892" i="20"/>
  <c r="D6892" i="20"/>
  <c r="B6892" i="20"/>
  <c r="E6891" i="20"/>
  <c r="D6891" i="20"/>
  <c r="B6891" i="20"/>
  <c r="D6890" i="20"/>
  <c r="B6890" i="20"/>
  <c r="D6889" i="20"/>
  <c r="B6889" i="20"/>
  <c r="G6885" i="20"/>
  <c r="B6885" i="20"/>
  <c r="B6884" i="20"/>
  <c r="H6883" i="20"/>
  <c r="B6880" i="20"/>
  <c r="E6917" i="20"/>
  <c r="B6867" i="20"/>
  <c r="B6866" i="20"/>
  <c r="E6861" i="20"/>
  <c r="F6861" i="20" s="1"/>
  <c r="H6862" i="20" s="1"/>
  <c r="N6832" i="20" s="1"/>
  <c r="D6857" i="20"/>
  <c r="F6857" i="20" s="1"/>
  <c r="C6857" i="20"/>
  <c r="B6857" i="20"/>
  <c r="D6856" i="20"/>
  <c r="F6856" i="20" s="1"/>
  <c r="C6856" i="20"/>
  <c r="B6856" i="20"/>
  <c r="D6855" i="20"/>
  <c r="F6855" i="20" s="1"/>
  <c r="C6855" i="20"/>
  <c r="B6855" i="20"/>
  <c r="D6854" i="20"/>
  <c r="F6854" i="20" s="1"/>
  <c r="C6854" i="20"/>
  <c r="B6854" i="20"/>
  <c r="D6853" i="20"/>
  <c r="F6853" i="20" s="1"/>
  <c r="C6853" i="20"/>
  <c r="B6853" i="20"/>
  <c r="D6852" i="20"/>
  <c r="F6852" i="20" s="1"/>
  <c r="C6852" i="20"/>
  <c r="B6852" i="20"/>
  <c r="D6851" i="20"/>
  <c r="F6851" i="20" s="1"/>
  <c r="C6851" i="20"/>
  <c r="B6851" i="20"/>
  <c r="D6850" i="20"/>
  <c r="F6850" i="20" s="1"/>
  <c r="C6850" i="20"/>
  <c r="B6850" i="20"/>
  <c r="D6849" i="20"/>
  <c r="F6849" i="20" s="1"/>
  <c r="C6849" i="20"/>
  <c r="B6849" i="20"/>
  <c r="D6848" i="20"/>
  <c r="F6848" i="20" s="1"/>
  <c r="C6848" i="20"/>
  <c r="B6848" i="20"/>
  <c r="D6847" i="20"/>
  <c r="F6847" i="20" s="1"/>
  <c r="C6847" i="20"/>
  <c r="B6847" i="20"/>
  <c r="E6846" i="20"/>
  <c r="D6846" i="20"/>
  <c r="C6846" i="20"/>
  <c r="B6846" i="20"/>
  <c r="E6845" i="20"/>
  <c r="D6845" i="20"/>
  <c r="C6845" i="20"/>
  <c r="C6844" i="20"/>
  <c r="E6840" i="20"/>
  <c r="D6840" i="20"/>
  <c r="B6840" i="20"/>
  <c r="E6839" i="20"/>
  <c r="D6839" i="20"/>
  <c r="B6839" i="20"/>
  <c r="D6838" i="20"/>
  <c r="B6838" i="20"/>
  <c r="D6837" i="20"/>
  <c r="B6837" i="20"/>
  <c r="G6834" i="20"/>
  <c r="I6852" i="20" s="1"/>
  <c r="G6833" i="20"/>
  <c r="B6833" i="20"/>
  <c r="B6832" i="20"/>
  <c r="H6831" i="20"/>
  <c r="B6828" i="20"/>
  <c r="E6865" i="20"/>
  <c r="J34" i="4"/>
  <c r="L34" i="4" s="1"/>
  <c r="G34" i="4" s="1"/>
  <c r="D6844" i="20" s="1"/>
  <c r="F6844" i="20" s="1"/>
  <c r="B6815" i="20"/>
  <c r="B6814" i="20"/>
  <c r="E6809" i="20"/>
  <c r="F6809" i="20" s="1"/>
  <c r="H6810" i="20" s="1"/>
  <c r="N6780" i="20" s="1"/>
  <c r="D6805" i="20"/>
  <c r="F6805" i="20" s="1"/>
  <c r="C6805" i="20"/>
  <c r="B6805" i="20"/>
  <c r="D6804" i="20"/>
  <c r="F6804" i="20" s="1"/>
  <c r="C6804" i="20"/>
  <c r="B6804" i="20"/>
  <c r="D6803" i="20"/>
  <c r="F6803" i="20" s="1"/>
  <c r="C6803" i="20"/>
  <c r="B6803" i="20"/>
  <c r="D6802" i="20"/>
  <c r="F6802" i="20" s="1"/>
  <c r="C6802" i="20"/>
  <c r="B6802" i="20"/>
  <c r="D6801" i="20"/>
  <c r="F6801" i="20" s="1"/>
  <c r="C6801" i="20"/>
  <c r="B6801" i="20"/>
  <c r="D6800" i="20"/>
  <c r="F6800" i="20" s="1"/>
  <c r="C6800" i="20"/>
  <c r="B6800" i="20"/>
  <c r="D6799" i="20"/>
  <c r="F6799" i="20" s="1"/>
  <c r="C6799" i="20"/>
  <c r="B6799" i="20"/>
  <c r="D6798" i="20"/>
  <c r="F6798" i="20" s="1"/>
  <c r="C6798" i="20"/>
  <c r="B6798" i="20"/>
  <c r="D6797" i="20"/>
  <c r="F6797" i="20" s="1"/>
  <c r="C6797" i="20"/>
  <c r="B6797" i="20"/>
  <c r="D6796" i="20"/>
  <c r="F6796" i="20" s="1"/>
  <c r="C6796" i="20"/>
  <c r="B6796" i="20"/>
  <c r="D6795" i="20"/>
  <c r="F6795" i="20" s="1"/>
  <c r="C6795" i="20"/>
  <c r="B6795" i="20"/>
  <c r="E6794" i="20"/>
  <c r="D6794" i="20"/>
  <c r="C6794" i="20"/>
  <c r="B6794" i="20"/>
  <c r="E6793" i="20"/>
  <c r="D6793" i="20"/>
  <c r="C6793" i="20"/>
  <c r="C6792" i="20"/>
  <c r="E6788" i="20"/>
  <c r="D6788" i="20"/>
  <c r="B6788" i="20"/>
  <c r="E6787" i="20"/>
  <c r="D6787" i="20"/>
  <c r="B6787" i="20"/>
  <c r="D6786" i="20"/>
  <c r="B6786" i="20"/>
  <c r="D6785" i="20"/>
  <c r="B6785" i="20"/>
  <c r="G6781" i="20"/>
  <c r="B6781" i="20"/>
  <c r="B6780" i="20"/>
  <c r="H6779" i="20"/>
  <c r="B6776" i="20"/>
  <c r="E6813" i="20"/>
  <c r="E6761" i="20"/>
  <c r="J39" i="4"/>
  <c r="L39" i="4" s="1"/>
  <c r="G39" i="4" s="1"/>
  <c r="B6763" i="20"/>
  <c r="B6762" i="20"/>
  <c r="E6757" i="20"/>
  <c r="F6757" i="20" s="1"/>
  <c r="H6758" i="20" s="1"/>
  <c r="N6728" i="20" s="1"/>
  <c r="D6753" i="20"/>
  <c r="F6753" i="20" s="1"/>
  <c r="C6753" i="20"/>
  <c r="B6753" i="20"/>
  <c r="D6752" i="20"/>
  <c r="F6752" i="20" s="1"/>
  <c r="C6752" i="20"/>
  <c r="B6752" i="20"/>
  <c r="D6751" i="20"/>
  <c r="F6751" i="20" s="1"/>
  <c r="C6751" i="20"/>
  <c r="B6751" i="20"/>
  <c r="D6750" i="20"/>
  <c r="F6750" i="20" s="1"/>
  <c r="C6750" i="20"/>
  <c r="B6750" i="20"/>
  <c r="D6749" i="20"/>
  <c r="F6749" i="20" s="1"/>
  <c r="C6749" i="20"/>
  <c r="B6749" i="20"/>
  <c r="D6748" i="20"/>
  <c r="F6748" i="20" s="1"/>
  <c r="C6748" i="20"/>
  <c r="B6748" i="20"/>
  <c r="D6747" i="20"/>
  <c r="F6747" i="20" s="1"/>
  <c r="C6747" i="20"/>
  <c r="B6747" i="20"/>
  <c r="D6746" i="20"/>
  <c r="F6746" i="20" s="1"/>
  <c r="C6746" i="20"/>
  <c r="B6746" i="20"/>
  <c r="D6745" i="20"/>
  <c r="F6745" i="20" s="1"/>
  <c r="C6745" i="20"/>
  <c r="B6745" i="20"/>
  <c r="D6744" i="20"/>
  <c r="F6744" i="20" s="1"/>
  <c r="C6744" i="20"/>
  <c r="B6744" i="20"/>
  <c r="D6743" i="20"/>
  <c r="F6743" i="20" s="1"/>
  <c r="C6743" i="20"/>
  <c r="B6743" i="20"/>
  <c r="E6742" i="20"/>
  <c r="D6742" i="20"/>
  <c r="C6742" i="20"/>
  <c r="B6742" i="20"/>
  <c r="E6741" i="20"/>
  <c r="D6741" i="20"/>
  <c r="C6741" i="20"/>
  <c r="C6740" i="20"/>
  <c r="E6736" i="20"/>
  <c r="D6736" i="20"/>
  <c r="B6736" i="20"/>
  <c r="E6735" i="20"/>
  <c r="D6735" i="20"/>
  <c r="B6735" i="20"/>
  <c r="D6734" i="20"/>
  <c r="B6734" i="20"/>
  <c r="D6733" i="20"/>
  <c r="B6733" i="20"/>
  <c r="G6730" i="20"/>
  <c r="I6748" i="20" s="1"/>
  <c r="G6729" i="20"/>
  <c r="B6729" i="20"/>
  <c r="B6728" i="20"/>
  <c r="H6727" i="20"/>
  <c r="B6724" i="20"/>
  <c r="E7493" i="20"/>
  <c r="E7422" i="20"/>
  <c r="E7421" i="20"/>
  <c r="E7474" i="20"/>
  <c r="E7473" i="20"/>
  <c r="B7495" i="20"/>
  <c r="B7494" i="20"/>
  <c r="E7489" i="20"/>
  <c r="F7489" i="20" s="1"/>
  <c r="H7490" i="20" s="1"/>
  <c r="N7460" i="20" s="1"/>
  <c r="D7485" i="20"/>
  <c r="F7485" i="20" s="1"/>
  <c r="C7485" i="20"/>
  <c r="B7485" i="20"/>
  <c r="D7484" i="20"/>
  <c r="F7484" i="20" s="1"/>
  <c r="C7484" i="20"/>
  <c r="B7484" i="20"/>
  <c r="D7483" i="20"/>
  <c r="F7483" i="20" s="1"/>
  <c r="C7483" i="20"/>
  <c r="B7483" i="20"/>
  <c r="D7482" i="20"/>
  <c r="F7482" i="20" s="1"/>
  <c r="C7482" i="20"/>
  <c r="B7482" i="20"/>
  <c r="D7481" i="20"/>
  <c r="F7481" i="20" s="1"/>
  <c r="C7481" i="20"/>
  <c r="B7481" i="20"/>
  <c r="D7480" i="20"/>
  <c r="F7480" i="20" s="1"/>
  <c r="C7480" i="20"/>
  <c r="B7480" i="20"/>
  <c r="D7479" i="20"/>
  <c r="F7479" i="20" s="1"/>
  <c r="C7479" i="20"/>
  <c r="B7479" i="20"/>
  <c r="D7478" i="20"/>
  <c r="F7478" i="20" s="1"/>
  <c r="C7478" i="20"/>
  <c r="B7478" i="20"/>
  <c r="D7477" i="20"/>
  <c r="F7477" i="20" s="1"/>
  <c r="C7477" i="20"/>
  <c r="B7477" i="20"/>
  <c r="D7476" i="20"/>
  <c r="F7476" i="20" s="1"/>
  <c r="C7476" i="20"/>
  <c r="B7476" i="20"/>
  <c r="D7475" i="20"/>
  <c r="F7475" i="20" s="1"/>
  <c r="C7475" i="20"/>
  <c r="B7475" i="20"/>
  <c r="C7474" i="20"/>
  <c r="B7474" i="20"/>
  <c r="C7473" i="20"/>
  <c r="C7472" i="20"/>
  <c r="E7468" i="20"/>
  <c r="D7468" i="20"/>
  <c r="B7468" i="20"/>
  <c r="E7467" i="20"/>
  <c r="D7467" i="20"/>
  <c r="B7467" i="20"/>
  <c r="D7466" i="20"/>
  <c r="B7466" i="20"/>
  <c r="D7465" i="20"/>
  <c r="B7465" i="20"/>
  <c r="G7462" i="20"/>
  <c r="I7480" i="20" s="1"/>
  <c r="G7461" i="20"/>
  <c r="B7461" i="20"/>
  <c r="B7460" i="20"/>
  <c r="H7459" i="20"/>
  <c r="B7456" i="20"/>
  <c r="E7443" i="20"/>
  <c r="B7443" i="20"/>
  <c r="B7442" i="20"/>
  <c r="E7437" i="20"/>
  <c r="F7437" i="20" s="1"/>
  <c r="H7438" i="20" s="1"/>
  <c r="N7408" i="20" s="1"/>
  <c r="D7433" i="20"/>
  <c r="F7433" i="20" s="1"/>
  <c r="C7433" i="20"/>
  <c r="B7433" i="20"/>
  <c r="D7432" i="20"/>
  <c r="F7432" i="20" s="1"/>
  <c r="C7432" i="20"/>
  <c r="B7432" i="20"/>
  <c r="D7431" i="20"/>
  <c r="F7431" i="20" s="1"/>
  <c r="C7431" i="20"/>
  <c r="B7431" i="20"/>
  <c r="D7430" i="20"/>
  <c r="F7430" i="20" s="1"/>
  <c r="C7430" i="20"/>
  <c r="B7430" i="20"/>
  <c r="D7429" i="20"/>
  <c r="F7429" i="20" s="1"/>
  <c r="C7429" i="20"/>
  <c r="B7429" i="20"/>
  <c r="D7428" i="20"/>
  <c r="F7428" i="20" s="1"/>
  <c r="C7428" i="20"/>
  <c r="B7428" i="20"/>
  <c r="D7427" i="20"/>
  <c r="F7427" i="20" s="1"/>
  <c r="C7427" i="20"/>
  <c r="B7427" i="20"/>
  <c r="D7426" i="20"/>
  <c r="F7426" i="20" s="1"/>
  <c r="C7426" i="20"/>
  <c r="B7426" i="20"/>
  <c r="D7425" i="20"/>
  <c r="F7425" i="20" s="1"/>
  <c r="C7425" i="20"/>
  <c r="B7425" i="20"/>
  <c r="D7424" i="20"/>
  <c r="F7424" i="20" s="1"/>
  <c r="C7424" i="20"/>
  <c r="B7424" i="20"/>
  <c r="D7423" i="20"/>
  <c r="F7423" i="20" s="1"/>
  <c r="C7423" i="20"/>
  <c r="B7423" i="20"/>
  <c r="C7422" i="20"/>
  <c r="B7422" i="20"/>
  <c r="C7421" i="20"/>
  <c r="C7420" i="20"/>
  <c r="E7416" i="20"/>
  <c r="D7416" i="20"/>
  <c r="B7416" i="20"/>
  <c r="E7415" i="20"/>
  <c r="D7415" i="20"/>
  <c r="B7415" i="20"/>
  <c r="D7414" i="20"/>
  <c r="B7414" i="20"/>
  <c r="D7413" i="20"/>
  <c r="B7413" i="20"/>
  <c r="G7410" i="20"/>
  <c r="I7428" i="20" s="1"/>
  <c r="G7409" i="20"/>
  <c r="B7409" i="20"/>
  <c r="B7408" i="20"/>
  <c r="H7407" i="20"/>
  <c r="B7404" i="20"/>
  <c r="H5478" i="20"/>
  <c r="E5515" i="20" s="1"/>
  <c r="J232" i="4"/>
  <c r="L232" i="4" s="1"/>
  <c r="G232" i="4" s="1"/>
  <c r="B5517" i="20"/>
  <c r="B5516" i="20"/>
  <c r="E5511" i="20"/>
  <c r="F5511" i="20" s="1"/>
  <c r="H5512" i="20" s="1"/>
  <c r="N5483" i="20" s="1"/>
  <c r="D5507" i="20"/>
  <c r="F5507" i="20" s="1"/>
  <c r="C5507" i="20"/>
  <c r="B5507" i="20"/>
  <c r="D5506" i="20"/>
  <c r="F5506" i="20" s="1"/>
  <c r="C5506" i="20"/>
  <c r="B5506" i="20"/>
  <c r="D5505" i="20"/>
  <c r="F5505" i="20" s="1"/>
  <c r="C5505" i="20"/>
  <c r="B5505" i="20"/>
  <c r="D5504" i="20"/>
  <c r="F5504" i="20" s="1"/>
  <c r="C5504" i="20"/>
  <c r="B5504" i="20"/>
  <c r="D5503" i="20"/>
  <c r="F5503" i="20" s="1"/>
  <c r="C5503" i="20"/>
  <c r="B5503" i="20"/>
  <c r="D5502" i="20"/>
  <c r="F5502" i="20" s="1"/>
  <c r="C5502" i="20"/>
  <c r="B5502" i="20"/>
  <c r="D5501" i="20"/>
  <c r="F5501" i="20" s="1"/>
  <c r="C5501" i="20"/>
  <c r="B5501" i="20"/>
  <c r="D5500" i="20"/>
  <c r="F5500" i="20" s="1"/>
  <c r="C5500" i="20"/>
  <c r="B5500" i="20"/>
  <c r="D5499" i="20"/>
  <c r="F5499" i="20" s="1"/>
  <c r="C5499" i="20"/>
  <c r="B5499" i="20"/>
  <c r="D5498" i="20"/>
  <c r="F5498" i="20" s="1"/>
  <c r="C5498" i="20"/>
  <c r="B5498" i="20"/>
  <c r="D5497" i="20"/>
  <c r="F5497" i="20" s="1"/>
  <c r="C5497" i="20"/>
  <c r="B5497" i="20"/>
  <c r="D5496" i="20"/>
  <c r="F5496" i="20" s="1"/>
  <c r="C5496" i="20"/>
  <c r="B5496" i="20"/>
  <c r="C5495" i="20"/>
  <c r="C5494" i="20"/>
  <c r="E5490" i="20"/>
  <c r="D5490" i="20"/>
  <c r="B5490" i="20"/>
  <c r="E5489" i="20"/>
  <c r="D5489" i="20"/>
  <c r="B5489" i="20"/>
  <c r="D5488" i="20"/>
  <c r="B5488" i="20"/>
  <c r="G5485" i="20"/>
  <c r="I5502" i="20" s="1"/>
  <c r="G5484" i="20"/>
  <c r="B5484" i="20"/>
  <c r="B5483" i="20"/>
  <c r="H5482" i="20"/>
  <c r="B5479" i="20"/>
  <c r="K7930" i="20" l="1"/>
  <c r="D7890" i="20"/>
  <c r="F7890" i="20" s="1"/>
  <c r="D7838" i="20"/>
  <c r="F7838" i="20" s="1"/>
  <c r="D4115" i="20"/>
  <c r="F4115" i="20" s="1"/>
  <c r="D4217" i="20"/>
  <c r="F4217" i="20" s="1"/>
  <c r="D4166" i="20"/>
  <c r="F4166" i="20" s="1"/>
  <c r="D4064" i="20"/>
  <c r="F4064" i="20" s="1"/>
  <c r="D4013" i="20"/>
  <c r="F4013" i="20" s="1"/>
  <c r="D3962" i="20"/>
  <c r="F3962" i="20" s="1"/>
  <c r="D3603" i="20"/>
  <c r="F3603" i="20" s="1"/>
  <c r="D3911" i="20"/>
  <c r="F3911" i="20" s="1"/>
  <c r="F3798" i="20"/>
  <c r="E3827" i="20"/>
  <c r="D3809" i="20"/>
  <c r="F3809" i="20" s="1"/>
  <c r="D3860" i="20"/>
  <c r="F3860" i="20" s="1"/>
  <c r="F3851" i="20"/>
  <c r="F3849" i="20"/>
  <c r="E3878" i="20"/>
  <c r="I3857" i="20"/>
  <c r="I3855" i="20"/>
  <c r="I3868" i="20"/>
  <c r="I3862" i="20"/>
  <c r="I3860" i="20"/>
  <c r="I3858" i="20"/>
  <c r="I3865" i="20"/>
  <c r="I3859" i="20"/>
  <c r="I3867" i="20"/>
  <c r="E3877" i="20"/>
  <c r="F8731" i="20"/>
  <c r="I3856" i="20"/>
  <c r="I3864" i="20"/>
  <c r="F3850" i="20"/>
  <c r="I3861" i="20"/>
  <c r="I3866" i="20"/>
  <c r="I3807" i="20"/>
  <c r="I3817" i="20"/>
  <c r="I3806" i="20"/>
  <c r="I3804" i="20"/>
  <c r="I3809" i="20"/>
  <c r="I3814" i="20"/>
  <c r="F3800" i="20"/>
  <c r="I3811" i="20"/>
  <c r="I3808" i="20"/>
  <c r="I3816" i="20"/>
  <c r="E3826" i="20"/>
  <c r="I3805" i="20"/>
  <c r="I3813" i="20"/>
  <c r="F3799" i="20"/>
  <c r="I3810" i="20"/>
  <c r="I3815" i="20"/>
  <c r="D8423" i="20"/>
  <c r="F8423" i="20" s="1"/>
  <c r="I5558" i="20"/>
  <c r="I5545" i="20"/>
  <c r="I5550" i="20"/>
  <c r="F5539" i="20"/>
  <c r="E5568" i="20"/>
  <c r="I5547" i="20"/>
  <c r="I5555" i="20"/>
  <c r="I5552" i="20"/>
  <c r="F8732" i="20"/>
  <c r="I5549" i="20"/>
  <c r="I5557" i="20"/>
  <c r="E5567" i="20"/>
  <c r="I5546" i="20"/>
  <c r="I5554" i="20"/>
  <c r="F5540" i="20"/>
  <c r="I5551" i="20"/>
  <c r="I5548" i="20"/>
  <c r="I5556" i="20"/>
  <c r="I8740" i="20"/>
  <c r="G8733" i="20"/>
  <c r="E8762" i="20"/>
  <c r="I8748" i="20"/>
  <c r="I8746" i="20"/>
  <c r="I8754" i="20"/>
  <c r="E8764" i="20"/>
  <c r="I8738" i="20"/>
  <c r="I8743" i="20"/>
  <c r="I8751" i="20"/>
  <c r="G8465" i="20"/>
  <c r="F8734" i="20"/>
  <c r="G8734" i="20" s="1"/>
  <c r="I8745" i="20"/>
  <c r="I8753" i="20"/>
  <c r="E8763" i="20"/>
  <c r="I8742" i="20"/>
  <c r="I8750" i="20"/>
  <c r="I8739" i="20"/>
  <c r="I8747" i="20"/>
  <c r="F8408" i="20"/>
  <c r="I8744" i="20"/>
  <c r="I8752" i="20"/>
  <c r="I8741" i="20"/>
  <c r="I8420" i="20"/>
  <c r="I8417" i="20"/>
  <c r="I8416" i="20"/>
  <c r="I8419" i="20"/>
  <c r="I8428" i="20"/>
  <c r="I8472" i="20"/>
  <c r="E8494" i="20"/>
  <c r="I8480" i="20"/>
  <c r="E8441" i="20"/>
  <c r="I8478" i="20"/>
  <c r="I8486" i="20"/>
  <c r="E8496" i="20"/>
  <c r="I8431" i="20"/>
  <c r="F8464" i="20"/>
  <c r="G8464" i="20" s="1"/>
  <c r="I8470" i="20"/>
  <c r="I8475" i="20"/>
  <c r="I8483" i="20"/>
  <c r="F3749" i="20"/>
  <c r="F8466" i="20"/>
  <c r="G8466" i="20" s="1"/>
  <c r="I8477" i="20"/>
  <c r="I8485" i="20"/>
  <c r="E8495" i="20"/>
  <c r="F3747" i="20"/>
  <c r="F8409" i="20"/>
  <c r="G8409" i="20" s="1"/>
  <c r="I8415" i="20"/>
  <c r="F8463" i="20"/>
  <c r="I8474" i="20"/>
  <c r="I8482" i="20"/>
  <c r="I8471" i="20"/>
  <c r="I8479" i="20"/>
  <c r="E3776" i="20"/>
  <c r="I8476" i="20"/>
  <c r="I8484" i="20"/>
  <c r="I8473" i="20"/>
  <c r="D3758" i="20"/>
  <c r="F3758" i="20" s="1"/>
  <c r="I8423" i="20"/>
  <c r="I8425" i="20"/>
  <c r="F8411" i="20"/>
  <c r="G8411" i="20" s="1"/>
  <c r="I8422" i="20"/>
  <c r="I8430" i="20"/>
  <c r="E8440" i="20"/>
  <c r="I8427" i="20"/>
  <c r="I8424" i="20"/>
  <c r="F8410" i="20"/>
  <c r="G8410" i="20" s="1"/>
  <c r="I8421" i="20"/>
  <c r="I8429" i="20"/>
  <c r="I8418" i="20"/>
  <c r="I3762" i="20"/>
  <c r="I3754" i="20"/>
  <c r="I3760" i="20"/>
  <c r="I3755" i="20"/>
  <c r="I3763" i="20"/>
  <c r="I3753" i="20"/>
  <c r="I3756" i="20"/>
  <c r="I3766" i="20"/>
  <c r="I3758" i="20"/>
  <c r="D3654" i="20"/>
  <c r="F3654" i="20" s="1"/>
  <c r="D3705" i="20"/>
  <c r="F3705" i="20" s="1"/>
  <c r="F3696" i="20"/>
  <c r="F3698" i="20"/>
  <c r="I3757" i="20"/>
  <c r="I3765" i="20"/>
  <c r="E3775" i="20"/>
  <c r="F3697" i="20"/>
  <c r="F3748" i="20"/>
  <c r="I3759" i="20"/>
  <c r="E3725" i="20"/>
  <c r="I3764" i="20"/>
  <c r="I3707" i="20"/>
  <c r="I3711" i="20"/>
  <c r="I3703" i="20"/>
  <c r="I3709" i="20"/>
  <c r="I3708" i="20"/>
  <c r="I3715" i="20"/>
  <c r="I3702" i="20"/>
  <c r="I3704" i="20"/>
  <c r="I3712" i="20"/>
  <c r="F3596" i="20"/>
  <c r="I3706" i="20"/>
  <c r="I3714" i="20"/>
  <c r="E3724" i="20"/>
  <c r="I3705" i="20"/>
  <c r="I3713" i="20"/>
  <c r="F3594" i="20"/>
  <c r="I3664" i="20"/>
  <c r="F3645" i="20"/>
  <c r="I3653" i="20"/>
  <c r="I3651" i="20"/>
  <c r="I3658" i="20"/>
  <c r="I3656" i="20"/>
  <c r="E3674" i="20"/>
  <c r="I3661" i="20"/>
  <c r="F3647" i="20"/>
  <c r="E9289" i="20"/>
  <c r="I3655" i="20"/>
  <c r="I3663" i="20"/>
  <c r="E3673" i="20"/>
  <c r="I3652" i="20"/>
  <c r="I3660" i="20"/>
  <c r="F3646" i="20"/>
  <c r="I3657" i="20"/>
  <c r="I3654" i="20"/>
  <c r="I3662" i="20"/>
  <c r="F7360" i="20"/>
  <c r="I3613" i="20"/>
  <c r="I3603" i="20"/>
  <c r="I3607" i="20"/>
  <c r="I3609" i="20"/>
  <c r="I3605" i="20"/>
  <c r="I3601" i="20"/>
  <c r="I3600" i="20"/>
  <c r="I3602" i="20"/>
  <c r="E3623" i="20"/>
  <c r="I3610" i="20"/>
  <c r="F7363" i="20"/>
  <c r="G7363" i="20" s="1"/>
  <c r="I3604" i="20"/>
  <c r="I3612" i="20"/>
  <c r="E3622" i="20"/>
  <c r="F7262" i="20"/>
  <c r="F3595" i="20"/>
  <c r="I3606" i="20"/>
  <c r="I3611" i="20"/>
  <c r="F7369" i="20"/>
  <c r="D7156" i="20"/>
  <c r="F7156" i="20" s="1"/>
  <c r="I9277" i="20"/>
  <c r="I9269" i="20"/>
  <c r="I9275" i="20"/>
  <c r="I9278" i="20"/>
  <c r="I9270" i="20"/>
  <c r="E7390" i="20"/>
  <c r="F9262" i="20"/>
  <c r="I9268" i="20"/>
  <c r="I9273" i="20"/>
  <c r="I9281" i="20"/>
  <c r="E9291" i="20"/>
  <c r="F7261" i="20"/>
  <c r="F9261" i="20"/>
  <c r="I9272" i="20"/>
  <c r="I9280" i="20"/>
  <c r="E9290" i="20"/>
  <c r="F9263" i="20"/>
  <c r="G9263" i="20" s="1"/>
  <c r="I9274" i="20"/>
  <c r="E7283" i="20"/>
  <c r="I9271" i="20"/>
  <c r="I9279" i="20"/>
  <c r="I7380" i="20"/>
  <c r="I7273" i="20"/>
  <c r="I7372" i="20"/>
  <c r="I7368" i="20"/>
  <c r="I7369" i="20"/>
  <c r="I7377" i="20"/>
  <c r="F7368" i="20"/>
  <c r="I7374" i="20"/>
  <c r="F7210" i="20"/>
  <c r="F7362" i="20"/>
  <c r="G7362" i="20" s="1"/>
  <c r="I7371" i="20"/>
  <c r="I7379" i="20"/>
  <c r="E7389" i="20"/>
  <c r="I7376" i="20"/>
  <c r="I7373" i="20"/>
  <c r="F7361" i="20"/>
  <c r="I7367" i="20"/>
  <c r="I7370" i="20"/>
  <c r="I7378" i="20"/>
  <c r="F7256" i="20"/>
  <c r="G7256" i="20" s="1"/>
  <c r="F7209" i="20"/>
  <c r="F7106" i="20"/>
  <c r="F7158" i="20"/>
  <c r="D7208" i="20"/>
  <c r="F7208" i="20" s="1"/>
  <c r="I7265" i="20"/>
  <c r="I7261" i="20"/>
  <c r="F7253" i="20"/>
  <c r="I7262" i="20"/>
  <c r="I7270" i="20"/>
  <c r="I7267" i="20"/>
  <c r="F7255" i="20"/>
  <c r="G7255" i="20" s="1"/>
  <c r="I7264" i="20"/>
  <c r="I7272" i="20"/>
  <c r="E7282" i="20"/>
  <c r="I7269" i="20"/>
  <c r="I7266" i="20"/>
  <c r="F7254" i="20"/>
  <c r="I7260" i="20"/>
  <c r="I7263" i="20"/>
  <c r="I7271" i="20"/>
  <c r="I7157" i="20"/>
  <c r="I7209" i="20"/>
  <c r="I7215" i="20"/>
  <c r="F7204" i="20"/>
  <c r="G7204" i="20" s="1"/>
  <c r="I7213" i="20"/>
  <c r="I7221" i="20"/>
  <c r="E7231" i="20"/>
  <c r="F7201" i="20"/>
  <c r="I7210" i="20"/>
  <c r="I7218" i="20"/>
  <c r="F7105" i="20"/>
  <c r="I7169" i="20"/>
  <c r="F7203" i="20"/>
  <c r="G7203" i="20" s="1"/>
  <c r="I7212" i="20"/>
  <c r="I7220" i="20"/>
  <c r="E7230" i="20"/>
  <c r="I7217" i="20"/>
  <c r="I7117" i="20"/>
  <c r="G7151" i="20"/>
  <c r="F7157" i="20"/>
  <c r="I7214" i="20"/>
  <c r="F7202" i="20"/>
  <c r="I7208" i="20"/>
  <c r="I7211" i="20"/>
  <c r="I7219" i="20"/>
  <c r="I7163" i="20"/>
  <c r="I7161" i="20"/>
  <c r="I7168" i="20"/>
  <c r="I7160" i="20"/>
  <c r="F7152" i="20"/>
  <c r="G7152" i="20" s="1"/>
  <c r="E7179" i="20"/>
  <c r="F7149" i="20"/>
  <c r="I7158" i="20"/>
  <c r="I7166" i="20"/>
  <c r="I7109" i="20"/>
  <c r="I7165" i="20"/>
  <c r="E7178" i="20"/>
  <c r="I7162" i="20"/>
  <c r="F7150" i="20"/>
  <c r="I7156" i="20"/>
  <c r="I7159" i="20"/>
  <c r="I7167" i="20"/>
  <c r="E7177" i="20"/>
  <c r="I7111" i="20"/>
  <c r="I7106" i="20"/>
  <c r="I7114" i="20"/>
  <c r="I7105" i="20"/>
  <c r="F7100" i="20"/>
  <c r="G7100" i="20" s="1"/>
  <c r="E7127" i="20"/>
  <c r="F7097" i="20"/>
  <c r="F7099" i="20"/>
  <c r="G7099" i="20" s="1"/>
  <c r="I7108" i="20"/>
  <c r="I7116" i="20"/>
  <c r="E7126" i="20"/>
  <c r="I7113" i="20"/>
  <c r="I7110" i="20"/>
  <c r="F6846" i="20"/>
  <c r="F7098" i="20"/>
  <c r="I7104" i="20"/>
  <c r="I7107" i="20"/>
  <c r="I7115" i="20"/>
  <c r="F7001" i="20"/>
  <c r="F7053" i="20"/>
  <c r="F7054" i="20"/>
  <c r="I7054" i="20"/>
  <c r="I7053" i="20"/>
  <c r="I7059" i="20"/>
  <c r="F7048" i="20"/>
  <c r="G7048" i="20" s="1"/>
  <c r="I7057" i="20"/>
  <c r="I7065" i="20"/>
  <c r="E7075" i="20"/>
  <c r="F7045" i="20"/>
  <c r="I7062" i="20"/>
  <c r="F7047" i="20"/>
  <c r="G7047" i="20" s="1"/>
  <c r="I7056" i="20"/>
  <c r="I7064" i="20"/>
  <c r="E7074" i="20"/>
  <c r="I7061" i="20"/>
  <c r="I7058" i="20"/>
  <c r="F7046" i="20"/>
  <c r="I7052" i="20"/>
  <c r="I7055" i="20"/>
  <c r="I7063" i="20"/>
  <c r="F7002" i="20"/>
  <c r="F6950" i="20"/>
  <c r="F6898" i="20"/>
  <c r="F6949" i="20"/>
  <c r="I7001" i="20"/>
  <c r="I7007" i="20"/>
  <c r="F6996" i="20"/>
  <c r="G6996" i="20" s="1"/>
  <c r="I7005" i="20"/>
  <c r="I7013" i="20"/>
  <c r="E7023" i="20"/>
  <c r="F6993" i="20"/>
  <c r="I7002" i="20"/>
  <c r="I7010" i="20"/>
  <c r="I6950" i="20"/>
  <c r="F6995" i="20"/>
  <c r="G6995" i="20" s="1"/>
  <c r="I7004" i="20"/>
  <c r="I7012" i="20"/>
  <c r="E7022" i="20"/>
  <c r="I7009" i="20"/>
  <c r="I7006" i="20"/>
  <c r="F6994" i="20"/>
  <c r="I7000" i="20"/>
  <c r="I7003" i="20"/>
  <c r="I7011" i="20"/>
  <c r="F6897" i="20"/>
  <c r="I6949" i="20"/>
  <c r="I6955" i="20"/>
  <c r="F6944" i="20"/>
  <c r="G6944" i="20" s="1"/>
  <c r="I6953" i="20"/>
  <c r="I6961" i="20"/>
  <c r="E6971" i="20"/>
  <c r="F6941" i="20"/>
  <c r="I6958" i="20"/>
  <c r="F6845" i="20"/>
  <c r="I6897" i="20"/>
  <c r="F6943" i="20"/>
  <c r="G6943" i="20" s="1"/>
  <c r="I6952" i="20"/>
  <c r="I6960" i="20"/>
  <c r="E6970" i="20"/>
  <c r="I6957" i="20"/>
  <c r="I6954" i="20"/>
  <c r="I6898" i="20"/>
  <c r="I6902" i="20"/>
  <c r="F6942" i="20"/>
  <c r="I6948" i="20"/>
  <c r="I6951" i="20"/>
  <c r="I6959" i="20"/>
  <c r="I6903" i="20"/>
  <c r="I6906" i="20"/>
  <c r="F6892" i="20"/>
  <c r="G6892" i="20" s="1"/>
  <c r="I6901" i="20"/>
  <c r="I6909" i="20"/>
  <c r="E6919" i="20"/>
  <c r="F6742" i="20"/>
  <c r="F6889" i="20"/>
  <c r="F6736" i="20"/>
  <c r="G6736" i="20" s="1"/>
  <c r="F6891" i="20"/>
  <c r="G6891" i="20" s="1"/>
  <c r="I6900" i="20"/>
  <c r="I6908" i="20"/>
  <c r="E6918" i="20"/>
  <c r="I6905" i="20"/>
  <c r="F6890" i="20"/>
  <c r="I6896" i="20"/>
  <c r="I6899" i="20"/>
  <c r="I6907" i="20"/>
  <c r="I6845" i="20"/>
  <c r="I6851" i="20"/>
  <c r="F6788" i="20"/>
  <c r="G6788" i="20" s="1"/>
  <c r="E6815" i="20"/>
  <c r="F6840" i="20"/>
  <c r="G6840" i="20" s="1"/>
  <c r="I6849" i="20"/>
  <c r="I6857" i="20"/>
  <c r="E6867" i="20"/>
  <c r="F6837" i="20"/>
  <c r="I6846" i="20"/>
  <c r="I6854" i="20"/>
  <c r="F6793" i="20"/>
  <c r="F6839" i="20"/>
  <c r="G6839" i="20" s="1"/>
  <c r="I6848" i="20"/>
  <c r="I6856" i="20"/>
  <c r="E6866" i="20"/>
  <c r="F6787" i="20"/>
  <c r="G6787" i="20" s="1"/>
  <c r="I6853" i="20"/>
  <c r="I6850" i="20"/>
  <c r="F6838" i="20"/>
  <c r="I6844" i="20"/>
  <c r="I6847" i="20"/>
  <c r="I6855" i="20"/>
  <c r="F6794" i="20"/>
  <c r="I6793" i="20"/>
  <c r="I6805" i="20"/>
  <c r="I6799" i="20"/>
  <c r="I6797" i="20"/>
  <c r="I6796" i="20"/>
  <c r="F6785" i="20"/>
  <c r="I6794" i="20"/>
  <c r="I6802" i="20"/>
  <c r="F6741" i="20"/>
  <c r="I6804" i="20"/>
  <c r="E6814" i="20"/>
  <c r="I6801" i="20"/>
  <c r="I6798" i="20"/>
  <c r="F6786" i="20"/>
  <c r="I6792" i="20"/>
  <c r="I6795" i="20"/>
  <c r="I6803" i="20"/>
  <c r="I6753" i="20"/>
  <c r="I6741" i="20"/>
  <c r="I6747" i="20"/>
  <c r="I6745" i="20"/>
  <c r="E6763" i="20"/>
  <c r="F6733" i="20"/>
  <c r="I6742" i="20"/>
  <c r="I6750" i="20"/>
  <c r="F6735" i="20"/>
  <c r="G6735" i="20" s="1"/>
  <c r="I6744" i="20"/>
  <c r="I6752" i="20"/>
  <c r="E6762" i="20"/>
  <c r="I6749" i="20"/>
  <c r="I6746" i="20"/>
  <c r="F6734" i="20"/>
  <c r="I6740" i="20"/>
  <c r="I6743" i="20"/>
  <c r="I6751" i="20"/>
  <c r="I7479" i="20"/>
  <c r="I7473" i="20"/>
  <c r="F7468" i="20"/>
  <c r="G7468" i="20" s="1"/>
  <c r="I7477" i="20"/>
  <c r="I7485" i="20"/>
  <c r="E7495" i="20"/>
  <c r="F7465" i="20"/>
  <c r="I7474" i="20"/>
  <c r="I7482" i="20"/>
  <c r="E7441" i="20"/>
  <c r="F7467" i="20"/>
  <c r="G7467" i="20" s="1"/>
  <c r="I7476" i="20"/>
  <c r="I7484" i="20"/>
  <c r="E7494" i="20"/>
  <c r="I7481" i="20"/>
  <c r="F7413" i="20"/>
  <c r="I7478" i="20"/>
  <c r="F7466" i="20"/>
  <c r="I7472" i="20"/>
  <c r="I7475" i="20"/>
  <c r="I7483" i="20"/>
  <c r="F7416" i="20"/>
  <c r="G7416" i="20" s="1"/>
  <c r="I7430" i="20"/>
  <c r="I7422" i="20"/>
  <c r="I7433" i="20"/>
  <c r="I7421" i="20"/>
  <c r="I7425" i="20"/>
  <c r="F7415" i="20"/>
  <c r="G7415" i="20" s="1"/>
  <c r="I7424" i="20"/>
  <c r="I7432" i="20"/>
  <c r="E7442" i="20"/>
  <c r="I7429" i="20"/>
  <c r="I7426" i="20"/>
  <c r="F7414" i="20"/>
  <c r="I7420" i="20"/>
  <c r="I7423" i="20"/>
  <c r="I7431" i="20"/>
  <c r="I7427" i="20"/>
  <c r="I5501" i="20"/>
  <c r="I5494" i="20"/>
  <c r="I5499" i="20"/>
  <c r="I5507" i="20"/>
  <c r="E5517" i="20"/>
  <c r="I5496" i="20"/>
  <c r="I5504" i="20"/>
  <c r="I5498" i="20"/>
  <c r="I5506" i="20"/>
  <c r="E5516" i="20"/>
  <c r="I5495" i="20"/>
  <c r="F5488" i="20"/>
  <c r="I5503" i="20"/>
  <c r="I5500" i="20"/>
  <c r="F5489" i="20"/>
  <c r="I5497" i="20"/>
  <c r="I5505" i="20"/>
  <c r="H6858" i="20" l="1"/>
  <c r="K6832" i="20" s="1"/>
  <c r="G5540" i="20"/>
  <c r="F5541" i="20"/>
  <c r="G5541" i="20" s="1"/>
  <c r="H7170" i="20"/>
  <c r="K7144" i="20" s="1"/>
  <c r="H7222" i="20"/>
  <c r="K7196" i="20" s="1"/>
  <c r="H6910" i="20"/>
  <c r="K6884" i="20" s="1"/>
  <c r="G5489" i="20"/>
  <c r="F5490" i="20"/>
  <c r="G5490" i="20" s="1"/>
  <c r="B5465" i="20" l="1"/>
  <c r="B5464" i="20"/>
  <c r="E5459" i="20"/>
  <c r="F5459" i="20" s="1"/>
  <c r="H5460" i="20" s="1"/>
  <c r="N5431" i="20" s="1"/>
  <c r="D5455" i="20"/>
  <c r="F5455" i="20" s="1"/>
  <c r="C5455" i="20"/>
  <c r="B5455" i="20"/>
  <c r="D5454" i="20"/>
  <c r="F5454" i="20" s="1"/>
  <c r="C5454" i="20"/>
  <c r="B5454" i="20"/>
  <c r="D5453" i="20"/>
  <c r="F5453" i="20" s="1"/>
  <c r="C5453" i="20"/>
  <c r="B5453" i="20"/>
  <c r="D5452" i="20"/>
  <c r="F5452" i="20" s="1"/>
  <c r="C5452" i="20"/>
  <c r="B5452" i="20"/>
  <c r="D5451" i="20"/>
  <c r="F5451" i="20" s="1"/>
  <c r="C5451" i="20"/>
  <c r="B5451" i="20"/>
  <c r="D5450" i="20"/>
  <c r="F5450" i="20" s="1"/>
  <c r="C5450" i="20"/>
  <c r="B5450" i="20"/>
  <c r="D5449" i="20"/>
  <c r="F5449" i="20" s="1"/>
  <c r="C5449" i="20"/>
  <c r="B5449" i="20"/>
  <c r="D5448" i="20"/>
  <c r="F5448" i="20" s="1"/>
  <c r="C5448" i="20"/>
  <c r="B5448" i="20"/>
  <c r="D5447" i="20"/>
  <c r="F5447" i="20" s="1"/>
  <c r="C5447" i="20"/>
  <c r="B5447" i="20"/>
  <c r="D5446" i="20"/>
  <c r="F5446" i="20" s="1"/>
  <c r="C5446" i="20"/>
  <c r="B5446" i="20"/>
  <c r="D5445" i="20"/>
  <c r="F5445" i="20" s="1"/>
  <c r="C5445" i="20"/>
  <c r="B5445" i="20"/>
  <c r="D5444" i="20"/>
  <c r="F5444" i="20" s="1"/>
  <c r="C5444" i="20"/>
  <c r="B5444" i="20"/>
  <c r="C5443" i="20"/>
  <c r="C5442" i="20"/>
  <c r="E5438" i="20"/>
  <c r="G5438" i="20" s="1"/>
  <c r="D5438" i="20"/>
  <c r="B5438" i="20"/>
  <c r="E5437" i="20"/>
  <c r="D5437" i="20"/>
  <c r="B5437" i="20"/>
  <c r="D5436" i="20"/>
  <c r="B5436" i="20"/>
  <c r="G5433" i="20"/>
  <c r="I5450" i="20" s="1"/>
  <c r="G5432" i="20"/>
  <c r="B5432" i="20"/>
  <c r="B5431" i="20"/>
  <c r="H5430" i="20"/>
  <c r="B5427" i="20"/>
  <c r="E5463" i="20"/>
  <c r="B5414" i="20"/>
  <c r="B5413" i="20"/>
  <c r="E5408" i="20"/>
  <c r="F5408" i="20" s="1"/>
  <c r="H5409" i="20" s="1"/>
  <c r="N5380" i="20" s="1"/>
  <c r="D5404" i="20"/>
  <c r="F5404" i="20" s="1"/>
  <c r="C5404" i="20"/>
  <c r="B5404" i="20"/>
  <c r="D5403" i="20"/>
  <c r="F5403" i="20" s="1"/>
  <c r="C5403" i="20"/>
  <c r="B5403" i="20"/>
  <c r="D5402" i="20"/>
  <c r="F5402" i="20" s="1"/>
  <c r="C5402" i="20"/>
  <c r="B5402" i="20"/>
  <c r="D5401" i="20"/>
  <c r="F5401" i="20" s="1"/>
  <c r="C5401" i="20"/>
  <c r="B5401" i="20"/>
  <c r="D5400" i="20"/>
  <c r="F5400" i="20" s="1"/>
  <c r="C5400" i="20"/>
  <c r="B5400" i="20"/>
  <c r="D5399" i="20"/>
  <c r="F5399" i="20" s="1"/>
  <c r="C5399" i="20"/>
  <c r="B5399" i="20"/>
  <c r="D5398" i="20"/>
  <c r="F5398" i="20" s="1"/>
  <c r="C5398" i="20"/>
  <c r="B5398" i="20"/>
  <c r="D5397" i="20"/>
  <c r="F5397" i="20" s="1"/>
  <c r="C5397" i="20"/>
  <c r="B5397" i="20"/>
  <c r="D5396" i="20"/>
  <c r="F5396" i="20" s="1"/>
  <c r="C5396" i="20"/>
  <c r="B5396" i="20"/>
  <c r="D5395" i="20"/>
  <c r="F5395" i="20" s="1"/>
  <c r="C5395" i="20"/>
  <c r="B5395" i="20"/>
  <c r="D5394" i="20"/>
  <c r="F5394" i="20" s="1"/>
  <c r="C5394" i="20"/>
  <c r="B5394" i="20"/>
  <c r="D5393" i="20"/>
  <c r="F5393" i="20" s="1"/>
  <c r="C5393" i="20"/>
  <c r="B5393" i="20"/>
  <c r="C5392" i="20"/>
  <c r="C5391" i="20"/>
  <c r="E5387" i="20"/>
  <c r="G5387" i="20" s="1"/>
  <c r="D5387" i="20"/>
  <c r="B5387" i="20"/>
  <c r="E5386" i="20"/>
  <c r="D5386" i="20"/>
  <c r="B5386" i="20"/>
  <c r="D5385" i="20"/>
  <c r="B5385" i="20"/>
  <c r="G5382" i="20"/>
  <c r="I5402" i="20" s="1"/>
  <c r="G5381" i="20"/>
  <c r="B5381" i="20"/>
  <c r="B5380" i="20"/>
  <c r="H5379" i="20"/>
  <c r="B5376" i="20"/>
  <c r="E5412" i="20"/>
  <c r="B3572" i="20"/>
  <c r="B3571" i="20"/>
  <c r="E3566" i="20"/>
  <c r="F3566" i="20" s="1"/>
  <c r="H3567" i="20" s="1"/>
  <c r="N3538" i="20" s="1"/>
  <c r="D3562" i="20"/>
  <c r="F3562" i="20" s="1"/>
  <c r="C3562" i="20"/>
  <c r="B3562" i="20"/>
  <c r="D3561" i="20"/>
  <c r="F3561" i="20" s="1"/>
  <c r="C3561" i="20"/>
  <c r="B3561" i="20"/>
  <c r="D3560" i="20"/>
  <c r="F3560" i="20" s="1"/>
  <c r="C3560" i="20"/>
  <c r="B3560" i="20"/>
  <c r="D3559" i="20"/>
  <c r="F3559" i="20" s="1"/>
  <c r="C3559" i="20"/>
  <c r="B3559" i="20"/>
  <c r="D3558" i="20"/>
  <c r="F3558" i="20" s="1"/>
  <c r="C3558" i="20"/>
  <c r="B3558" i="20"/>
  <c r="D3557" i="20"/>
  <c r="F3557" i="20" s="1"/>
  <c r="C3557" i="20"/>
  <c r="B3557" i="20"/>
  <c r="C3556" i="20"/>
  <c r="B3556" i="20"/>
  <c r="C3555" i="20"/>
  <c r="B3555" i="20"/>
  <c r="C3554" i="20"/>
  <c r="B3554" i="20"/>
  <c r="C3553" i="20"/>
  <c r="B3553" i="20"/>
  <c r="C3552" i="20"/>
  <c r="B3552" i="20"/>
  <c r="C3551" i="20"/>
  <c r="B3551" i="20"/>
  <c r="C3550" i="20"/>
  <c r="C3549" i="20"/>
  <c r="D3545" i="20"/>
  <c r="B3545" i="20"/>
  <c r="D3544" i="20"/>
  <c r="B3544" i="20"/>
  <c r="D3543" i="20"/>
  <c r="B3543" i="20"/>
  <c r="G3540" i="20"/>
  <c r="I3557" i="20" s="1"/>
  <c r="G3539" i="20"/>
  <c r="B3539" i="20"/>
  <c r="B3538" i="20"/>
  <c r="H3537" i="20"/>
  <c r="B3534" i="20"/>
  <c r="H3533" i="20"/>
  <c r="E3570" i="20" s="1"/>
  <c r="B3521" i="20"/>
  <c r="B3520" i="20"/>
  <c r="E3515" i="20"/>
  <c r="F3515" i="20" s="1"/>
  <c r="H3516" i="20" s="1"/>
  <c r="N3487" i="20" s="1"/>
  <c r="D3511" i="20"/>
  <c r="F3511" i="20" s="1"/>
  <c r="C3511" i="20"/>
  <c r="B3511" i="20"/>
  <c r="D3510" i="20"/>
  <c r="F3510" i="20" s="1"/>
  <c r="C3510" i="20"/>
  <c r="B3510" i="20"/>
  <c r="D3509" i="20"/>
  <c r="F3509" i="20" s="1"/>
  <c r="C3509" i="20"/>
  <c r="B3509" i="20"/>
  <c r="D3508" i="20"/>
  <c r="F3508" i="20" s="1"/>
  <c r="C3508" i="20"/>
  <c r="B3508" i="20"/>
  <c r="D3507" i="20"/>
  <c r="F3507" i="20" s="1"/>
  <c r="C3507" i="20"/>
  <c r="B3507" i="20"/>
  <c r="D3506" i="20"/>
  <c r="F3506" i="20" s="1"/>
  <c r="C3506" i="20"/>
  <c r="B3506" i="20"/>
  <c r="C3505" i="20"/>
  <c r="B3505" i="20"/>
  <c r="C3504" i="20"/>
  <c r="B3504" i="20"/>
  <c r="C3503" i="20"/>
  <c r="B3503" i="20"/>
  <c r="C3502" i="20"/>
  <c r="B3502" i="20"/>
  <c r="C3501" i="20"/>
  <c r="B3501" i="20"/>
  <c r="C3500" i="20"/>
  <c r="B3500" i="20"/>
  <c r="C3499" i="20"/>
  <c r="C3498" i="20"/>
  <c r="D3494" i="20"/>
  <c r="B3494" i="20"/>
  <c r="D3493" i="20"/>
  <c r="B3493" i="20"/>
  <c r="D3492" i="20"/>
  <c r="B3492" i="20"/>
  <c r="G3489" i="20"/>
  <c r="I3506" i="20" s="1"/>
  <c r="G3488" i="20"/>
  <c r="B3488" i="20"/>
  <c r="B3487" i="20"/>
  <c r="H3486" i="20"/>
  <c r="B3483" i="20"/>
  <c r="H3482" i="20"/>
  <c r="E3519" i="20" s="1"/>
  <c r="B8386" i="20"/>
  <c r="B8385" i="20"/>
  <c r="E8380" i="20"/>
  <c r="F8380" i="20" s="1"/>
  <c r="H8381" i="20" s="1"/>
  <c r="N8348" i="20" s="1"/>
  <c r="C8376" i="20"/>
  <c r="B8376" i="20"/>
  <c r="C8375" i="20"/>
  <c r="B8375" i="20"/>
  <c r="C8374" i="20"/>
  <c r="B8374" i="20"/>
  <c r="C8373" i="20"/>
  <c r="B8373" i="20"/>
  <c r="C8372" i="20"/>
  <c r="B8372" i="20"/>
  <c r="C8371" i="20"/>
  <c r="B8371" i="20"/>
  <c r="C8370" i="20"/>
  <c r="B8370" i="20"/>
  <c r="C8369" i="20"/>
  <c r="B8369" i="20"/>
  <c r="C8368" i="20"/>
  <c r="B8368" i="20"/>
  <c r="C8367" i="20"/>
  <c r="B8367" i="20"/>
  <c r="C8366" i="20"/>
  <c r="B8366" i="20"/>
  <c r="C8365" i="20"/>
  <c r="B8365" i="20"/>
  <c r="C8364" i="20"/>
  <c r="B8364" i="20"/>
  <c r="C8363" i="20"/>
  <c r="B8363" i="20"/>
  <c r="C8362" i="20"/>
  <c r="B8362" i="20"/>
  <c r="C8361" i="20"/>
  <c r="C8360" i="20"/>
  <c r="E8356" i="20"/>
  <c r="D8356" i="20"/>
  <c r="B8356" i="20"/>
  <c r="E8355" i="20"/>
  <c r="D8355" i="20"/>
  <c r="B8355" i="20"/>
  <c r="E8354" i="20"/>
  <c r="D8354" i="20"/>
  <c r="B8354" i="20"/>
  <c r="D8353" i="20"/>
  <c r="B8353" i="20"/>
  <c r="G8350" i="20"/>
  <c r="I8371" i="20" s="1"/>
  <c r="G8349" i="20"/>
  <c r="B8349" i="20"/>
  <c r="B8348" i="20"/>
  <c r="H8347" i="20"/>
  <c r="B8344" i="20"/>
  <c r="E8384" i="20"/>
  <c r="J294" i="4"/>
  <c r="L294" i="4" s="1"/>
  <c r="G294" i="4" s="1"/>
  <c r="J267" i="4"/>
  <c r="L267" i="4" s="1"/>
  <c r="G267" i="4" s="1"/>
  <c r="B3470" i="20"/>
  <c r="B3469" i="20"/>
  <c r="E3464" i="20"/>
  <c r="F3464" i="20" s="1"/>
  <c r="H3465" i="20" s="1"/>
  <c r="N3436" i="20" s="1"/>
  <c r="D3460" i="20"/>
  <c r="F3460" i="20" s="1"/>
  <c r="C3460" i="20"/>
  <c r="B3460" i="20"/>
  <c r="D3459" i="20"/>
  <c r="F3459" i="20" s="1"/>
  <c r="C3459" i="20"/>
  <c r="B3459" i="20"/>
  <c r="D3458" i="20"/>
  <c r="F3458" i="20" s="1"/>
  <c r="C3458" i="20"/>
  <c r="B3458" i="20"/>
  <c r="D3457" i="20"/>
  <c r="F3457" i="20" s="1"/>
  <c r="C3457" i="20"/>
  <c r="B3457" i="20"/>
  <c r="D3456" i="20"/>
  <c r="F3456" i="20" s="1"/>
  <c r="C3456" i="20"/>
  <c r="B3456" i="20"/>
  <c r="D3455" i="20"/>
  <c r="F3455" i="20" s="1"/>
  <c r="C3455" i="20"/>
  <c r="B3455" i="20"/>
  <c r="C3454" i="20"/>
  <c r="B3454" i="20"/>
  <c r="C3453" i="20"/>
  <c r="B3453" i="20"/>
  <c r="C3452" i="20"/>
  <c r="B3452" i="20"/>
  <c r="C3451" i="20"/>
  <c r="B3451" i="20"/>
  <c r="C3450" i="20"/>
  <c r="B3450" i="20"/>
  <c r="C3449" i="20"/>
  <c r="B3449" i="20"/>
  <c r="C3448" i="20"/>
  <c r="C3447" i="20"/>
  <c r="D3443" i="20"/>
  <c r="B3443" i="20"/>
  <c r="D3442" i="20"/>
  <c r="B3442" i="20"/>
  <c r="D3441" i="20"/>
  <c r="B3441" i="20"/>
  <c r="G3438" i="20"/>
  <c r="I3455" i="20" s="1"/>
  <c r="G3437" i="20"/>
  <c r="B3437" i="20"/>
  <c r="B3436" i="20"/>
  <c r="H3435" i="20"/>
  <c r="B3432" i="20"/>
  <c r="H3431" i="20"/>
  <c r="E3468" i="20" s="1"/>
  <c r="B3419" i="20"/>
  <c r="B3418" i="20"/>
  <c r="E3413" i="20"/>
  <c r="F3413" i="20" s="1"/>
  <c r="H3414" i="20" s="1"/>
  <c r="N3385" i="20" s="1"/>
  <c r="D3409" i="20"/>
  <c r="F3409" i="20" s="1"/>
  <c r="C3409" i="20"/>
  <c r="B3409" i="20"/>
  <c r="D3408" i="20"/>
  <c r="F3408" i="20" s="1"/>
  <c r="C3408" i="20"/>
  <c r="B3408" i="20"/>
  <c r="D3407" i="20"/>
  <c r="F3407" i="20" s="1"/>
  <c r="C3407" i="20"/>
  <c r="B3407" i="20"/>
  <c r="D3406" i="20"/>
  <c r="F3406" i="20" s="1"/>
  <c r="C3406" i="20"/>
  <c r="B3406" i="20"/>
  <c r="D3405" i="20"/>
  <c r="F3405" i="20" s="1"/>
  <c r="C3405" i="20"/>
  <c r="B3405" i="20"/>
  <c r="D3404" i="20"/>
  <c r="F3404" i="20" s="1"/>
  <c r="C3404" i="20"/>
  <c r="B3404" i="20"/>
  <c r="C3403" i="20"/>
  <c r="B3403" i="20"/>
  <c r="C3402" i="20"/>
  <c r="B3402" i="20"/>
  <c r="C3401" i="20"/>
  <c r="B3401" i="20"/>
  <c r="C3400" i="20"/>
  <c r="B3400" i="20"/>
  <c r="C3399" i="20"/>
  <c r="B3399" i="20"/>
  <c r="C3398" i="20"/>
  <c r="B3398" i="20"/>
  <c r="C3397" i="20"/>
  <c r="C3396" i="20"/>
  <c r="D3392" i="20"/>
  <c r="B3392" i="20"/>
  <c r="D3391" i="20"/>
  <c r="B3391" i="20"/>
  <c r="D3390" i="20"/>
  <c r="B3390" i="20"/>
  <c r="G3387" i="20"/>
  <c r="I3404" i="20" s="1"/>
  <c r="G3386" i="20"/>
  <c r="B3386" i="20"/>
  <c r="B3385" i="20"/>
  <c r="H3384" i="20"/>
  <c r="B3381" i="20"/>
  <c r="H3380" i="20"/>
  <c r="F3392" i="20" s="1"/>
  <c r="B3368" i="20"/>
  <c r="B3367" i="20"/>
  <c r="E3362" i="20"/>
  <c r="F3362" i="20" s="1"/>
  <c r="H3363" i="20" s="1"/>
  <c r="N3334" i="20" s="1"/>
  <c r="D3358" i="20"/>
  <c r="F3358" i="20" s="1"/>
  <c r="C3358" i="20"/>
  <c r="B3358" i="20"/>
  <c r="D3357" i="20"/>
  <c r="F3357" i="20" s="1"/>
  <c r="C3357" i="20"/>
  <c r="B3357" i="20"/>
  <c r="D3356" i="20"/>
  <c r="F3356" i="20" s="1"/>
  <c r="C3356" i="20"/>
  <c r="B3356" i="20"/>
  <c r="D3355" i="20"/>
  <c r="F3355" i="20" s="1"/>
  <c r="C3355" i="20"/>
  <c r="B3355" i="20"/>
  <c r="D3354" i="20"/>
  <c r="F3354" i="20" s="1"/>
  <c r="C3354" i="20"/>
  <c r="B3354" i="20"/>
  <c r="D3353" i="20"/>
  <c r="F3353" i="20" s="1"/>
  <c r="C3353" i="20"/>
  <c r="B3353" i="20"/>
  <c r="C3352" i="20"/>
  <c r="B3352" i="20"/>
  <c r="C3351" i="20"/>
  <c r="B3351" i="20"/>
  <c r="C3350" i="20"/>
  <c r="B3350" i="20"/>
  <c r="C3349" i="20"/>
  <c r="B3349" i="20"/>
  <c r="C3348" i="20"/>
  <c r="B3348" i="20"/>
  <c r="C3347" i="20"/>
  <c r="B3347" i="20"/>
  <c r="C3346" i="20"/>
  <c r="C3345" i="20"/>
  <c r="D3341" i="20"/>
  <c r="B3341" i="20"/>
  <c r="D3340" i="20"/>
  <c r="B3340" i="20"/>
  <c r="D3339" i="20"/>
  <c r="B3339" i="20"/>
  <c r="G3336" i="20"/>
  <c r="I3353" i="20" s="1"/>
  <c r="G3335" i="20"/>
  <c r="B3335" i="20"/>
  <c r="B3334" i="20"/>
  <c r="H3333" i="20"/>
  <c r="B3330" i="20"/>
  <c r="H3329" i="20"/>
  <c r="E3366" i="20" s="1"/>
  <c r="J185" i="4"/>
  <c r="L185" i="4" s="1"/>
  <c r="E5465" i="20" l="1"/>
  <c r="I5391" i="20"/>
  <c r="I5442" i="20"/>
  <c r="I5455" i="20"/>
  <c r="I5447" i="20"/>
  <c r="E5414" i="20"/>
  <c r="F5436" i="20"/>
  <c r="I5444" i="20"/>
  <c r="I5452" i="20"/>
  <c r="I5449" i="20"/>
  <c r="I5446" i="20"/>
  <c r="I5454" i="20"/>
  <c r="E5464" i="20"/>
  <c r="I5443" i="20"/>
  <c r="I5451" i="20"/>
  <c r="I5448" i="20"/>
  <c r="F5437" i="20"/>
  <c r="G5437" i="20" s="1"/>
  <c r="I5445" i="20"/>
  <c r="I5453" i="20"/>
  <c r="F3492" i="20"/>
  <c r="I5396" i="20"/>
  <c r="I5398" i="20"/>
  <c r="I5404" i="20"/>
  <c r="I5399" i="20"/>
  <c r="F5385" i="20"/>
  <c r="I5393" i="20"/>
  <c r="I5401" i="20"/>
  <c r="I5395" i="20"/>
  <c r="I5403" i="20"/>
  <c r="E5413" i="20"/>
  <c r="I5392" i="20"/>
  <c r="I5400" i="20"/>
  <c r="I5397" i="20"/>
  <c r="F5386" i="20"/>
  <c r="G5386" i="20" s="1"/>
  <c r="I5394" i="20"/>
  <c r="F3543" i="20"/>
  <c r="E3572" i="20"/>
  <c r="I3562" i="20"/>
  <c r="I3554" i="20"/>
  <c r="I3552" i="20"/>
  <c r="I3551" i="20"/>
  <c r="I3549" i="20"/>
  <c r="I3559" i="20"/>
  <c r="E3521" i="20"/>
  <c r="F3545" i="20"/>
  <c r="I3556" i="20"/>
  <c r="I3553" i="20"/>
  <c r="I3561" i="20"/>
  <c r="E3571" i="20"/>
  <c r="I3550" i="20"/>
  <c r="I3558" i="20"/>
  <c r="F3544" i="20"/>
  <c r="I3555" i="20"/>
  <c r="I3560" i="20"/>
  <c r="I3501" i="20"/>
  <c r="I3500" i="20"/>
  <c r="I3511" i="20"/>
  <c r="I3498" i="20"/>
  <c r="I3503" i="20"/>
  <c r="I3508" i="20"/>
  <c r="F3494" i="20"/>
  <c r="I3505" i="20"/>
  <c r="I3502" i="20"/>
  <c r="I3510" i="20"/>
  <c r="E3520" i="20"/>
  <c r="I3499" i="20"/>
  <c r="I3507" i="20"/>
  <c r="F3493" i="20"/>
  <c r="I3504" i="20"/>
  <c r="I3509" i="20"/>
  <c r="F8356" i="20"/>
  <c r="G8356" i="20" s="1"/>
  <c r="F8353" i="20"/>
  <c r="F8355" i="20"/>
  <c r="G8355" i="20" s="1"/>
  <c r="F8354" i="20"/>
  <c r="G8354" i="20" s="1"/>
  <c r="I8370" i="20"/>
  <c r="I8373" i="20"/>
  <c r="I8364" i="20"/>
  <c r="I8365" i="20"/>
  <c r="I8360" i="20"/>
  <c r="I8362" i="20"/>
  <c r="I8368" i="20"/>
  <c r="I8376" i="20"/>
  <c r="E8386" i="20"/>
  <c r="I8367" i="20"/>
  <c r="I8375" i="20"/>
  <c r="E8385" i="20"/>
  <c r="I8372" i="20"/>
  <c r="I8361" i="20"/>
  <c r="I8369" i="20"/>
  <c r="I8366" i="20"/>
  <c r="I8374" i="20"/>
  <c r="I8363" i="20"/>
  <c r="I3449" i="20"/>
  <c r="I3447" i="20"/>
  <c r="I3448" i="20"/>
  <c r="I3454" i="20"/>
  <c r="I3457" i="20"/>
  <c r="F3441" i="20"/>
  <c r="I3452" i="20"/>
  <c r="I3460" i="20"/>
  <c r="E3470" i="20"/>
  <c r="I3451" i="20"/>
  <c r="I3459" i="20"/>
  <c r="E3469" i="20"/>
  <c r="I3456" i="20"/>
  <c r="F3443" i="20"/>
  <c r="F3442" i="20"/>
  <c r="I3453" i="20"/>
  <c r="I3450" i="20"/>
  <c r="I3458" i="20"/>
  <c r="F3339" i="20"/>
  <c r="I3398" i="20"/>
  <c r="I3406" i="20"/>
  <c r="I3396" i="20"/>
  <c r="I3403" i="20"/>
  <c r="I3397" i="20"/>
  <c r="F3390" i="20"/>
  <c r="I3401" i="20"/>
  <c r="I3409" i="20"/>
  <c r="E3419" i="20"/>
  <c r="I3400" i="20"/>
  <c r="I3408" i="20"/>
  <c r="E3418" i="20"/>
  <c r="I3405" i="20"/>
  <c r="F3391" i="20"/>
  <c r="I3402" i="20"/>
  <c r="I3399" i="20"/>
  <c r="I3407" i="20"/>
  <c r="E3417" i="20"/>
  <c r="I3352" i="20"/>
  <c r="I3345" i="20"/>
  <c r="I3355" i="20"/>
  <c r="I3347" i="20"/>
  <c r="I3350" i="20"/>
  <c r="I3358" i="20"/>
  <c r="E3368" i="20"/>
  <c r="I3357" i="20"/>
  <c r="E3367" i="20"/>
  <c r="I3354" i="20"/>
  <c r="I3349" i="20"/>
  <c r="I3346" i="20"/>
  <c r="F3340" i="20"/>
  <c r="I3351" i="20"/>
  <c r="F3341" i="20"/>
  <c r="I3348" i="20"/>
  <c r="I3356" i="20"/>
  <c r="E6709" i="20"/>
  <c r="E6690" i="20"/>
  <c r="E6689" i="20"/>
  <c r="B6711" i="20"/>
  <c r="B6710" i="20"/>
  <c r="E6705" i="20"/>
  <c r="F6705" i="20" s="1"/>
  <c r="H6706" i="20" s="1"/>
  <c r="N6676" i="20" s="1"/>
  <c r="D6701" i="20"/>
  <c r="F6701" i="20" s="1"/>
  <c r="C6701" i="20"/>
  <c r="B6701" i="20"/>
  <c r="D6700" i="20"/>
  <c r="F6700" i="20" s="1"/>
  <c r="C6700" i="20"/>
  <c r="B6700" i="20"/>
  <c r="D6699" i="20"/>
  <c r="F6699" i="20" s="1"/>
  <c r="C6699" i="20"/>
  <c r="B6699" i="20"/>
  <c r="D6698" i="20"/>
  <c r="F6698" i="20" s="1"/>
  <c r="C6698" i="20"/>
  <c r="B6698" i="20"/>
  <c r="D6697" i="20"/>
  <c r="F6697" i="20" s="1"/>
  <c r="C6697" i="20"/>
  <c r="B6697" i="20"/>
  <c r="D6696" i="20"/>
  <c r="F6696" i="20" s="1"/>
  <c r="C6696" i="20"/>
  <c r="B6696" i="20"/>
  <c r="D6695" i="20"/>
  <c r="F6695" i="20" s="1"/>
  <c r="C6695" i="20"/>
  <c r="B6695" i="20"/>
  <c r="D6694" i="20"/>
  <c r="F6694" i="20" s="1"/>
  <c r="C6694" i="20"/>
  <c r="B6694" i="20"/>
  <c r="D6693" i="20"/>
  <c r="F6693" i="20" s="1"/>
  <c r="C6693" i="20"/>
  <c r="B6693" i="20"/>
  <c r="D6692" i="20"/>
  <c r="F6692" i="20" s="1"/>
  <c r="C6692" i="20"/>
  <c r="B6692" i="20"/>
  <c r="D6691" i="20"/>
  <c r="F6691" i="20" s="1"/>
  <c r="C6691" i="20"/>
  <c r="B6691" i="20"/>
  <c r="C6690" i="20"/>
  <c r="B6690" i="20"/>
  <c r="C6689" i="20"/>
  <c r="C6688" i="20"/>
  <c r="E6684" i="20"/>
  <c r="D6684" i="20"/>
  <c r="B6684" i="20"/>
  <c r="E6683" i="20"/>
  <c r="D6683" i="20"/>
  <c r="B6683" i="20"/>
  <c r="D6682" i="20"/>
  <c r="B6682" i="20"/>
  <c r="D6681" i="20"/>
  <c r="B6681" i="20"/>
  <c r="G6678" i="20"/>
  <c r="I6696" i="20" s="1"/>
  <c r="G6677" i="20"/>
  <c r="B6677" i="20"/>
  <c r="B6676" i="20"/>
  <c r="H6675" i="20"/>
  <c r="B6672" i="20"/>
  <c r="E6657" i="20"/>
  <c r="B6659" i="20"/>
  <c r="B6658" i="20"/>
  <c r="E6653" i="20"/>
  <c r="F6653" i="20" s="1"/>
  <c r="H6654" i="20" s="1"/>
  <c r="N6624" i="20" s="1"/>
  <c r="D6649" i="20"/>
  <c r="F6649" i="20" s="1"/>
  <c r="C6649" i="20"/>
  <c r="B6649" i="20"/>
  <c r="D6648" i="20"/>
  <c r="F6648" i="20" s="1"/>
  <c r="C6648" i="20"/>
  <c r="B6648" i="20"/>
  <c r="D6647" i="20"/>
  <c r="F6647" i="20" s="1"/>
  <c r="C6647" i="20"/>
  <c r="B6647" i="20"/>
  <c r="D6646" i="20"/>
  <c r="F6646" i="20" s="1"/>
  <c r="C6646" i="20"/>
  <c r="B6646" i="20"/>
  <c r="D6645" i="20"/>
  <c r="F6645" i="20" s="1"/>
  <c r="C6645" i="20"/>
  <c r="B6645" i="20"/>
  <c r="D6644" i="20"/>
  <c r="F6644" i="20" s="1"/>
  <c r="C6644" i="20"/>
  <c r="B6644" i="20"/>
  <c r="D6643" i="20"/>
  <c r="F6643" i="20" s="1"/>
  <c r="C6643" i="20"/>
  <c r="B6643" i="20"/>
  <c r="D6642" i="20"/>
  <c r="F6642" i="20" s="1"/>
  <c r="C6642" i="20"/>
  <c r="B6642" i="20"/>
  <c r="D6641" i="20"/>
  <c r="F6641" i="20" s="1"/>
  <c r="C6641" i="20"/>
  <c r="B6641" i="20"/>
  <c r="D6640" i="20"/>
  <c r="F6640" i="20" s="1"/>
  <c r="C6640" i="20"/>
  <c r="B6640" i="20"/>
  <c r="D6639" i="20"/>
  <c r="F6639" i="20" s="1"/>
  <c r="C6639" i="20"/>
  <c r="B6639" i="20"/>
  <c r="D6638" i="20"/>
  <c r="F6638" i="20" s="1"/>
  <c r="C6638" i="20"/>
  <c r="B6638" i="20"/>
  <c r="D6637" i="20"/>
  <c r="F6637" i="20" s="1"/>
  <c r="C6637" i="20"/>
  <c r="C6636" i="20"/>
  <c r="E6632" i="20"/>
  <c r="D6632" i="20"/>
  <c r="B6632" i="20"/>
  <c r="E6631" i="20"/>
  <c r="D6631" i="20"/>
  <c r="B6631" i="20"/>
  <c r="E6630" i="20"/>
  <c r="D6630" i="20"/>
  <c r="B6630" i="20"/>
  <c r="D6629" i="20"/>
  <c r="B6629" i="20"/>
  <c r="G6626" i="20"/>
  <c r="I6644" i="20" s="1"/>
  <c r="G6625" i="20"/>
  <c r="B6625" i="20"/>
  <c r="B6624" i="20"/>
  <c r="H6623" i="20"/>
  <c r="B6620" i="20"/>
  <c r="B5363" i="20"/>
  <c r="B5362" i="20"/>
  <c r="E5357" i="20"/>
  <c r="F5357" i="20" s="1"/>
  <c r="H5358" i="20" s="1"/>
  <c r="N5329" i="20" s="1"/>
  <c r="D5353" i="20"/>
  <c r="F5353" i="20" s="1"/>
  <c r="C5353" i="20"/>
  <c r="B5353" i="20"/>
  <c r="D5352" i="20"/>
  <c r="F5352" i="20" s="1"/>
  <c r="C5352" i="20"/>
  <c r="B5352" i="20"/>
  <c r="D5351" i="20"/>
  <c r="F5351" i="20" s="1"/>
  <c r="C5351" i="20"/>
  <c r="B5351" i="20"/>
  <c r="D5350" i="20"/>
  <c r="F5350" i="20" s="1"/>
  <c r="C5350" i="20"/>
  <c r="B5350" i="20"/>
  <c r="D5349" i="20"/>
  <c r="F5349" i="20" s="1"/>
  <c r="C5349" i="20"/>
  <c r="B5349" i="20"/>
  <c r="D5348" i="20"/>
  <c r="F5348" i="20" s="1"/>
  <c r="C5348" i="20"/>
  <c r="B5348" i="20"/>
  <c r="D5347" i="20"/>
  <c r="F5347" i="20" s="1"/>
  <c r="C5347" i="20"/>
  <c r="B5347" i="20"/>
  <c r="D5346" i="20"/>
  <c r="F5346" i="20" s="1"/>
  <c r="C5346" i="20"/>
  <c r="B5346" i="20"/>
  <c r="D5345" i="20"/>
  <c r="F5345" i="20" s="1"/>
  <c r="C5345" i="20"/>
  <c r="B5345" i="20"/>
  <c r="D5344" i="20"/>
  <c r="F5344" i="20" s="1"/>
  <c r="C5344" i="20"/>
  <c r="B5344" i="20"/>
  <c r="D5343" i="20"/>
  <c r="F5343" i="20" s="1"/>
  <c r="C5343" i="20"/>
  <c r="B5343" i="20"/>
  <c r="D5342" i="20"/>
  <c r="F5342" i="20" s="1"/>
  <c r="C5342" i="20"/>
  <c r="B5342" i="20"/>
  <c r="C5341" i="20"/>
  <c r="C5340" i="20"/>
  <c r="E5336" i="20"/>
  <c r="G5336" i="20" s="1"/>
  <c r="D5336" i="20"/>
  <c r="B5336" i="20"/>
  <c r="E5335" i="20"/>
  <c r="D5335" i="20"/>
  <c r="B5335" i="20"/>
  <c r="D5334" i="20"/>
  <c r="B5334" i="20"/>
  <c r="G5331" i="20"/>
  <c r="I5348" i="20" s="1"/>
  <c r="G5330" i="20"/>
  <c r="B5330" i="20"/>
  <c r="B5329" i="20"/>
  <c r="H5328" i="20"/>
  <c r="B5325" i="20"/>
  <c r="E5361" i="20"/>
  <c r="B5312" i="20"/>
  <c r="B5311" i="20"/>
  <c r="E5306" i="20"/>
  <c r="F5306" i="20" s="1"/>
  <c r="H5307" i="20" s="1"/>
  <c r="N5278" i="20" s="1"/>
  <c r="D5302" i="20"/>
  <c r="F5302" i="20" s="1"/>
  <c r="C5302" i="20"/>
  <c r="B5302" i="20"/>
  <c r="D5301" i="20"/>
  <c r="F5301" i="20" s="1"/>
  <c r="C5301" i="20"/>
  <c r="B5301" i="20"/>
  <c r="D5300" i="20"/>
  <c r="F5300" i="20" s="1"/>
  <c r="C5300" i="20"/>
  <c r="B5300" i="20"/>
  <c r="D5299" i="20"/>
  <c r="F5299" i="20" s="1"/>
  <c r="C5299" i="20"/>
  <c r="B5299" i="20"/>
  <c r="D5298" i="20"/>
  <c r="F5298" i="20" s="1"/>
  <c r="C5298" i="20"/>
  <c r="B5298" i="20"/>
  <c r="D5297" i="20"/>
  <c r="F5297" i="20" s="1"/>
  <c r="C5297" i="20"/>
  <c r="B5297" i="20"/>
  <c r="D5296" i="20"/>
  <c r="F5296" i="20" s="1"/>
  <c r="C5296" i="20"/>
  <c r="B5296" i="20"/>
  <c r="D5295" i="20"/>
  <c r="F5295" i="20" s="1"/>
  <c r="C5295" i="20"/>
  <c r="B5295" i="20"/>
  <c r="D5294" i="20"/>
  <c r="F5294" i="20" s="1"/>
  <c r="C5294" i="20"/>
  <c r="B5294" i="20"/>
  <c r="D5293" i="20"/>
  <c r="F5293" i="20" s="1"/>
  <c r="C5293" i="20"/>
  <c r="B5293" i="20"/>
  <c r="D5292" i="20"/>
  <c r="F5292" i="20" s="1"/>
  <c r="C5292" i="20"/>
  <c r="B5292" i="20"/>
  <c r="D5291" i="20"/>
  <c r="F5291" i="20" s="1"/>
  <c r="C5291" i="20"/>
  <c r="B5291" i="20"/>
  <c r="C5290" i="20"/>
  <c r="C5289" i="20"/>
  <c r="E5285" i="20"/>
  <c r="G5285" i="20" s="1"/>
  <c r="D5285" i="20"/>
  <c r="B5285" i="20"/>
  <c r="D5284" i="20"/>
  <c r="B5284" i="20"/>
  <c r="D5283" i="20"/>
  <c r="B5283" i="20"/>
  <c r="G5280" i="20"/>
  <c r="I5297" i="20" s="1"/>
  <c r="G5279" i="20"/>
  <c r="B5279" i="20"/>
  <c r="B5278" i="20"/>
  <c r="H5277" i="20"/>
  <c r="B5274" i="20"/>
  <c r="E5310" i="20"/>
  <c r="H208" i="4"/>
  <c r="B3317" i="20"/>
  <c r="B3316" i="20"/>
  <c r="E3311" i="20"/>
  <c r="F3311" i="20" s="1"/>
  <c r="H3312" i="20" s="1"/>
  <c r="N3283" i="20" s="1"/>
  <c r="D3307" i="20"/>
  <c r="F3307" i="20" s="1"/>
  <c r="C3307" i="20"/>
  <c r="B3307" i="20"/>
  <c r="D3306" i="20"/>
  <c r="F3306" i="20" s="1"/>
  <c r="C3306" i="20"/>
  <c r="B3306" i="20"/>
  <c r="D3305" i="20"/>
  <c r="F3305" i="20" s="1"/>
  <c r="C3305" i="20"/>
  <c r="B3305" i="20"/>
  <c r="D3304" i="20"/>
  <c r="F3304" i="20" s="1"/>
  <c r="C3304" i="20"/>
  <c r="B3304" i="20"/>
  <c r="D3303" i="20"/>
  <c r="F3303" i="20" s="1"/>
  <c r="C3303" i="20"/>
  <c r="B3303" i="20"/>
  <c r="D3302" i="20"/>
  <c r="F3302" i="20" s="1"/>
  <c r="C3302" i="20"/>
  <c r="B3302" i="20"/>
  <c r="C3301" i="20"/>
  <c r="B3301" i="20"/>
  <c r="C3300" i="20"/>
  <c r="B3300" i="20"/>
  <c r="C3299" i="20"/>
  <c r="B3299" i="20"/>
  <c r="C3298" i="20"/>
  <c r="B3298" i="20"/>
  <c r="C3297" i="20"/>
  <c r="B3297" i="20"/>
  <c r="C3296" i="20"/>
  <c r="B3296" i="20"/>
  <c r="C3295" i="20"/>
  <c r="C3294" i="20"/>
  <c r="D3290" i="20"/>
  <c r="B3290" i="20"/>
  <c r="D3289" i="20"/>
  <c r="B3289" i="20"/>
  <c r="D3288" i="20"/>
  <c r="B3288" i="20"/>
  <c r="G3285" i="20"/>
  <c r="I3306" i="20" s="1"/>
  <c r="G3284" i="20"/>
  <c r="B3284" i="20"/>
  <c r="B3283" i="20"/>
  <c r="H3282" i="20"/>
  <c r="B3279" i="20"/>
  <c r="H3278" i="20"/>
  <c r="E3316" i="20" s="1"/>
  <c r="H207" i="4"/>
  <c r="J207" i="4" s="1"/>
  <c r="L207" i="4" s="1"/>
  <c r="G207" i="4" s="1"/>
  <c r="F6683" i="20" l="1"/>
  <c r="G6683" i="20" s="1"/>
  <c r="F6682" i="20"/>
  <c r="I6690" i="20"/>
  <c r="I6698" i="20"/>
  <c r="I6688" i="20"/>
  <c r="I6693" i="20"/>
  <c r="I6701" i="20"/>
  <c r="E6711" i="20"/>
  <c r="F6684" i="20"/>
  <c r="G6684" i="20" s="1"/>
  <c r="I6695" i="20"/>
  <c r="F6681" i="20"/>
  <c r="I6692" i="20"/>
  <c r="I6700" i="20"/>
  <c r="E6710" i="20"/>
  <c r="I6689" i="20"/>
  <c r="I6697" i="20"/>
  <c r="I6694" i="20"/>
  <c r="I6691" i="20"/>
  <c r="I6699" i="20"/>
  <c r="I6641" i="20"/>
  <c r="I6643" i="20"/>
  <c r="I6649" i="20"/>
  <c r="I6637" i="20"/>
  <c r="I6645" i="20"/>
  <c r="F6632" i="20"/>
  <c r="G6632" i="20" s="1"/>
  <c r="I6640" i="20"/>
  <c r="I6636" i="20"/>
  <c r="I6638" i="20"/>
  <c r="I6646" i="20"/>
  <c r="F6630" i="20"/>
  <c r="G6630" i="20" s="1"/>
  <c r="E6659" i="20"/>
  <c r="F5334" i="20"/>
  <c r="F6629" i="20"/>
  <c r="I6648" i="20"/>
  <c r="E6658" i="20"/>
  <c r="F6631" i="20"/>
  <c r="G6631" i="20" s="1"/>
  <c r="I6642" i="20"/>
  <c r="I6639" i="20"/>
  <c r="I6647" i="20"/>
  <c r="I5350" i="20"/>
  <c r="I5342" i="20"/>
  <c r="I5347" i="20"/>
  <c r="I5340" i="20"/>
  <c r="I5345" i="20"/>
  <c r="I5353" i="20"/>
  <c r="E5363" i="20"/>
  <c r="I5344" i="20"/>
  <c r="I5352" i="20"/>
  <c r="E5362" i="20"/>
  <c r="I5341" i="20"/>
  <c r="I5349" i="20"/>
  <c r="I5346" i="20"/>
  <c r="F5335" i="20"/>
  <c r="G5335" i="20" s="1"/>
  <c r="I5343" i="20"/>
  <c r="I5351" i="20"/>
  <c r="F5283" i="20"/>
  <c r="I5296" i="20"/>
  <c r="I5291" i="20"/>
  <c r="I5299" i="20"/>
  <c r="I5289" i="20"/>
  <c r="I5294" i="20"/>
  <c r="I5302" i="20"/>
  <c r="E5312" i="20"/>
  <c r="I5293" i="20"/>
  <c r="I5301" i="20"/>
  <c r="E5311" i="20"/>
  <c r="I5290" i="20"/>
  <c r="I5298" i="20"/>
  <c r="I5295" i="20"/>
  <c r="F5284" i="20"/>
  <c r="I5292" i="20"/>
  <c r="I5300" i="20"/>
  <c r="I3294" i="20"/>
  <c r="I3295" i="20"/>
  <c r="I3307" i="20"/>
  <c r="I3303" i="20"/>
  <c r="I3299" i="20"/>
  <c r="F3289" i="20"/>
  <c r="I3296" i="20"/>
  <c r="I3300" i="20"/>
  <c r="I3304" i="20"/>
  <c r="F3288" i="20"/>
  <c r="I3297" i="20"/>
  <c r="I3301" i="20"/>
  <c r="I3305" i="20"/>
  <c r="E3315" i="20"/>
  <c r="E3317" i="20"/>
  <c r="F3290" i="20"/>
  <c r="I3298" i="20"/>
  <c r="I3302" i="20"/>
  <c r="E10" i="1"/>
  <c r="B3266" i="20"/>
  <c r="B3265" i="20"/>
  <c r="E3260" i="20"/>
  <c r="F3260" i="20" s="1"/>
  <c r="H3261" i="20" s="1"/>
  <c r="N3232" i="20" s="1"/>
  <c r="D3256" i="20"/>
  <c r="F3256" i="20" s="1"/>
  <c r="C3256" i="20"/>
  <c r="B3256" i="20"/>
  <c r="D3255" i="20"/>
  <c r="F3255" i="20" s="1"/>
  <c r="C3255" i="20"/>
  <c r="B3255" i="20"/>
  <c r="D3254" i="20"/>
  <c r="F3254" i="20" s="1"/>
  <c r="C3254" i="20"/>
  <c r="B3254" i="20"/>
  <c r="D3253" i="20"/>
  <c r="F3253" i="20" s="1"/>
  <c r="C3253" i="20"/>
  <c r="B3253" i="20"/>
  <c r="D3252" i="20"/>
  <c r="F3252" i="20" s="1"/>
  <c r="C3252" i="20"/>
  <c r="B3252" i="20"/>
  <c r="D3251" i="20"/>
  <c r="F3251" i="20" s="1"/>
  <c r="C3251" i="20"/>
  <c r="B3251" i="20"/>
  <c r="C3250" i="20"/>
  <c r="B3250" i="20"/>
  <c r="C3249" i="20"/>
  <c r="B3249" i="20"/>
  <c r="C3248" i="20"/>
  <c r="B3248" i="20"/>
  <c r="C3247" i="20"/>
  <c r="B3247" i="20"/>
  <c r="C3246" i="20"/>
  <c r="B3246" i="20"/>
  <c r="C3245" i="20"/>
  <c r="B3245" i="20"/>
  <c r="C3244" i="20"/>
  <c r="C3243" i="20"/>
  <c r="D3239" i="20"/>
  <c r="B3239" i="20"/>
  <c r="D3238" i="20"/>
  <c r="B3238" i="20"/>
  <c r="D3237" i="20"/>
  <c r="B3237" i="20"/>
  <c r="G3234" i="20"/>
  <c r="I3255" i="20" s="1"/>
  <c r="G3233" i="20"/>
  <c r="B3233" i="20"/>
  <c r="B3232" i="20"/>
  <c r="H3231" i="20"/>
  <c r="B3228" i="20"/>
  <c r="H3227" i="20"/>
  <c r="E3265" i="20" s="1"/>
  <c r="B3215" i="20"/>
  <c r="B3214" i="20"/>
  <c r="E3209" i="20"/>
  <c r="F3209" i="20" s="1"/>
  <c r="H3210" i="20" s="1"/>
  <c r="N3181" i="20" s="1"/>
  <c r="D3205" i="20"/>
  <c r="F3205" i="20" s="1"/>
  <c r="C3205" i="20"/>
  <c r="B3205" i="20"/>
  <c r="D3204" i="20"/>
  <c r="F3204" i="20" s="1"/>
  <c r="C3204" i="20"/>
  <c r="B3204" i="20"/>
  <c r="D3203" i="20"/>
  <c r="F3203" i="20" s="1"/>
  <c r="C3203" i="20"/>
  <c r="B3203" i="20"/>
  <c r="D3202" i="20"/>
  <c r="F3202" i="20" s="1"/>
  <c r="C3202" i="20"/>
  <c r="B3202" i="20"/>
  <c r="D3201" i="20"/>
  <c r="F3201" i="20" s="1"/>
  <c r="C3201" i="20"/>
  <c r="B3201" i="20"/>
  <c r="D3200" i="20"/>
  <c r="F3200" i="20" s="1"/>
  <c r="C3200" i="20"/>
  <c r="B3200" i="20"/>
  <c r="C3199" i="20"/>
  <c r="B3199" i="20"/>
  <c r="C3198" i="20"/>
  <c r="B3198" i="20"/>
  <c r="C3197" i="20"/>
  <c r="B3197" i="20"/>
  <c r="C3196" i="20"/>
  <c r="B3196" i="20"/>
  <c r="C3195" i="20"/>
  <c r="B3195" i="20"/>
  <c r="C3194" i="20"/>
  <c r="B3194" i="20"/>
  <c r="C3193" i="20"/>
  <c r="C3192" i="20"/>
  <c r="D3188" i="20"/>
  <c r="B3188" i="20"/>
  <c r="D3187" i="20"/>
  <c r="B3187" i="20"/>
  <c r="D3186" i="20"/>
  <c r="B3186" i="20"/>
  <c r="G3183" i="20"/>
  <c r="I3204" i="20" s="1"/>
  <c r="G3182" i="20"/>
  <c r="B3182" i="20"/>
  <c r="B3181" i="20"/>
  <c r="H3180" i="20"/>
  <c r="B3177" i="20"/>
  <c r="H3176" i="20"/>
  <c r="E3214" i="20" s="1"/>
  <c r="B3164" i="20"/>
  <c r="B3163" i="20"/>
  <c r="E3158" i="20"/>
  <c r="F3158" i="20" s="1"/>
  <c r="H3159" i="20" s="1"/>
  <c r="N3130" i="20" s="1"/>
  <c r="D3154" i="20"/>
  <c r="F3154" i="20" s="1"/>
  <c r="C3154" i="20"/>
  <c r="B3154" i="20"/>
  <c r="D3153" i="20"/>
  <c r="F3153" i="20" s="1"/>
  <c r="C3153" i="20"/>
  <c r="B3153" i="20"/>
  <c r="D3152" i="20"/>
  <c r="F3152" i="20" s="1"/>
  <c r="C3152" i="20"/>
  <c r="B3152" i="20"/>
  <c r="D3151" i="20"/>
  <c r="F3151" i="20" s="1"/>
  <c r="C3151" i="20"/>
  <c r="B3151" i="20"/>
  <c r="D3150" i="20"/>
  <c r="F3150" i="20" s="1"/>
  <c r="C3150" i="20"/>
  <c r="B3150" i="20"/>
  <c r="D3149" i="20"/>
  <c r="F3149" i="20" s="1"/>
  <c r="C3149" i="20"/>
  <c r="B3149" i="20"/>
  <c r="C3148" i="20"/>
  <c r="B3148" i="20"/>
  <c r="C3147" i="20"/>
  <c r="B3147" i="20"/>
  <c r="C3146" i="20"/>
  <c r="B3146" i="20"/>
  <c r="C3145" i="20"/>
  <c r="B3145" i="20"/>
  <c r="C3144" i="20"/>
  <c r="B3144" i="20"/>
  <c r="C3143" i="20"/>
  <c r="B3143" i="20"/>
  <c r="C3142" i="20"/>
  <c r="C3141" i="20"/>
  <c r="D3137" i="20"/>
  <c r="B3137" i="20"/>
  <c r="D3136" i="20"/>
  <c r="B3136" i="20"/>
  <c r="D3135" i="20"/>
  <c r="B3135" i="20"/>
  <c r="G3132" i="20"/>
  <c r="I3153" i="20" s="1"/>
  <c r="G3131" i="20"/>
  <c r="B3131" i="20"/>
  <c r="B3130" i="20"/>
  <c r="H3129" i="20"/>
  <c r="B3126" i="20"/>
  <c r="H3125" i="20"/>
  <c r="E3163" i="20" s="1"/>
  <c r="H195" i="4"/>
  <c r="H190" i="4"/>
  <c r="B3113" i="20"/>
  <c r="B3112" i="20"/>
  <c r="E3107" i="20"/>
  <c r="F3107" i="20" s="1"/>
  <c r="H3108" i="20" s="1"/>
  <c r="N3079" i="20" s="1"/>
  <c r="D3103" i="20"/>
  <c r="F3103" i="20" s="1"/>
  <c r="C3103" i="20"/>
  <c r="B3103" i="20"/>
  <c r="D3102" i="20"/>
  <c r="F3102" i="20" s="1"/>
  <c r="C3102" i="20"/>
  <c r="B3102" i="20"/>
  <c r="D3101" i="20"/>
  <c r="F3101" i="20" s="1"/>
  <c r="C3101" i="20"/>
  <c r="B3101" i="20"/>
  <c r="D3100" i="20"/>
  <c r="F3100" i="20" s="1"/>
  <c r="C3100" i="20"/>
  <c r="B3100" i="20"/>
  <c r="D3099" i="20"/>
  <c r="F3099" i="20" s="1"/>
  <c r="C3099" i="20"/>
  <c r="B3099" i="20"/>
  <c r="D3098" i="20"/>
  <c r="F3098" i="20" s="1"/>
  <c r="C3098" i="20"/>
  <c r="B3098" i="20"/>
  <c r="C3097" i="20"/>
  <c r="B3097" i="20"/>
  <c r="C3096" i="20"/>
  <c r="B3096" i="20"/>
  <c r="C3095" i="20"/>
  <c r="B3095" i="20"/>
  <c r="C3094" i="20"/>
  <c r="B3094" i="20"/>
  <c r="C3093" i="20"/>
  <c r="B3093" i="20"/>
  <c r="C3092" i="20"/>
  <c r="B3092" i="20"/>
  <c r="C3091" i="20"/>
  <c r="C3090" i="20"/>
  <c r="D3086" i="20"/>
  <c r="B3086" i="20"/>
  <c r="D3085" i="20"/>
  <c r="B3085" i="20"/>
  <c r="D3084" i="20"/>
  <c r="B3084" i="20"/>
  <c r="G3081" i="20"/>
  <c r="I3102" i="20" s="1"/>
  <c r="G3080" i="20"/>
  <c r="B3080" i="20"/>
  <c r="B3079" i="20"/>
  <c r="H3078" i="20"/>
  <c r="B3075" i="20"/>
  <c r="H3074" i="20"/>
  <c r="E3112" i="20" s="1"/>
  <c r="B3062" i="20"/>
  <c r="B3061" i="20"/>
  <c r="E3056" i="20"/>
  <c r="F3056" i="20" s="1"/>
  <c r="H3057" i="20" s="1"/>
  <c r="N3028" i="20" s="1"/>
  <c r="D3052" i="20"/>
  <c r="F3052" i="20" s="1"/>
  <c r="C3052" i="20"/>
  <c r="B3052" i="20"/>
  <c r="D3051" i="20"/>
  <c r="F3051" i="20" s="1"/>
  <c r="C3051" i="20"/>
  <c r="B3051" i="20"/>
  <c r="D3050" i="20"/>
  <c r="F3050" i="20" s="1"/>
  <c r="C3050" i="20"/>
  <c r="B3050" i="20"/>
  <c r="D3049" i="20"/>
  <c r="F3049" i="20" s="1"/>
  <c r="C3049" i="20"/>
  <c r="B3049" i="20"/>
  <c r="D3048" i="20"/>
  <c r="F3048" i="20" s="1"/>
  <c r="C3048" i="20"/>
  <c r="B3048" i="20"/>
  <c r="D3047" i="20"/>
  <c r="F3047" i="20" s="1"/>
  <c r="C3047" i="20"/>
  <c r="B3047" i="20"/>
  <c r="C3046" i="20"/>
  <c r="B3046" i="20"/>
  <c r="C3045" i="20"/>
  <c r="B3045" i="20"/>
  <c r="C3044" i="20"/>
  <c r="B3044" i="20"/>
  <c r="C3043" i="20"/>
  <c r="B3043" i="20"/>
  <c r="C3042" i="20"/>
  <c r="B3042" i="20"/>
  <c r="C3041" i="20"/>
  <c r="B3041" i="20"/>
  <c r="C3040" i="20"/>
  <c r="C3039" i="20"/>
  <c r="D3035" i="20"/>
  <c r="B3035" i="20"/>
  <c r="D3034" i="20"/>
  <c r="B3034" i="20"/>
  <c r="D3033" i="20"/>
  <c r="B3033" i="20"/>
  <c r="G3030" i="20"/>
  <c r="I3051" i="20" s="1"/>
  <c r="G3029" i="20"/>
  <c r="B3029" i="20"/>
  <c r="B3028" i="20"/>
  <c r="H3027" i="20"/>
  <c r="B3024" i="20"/>
  <c r="H3023" i="20"/>
  <c r="E3061" i="20" s="1"/>
  <c r="B3011" i="20"/>
  <c r="B3010" i="20"/>
  <c r="E3005" i="20"/>
  <c r="F3005" i="20" s="1"/>
  <c r="H3006" i="20" s="1"/>
  <c r="N2977" i="20" s="1"/>
  <c r="D3001" i="20"/>
  <c r="F3001" i="20" s="1"/>
  <c r="C3001" i="20"/>
  <c r="B3001" i="20"/>
  <c r="D3000" i="20"/>
  <c r="F3000" i="20" s="1"/>
  <c r="C3000" i="20"/>
  <c r="B3000" i="20"/>
  <c r="D2999" i="20"/>
  <c r="F2999" i="20" s="1"/>
  <c r="C2999" i="20"/>
  <c r="B2999" i="20"/>
  <c r="D2998" i="20"/>
  <c r="F2998" i="20" s="1"/>
  <c r="C2998" i="20"/>
  <c r="B2998" i="20"/>
  <c r="D2997" i="20"/>
  <c r="F2997" i="20" s="1"/>
  <c r="C2997" i="20"/>
  <c r="B2997" i="20"/>
  <c r="D2996" i="20"/>
  <c r="F2996" i="20" s="1"/>
  <c r="C2996" i="20"/>
  <c r="B2996" i="20"/>
  <c r="C2995" i="20"/>
  <c r="B2995" i="20"/>
  <c r="C2994" i="20"/>
  <c r="B2994" i="20"/>
  <c r="C2993" i="20"/>
  <c r="B2993" i="20"/>
  <c r="C2992" i="20"/>
  <c r="B2992" i="20"/>
  <c r="C2991" i="20"/>
  <c r="B2991" i="20"/>
  <c r="C2990" i="20"/>
  <c r="B2990" i="20"/>
  <c r="C2989" i="20"/>
  <c r="C2988" i="20"/>
  <c r="D2984" i="20"/>
  <c r="B2984" i="20"/>
  <c r="D2983" i="20"/>
  <c r="B2983" i="20"/>
  <c r="D2982" i="20"/>
  <c r="B2982" i="20"/>
  <c r="G2979" i="20"/>
  <c r="I3000" i="20" s="1"/>
  <c r="G2978" i="20"/>
  <c r="B2978" i="20"/>
  <c r="B2977" i="20"/>
  <c r="H2976" i="20"/>
  <c r="B2973" i="20"/>
  <c r="H2972" i="20"/>
  <c r="E3010" i="20" s="1"/>
  <c r="B2960" i="20"/>
  <c r="B2959" i="20"/>
  <c r="E2954" i="20"/>
  <c r="F2954" i="20" s="1"/>
  <c r="H2955" i="20" s="1"/>
  <c r="N2926" i="20" s="1"/>
  <c r="D2950" i="20"/>
  <c r="F2950" i="20" s="1"/>
  <c r="C2950" i="20"/>
  <c r="B2950" i="20"/>
  <c r="D2949" i="20"/>
  <c r="F2949" i="20" s="1"/>
  <c r="C2949" i="20"/>
  <c r="B2949" i="20"/>
  <c r="D2948" i="20"/>
  <c r="F2948" i="20" s="1"/>
  <c r="C2948" i="20"/>
  <c r="B2948" i="20"/>
  <c r="D2947" i="20"/>
  <c r="F2947" i="20" s="1"/>
  <c r="C2947" i="20"/>
  <c r="B2947" i="20"/>
  <c r="D2946" i="20"/>
  <c r="F2946" i="20" s="1"/>
  <c r="C2946" i="20"/>
  <c r="B2946" i="20"/>
  <c r="D2945" i="20"/>
  <c r="F2945" i="20" s="1"/>
  <c r="C2945" i="20"/>
  <c r="B2945" i="20"/>
  <c r="C2944" i="20"/>
  <c r="B2944" i="20"/>
  <c r="C2943" i="20"/>
  <c r="B2943" i="20"/>
  <c r="C2942" i="20"/>
  <c r="B2942" i="20"/>
  <c r="C2941" i="20"/>
  <c r="B2941" i="20"/>
  <c r="C2940" i="20"/>
  <c r="B2940" i="20"/>
  <c r="C2939" i="20"/>
  <c r="B2939" i="20"/>
  <c r="C2938" i="20"/>
  <c r="C2937" i="20"/>
  <c r="D2933" i="20"/>
  <c r="B2933" i="20"/>
  <c r="D2932" i="20"/>
  <c r="B2932" i="20"/>
  <c r="D2931" i="20"/>
  <c r="B2931" i="20"/>
  <c r="G2928" i="20"/>
  <c r="I2949" i="20" s="1"/>
  <c r="G2927" i="20"/>
  <c r="B2927" i="20"/>
  <c r="B2926" i="20"/>
  <c r="H2925" i="20"/>
  <c r="B2922" i="20"/>
  <c r="H2921" i="20"/>
  <c r="E2959" i="20" s="1"/>
  <c r="B2909" i="20"/>
  <c r="B2908" i="20"/>
  <c r="E2903" i="20"/>
  <c r="F2903" i="20" s="1"/>
  <c r="H2904" i="20" s="1"/>
  <c r="N2875" i="20" s="1"/>
  <c r="D2899" i="20"/>
  <c r="F2899" i="20" s="1"/>
  <c r="C2899" i="20"/>
  <c r="B2899" i="20"/>
  <c r="D2898" i="20"/>
  <c r="F2898" i="20" s="1"/>
  <c r="C2898" i="20"/>
  <c r="B2898" i="20"/>
  <c r="D2897" i="20"/>
  <c r="F2897" i="20" s="1"/>
  <c r="C2897" i="20"/>
  <c r="B2897" i="20"/>
  <c r="D2896" i="20"/>
  <c r="F2896" i="20" s="1"/>
  <c r="C2896" i="20"/>
  <c r="B2896" i="20"/>
  <c r="D2895" i="20"/>
  <c r="F2895" i="20" s="1"/>
  <c r="C2895" i="20"/>
  <c r="B2895" i="20"/>
  <c r="D2894" i="20"/>
  <c r="F2894" i="20" s="1"/>
  <c r="C2894" i="20"/>
  <c r="B2894" i="20"/>
  <c r="C2893" i="20"/>
  <c r="B2893" i="20"/>
  <c r="C2892" i="20"/>
  <c r="B2892" i="20"/>
  <c r="C2891" i="20"/>
  <c r="B2891" i="20"/>
  <c r="C2890" i="20"/>
  <c r="B2890" i="20"/>
  <c r="C2889" i="20"/>
  <c r="B2889" i="20"/>
  <c r="C2888" i="20"/>
  <c r="B2888" i="20"/>
  <c r="C2887" i="20"/>
  <c r="C2886" i="20"/>
  <c r="D2882" i="20"/>
  <c r="B2882" i="20"/>
  <c r="D2881" i="20"/>
  <c r="B2881" i="20"/>
  <c r="D2880" i="20"/>
  <c r="B2880" i="20"/>
  <c r="G2877" i="20"/>
  <c r="I2898" i="20" s="1"/>
  <c r="G2876" i="20"/>
  <c r="B2876" i="20"/>
  <c r="B2875" i="20"/>
  <c r="H2874" i="20"/>
  <c r="B2871" i="20"/>
  <c r="H2870" i="20"/>
  <c r="E2908" i="20" s="1"/>
  <c r="B2858" i="20"/>
  <c r="B2857" i="20"/>
  <c r="E2852" i="20"/>
  <c r="F2852" i="20" s="1"/>
  <c r="H2853" i="20" s="1"/>
  <c r="N2824" i="20" s="1"/>
  <c r="D2848" i="20"/>
  <c r="F2848" i="20" s="1"/>
  <c r="C2848" i="20"/>
  <c r="B2848" i="20"/>
  <c r="D2847" i="20"/>
  <c r="F2847" i="20" s="1"/>
  <c r="C2847" i="20"/>
  <c r="B2847" i="20"/>
  <c r="D2846" i="20"/>
  <c r="F2846" i="20" s="1"/>
  <c r="C2846" i="20"/>
  <c r="B2846" i="20"/>
  <c r="D2845" i="20"/>
  <c r="F2845" i="20" s="1"/>
  <c r="C2845" i="20"/>
  <c r="B2845" i="20"/>
  <c r="D2844" i="20"/>
  <c r="F2844" i="20" s="1"/>
  <c r="C2844" i="20"/>
  <c r="B2844" i="20"/>
  <c r="D2843" i="20"/>
  <c r="F2843" i="20" s="1"/>
  <c r="C2843" i="20"/>
  <c r="B2843" i="20"/>
  <c r="C2842" i="20"/>
  <c r="B2842" i="20"/>
  <c r="C2841" i="20"/>
  <c r="B2841" i="20"/>
  <c r="C2840" i="20"/>
  <c r="B2840" i="20"/>
  <c r="C2839" i="20"/>
  <c r="B2839" i="20"/>
  <c r="C2838" i="20"/>
  <c r="B2838" i="20"/>
  <c r="C2837" i="20"/>
  <c r="B2837" i="20"/>
  <c r="C2836" i="20"/>
  <c r="C2835" i="20"/>
  <c r="D2831" i="20"/>
  <c r="B2831" i="20"/>
  <c r="D2830" i="20"/>
  <c r="B2830" i="20"/>
  <c r="D2829" i="20"/>
  <c r="B2829" i="20"/>
  <c r="G2826" i="20"/>
  <c r="I2847" i="20" s="1"/>
  <c r="G2825" i="20"/>
  <c r="B2825" i="20"/>
  <c r="B2824" i="20"/>
  <c r="H2823" i="20"/>
  <c r="B2820" i="20"/>
  <c r="H2819" i="20"/>
  <c r="E2857" i="20" s="1"/>
  <c r="B2807" i="20"/>
  <c r="B2806" i="20"/>
  <c r="E2801" i="20"/>
  <c r="F2801" i="20" s="1"/>
  <c r="H2802" i="20" s="1"/>
  <c r="N2773" i="20" s="1"/>
  <c r="D2797" i="20"/>
  <c r="F2797" i="20" s="1"/>
  <c r="C2797" i="20"/>
  <c r="B2797" i="20"/>
  <c r="D2796" i="20"/>
  <c r="F2796" i="20" s="1"/>
  <c r="C2796" i="20"/>
  <c r="B2796" i="20"/>
  <c r="D2795" i="20"/>
  <c r="F2795" i="20" s="1"/>
  <c r="C2795" i="20"/>
  <c r="B2795" i="20"/>
  <c r="D2794" i="20"/>
  <c r="F2794" i="20" s="1"/>
  <c r="C2794" i="20"/>
  <c r="B2794" i="20"/>
  <c r="D2793" i="20"/>
  <c r="F2793" i="20" s="1"/>
  <c r="C2793" i="20"/>
  <c r="B2793" i="20"/>
  <c r="D2792" i="20"/>
  <c r="F2792" i="20" s="1"/>
  <c r="C2792" i="20"/>
  <c r="B2792" i="20"/>
  <c r="C2791" i="20"/>
  <c r="B2791" i="20"/>
  <c r="C2790" i="20"/>
  <c r="B2790" i="20"/>
  <c r="C2789" i="20"/>
  <c r="B2789" i="20"/>
  <c r="C2788" i="20"/>
  <c r="B2788" i="20"/>
  <c r="C2787" i="20"/>
  <c r="B2787" i="20"/>
  <c r="C2786" i="20"/>
  <c r="B2786" i="20"/>
  <c r="C2785" i="20"/>
  <c r="C2784" i="20"/>
  <c r="D2780" i="20"/>
  <c r="B2780" i="20"/>
  <c r="D2779" i="20"/>
  <c r="B2779" i="20"/>
  <c r="D2778" i="20"/>
  <c r="B2778" i="20"/>
  <c r="G2775" i="20"/>
  <c r="I2796" i="20" s="1"/>
  <c r="G2774" i="20"/>
  <c r="B2774" i="20"/>
  <c r="B2773" i="20"/>
  <c r="H2772" i="20"/>
  <c r="B2769" i="20"/>
  <c r="H2768" i="20"/>
  <c r="E2806" i="20" s="1"/>
  <c r="B2756" i="20"/>
  <c r="B2755" i="20"/>
  <c r="E2750" i="20"/>
  <c r="F2750" i="20" s="1"/>
  <c r="H2751" i="20" s="1"/>
  <c r="N2722" i="20" s="1"/>
  <c r="D2746" i="20"/>
  <c r="F2746" i="20" s="1"/>
  <c r="C2746" i="20"/>
  <c r="B2746" i="20"/>
  <c r="D2745" i="20"/>
  <c r="F2745" i="20" s="1"/>
  <c r="C2745" i="20"/>
  <c r="B2745" i="20"/>
  <c r="D2744" i="20"/>
  <c r="F2744" i="20" s="1"/>
  <c r="C2744" i="20"/>
  <c r="B2744" i="20"/>
  <c r="D2743" i="20"/>
  <c r="F2743" i="20" s="1"/>
  <c r="C2743" i="20"/>
  <c r="B2743" i="20"/>
  <c r="D2742" i="20"/>
  <c r="F2742" i="20" s="1"/>
  <c r="C2742" i="20"/>
  <c r="B2742" i="20"/>
  <c r="D2741" i="20"/>
  <c r="F2741" i="20" s="1"/>
  <c r="C2741" i="20"/>
  <c r="B2741" i="20"/>
  <c r="C2740" i="20"/>
  <c r="B2740" i="20"/>
  <c r="C2739" i="20"/>
  <c r="B2739" i="20"/>
  <c r="C2738" i="20"/>
  <c r="B2738" i="20"/>
  <c r="C2737" i="20"/>
  <c r="B2737" i="20"/>
  <c r="C2736" i="20"/>
  <c r="B2736" i="20"/>
  <c r="C2735" i="20"/>
  <c r="B2735" i="20"/>
  <c r="C2734" i="20"/>
  <c r="C2733" i="20"/>
  <c r="D2729" i="20"/>
  <c r="B2729" i="20"/>
  <c r="D2728" i="20"/>
  <c r="B2728" i="20"/>
  <c r="D2727" i="20"/>
  <c r="B2727" i="20"/>
  <c r="G2724" i="20"/>
  <c r="I2745" i="20" s="1"/>
  <c r="G2723" i="20"/>
  <c r="B2723" i="20"/>
  <c r="B2722" i="20"/>
  <c r="H2721" i="20"/>
  <c r="B2718" i="20"/>
  <c r="H2717" i="20"/>
  <c r="E2755" i="20" s="1"/>
  <c r="B2705" i="20"/>
  <c r="B2704" i="20"/>
  <c r="E2699" i="20"/>
  <c r="F2699" i="20" s="1"/>
  <c r="H2700" i="20" s="1"/>
  <c r="N2671" i="20" s="1"/>
  <c r="D2695" i="20"/>
  <c r="F2695" i="20" s="1"/>
  <c r="C2695" i="20"/>
  <c r="B2695" i="20"/>
  <c r="D2694" i="20"/>
  <c r="F2694" i="20" s="1"/>
  <c r="C2694" i="20"/>
  <c r="B2694" i="20"/>
  <c r="D2693" i="20"/>
  <c r="F2693" i="20" s="1"/>
  <c r="C2693" i="20"/>
  <c r="B2693" i="20"/>
  <c r="D2692" i="20"/>
  <c r="F2692" i="20" s="1"/>
  <c r="C2692" i="20"/>
  <c r="B2692" i="20"/>
  <c r="D2691" i="20"/>
  <c r="F2691" i="20" s="1"/>
  <c r="C2691" i="20"/>
  <c r="B2691" i="20"/>
  <c r="D2690" i="20"/>
  <c r="F2690" i="20" s="1"/>
  <c r="C2690" i="20"/>
  <c r="B2690" i="20"/>
  <c r="C2689" i="20"/>
  <c r="B2689" i="20"/>
  <c r="C2688" i="20"/>
  <c r="B2688" i="20"/>
  <c r="C2687" i="20"/>
  <c r="B2687" i="20"/>
  <c r="C2686" i="20"/>
  <c r="B2686" i="20"/>
  <c r="C2685" i="20"/>
  <c r="B2685" i="20"/>
  <c r="C2684" i="20"/>
  <c r="B2684" i="20"/>
  <c r="C2683" i="20"/>
  <c r="C2682" i="20"/>
  <c r="D2678" i="20"/>
  <c r="B2678" i="20"/>
  <c r="D2677" i="20"/>
  <c r="B2677" i="20"/>
  <c r="D2676" i="20"/>
  <c r="B2676" i="20"/>
  <c r="G2673" i="20"/>
  <c r="I2694" i="20" s="1"/>
  <c r="G2672" i="20"/>
  <c r="B2672" i="20"/>
  <c r="B2671" i="20"/>
  <c r="H2670" i="20"/>
  <c r="B2667" i="20"/>
  <c r="H2666" i="20"/>
  <c r="E2704" i="20" s="1"/>
  <c r="B2654" i="20"/>
  <c r="B2653" i="20"/>
  <c r="E2648" i="20"/>
  <c r="F2648" i="20" s="1"/>
  <c r="H2649" i="20" s="1"/>
  <c r="N2620" i="20" s="1"/>
  <c r="D2644" i="20"/>
  <c r="F2644" i="20" s="1"/>
  <c r="C2644" i="20"/>
  <c r="B2644" i="20"/>
  <c r="D2643" i="20"/>
  <c r="F2643" i="20" s="1"/>
  <c r="C2643" i="20"/>
  <c r="B2643" i="20"/>
  <c r="D2642" i="20"/>
  <c r="F2642" i="20" s="1"/>
  <c r="C2642" i="20"/>
  <c r="B2642" i="20"/>
  <c r="D2641" i="20"/>
  <c r="F2641" i="20" s="1"/>
  <c r="C2641" i="20"/>
  <c r="B2641" i="20"/>
  <c r="D2640" i="20"/>
  <c r="F2640" i="20" s="1"/>
  <c r="C2640" i="20"/>
  <c r="B2640" i="20"/>
  <c r="D2639" i="20"/>
  <c r="F2639" i="20" s="1"/>
  <c r="C2639" i="20"/>
  <c r="B2639" i="20"/>
  <c r="C2638" i="20"/>
  <c r="B2638" i="20"/>
  <c r="C2637" i="20"/>
  <c r="B2637" i="20"/>
  <c r="C2636" i="20"/>
  <c r="B2636" i="20"/>
  <c r="C2635" i="20"/>
  <c r="B2635" i="20"/>
  <c r="C2634" i="20"/>
  <c r="B2634" i="20"/>
  <c r="C2633" i="20"/>
  <c r="B2633" i="20"/>
  <c r="C2632" i="20"/>
  <c r="C2631" i="20"/>
  <c r="D2627" i="20"/>
  <c r="B2627" i="20"/>
  <c r="D2626" i="20"/>
  <c r="B2626" i="20"/>
  <c r="D2625" i="20"/>
  <c r="B2625" i="20"/>
  <c r="G2622" i="20"/>
  <c r="I2643" i="20" s="1"/>
  <c r="G2621" i="20"/>
  <c r="B2621" i="20"/>
  <c r="B2620" i="20"/>
  <c r="H2619" i="20"/>
  <c r="B2616" i="20"/>
  <c r="H2615" i="20"/>
  <c r="E2653" i="20" s="1"/>
  <c r="F2982" i="20" l="1"/>
  <c r="F3086" i="20"/>
  <c r="F2880" i="20"/>
  <c r="F2780" i="20"/>
  <c r="F2778" i="20"/>
  <c r="F2831" i="20"/>
  <c r="F2931" i="20"/>
  <c r="E3215" i="20"/>
  <c r="E2807" i="20"/>
  <c r="E3113" i="20"/>
  <c r="F2829" i="20"/>
  <c r="F2882" i="20"/>
  <c r="E2858" i="20"/>
  <c r="F3188" i="20"/>
  <c r="F3035" i="20"/>
  <c r="E3062" i="20"/>
  <c r="E3164" i="20"/>
  <c r="F3033" i="20"/>
  <c r="F3135" i="20"/>
  <c r="F2678" i="20"/>
  <c r="E2705" i="20"/>
  <c r="F3084" i="20"/>
  <c r="F3186" i="20"/>
  <c r="F2676" i="20"/>
  <c r="E2909" i="20"/>
  <c r="F2729" i="20"/>
  <c r="E2756" i="20"/>
  <c r="E2960" i="20"/>
  <c r="F2627" i="20"/>
  <c r="F2727" i="20"/>
  <c r="E3011" i="20"/>
  <c r="I3253" i="20"/>
  <c r="I3243" i="20"/>
  <c r="I3244" i="20"/>
  <c r="I3248" i="20"/>
  <c r="I3245" i="20"/>
  <c r="I3249" i="20"/>
  <c r="I3205" i="20"/>
  <c r="I3256" i="20"/>
  <c r="I3252" i="20"/>
  <c r="F3237" i="20"/>
  <c r="E3266" i="20"/>
  <c r="F3238" i="20"/>
  <c r="I3197" i="20"/>
  <c r="F3239" i="20"/>
  <c r="I3246" i="20"/>
  <c r="I3250" i="20"/>
  <c r="I3254" i="20"/>
  <c r="E3264" i="20"/>
  <c r="I3247" i="20"/>
  <c r="I3251" i="20"/>
  <c r="I3192" i="20"/>
  <c r="I3193" i="20"/>
  <c r="I3201" i="20"/>
  <c r="F3187" i="20"/>
  <c r="I3194" i="20"/>
  <c r="I3198" i="20"/>
  <c r="I3202" i="20"/>
  <c r="I3195" i="20"/>
  <c r="I3199" i="20"/>
  <c r="I3203" i="20"/>
  <c r="E3213" i="20"/>
  <c r="I3196" i="20"/>
  <c r="I3200" i="20"/>
  <c r="I3103" i="20"/>
  <c r="I3141" i="20"/>
  <c r="I3142" i="20"/>
  <c r="I3146" i="20"/>
  <c r="I3150" i="20"/>
  <c r="I3154" i="20"/>
  <c r="I3143" i="20"/>
  <c r="I3147" i="20"/>
  <c r="I3151" i="20"/>
  <c r="F3136" i="20"/>
  <c r="F3137" i="20"/>
  <c r="I3144" i="20"/>
  <c r="I3148" i="20"/>
  <c r="I3152" i="20"/>
  <c r="E3162" i="20"/>
  <c r="I3145" i="20"/>
  <c r="I3149" i="20"/>
  <c r="I3099" i="20"/>
  <c r="I3095" i="20"/>
  <c r="I3090" i="20"/>
  <c r="I3091" i="20"/>
  <c r="F3085" i="20"/>
  <c r="I3092" i="20"/>
  <c r="I3096" i="20"/>
  <c r="I3100" i="20"/>
  <c r="I3093" i="20"/>
  <c r="I3097" i="20"/>
  <c r="I3101" i="20"/>
  <c r="E3111" i="20"/>
  <c r="I3094" i="20"/>
  <c r="I3098" i="20"/>
  <c r="I3052" i="20"/>
  <c r="I3048" i="20"/>
  <c r="I3039" i="20"/>
  <c r="I3044" i="20"/>
  <c r="I3040" i="20"/>
  <c r="F3034" i="20"/>
  <c r="I3041" i="20"/>
  <c r="I3045" i="20"/>
  <c r="I3049" i="20"/>
  <c r="I3042" i="20"/>
  <c r="I3046" i="20"/>
  <c r="I3050" i="20"/>
  <c r="E3060" i="20"/>
  <c r="I3043" i="20"/>
  <c r="I3047" i="20"/>
  <c r="I3001" i="20"/>
  <c r="I2993" i="20"/>
  <c r="I2989" i="20"/>
  <c r="I2997" i="20"/>
  <c r="I2988" i="20"/>
  <c r="I2939" i="20"/>
  <c r="I2950" i="20"/>
  <c r="F2983" i="20"/>
  <c r="I2990" i="20"/>
  <c r="I2994" i="20"/>
  <c r="I2998" i="20"/>
  <c r="F2984" i="20"/>
  <c r="I2991" i="20"/>
  <c r="I2995" i="20"/>
  <c r="I2999" i="20"/>
  <c r="E3009" i="20"/>
  <c r="I2992" i="20"/>
  <c r="I2996" i="20"/>
  <c r="I2946" i="20"/>
  <c r="I2942" i="20"/>
  <c r="I2947" i="20"/>
  <c r="I2937" i="20"/>
  <c r="I2938" i="20"/>
  <c r="I2943" i="20"/>
  <c r="I2899" i="20"/>
  <c r="F2932" i="20"/>
  <c r="F2933" i="20"/>
  <c r="I2940" i="20"/>
  <c r="I2944" i="20"/>
  <c r="I2948" i="20"/>
  <c r="E2958" i="20"/>
  <c r="I2941" i="20"/>
  <c r="I2945" i="20"/>
  <c r="I2887" i="20"/>
  <c r="I2889" i="20"/>
  <c r="I2891" i="20"/>
  <c r="I2895" i="20"/>
  <c r="I2886" i="20"/>
  <c r="F2881" i="20"/>
  <c r="I2888" i="20"/>
  <c r="I2892" i="20"/>
  <c r="I2896" i="20"/>
  <c r="I2893" i="20"/>
  <c r="I2897" i="20"/>
  <c r="E2907" i="20"/>
  <c r="I2890" i="20"/>
  <c r="I2894" i="20"/>
  <c r="I2835" i="20"/>
  <c r="I2836" i="20"/>
  <c r="I2840" i="20"/>
  <c r="I2844" i="20"/>
  <c r="I2848" i="20"/>
  <c r="I2797" i="20"/>
  <c r="F2830" i="20"/>
  <c r="I2837" i="20"/>
  <c r="I2841" i="20"/>
  <c r="I2845" i="20"/>
  <c r="I2789" i="20"/>
  <c r="I2838" i="20"/>
  <c r="I2842" i="20"/>
  <c r="I2846" i="20"/>
  <c r="E2856" i="20"/>
  <c r="I2839" i="20"/>
  <c r="I2843" i="20"/>
  <c r="I2784" i="20"/>
  <c r="I2785" i="20"/>
  <c r="I2793" i="20"/>
  <c r="I2746" i="20"/>
  <c r="F2779" i="20"/>
  <c r="I2786" i="20"/>
  <c r="I2790" i="20"/>
  <c r="I2794" i="20"/>
  <c r="I2738" i="20"/>
  <c r="I2787" i="20"/>
  <c r="I2791" i="20"/>
  <c r="I2795" i="20"/>
  <c r="E2805" i="20"/>
  <c r="I2788" i="20"/>
  <c r="I2792" i="20"/>
  <c r="I2734" i="20"/>
  <c r="I2742" i="20"/>
  <c r="I2733" i="20"/>
  <c r="I2695" i="20"/>
  <c r="F2728" i="20"/>
  <c r="I2735" i="20"/>
  <c r="I2739" i="20"/>
  <c r="I2743" i="20"/>
  <c r="I2736" i="20"/>
  <c r="I2740" i="20"/>
  <c r="I2744" i="20"/>
  <c r="E2754" i="20"/>
  <c r="I2682" i="20"/>
  <c r="I2683" i="20"/>
  <c r="I2737" i="20"/>
  <c r="I2741" i="20"/>
  <c r="I2691" i="20"/>
  <c r="I2687" i="20"/>
  <c r="F2677" i="20"/>
  <c r="I2684" i="20"/>
  <c r="I2688" i="20"/>
  <c r="I2692" i="20"/>
  <c r="I2685" i="20"/>
  <c r="I2689" i="20"/>
  <c r="I2693" i="20"/>
  <c r="E2703" i="20"/>
  <c r="I2686" i="20"/>
  <c r="I2690" i="20"/>
  <c r="F2625" i="20"/>
  <c r="I2631" i="20"/>
  <c r="I2632" i="20"/>
  <c r="I2636" i="20"/>
  <c r="I2640" i="20"/>
  <c r="I2644" i="20"/>
  <c r="E2654" i="20"/>
  <c r="F2626" i="20"/>
  <c r="I2633" i="20"/>
  <c r="I2637" i="20"/>
  <c r="I2641" i="20"/>
  <c r="I2634" i="20"/>
  <c r="I2638" i="20"/>
  <c r="I2642" i="20"/>
  <c r="E2652" i="20"/>
  <c r="I2635" i="20"/>
  <c r="I2639" i="20"/>
  <c r="J280" i="4"/>
  <c r="L280" i="4" s="1"/>
  <c r="G280" i="4" s="1"/>
  <c r="J184" i="4"/>
  <c r="L184" i="4" s="1"/>
  <c r="G184" i="4" s="1"/>
  <c r="D2784" i="20" s="1"/>
  <c r="F2784" i="20" s="1"/>
  <c r="J183" i="4"/>
  <c r="L183" i="4" s="1"/>
  <c r="G183" i="4" s="1"/>
  <c r="D2733" i="20" s="1"/>
  <c r="F2733" i="20" s="1"/>
  <c r="J182" i="4"/>
  <c r="L182" i="4" s="1"/>
  <c r="G182" i="4" s="1"/>
  <c r="D2682" i="20" s="1"/>
  <c r="F2682" i="20" s="1"/>
  <c r="J181" i="4"/>
  <c r="L181" i="4" s="1"/>
  <c r="G181" i="4" s="1"/>
  <c r="D2631" i="20" s="1"/>
  <c r="F2631" i="20" s="1"/>
  <c r="J188" i="4"/>
  <c r="L188" i="4" s="1"/>
  <c r="G188" i="4" s="1"/>
  <c r="J187" i="4"/>
  <c r="L187" i="4" s="1"/>
  <c r="G187" i="4" s="1"/>
  <c r="J186" i="4"/>
  <c r="L186" i="4" s="1"/>
  <c r="G186" i="4" s="1"/>
  <c r="D2886" i="20" s="1"/>
  <c r="F2886" i="20" s="1"/>
  <c r="G185" i="4"/>
  <c r="J190" i="4"/>
  <c r="L190" i="4" s="1"/>
  <c r="G190" i="4" s="1"/>
  <c r="J193" i="4"/>
  <c r="L193" i="4" s="1"/>
  <c r="G193" i="4" s="1"/>
  <c r="D3141" i="20" s="1"/>
  <c r="F3141" i="20" s="1"/>
  <c r="J194" i="4"/>
  <c r="L194" i="4" s="1"/>
  <c r="G194" i="4" s="1"/>
  <c r="D3192" i="20" s="1"/>
  <c r="F3192" i="20" s="1"/>
  <c r="B5260" i="20"/>
  <c r="B5259" i="20"/>
  <c r="E5254" i="20"/>
  <c r="F5254" i="20" s="1"/>
  <c r="H5255" i="20" s="1"/>
  <c r="N5226" i="20" s="1"/>
  <c r="D5250" i="20"/>
  <c r="F5250" i="20" s="1"/>
  <c r="C5250" i="20"/>
  <c r="B5250" i="20"/>
  <c r="D5249" i="20"/>
  <c r="F5249" i="20" s="1"/>
  <c r="C5249" i="20"/>
  <c r="B5249" i="20"/>
  <c r="D5248" i="20"/>
  <c r="F5248" i="20" s="1"/>
  <c r="C5248" i="20"/>
  <c r="B5248" i="20"/>
  <c r="D5247" i="20"/>
  <c r="F5247" i="20" s="1"/>
  <c r="C5247" i="20"/>
  <c r="B5247" i="20"/>
  <c r="D5246" i="20"/>
  <c r="F5246" i="20" s="1"/>
  <c r="C5246" i="20"/>
  <c r="B5246" i="20"/>
  <c r="D5245" i="20"/>
  <c r="F5245" i="20" s="1"/>
  <c r="C5245" i="20"/>
  <c r="B5245" i="20"/>
  <c r="D5244" i="20"/>
  <c r="F5244" i="20" s="1"/>
  <c r="C5244" i="20"/>
  <c r="B5244" i="20"/>
  <c r="D5243" i="20"/>
  <c r="F5243" i="20" s="1"/>
  <c r="C5243" i="20"/>
  <c r="B5243" i="20"/>
  <c r="D5242" i="20"/>
  <c r="F5242" i="20" s="1"/>
  <c r="C5242" i="20"/>
  <c r="B5242" i="20"/>
  <c r="D5241" i="20"/>
  <c r="F5241" i="20" s="1"/>
  <c r="C5241" i="20"/>
  <c r="B5241" i="20"/>
  <c r="D5240" i="20"/>
  <c r="F5240" i="20" s="1"/>
  <c r="C5240" i="20"/>
  <c r="B5240" i="20"/>
  <c r="D5239" i="20"/>
  <c r="F5239" i="20" s="1"/>
  <c r="C5239" i="20"/>
  <c r="B5239" i="20"/>
  <c r="C5238" i="20"/>
  <c r="C5237" i="20"/>
  <c r="E5233" i="20"/>
  <c r="G5233" i="20" s="1"/>
  <c r="D5233" i="20"/>
  <c r="B5233" i="20"/>
  <c r="E5232" i="20"/>
  <c r="D5232" i="20"/>
  <c r="B5232" i="20"/>
  <c r="D5231" i="20"/>
  <c r="B5231" i="20"/>
  <c r="G5228" i="20"/>
  <c r="I5249" i="20" s="1"/>
  <c r="G5227" i="20"/>
  <c r="B5227" i="20"/>
  <c r="B5226" i="20"/>
  <c r="H5225" i="20"/>
  <c r="B5222" i="20"/>
  <c r="E5259" i="20"/>
  <c r="J246" i="4"/>
  <c r="L246" i="4" s="1"/>
  <c r="G246" i="4" s="1"/>
  <c r="D5237" i="20" s="1"/>
  <c r="F5237" i="20" s="1"/>
  <c r="B5209" i="20"/>
  <c r="B5208" i="20"/>
  <c r="E5203" i="20"/>
  <c r="F5203" i="20" s="1"/>
  <c r="H5204" i="20" s="1"/>
  <c r="N5175" i="20" s="1"/>
  <c r="D5199" i="20"/>
  <c r="F5199" i="20" s="1"/>
  <c r="C5199" i="20"/>
  <c r="B5199" i="20"/>
  <c r="D5198" i="20"/>
  <c r="F5198" i="20" s="1"/>
  <c r="C5198" i="20"/>
  <c r="B5198" i="20"/>
  <c r="D5197" i="20"/>
  <c r="F5197" i="20" s="1"/>
  <c r="C5197" i="20"/>
  <c r="B5197" i="20"/>
  <c r="D5196" i="20"/>
  <c r="F5196" i="20" s="1"/>
  <c r="C5196" i="20"/>
  <c r="B5196" i="20"/>
  <c r="D5195" i="20"/>
  <c r="F5195" i="20" s="1"/>
  <c r="C5195" i="20"/>
  <c r="B5195" i="20"/>
  <c r="D5194" i="20"/>
  <c r="F5194" i="20" s="1"/>
  <c r="C5194" i="20"/>
  <c r="B5194" i="20"/>
  <c r="D5193" i="20"/>
  <c r="F5193" i="20" s="1"/>
  <c r="C5193" i="20"/>
  <c r="B5193" i="20"/>
  <c r="C5192" i="20"/>
  <c r="B5192" i="20"/>
  <c r="C5191" i="20"/>
  <c r="B5191" i="20"/>
  <c r="C5190" i="20"/>
  <c r="B5190" i="20"/>
  <c r="C5189" i="20"/>
  <c r="B5189" i="20"/>
  <c r="C5188" i="20"/>
  <c r="B5188" i="20"/>
  <c r="C5187" i="20"/>
  <c r="C5186" i="20"/>
  <c r="E5182" i="20"/>
  <c r="G5182" i="20" s="1"/>
  <c r="D5182" i="20"/>
  <c r="B5182" i="20"/>
  <c r="E5181" i="20"/>
  <c r="D5181" i="20"/>
  <c r="B5181" i="20"/>
  <c r="D5180" i="20"/>
  <c r="B5180" i="20"/>
  <c r="G5177" i="20"/>
  <c r="I5198" i="20" s="1"/>
  <c r="G5176" i="20"/>
  <c r="B5176" i="20"/>
  <c r="B5175" i="20"/>
  <c r="H5174" i="20"/>
  <c r="B5171" i="20"/>
  <c r="H5170" i="20"/>
  <c r="E5208" i="20" s="1"/>
  <c r="H5119" i="20"/>
  <c r="E5158" i="20" s="1"/>
  <c r="B5158" i="20"/>
  <c r="B5157" i="20"/>
  <c r="E5152" i="20"/>
  <c r="F5152" i="20" s="1"/>
  <c r="H5153" i="20" s="1"/>
  <c r="N5124" i="20" s="1"/>
  <c r="D5148" i="20"/>
  <c r="F5148" i="20" s="1"/>
  <c r="C5148" i="20"/>
  <c r="B5148" i="20"/>
  <c r="D5147" i="20"/>
  <c r="F5147" i="20" s="1"/>
  <c r="C5147" i="20"/>
  <c r="B5147" i="20"/>
  <c r="D5146" i="20"/>
  <c r="F5146" i="20" s="1"/>
  <c r="C5146" i="20"/>
  <c r="B5146" i="20"/>
  <c r="D5145" i="20"/>
  <c r="F5145" i="20" s="1"/>
  <c r="C5145" i="20"/>
  <c r="B5145" i="20"/>
  <c r="D5144" i="20"/>
  <c r="F5144" i="20" s="1"/>
  <c r="C5144" i="20"/>
  <c r="B5144" i="20"/>
  <c r="D5143" i="20"/>
  <c r="F5143" i="20" s="1"/>
  <c r="C5143" i="20"/>
  <c r="B5143" i="20"/>
  <c r="D5142" i="20"/>
  <c r="F5142" i="20" s="1"/>
  <c r="C5142" i="20"/>
  <c r="B5142" i="20"/>
  <c r="D5141" i="20"/>
  <c r="F5141" i="20" s="1"/>
  <c r="C5141" i="20"/>
  <c r="B5141" i="20"/>
  <c r="D5140" i="20"/>
  <c r="F5140" i="20" s="1"/>
  <c r="C5140" i="20"/>
  <c r="B5140" i="20"/>
  <c r="D5139" i="20"/>
  <c r="F5139" i="20" s="1"/>
  <c r="C5139" i="20"/>
  <c r="B5139" i="20"/>
  <c r="D5138" i="20"/>
  <c r="F5138" i="20" s="1"/>
  <c r="C5138" i="20"/>
  <c r="B5138" i="20"/>
  <c r="C5137" i="20"/>
  <c r="B5137" i="20"/>
  <c r="C5136" i="20"/>
  <c r="C5135" i="20"/>
  <c r="E5131" i="20"/>
  <c r="G5131" i="20" s="1"/>
  <c r="D5131" i="20"/>
  <c r="B5131" i="20"/>
  <c r="E5130" i="20"/>
  <c r="D5130" i="20"/>
  <c r="B5130" i="20"/>
  <c r="D5129" i="20"/>
  <c r="B5129" i="20"/>
  <c r="G5126" i="20"/>
  <c r="I5147" i="20" s="1"/>
  <c r="G5125" i="20"/>
  <c r="B5125" i="20"/>
  <c r="B5124" i="20"/>
  <c r="H5123" i="20"/>
  <c r="B5120" i="20"/>
  <c r="E5080" i="20"/>
  <c r="G5080" i="20" s="1"/>
  <c r="D5086" i="20"/>
  <c r="F5086" i="20" s="1"/>
  <c r="D5087" i="20"/>
  <c r="F5087" i="20" s="1"/>
  <c r="D5088" i="20"/>
  <c r="F5088" i="20" s="1"/>
  <c r="D5089" i="20"/>
  <c r="F5089" i="20" s="1"/>
  <c r="D5090" i="20"/>
  <c r="F5090" i="20" s="1"/>
  <c r="D5091" i="20"/>
  <c r="F5091" i="20" s="1"/>
  <c r="D5092" i="20"/>
  <c r="F5092" i="20" s="1"/>
  <c r="D5093" i="20"/>
  <c r="F5093" i="20" s="1"/>
  <c r="D5094" i="20"/>
  <c r="F5094" i="20" s="1"/>
  <c r="D5095" i="20"/>
  <c r="F5095" i="20" s="1"/>
  <c r="D5096" i="20"/>
  <c r="F5096" i="20" s="1"/>
  <c r="D5097" i="20"/>
  <c r="F5097" i="20" s="1"/>
  <c r="E5101" i="20"/>
  <c r="F5101" i="20" s="1"/>
  <c r="H5102" i="20" s="1"/>
  <c r="N5073" i="20" s="1"/>
  <c r="G5075" i="20"/>
  <c r="I5096" i="20" s="1"/>
  <c r="G5074" i="20"/>
  <c r="B5074" i="20"/>
  <c r="B5107" i="20"/>
  <c r="B5106" i="20"/>
  <c r="C5097" i="20"/>
  <c r="B5097" i="20"/>
  <c r="C5096" i="20"/>
  <c r="B5096" i="20"/>
  <c r="C5095" i="20"/>
  <c r="B5095" i="20"/>
  <c r="C5094" i="20"/>
  <c r="B5094" i="20"/>
  <c r="C5093" i="20"/>
  <c r="B5093" i="20"/>
  <c r="C5092" i="20"/>
  <c r="B5092" i="20"/>
  <c r="C5091" i="20"/>
  <c r="B5091" i="20"/>
  <c r="C5090" i="20"/>
  <c r="B5090" i="20"/>
  <c r="C5089" i="20"/>
  <c r="B5089" i="20"/>
  <c r="C5088" i="20"/>
  <c r="B5088" i="20"/>
  <c r="C5087" i="20"/>
  <c r="B5087" i="20"/>
  <c r="C5086" i="20"/>
  <c r="B5086" i="20"/>
  <c r="C5085" i="20"/>
  <c r="C5084" i="20"/>
  <c r="D5080" i="20"/>
  <c r="B5080" i="20"/>
  <c r="D5079" i="20"/>
  <c r="B5079" i="20"/>
  <c r="D5078" i="20"/>
  <c r="B5078" i="20"/>
  <c r="B5073" i="20"/>
  <c r="H5072" i="20"/>
  <c r="B5069" i="20"/>
  <c r="H5068" i="20"/>
  <c r="E5106" i="20" s="1"/>
  <c r="D3090" i="20" l="1"/>
  <c r="F3090" i="20" s="1"/>
  <c r="D3906" i="20"/>
  <c r="F3906" i="20" s="1"/>
  <c r="D3345" i="20"/>
  <c r="F3345" i="20" s="1"/>
  <c r="E5157" i="20"/>
  <c r="F5129" i="20"/>
  <c r="F5231" i="20"/>
  <c r="E5260" i="20"/>
  <c r="E5209" i="20"/>
  <c r="D2988" i="20"/>
  <c r="F2988" i="20" s="1"/>
  <c r="D2937" i="20"/>
  <c r="F2937" i="20" s="1"/>
  <c r="I5242" i="20"/>
  <c r="I5246" i="20"/>
  <c r="I5237" i="20"/>
  <c r="I5238" i="20"/>
  <c r="I5250" i="20"/>
  <c r="I5239" i="20"/>
  <c r="I5243" i="20"/>
  <c r="I5247" i="20"/>
  <c r="F5232" i="20"/>
  <c r="G5232" i="20" s="1"/>
  <c r="I5240" i="20"/>
  <c r="I5244" i="20"/>
  <c r="I5248" i="20"/>
  <c r="E5258" i="20"/>
  <c r="I5241" i="20"/>
  <c r="I5245" i="20"/>
  <c r="I5186" i="20"/>
  <c r="I5195" i="20"/>
  <c r="I5199" i="20"/>
  <c r="F5180" i="20"/>
  <c r="I5188" i="20"/>
  <c r="I5192" i="20"/>
  <c r="I5196" i="20"/>
  <c r="I5189" i="20"/>
  <c r="I5193" i="20"/>
  <c r="I5197" i="20"/>
  <c r="E5207" i="20"/>
  <c r="I5187" i="20"/>
  <c r="I5191" i="20"/>
  <c r="F5181" i="20"/>
  <c r="G5181" i="20" s="1"/>
  <c r="I5190" i="20"/>
  <c r="I5194" i="20"/>
  <c r="I5136" i="20"/>
  <c r="I5140" i="20"/>
  <c r="I5135" i="20"/>
  <c r="I5148" i="20"/>
  <c r="I5137" i="20"/>
  <c r="I5141" i="20"/>
  <c r="I5145" i="20"/>
  <c r="F5130" i="20"/>
  <c r="G5130" i="20" s="1"/>
  <c r="I5138" i="20"/>
  <c r="I5142" i="20"/>
  <c r="I5146" i="20"/>
  <c r="E5156" i="20"/>
  <c r="I5144" i="20"/>
  <c r="I5139" i="20"/>
  <c r="I5143" i="20"/>
  <c r="I5084" i="20"/>
  <c r="I5089" i="20"/>
  <c r="I5097" i="20"/>
  <c r="F5078" i="20"/>
  <c r="I5086" i="20"/>
  <c r="I5090" i="20"/>
  <c r="I5094" i="20"/>
  <c r="F5079" i="20"/>
  <c r="I5087" i="20"/>
  <c r="I5091" i="20"/>
  <c r="I5095" i="20"/>
  <c r="E5105" i="20"/>
  <c r="I5085" i="20"/>
  <c r="I5093" i="20"/>
  <c r="E5107" i="20"/>
  <c r="I5088" i="20"/>
  <c r="I5092" i="20"/>
  <c r="B2603" i="20"/>
  <c r="B2602" i="20"/>
  <c r="E2597" i="20"/>
  <c r="F2597" i="20" s="1"/>
  <c r="H2598" i="20" s="1"/>
  <c r="N2569" i="20" s="1"/>
  <c r="D2593" i="20"/>
  <c r="F2593" i="20" s="1"/>
  <c r="C2593" i="20"/>
  <c r="B2593" i="20"/>
  <c r="D2592" i="20"/>
  <c r="F2592" i="20" s="1"/>
  <c r="C2592" i="20"/>
  <c r="B2592" i="20"/>
  <c r="D2591" i="20"/>
  <c r="F2591" i="20" s="1"/>
  <c r="C2591" i="20"/>
  <c r="B2591" i="20"/>
  <c r="D2590" i="20"/>
  <c r="F2590" i="20" s="1"/>
  <c r="C2590" i="20"/>
  <c r="B2590" i="20"/>
  <c r="D2589" i="20"/>
  <c r="F2589" i="20" s="1"/>
  <c r="C2589" i="20"/>
  <c r="B2589" i="20"/>
  <c r="D2588" i="20"/>
  <c r="F2588" i="20" s="1"/>
  <c r="C2588" i="20"/>
  <c r="B2588" i="20"/>
  <c r="C2587" i="20"/>
  <c r="B2587" i="20"/>
  <c r="C2586" i="20"/>
  <c r="B2586" i="20"/>
  <c r="C2585" i="20"/>
  <c r="B2585" i="20"/>
  <c r="C2584" i="20"/>
  <c r="B2584" i="20"/>
  <c r="C2583" i="20"/>
  <c r="B2583" i="20"/>
  <c r="C2582" i="20"/>
  <c r="B2582" i="20"/>
  <c r="C2581" i="20"/>
  <c r="C2580" i="20"/>
  <c r="D2576" i="20"/>
  <c r="B2576" i="20"/>
  <c r="D2575" i="20"/>
  <c r="B2575" i="20"/>
  <c r="D2574" i="20"/>
  <c r="B2574" i="20"/>
  <c r="G2571" i="20"/>
  <c r="I2592" i="20" s="1"/>
  <c r="G2570" i="20"/>
  <c r="B2570" i="20"/>
  <c r="B2569" i="20"/>
  <c r="H2568" i="20"/>
  <c r="B2565" i="20"/>
  <c r="H2564" i="20"/>
  <c r="E2602" i="20" s="1"/>
  <c r="B5056" i="20"/>
  <c r="B5055" i="20"/>
  <c r="E5050" i="20"/>
  <c r="F5050" i="20" s="1"/>
  <c r="H5051" i="20" s="1"/>
  <c r="N5022" i="20" s="1"/>
  <c r="D5046" i="20"/>
  <c r="F5046" i="20" s="1"/>
  <c r="C5046" i="20"/>
  <c r="B5046" i="20"/>
  <c r="D5045" i="20"/>
  <c r="F5045" i="20" s="1"/>
  <c r="C5045" i="20"/>
  <c r="B5045" i="20"/>
  <c r="D5044" i="20"/>
  <c r="F5044" i="20" s="1"/>
  <c r="C5044" i="20"/>
  <c r="B5044" i="20"/>
  <c r="D5043" i="20"/>
  <c r="F5043" i="20" s="1"/>
  <c r="C5043" i="20"/>
  <c r="B5043" i="20"/>
  <c r="D5042" i="20"/>
  <c r="F5042" i="20" s="1"/>
  <c r="C5042" i="20"/>
  <c r="B5042" i="20"/>
  <c r="D5041" i="20"/>
  <c r="F5041" i="20" s="1"/>
  <c r="C5041" i="20"/>
  <c r="B5041" i="20"/>
  <c r="D5040" i="20"/>
  <c r="F5040" i="20" s="1"/>
  <c r="C5040" i="20"/>
  <c r="B5040" i="20"/>
  <c r="D5039" i="20"/>
  <c r="F5039" i="20" s="1"/>
  <c r="C5039" i="20"/>
  <c r="B5039" i="20"/>
  <c r="D5038" i="20"/>
  <c r="F5038" i="20" s="1"/>
  <c r="C5038" i="20"/>
  <c r="B5038" i="20"/>
  <c r="D5037" i="20"/>
  <c r="F5037" i="20" s="1"/>
  <c r="C5037" i="20"/>
  <c r="B5037" i="20"/>
  <c r="D5036" i="20"/>
  <c r="F5036" i="20" s="1"/>
  <c r="C5036" i="20"/>
  <c r="B5036" i="20"/>
  <c r="D5035" i="20"/>
  <c r="F5035" i="20" s="1"/>
  <c r="C5035" i="20"/>
  <c r="B5035" i="20"/>
  <c r="C5034" i="20"/>
  <c r="C5033" i="20"/>
  <c r="E5029" i="20"/>
  <c r="G5029" i="20" s="1"/>
  <c r="D5029" i="20"/>
  <c r="B5029" i="20"/>
  <c r="E5028" i="20"/>
  <c r="D5028" i="20"/>
  <c r="B5028" i="20"/>
  <c r="D5027" i="20"/>
  <c r="B5027" i="20"/>
  <c r="G5024" i="20"/>
  <c r="I5045" i="20" s="1"/>
  <c r="G5023" i="20"/>
  <c r="B5023" i="20"/>
  <c r="B5022" i="20"/>
  <c r="H5021" i="20"/>
  <c r="B5018" i="20"/>
  <c r="E5055" i="20"/>
  <c r="B5005" i="20"/>
  <c r="B5004" i="20"/>
  <c r="E4999" i="20"/>
  <c r="F4999" i="20" s="1"/>
  <c r="H5000" i="20" s="1"/>
  <c r="N4971" i="20" s="1"/>
  <c r="D4995" i="20"/>
  <c r="F4995" i="20" s="1"/>
  <c r="C4995" i="20"/>
  <c r="B4995" i="20"/>
  <c r="D4994" i="20"/>
  <c r="F4994" i="20" s="1"/>
  <c r="C4994" i="20"/>
  <c r="B4994" i="20"/>
  <c r="D4993" i="20"/>
  <c r="F4993" i="20" s="1"/>
  <c r="C4993" i="20"/>
  <c r="B4993" i="20"/>
  <c r="D4992" i="20"/>
  <c r="F4992" i="20" s="1"/>
  <c r="C4992" i="20"/>
  <c r="B4992" i="20"/>
  <c r="D4991" i="20"/>
  <c r="F4991" i="20" s="1"/>
  <c r="C4991" i="20"/>
  <c r="B4991" i="20"/>
  <c r="D4990" i="20"/>
  <c r="F4990" i="20" s="1"/>
  <c r="C4990" i="20"/>
  <c r="B4990" i="20"/>
  <c r="D4989" i="20"/>
  <c r="F4989" i="20" s="1"/>
  <c r="C4989" i="20"/>
  <c r="B4989" i="20"/>
  <c r="D4988" i="20"/>
  <c r="F4988" i="20" s="1"/>
  <c r="C4988" i="20"/>
  <c r="B4988" i="20"/>
  <c r="D4987" i="20"/>
  <c r="F4987" i="20" s="1"/>
  <c r="C4987" i="20"/>
  <c r="B4987" i="20"/>
  <c r="D4986" i="20"/>
  <c r="F4986" i="20" s="1"/>
  <c r="C4986" i="20"/>
  <c r="B4986" i="20"/>
  <c r="D4985" i="20"/>
  <c r="F4985" i="20" s="1"/>
  <c r="C4985" i="20"/>
  <c r="B4985" i="20"/>
  <c r="D4984" i="20"/>
  <c r="F4984" i="20" s="1"/>
  <c r="C4984" i="20"/>
  <c r="B4984" i="20"/>
  <c r="C4983" i="20"/>
  <c r="C4982" i="20"/>
  <c r="E4978" i="20"/>
  <c r="G4978" i="20" s="1"/>
  <c r="D4978" i="20"/>
  <c r="B4978" i="20"/>
  <c r="E4977" i="20"/>
  <c r="D4977" i="20"/>
  <c r="B4977" i="20"/>
  <c r="D4976" i="20"/>
  <c r="B4976" i="20"/>
  <c r="G4973" i="20"/>
  <c r="I4994" i="20" s="1"/>
  <c r="G4972" i="20"/>
  <c r="B4972" i="20"/>
  <c r="B4971" i="20"/>
  <c r="H4970" i="20"/>
  <c r="B4967" i="20"/>
  <c r="E5004" i="20"/>
  <c r="E6606" i="20"/>
  <c r="E6553" i="20"/>
  <c r="B6607" i="20"/>
  <c r="B6606" i="20"/>
  <c r="E6601" i="20"/>
  <c r="F6601" i="20" s="1"/>
  <c r="H6602" i="20" s="1"/>
  <c r="N6572" i="20" s="1"/>
  <c r="D6597" i="20"/>
  <c r="F6597" i="20" s="1"/>
  <c r="C6597" i="20"/>
  <c r="B6597" i="20"/>
  <c r="D6596" i="20"/>
  <c r="F6596" i="20" s="1"/>
  <c r="C6596" i="20"/>
  <c r="B6596" i="20"/>
  <c r="D6595" i="20"/>
  <c r="F6595" i="20" s="1"/>
  <c r="C6595" i="20"/>
  <c r="B6595" i="20"/>
  <c r="D6594" i="20"/>
  <c r="F6594" i="20" s="1"/>
  <c r="C6594" i="20"/>
  <c r="B6594" i="20"/>
  <c r="D6593" i="20"/>
  <c r="F6593" i="20" s="1"/>
  <c r="C6593" i="20"/>
  <c r="B6593" i="20"/>
  <c r="D6592" i="20"/>
  <c r="F6592" i="20" s="1"/>
  <c r="C6592" i="20"/>
  <c r="B6592" i="20"/>
  <c r="D6591" i="20"/>
  <c r="F6591" i="20" s="1"/>
  <c r="C6591" i="20"/>
  <c r="B6591" i="20"/>
  <c r="D6590" i="20"/>
  <c r="F6590" i="20" s="1"/>
  <c r="C6590" i="20"/>
  <c r="B6590" i="20"/>
  <c r="D6589" i="20"/>
  <c r="F6589" i="20" s="1"/>
  <c r="C6589" i="20"/>
  <c r="B6589" i="20"/>
  <c r="D6588" i="20"/>
  <c r="F6588" i="20" s="1"/>
  <c r="C6588" i="20"/>
  <c r="B6588" i="20"/>
  <c r="D6587" i="20"/>
  <c r="F6587" i="20" s="1"/>
  <c r="C6587" i="20"/>
  <c r="B6587" i="20"/>
  <c r="D6586" i="20"/>
  <c r="F6586" i="20" s="1"/>
  <c r="C6586" i="20"/>
  <c r="B6586" i="20"/>
  <c r="D6585" i="20"/>
  <c r="F6585" i="20" s="1"/>
  <c r="C6585" i="20"/>
  <c r="C6584" i="20"/>
  <c r="E6580" i="20"/>
  <c r="D6580" i="20"/>
  <c r="B6580" i="20"/>
  <c r="E6579" i="20"/>
  <c r="D6579" i="20"/>
  <c r="B6579" i="20"/>
  <c r="E6578" i="20"/>
  <c r="D6578" i="20"/>
  <c r="B6578" i="20"/>
  <c r="D6577" i="20"/>
  <c r="B6577" i="20"/>
  <c r="G6574" i="20"/>
  <c r="I6596" i="20" s="1"/>
  <c r="G6573" i="20"/>
  <c r="B6573" i="20"/>
  <c r="B6572" i="20"/>
  <c r="H6571" i="20"/>
  <c r="B6568" i="20"/>
  <c r="B6554" i="20"/>
  <c r="B6553" i="20"/>
  <c r="E6548" i="20"/>
  <c r="F6548" i="20" s="1"/>
  <c r="H6549" i="20" s="1"/>
  <c r="N6519" i="20" s="1"/>
  <c r="D6544" i="20"/>
  <c r="F6544" i="20" s="1"/>
  <c r="C6544" i="20"/>
  <c r="B6544" i="20"/>
  <c r="D6543" i="20"/>
  <c r="F6543" i="20" s="1"/>
  <c r="C6543" i="20"/>
  <c r="B6543" i="20"/>
  <c r="D6542" i="20"/>
  <c r="F6542" i="20" s="1"/>
  <c r="C6542" i="20"/>
  <c r="B6542" i="20"/>
  <c r="D6541" i="20"/>
  <c r="F6541" i="20" s="1"/>
  <c r="C6541" i="20"/>
  <c r="B6541" i="20"/>
  <c r="D6540" i="20"/>
  <c r="F6540" i="20" s="1"/>
  <c r="C6540" i="20"/>
  <c r="B6540" i="20"/>
  <c r="D6539" i="20"/>
  <c r="F6539" i="20" s="1"/>
  <c r="C6539" i="20"/>
  <c r="B6539" i="20"/>
  <c r="D6538" i="20"/>
  <c r="F6538" i="20" s="1"/>
  <c r="C6538" i="20"/>
  <c r="B6538" i="20"/>
  <c r="D6537" i="20"/>
  <c r="F6537" i="20" s="1"/>
  <c r="C6537" i="20"/>
  <c r="B6537" i="20"/>
  <c r="D6536" i="20"/>
  <c r="F6536" i="20" s="1"/>
  <c r="C6536" i="20"/>
  <c r="B6536" i="20"/>
  <c r="D6535" i="20"/>
  <c r="F6535" i="20" s="1"/>
  <c r="C6535" i="20"/>
  <c r="B6535" i="20"/>
  <c r="D6534" i="20"/>
  <c r="F6534" i="20" s="1"/>
  <c r="C6534" i="20"/>
  <c r="B6534" i="20"/>
  <c r="D6533" i="20"/>
  <c r="F6533" i="20" s="1"/>
  <c r="C6533" i="20"/>
  <c r="B6533" i="20"/>
  <c r="D6532" i="20"/>
  <c r="F6532" i="20" s="1"/>
  <c r="C6532" i="20"/>
  <c r="C6531" i="20"/>
  <c r="E6527" i="20"/>
  <c r="D6527" i="20"/>
  <c r="B6527" i="20"/>
  <c r="E6526" i="20"/>
  <c r="D6526" i="20"/>
  <c r="B6526" i="20"/>
  <c r="E6525" i="20"/>
  <c r="D6525" i="20"/>
  <c r="B6525" i="20"/>
  <c r="D6524" i="20"/>
  <c r="B6524" i="20"/>
  <c r="G6521" i="20"/>
  <c r="I6543" i="20" s="1"/>
  <c r="G6520" i="20"/>
  <c r="B6520" i="20"/>
  <c r="B6519" i="20"/>
  <c r="H6518" i="20"/>
  <c r="B6515" i="20"/>
  <c r="J231" i="4"/>
  <c r="L231" i="4" s="1"/>
  <c r="G231" i="4" s="1"/>
  <c r="B4954" i="20"/>
  <c r="B4953" i="20"/>
  <c r="E4948" i="20"/>
  <c r="F4948" i="20" s="1"/>
  <c r="H4949" i="20" s="1"/>
  <c r="N4920" i="20" s="1"/>
  <c r="D4944" i="20"/>
  <c r="F4944" i="20" s="1"/>
  <c r="C4944" i="20"/>
  <c r="B4944" i="20"/>
  <c r="D4943" i="20"/>
  <c r="F4943" i="20" s="1"/>
  <c r="C4943" i="20"/>
  <c r="B4943" i="20"/>
  <c r="D4942" i="20"/>
  <c r="F4942" i="20" s="1"/>
  <c r="C4942" i="20"/>
  <c r="B4942" i="20"/>
  <c r="D4941" i="20"/>
  <c r="F4941" i="20" s="1"/>
  <c r="C4941" i="20"/>
  <c r="B4941" i="20"/>
  <c r="D4940" i="20"/>
  <c r="F4940" i="20" s="1"/>
  <c r="C4940" i="20"/>
  <c r="B4940" i="20"/>
  <c r="D4939" i="20"/>
  <c r="F4939" i="20" s="1"/>
  <c r="C4939" i="20"/>
  <c r="B4939" i="20"/>
  <c r="D4938" i="20"/>
  <c r="F4938" i="20" s="1"/>
  <c r="C4938" i="20"/>
  <c r="B4938" i="20"/>
  <c r="D4937" i="20"/>
  <c r="F4937" i="20" s="1"/>
  <c r="C4937" i="20"/>
  <c r="B4937" i="20"/>
  <c r="D4936" i="20"/>
  <c r="F4936" i="20" s="1"/>
  <c r="C4936" i="20"/>
  <c r="B4936" i="20"/>
  <c r="D4935" i="20"/>
  <c r="F4935" i="20" s="1"/>
  <c r="C4935" i="20"/>
  <c r="B4935" i="20"/>
  <c r="D4934" i="20"/>
  <c r="F4934" i="20" s="1"/>
  <c r="C4934" i="20"/>
  <c r="B4934" i="20"/>
  <c r="D4933" i="20"/>
  <c r="F4933" i="20" s="1"/>
  <c r="C4933" i="20"/>
  <c r="B4933" i="20"/>
  <c r="C4932" i="20"/>
  <c r="C4931" i="20"/>
  <c r="E4927" i="20"/>
  <c r="G4927" i="20" s="1"/>
  <c r="D4927" i="20"/>
  <c r="B4927" i="20"/>
  <c r="E4926" i="20"/>
  <c r="D4926" i="20"/>
  <c r="B4926" i="20"/>
  <c r="D4925" i="20"/>
  <c r="B4925" i="20"/>
  <c r="G4922" i="20"/>
  <c r="I4943" i="20" s="1"/>
  <c r="G4921" i="20"/>
  <c r="B4921" i="20"/>
  <c r="B4920" i="20"/>
  <c r="H4919" i="20"/>
  <c r="B4916" i="20"/>
  <c r="H4915" i="20"/>
  <c r="E4953" i="20" s="1"/>
  <c r="E5056" i="20" l="1"/>
  <c r="F2574" i="20"/>
  <c r="F4925" i="20"/>
  <c r="E4954" i="20"/>
  <c r="E5005" i="20"/>
  <c r="F2576" i="20"/>
  <c r="E2603" i="20"/>
  <c r="F5027" i="20"/>
  <c r="I2589" i="20"/>
  <c r="I2593" i="20"/>
  <c r="I2585" i="20"/>
  <c r="I2580" i="20"/>
  <c r="I2581" i="20"/>
  <c r="F2575" i="20"/>
  <c r="I2582" i="20"/>
  <c r="I2586" i="20"/>
  <c r="I2590" i="20"/>
  <c r="I2583" i="20"/>
  <c r="I2587" i="20"/>
  <c r="I2591" i="20"/>
  <c r="E2601" i="20"/>
  <c r="I2584" i="20"/>
  <c r="I2588" i="20"/>
  <c r="I5035" i="20"/>
  <c r="I5039" i="20"/>
  <c r="I5043" i="20"/>
  <c r="I5033" i="20"/>
  <c r="I5042" i="20"/>
  <c r="I5046" i="20"/>
  <c r="F5028" i="20"/>
  <c r="G5028" i="20" s="1"/>
  <c r="I5036" i="20"/>
  <c r="I5040" i="20"/>
  <c r="I5044" i="20"/>
  <c r="E5054" i="20"/>
  <c r="I5034" i="20"/>
  <c r="I5038" i="20"/>
  <c r="I5037" i="20"/>
  <c r="I5041" i="20"/>
  <c r="F4976" i="20"/>
  <c r="I4984" i="20"/>
  <c r="I4988" i="20"/>
  <c r="I4992" i="20"/>
  <c r="I4987" i="20"/>
  <c r="F4977" i="20"/>
  <c r="G4977" i="20" s="1"/>
  <c r="I4985" i="20"/>
  <c r="I4989" i="20"/>
  <c r="I4993" i="20"/>
  <c r="E5003" i="20"/>
  <c r="I4982" i="20"/>
  <c r="I4983" i="20"/>
  <c r="I4991" i="20"/>
  <c r="I4995" i="20"/>
  <c r="I4986" i="20"/>
  <c r="I4990" i="20"/>
  <c r="I6584" i="20"/>
  <c r="I6597" i="20"/>
  <c r="I6593" i="20"/>
  <c r="I6585" i="20"/>
  <c r="I6589" i="20"/>
  <c r="F6579" i="20"/>
  <c r="G6579" i="20" s="1"/>
  <c r="I6586" i="20"/>
  <c r="I6590" i="20"/>
  <c r="I6594" i="20"/>
  <c r="F6578" i="20"/>
  <c r="G6578" i="20" s="1"/>
  <c r="E6607" i="20"/>
  <c r="F6580" i="20"/>
  <c r="G6580" i="20" s="1"/>
  <c r="I6587" i="20"/>
  <c r="I6591" i="20"/>
  <c r="I6595" i="20"/>
  <c r="E6605" i="20"/>
  <c r="F6577" i="20"/>
  <c r="I6588" i="20"/>
  <c r="I6592" i="20"/>
  <c r="I6536" i="20"/>
  <c r="I6544" i="20"/>
  <c r="I6531" i="20"/>
  <c r="I6532" i="20"/>
  <c r="I6540" i="20"/>
  <c r="F6525" i="20"/>
  <c r="G6525" i="20" s="1"/>
  <c r="E6554" i="20"/>
  <c r="F6526" i="20"/>
  <c r="G6526" i="20" s="1"/>
  <c r="I6533" i="20"/>
  <c r="I6537" i="20"/>
  <c r="I6541" i="20"/>
  <c r="F6527" i="20"/>
  <c r="G6527" i="20" s="1"/>
  <c r="I6534" i="20"/>
  <c r="I6538" i="20"/>
  <c r="I6542" i="20"/>
  <c r="E6552" i="20"/>
  <c r="F6524" i="20"/>
  <c r="I6535" i="20"/>
  <c r="I6539" i="20"/>
  <c r="I4933" i="20"/>
  <c r="I4937" i="20"/>
  <c r="I4941" i="20"/>
  <c r="I4931" i="20"/>
  <c r="I4932" i="20"/>
  <c r="I4936" i="20"/>
  <c r="I4940" i="20"/>
  <c r="I4944" i="20"/>
  <c r="F4926" i="20"/>
  <c r="G4926" i="20" s="1"/>
  <c r="I4934" i="20"/>
  <c r="I4938" i="20"/>
  <c r="I4942" i="20"/>
  <c r="E4952" i="20"/>
  <c r="I4935" i="20"/>
  <c r="I4939" i="20"/>
  <c r="J250" i="4" l="1"/>
  <c r="L250" i="4" s="1"/>
  <c r="G250" i="4" s="1"/>
  <c r="B4903" i="20"/>
  <c r="B4902" i="20"/>
  <c r="E4897" i="20"/>
  <c r="F4897" i="20" s="1"/>
  <c r="H4898" i="20" s="1"/>
  <c r="N4869" i="20" s="1"/>
  <c r="D4893" i="20"/>
  <c r="F4893" i="20" s="1"/>
  <c r="C4893" i="20"/>
  <c r="B4893" i="20"/>
  <c r="D4892" i="20"/>
  <c r="F4892" i="20" s="1"/>
  <c r="C4892" i="20"/>
  <c r="B4892" i="20"/>
  <c r="D4891" i="20"/>
  <c r="F4891" i="20" s="1"/>
  <c r="C4891" i="20"/>
  <c r="B4891" i="20"/>
  <c r="D4890" i="20"/>
  <c r="F4890" i="20" s="1"/>
  <c r="C4890" i="20"/>
  <c r="B4890" i="20"/>
  <c r="D4889" i="20"/>
  <c r="F4889" i="20" s="1"/>
  <c r="C4889" i="20"/>
  <c r="B4889" i="20"/>
  <c r="D4888" i="20"/>
  <c r="F4888" i="20" s="1"/>
  <c r="C4888" i="20"/>
  <c r="B4888" i="20"/>
  <c r="D4887" i="20"/>
  <c r="F4887" i="20" s="1"/>
  <c r="C4887" i="20"/>
  <c r="B4887" i="20"/>
  <c r="D4886" i="20"/>
  <c r="F4886" i="20" s="1"/>
  <c r="C4886" i="20"/>
  <c r="B4886" i="20"/>
  <c r="D4885" i="20"/>
  <c r="F4885" i="20" s="1"/>
  <c r="C4885" i="20"/>
  <c r="B4885" i="20"/>
  <c r="D4884" i="20"/>
  <c r="F4884" i="20" s="1"/>
  <c r="C4884" i="20"/>
  <c r="B4884" i="20"/>
  <c r="D4883" i="20"/>
  <c r="F4883" i="20" s="1"/>
  <c r="C4883" i="20"/>
  <c r="B4883" i="20"/>
  <c r="D4882" i="20"/>
  <c r="F4882" i="20" s="1"/>
  <c r="C4882" i="20"/>
  <c r="B4882" i="20"/>
  <c r="C4881" i="20"/>
  <c r="C4880" i="20"/>
  <c r="E4876" i="20"/>
  <c r="G4876" i="20" s="1"/>
  <c r="D4876" i="20"/>
  <c r="B4876" i="20"/>
  <c r="E4875" i="20"/>
  <c r="D4875" i="20"/>
  <c r="B4875" i="20"/>
  <c r="D4874" i="20"/>
  <c r="B4874" i="20"/>
  <c r="G4871" i="20"/>
  <c r="I4892" i="20" s="1"/>
  <c r="G4870" i="20"/>
  <c r="B4870" i="20"/>
  <c r="B4869" i="20"/>
  <c r="H4868" i="20"/>
  <c r="B4865" i="20"/>
  <c r="E4902" i="20"/>
  <c r="B2552" i="20"/>
  <c r="B2551" i="20"/>
  <c r="E2546" i="20"/>
  <c r="F2546" i="20" s="1"/>
  <c r="H2547" i="20" s="1"/>
  <c r="N2518" i="20" s="1"/>
  <c r="D2542" i="20"/>
  <c r="F2542" i="20" s="1"/>
  <c r="C2542" i="20"/>
  <c r="B2542" i="20"/>
  <c r="D2541" i="20"/>
  <c r="F2541" i="20" s="1"/>
  <c r="C2541" i="20"/>
  <c r="B2541" i="20"/>
  <c r="D2540" i="20"/>
  <c r="F2540" i="20" s="1"/>
  <c r="C2540" i="20"/>
  <c r="B2540" i="20"/>
  <c r="D2539" i="20"/>
  <c r="F2539" i="20" s="1"/>
  <c r="C2539" i="20"/>
  <c r="B2539" i="20"/>
  <c r="D2538" i="20"/>
  <c r="F2538" i="20" s="1"/>
  <c r="C2538" i="20"/>
  <c r="B2538" i="20"/>
  <c r="D2537" i="20"/>
  <c r="F2537" i="20" s="1"/>
  <c r="C2537" i="20"/>
  <c r="B2537" i="20"/>
  <c r="C2536" i="20"/>
  <c r="B2536" i="20"/>
  <c r="C2535" i="20"/>
  <c r="B2535" i="20"/>
  <c r="C2534" i="20"/>
  <c r="B2534" i="20"/>
  <c r="C2533" i="20"/>
  <c r="B2533" i="20"/>
  <c r="C2532" i="20"/>
  <c r="B2532" i="20"/>
  <c r="C2531" i="20"/>
  <c r="B2531" i="20"/>
  <c r="C2530" i="20"/>
  <c r="C2529" i="20"/>
  <c r="D2525" i="20"/>
  <c r="B2525" i="20"/>
  <c r="D2524" i="20"/>
  <c r="B2524" i="20"/>
  <c r="D2523" i="20"/>
  <c r="B2523" i="20"/>
  <c r="G2520" i="20"/>
  <c r="I2541" i="20" s="1"/>
  <c r="G2519" i="20"/>
  <c r="B2519" i="20"/>
  <c r="B2518" i="20"/>
  <c r="H2517" i="20"/>
  <c r="B2514" i="20"/>
  <c r="H2513" i="20"/>
  <c r="E2551" i="20" s="1"/>
  <c r="B2484" i="20"/>
  <c r="B2483" i="20"/>
  <c r="B2482" i="20"/>
  <c r="B2481" i="20"/>
  <c r="B2480" i="20"/>
  <c r="J279" i="4"/>
  <c r="L279" i="4" s="1"/>
  <c r="B2501" i="20"/>
  <c r="B2500" i="20"/>
  <c r="E2495" i="20"/>
  <c r="F2495" i="20" s="1"/>
  <c r="H2496" i="20" s="1"/>
  <c r="N2467" i="20" s="1"/>
  <c r="D2491" i="20"/>
  <c r="F2491" i="20" s="1"/>
  <c r="C2491" i="20"/>
  <c r="B2491" i="20"/>
  <c r="D2490" i="20"/>
  <c r="F2490" i="20" s="1"/>
  <c r="C2490" i="20"/>
  <c r="B2490" i="20"/>
  <c r="D2489" i="20"/>
  <c r="F2489" i="20" s="1"/>
  <c r="C2489" i="20"/>
  <c r="B2489" i="20"/>
  <c r="D2488" i="20"/>
  <c r="F2488" i="20" s="1"/>
  <c r="C2488" i="20"/>
  <c r="B2488" i="20"/>
  <c r="D2487" i="20"/>
  <c r="F2487" i="20" s="1"/>
  <c r="C2487" i="20"/>
  <c r="B2487" i="20"/>
  <c r="D2486" i="20"/>
  <c r="F2486" i="20" s="1"/>
  <c r="C2486" i="20"/>
  <c r="B2486" i="20"/>
  <c r="D2485" i="20"/>
  <c r="F2485" i="20" s="1"/>
  <c r="C2485" i="20"/>
  <c r="B2485" i="20"/>
  <c r="C2484" i="20"/>
  <c r="C2483" i="20"/>
  <c r="C2482" i="20"/>
  <c r="C2481" i="20"/>
  <c r="C2480" i="20"/>
  <c r="C2479" i="20"/>
  <c r="C2478" i="20"/>
  <c r="D2474" i="20"/>
  <c r="B2474" i="20"/>
  <c r="D2473" i="20"/>
  <c r="B2473" i="20"/>
  <c r="D2472" i="20"/>
  <c r="B2472" i="20"/>
  <c r="G2469" i="20"/>
  <c r="I2490" i="20" s="1"/>
  <c r="G2468" i="20"/>
  <c r="B2468" i="20"/>
  <c r="B2467" i="20"/>
  <c r="H2466" i="20"/>
  <c r="B2463" i="20"/>
  <c r="H2462" i="20"/>
  <c r="E2500" i="20" s="1"/>
  <c r="J270" i="4"/>
  <c r="L270" i="4" s="1"/>
  <c r="G270" i="4" s="1"/>
  <c r="D2529" i="20" s="1"/>
  <c r="F2529" i="20" s="1"/>
  <c r="F2525" i="20" l="1"/>
  <c r="F2523" i="20"/>
  <c r="E4903" i="20"/>
  <c r="E2552" i="20"/>
  <c r="I4880" i="20"/>
  <c r="I4889" i="20"/>
  <c r="I4893" i="20"/>
  <c r="F4874" i="20"/>
  <c r="I4882" i="20"/>
  <c r="I4886" i="20"/>
  <c r="I4890" i="20"/>
  <c r="F4875" i="20"/>
  <c r="G4875" i="20" s="1"/>
  <c r="I4883" i="20"/>
  <c r="I4887" i="20"/>
  <c r="I4891" i="20"/>
  <c r="E4901" i="20"/>
  <c r="I4881" i="20"/>
  <c r="I4885" i="20"/>
  <c r="I4884" i="20"/>
  <c r="I4888" i="20"/>
  <c r="I2538" i="20"/>
  <c r="I2542" i="20"/>
  <c r="I2534" i="20"/>
  <c r="I2529" i="20"/>
  <c r="I2530" i="20"/>
  <c r="F2524" i="20"/>
  <c r="I2531" i="20"/>
  <c r="I2535" i="20"/>
  <c r="I2539" i="20"/>
  <c r="I2532" i="20"/>
  <c r="I2536" i="20"/>
  <c r="I2540" i="20"/>
  <c r="E2550" i="20"/>
  <c r="I2533" i="20"/>
  <c r="I2537" i="20"/>
  <c r="I2478" i="20"/>
  <c r="I2479" i="20"/>
  <c r="I2491" i="20"/>
  <c r="I2487" i="20"/>
  <c r="I2483" i="20"/>
  <c r="I2480" i="20"/>
  <c r="I2484" i="20"/>
  <c r="I2488" i="20"/>
  <c r="I2481" i="20"/>
  <c r="I2485" i="20"/>
  <c r="I2489" i="20"/>
  <c r="E2499" i="20"/>
  <c r="F2472" i="20"/>
  <c r="E2501" i="20"/>
  <c r="F2473" i="20"/>
  <c r="F2474" i="20"/>
  <c r="I2482" i="20"/>
  <c r="I2486" i="20"/>
  <c r="E8331" i="20"/>
  <c r="B8331" i="20"/>
  <c r="B8330" i="20"/>
  <c r="E8325" i="20"/>
  <c r="F8325" i="20" s="1"/>
  <c r="H8326" i="20" s="1"/>
  <c r="N8293" i="20" s="1"/>
  <c r="D8321" i="20"/>
  <c r="F8321" i="20" s="1"/>
  <c r="C8321" i="20"/>
  <c r="B8321" i="20"/>
  <c r="D8320" i="20"/>
  <c r="F8320" i="20" s="1"/>
  <c r="C8320" i="20"/>
  <c r="B8320" i="20"/>
  <c r="D8319" i="20"/>
  <c r="F8319" i="20" s="1"/>
  <c r="C8319" i="20"/>
  <c r="B8319" i="20"/>
  <c r="D8318" i="20"/>
  <c r="F8318" i="20" s="1"/>
  <c r="C8318" i="20"/>
  <c r="B8318" i="20"/>
  <c r="D8317" i="20"/>
  <c r="F8317" i="20" s="1"/>
  <c r="C8317" i="20"/>
  <c r="B8317" i="20"/>
  <c r="D8316" i="20"/>
  <c r="F8316" i="20" s="1"/>
  <c r="C8316" i="20"/>
  <c r="B8316" i="20"/>
  <c r="D8315" i="20"/>
  <c r="F8315" i="20" s="1"/>
  <c r="C8315" i="20"/>
  <c r="B8315" i="20"/>
  <c r="D8314" i="20"/>
  <c r="F8314" i="20" s="1"/>
  <c r="C8314" i="20"/>
  <c r="B8314" i="20"/>
  <c r="D8313" i="20"/>
  <c r="F8313" i="20" s="1"/>
  <c r="C8313" i="20"/>
  <c r="B8313" i="20"/>
  <c r="C8312" i="20"/>
  <c r="B8312" i="20"/>
  <c r="C8311" i="20"/>
  <c r="B8311" i="20"/>
  <c r="C8310" i="20"/>
  <c r="B8310" i="20"/>
  <c r="C8309" i="20"/>
  <c r="B8309" i="20"/>
  <c r="C8308" i="20"/>
  <c r="B8308" i="20"/>
  <c r="C8307" i="20"/>
  <c r="B8307" i="20"/>
  <c r="C8306" i="20"/>
  <c r="C8305" i="20"/>
  <c r="E8301" i="20"/>
  <c r="D8301" i="20"/>
  <c r="B8301" i="20"/>
  <c r="F8300" i="20"/>
  <c r="E8300" i="20"/>
  <c r="D8300" i="20"/>
  <c r="B8300" i="20"/>
  <c r="D8299" i="20"/>
  <c r="B8299" i="20"/>
  <c r="D8298" i="20"/>
  <c r="B8298" i="20"/>
  <c r="G8295" i="20"/>
  <c r="I8312" i="20" s="1"/>
  <c r="G8294" i="20"/>
  <c r="B8294" i="20"/>
  <c r="B8293" i="20"/>
  <c r="H8292" i="20"/>
  <c r="B8289" i="20"/>
  <c r="B8276" i="20"/>
  <c r="B8275" i="20"/>
  <c r="E8270" i="20"/>
  <c r="F8270" i="20" s="1"/>
  <c r="H8271" i="20" s="1"/>
  <c r="N8238" i="20" s="1"/>
  <c r="C8266" i="20"/>
  <c r="B8266" i="20"/>
  <c r="C8265" i="20"/>
  <c r="B8265" i="20"/>
  <c r="C8264" i="20"/>
  <c r="B8264" i="20"/>
  <c r="C8263" i="20"/>
  <c r="B8263" i="20"/>
  <c r="C8262" i="20"/>
  <c r="B8262" i="20"/>
  <c r="C8261" i="20"/>
  <c r="B8261" i="20"/>
  <c r="C8260" i="20"/>
  <c r="B8260" i="20"/>
  <c r="C8259" i="20"/>
  <c r="B8259" i="20"/>
  <c r="C8258" i="20"/>
  <c r="B8258" i="20"/>
  <c r="C8257" i="20"/>
  <c r="B8257" i="20"/>
  <c r="C8256" i="20"/>
  <c r="B8256" i="20"/>
  <c r="C8255" i="20"/>
  <c r="B8255" i="20"/>
  <c r="C8254" i="20"/>
  <c r="B8254" i="20"/>
  <c r="C8253" i="20"/>
  <c r="B8253" i="20"/>
  <c r="C8252" i="20"/>
  <c r="B8252" i="20"/>
  <c r="C8251" i="20"/>
  <c r="C8250" i="20"/>
  <c r="E8246" i="20"/>
  <c r="D8246" i="20"/>
  <c r="B8246" i="20"/>
  <c r="E8245" i="20"/>
  <c r="D8245" i="20"/>
  <c r="B8245" i="20"/>
  <c r="E8244" i="20"/>
  <c r="D8244" i="20"/>
  <c r="B8244" i="20"/>
  <c r="D8243" i="20"/>
  <c r="B8243" i="20"/>
  <c r="G8240" i="20"/>
  <c r="I8257" i="20" s="1"/>
  <c r="G8239" i="20"/>
  <c r="B8239" i="20"/>
  <c r="B8238" i="20"/>
  <c r="H8237" i="20"/>
  <c r="B8234" i="20"/>
  <c r="E8275" i="20"/>
  <c r="E8330" i="20" l="1"/>
  <c r="F8298" i="20"/>
  <c r="F8301" i="20"/>
  <c r="G8301" i="20" s="1"/>
  <c r="F8243" i="20"/>
  <c r="I8262" i="20"/>
  <c r="G8300" i="20"/>
  <c r="I8265" i="20"/>
  <c r="I8261" i="20"/>
  <c r="I8321" i="20"/>
  <c r="I8313" i="20"/>
  <c r="I8316" i="20"/>
  <c r="I8309" i="20"/>
  <c r="I8317" i="20"/>
  <c r="I8320" i="20"/>
  <c r="F8299" i="20"/>
  <c r="I8305" i="20"/>
  <c r="I8306" i="20"/>
  <c r="I8310" i="20"/>
  <c r="I8314" i="20"/>
  <c r="I8318" i="20"/>
  <c r="I8307" i="20"/>
  <c r="I8311" i="20"/>
  <c r="I8315" i="20"/>
  <c r="I8319" i="20"/>
  <c r="E8329" i="20"/>
  <c r="I8308" i="20"/>
  <c r="I8258" i="20"/>
  <c r="I8254" i="20"/>
  <c r="F8244" i="20"/>
  <c r="G8244" i="20" s="1"/>
  <c r="I8250" i="20"/>
  <c r="I8251" i="20"/>
  <c r="I8255" i="20"/>
  <c r="I8259" i="20"/>
  <c r="I8263" i="20"/>
  <c r="I8266" i="20"/>
  <c r="E8276" i="20"/>
  <c r="F8245" i="20"/>
  <c r="G8245" i="20" s="1"/>
  <c r="I8252" i="20"/>
  <c r="I8256" i="20"/>
  <c r="I8260" i="20"/>
  <c r="I8264" i="20"/>
  <c r="E8274" i="20"/>
  <c r="F8246" i="20"/>
  <c r="G8246" i="20" s="1"/>
  <c r="I8253" i="20"/>
  <c r="B8221" i="20"/>
  <c r="B8220" i="20"/>
  <c r="E8215" i="20"/>
  <c r="F8215" i="20" s="1"/>
  <c r="H8216" i="20" s="1"/>
  <c r="N8183" i="20" s="1"/>
  <c r="C8211" i="20"/>
  <c r="B8211" i="20"/>
  <c r="C8210" i="20"/>
  <c r="B8210" i="20"/>
  <c r="C8209" i="20"/>
  <c r="B8209" i="20"/>
  <c r="C8208" i="20"/>
  <c r="B8208" i="20"/>
  <c r="C8207" i="20"/>
  <c r="B8207" i="20"/>
  <c r="C8206" i="20"/>
  <c r="B8206" i="20"/>
  <c r="C8205" i="20"/>
  <c r="B8205" i="20"/>
  <c r="C8204" i="20"/>
  <c r="B8204" i="20"/>
  <c r="C8203" i="20"/>
  <c r="B8203" i="20"/>
  <c r="C8202" i="20"/>
  <c r="B8202" i="20"/>
  <c r="C8201" i="20"/>
  <c r="B8201" i="20"/>
  <c r="C8200" i="20"/>
  <c r="B8200" i="20"/>
  <c r="C8199" i="20"/>
  <c r="B8199" i="20"/>
  <c r="C8198" i="20"/>
  <c r="B8198" i="20"/>
  <c r="C8197" i="20"/>
  <c r="B8197" i="20"/>
  <c r="C8196" i="20"/>
  <c r="C8195" i="20"/>
  <c r="E8191" i="20"/>
  <c r="D8191" i="20"/>
  <c r="B8191" i="20"/>
  <c r="E8190" i="20"/>
  <c r="D8190" i="20"/>
  <c r="B8190" i="20"/>
  <c r="E8189" i="20"/>
  <c r="D8189" i="20"/>
  <c r="B8189" i="20"/>
  <c r="D8188" i="20"/>
  <c r="B8188" i="20"/>
  <c r="G8185" i="20"/>
  <c r="G8184" i="20"/>
  <c r="B8184" i="20"/>
  <c r="B8183" i="20"/>
  <c r="H8182" i="20"/>
  <c r="B8179" i="20"/>
  <c r="E8220" i="20"/>
  <c r="E6501" i="20"/>
  <c r="B6502" i="20"/>
  <c r="B6501" i="20"/>
  <c r="E6496" i="20"/>
  <c r="F6496" i="20" s="1"/>
  <c r="H6497" i="20" s="1"/>
  <c r="N6467" i="20" s="1"/>
  <c r="D6492" i="20"/>
  <c r="F6492" i="20" s="1"/>
  <c r="C6492" i="20"/>
  <c r="B6492" i="20"/>
  <c r="D6491" i="20"/>
  <c r="F6491" i="20" s="1"/>
  <c r="C6491" i="20"/>
  <c r="B6491" i="20"/>
  <c r="D6490" i="20"/>
  <c r="F6490" i="20" s="1"/>
  <c r="C6490" i="20"/>
  <c r="B6490" i="20"/>
  <c r="D6489" i="20"/>
  <c r="F6489" i="20" s="1"/>
  <c r="C6489" i="20"/>
  <c r="B6489" i="20"/>
  <c r="D6488" i="20"/>
  <c r="F6488" i="20" s="1"/>
  <c r="C6488" i="20"/>
  <c r="B6488" i="20"/>
  <c r="D6487" i="20"/>
  <c r="F6487" i="20" s="1"/>
  <c r="C6487" i="20"/>
  <c r="B6487" i="20"/>
  <c r="D6486" i="20"/>
  <c r="F6486" i="20" s="1"/>
  <c r="C6486" i="20"/>
  <c r="B6486" i="20"/>
  <c r="D6485" i="20"/>
  <c r="F6485" i="20" s="1"/>
  <c r="C6485" i="20"/>
  <c r="B6485" i="20"/>
  <c r="D6484" i="20"/>
  <c r="F6484" i="20" s="1"/>
  <c r="C6484" i="20"/>
  <c r="B6484" i="20"/>
  <c r="D6483" i="20"/>
  <c r="F6483" i="20" s="1"/>
  <c r="C6483" i="20"/>
  <c r="B6483" i="20"/>
  <c r="D6482" i="20"/>
  <c r="F6482" i="20" s="1"/>
  <c r="C6482" i="20"/>
  <c r="B6482" i="20"/>
  <c r="D6481" i="20"/>
  <c r="F6481" i="20" s="1"/>
  <c r="C6481" i="20"/>
  <c r="B6481" i="20"/>
  <c r="D6480" i="20"/>
  <c r="F6480" i="20" s="1"/>
  <c r="C6480" i="20"/>
  <c r="C6479" i="20"/>
  <c r="E6475" i="20"/>
  <c r="D6475" i="20"/>
  <c r="B6475" i="20"/>
  <c r="E6474" i="20"/>
  <c r="D6474" i="20"/>
  <c r="B6474" i="20"/>
  <c r="E6473" i="20"/>
  <c r="D6473" i="20"/>
  <c r="B6473" i="20"/>
  <c r="D6472" i="20"/>
  <c r="B6472" i="20"/>
  <c r="G6469" i="20"/>
  <c r="I6491" i="20" s="1"/>
  <c r="G6468" i="20"/>
  <c r="B6468" i="20"/>
  <c r="B6467" i="20"/>
  <c r="H6466" i="20"/>
  <c r="B6463" i="20"/>
  <c r="E6449" i="20"/>
  <c r="B6450" i="20"/>
  <c r="B6449" i="20"/>
  <c r="E6444" i="20"/>
  <c r="F6444" i="20" s="1"/>
  <c r="H6445" i="20" s="1"/>
  <c r="N6415" i="20" s="1"/>
  <c r="D6440" i="20"/>
  <c r="F6440" i="20" s="1"/>
  <c r="C6440" i="20"/>
  <c r="B6440" i="20"/>
  <c r="D6439" i="20"/>
  <c r="F6439" i="20" s="1"/>
  <c r="C6439" i="20"/>
  <c r="B6439" i="20"/>
  <c r="D6438" i="20"/>
  <c r="F6438" i="20" s="1"/>
  <c r="C6438" i="20"/>
  <c r="B6438" i="20"/>
  <c r="D6437" i="20"/>
  <c r="F6437" i="20" s="1"/>
  <c r="C6437" i="20"/>
  <c r="B6437" i="20"/>
  <c r="D6436" i="20"/>
  <c r="F6436" i="20" s="1"/>
  <c r="C6436" i="20"/>
  <c r="B6436" i="20"/>
  <c r="D6435" i="20"/>
  <c r="F6435" i="20" s="1"/>
  <c r="C6435" i="20"/>
  <c r="B6435" i="20"/>
  <c r="D6434" i="20"/>
  <c r="F6434" i="20" s="1"/>
  <c r="C6434" i="20"/>
  <c r="B6434" i="20"/>
  <c r="D6433" i="20"/>
  <c r="F6433" i="20" s="1"/>
  <c r="C6433" i="20"/>
  <c r="B6433" i="20"/>
  <c r="D6432" i="20"/>
  <c r="F6432" i="20" s="1"/>
  <c r="C6432" i="20"/>
  <c r="B6432" i="20"/>
  <c r="D6431" i="20"/>
  <c r="F6431" i="20" s="1"/>
  <c r="C6431" i="20"/>
  <c r="B6431" i="20"/>
  <c r="D6430" i="20"/>
  <c r="F6430" i="20" s="1"/>
  <c r="C6430" i="20"/>
  <c r="B6430" i="20"/>
  <c r="D6429" i="20"/>
  <c r="F6429" i="20" s="1"/>
  <c r="C6429" i="20"/>
  <c r="B6429" i="20"/>
  <c r="D6428" i="20"/>
  <c r="F6428" i="20" s="1"/>
  <c r="C6428" i="20"/>
  <c r="C6427" i="20"/>
  <c r="E6423" i="20"/>
  <c r="D6423" i="20"/>
  <c r="B6423" i="20"/>
  <c r="E6422" i="20"/>
  <c r="D6422" i="20"/>
  <c r="B6422" i="20"/>
  <c r="D6421" i="20"/>
  <c r="B6421" i="20"/>
  <c r="D6420" i="20"/>
  <c r="B6420" i="20"/>
  <c r="G6417" i="20"/>
  <c r="I6439" i="20" s="1"/>
  <c r="G6416" i="20"/>
  <c r="B6416" i="20"/>
  <c r="B6415" i="20"/>
  <c r="H6414" i="20"/>
  <c r="B6411" i="20"/>
  <c r="B6398" i="20"/>
  <c r="B6397" i="20"/>
  <c r="E6392" i="20"/>
  <c r="F6392" i="20" s="1"/>
  <c r="H6393" i="20" s="1"/>
  <c r="N6363" i="20" s="1"/>
  <c r="D6388" i="20"/>
  <c r="F6388" i="20" s="1"/>
  <c r="C6388" i="20"/>
  <c r="B6388" i="20"/>
  <c r="D6387" i="20"/>
  <c r="F6387" i="20" s="1"/>
  <c r="C6387" i="20"/>
  <c r="B6387" i="20"/>
  <c r="D6386" i="20"/>
  <c r="F6386" i="20" s="1"/>
  <c r="C6386" i="20"/>
  <c r="B6386" i="20"/>
  <c r="D6385" i="20"/>
  <c r="F6385" i="20" s="1"/>
  <c r="C6385" i="20"/>
  <c r="B6385" i="20"/>
  <c r="D6384" i="20"/>
  <c r="F6384" i="20" s="1"/>
  <c r="C6384" i="20"/>
  <c r="B6384" i="20"/>
  <c r="D6383" i="20"/>
  <c r="F6383" i="20" s="1"/>
  <c r="C6383" i="20"/>
  <c r="B6383" i="20"/>
  <c r="D6382" i="20"/>
  <c r="F6382" i="20" s="1"/>
  <c r="C6382" i="20"/>
  <c r="B6382" i="20"/>
  <c r="D6381" i="20"/>
  <c r="F6381" i="20" s="1"/>
  <c r="C6381" i="20"/>
  <c r="B6381" i="20"/>
  <c r="D6380" i="20"/>
  <c r="F6380" i="20" s="1"/>
  <c r="C6380" i="20"/>
  <c r="B6380" i="20"/>
  <c r="D6379" i="20"/>
  <c r="F6379" i="20" s="1"/>
  <c r="C6379" i="20"/>
  <c r="B6379" i="20"/>
  <c r="D6378" i="20"/>
  <c r="F6378" i="20" s="1"/>
  <c r="C6378" i="20"/>
  <c r="B6378" i="20"/>
  <c r="D6377" i="20"/>
  <c r="F6377" i="20" s="1"/>
  <c r="C6377" i="20"/>
  <c r="B6377" i="20"/>
  <c r="D6376" i="20"/>
  <c r="F6376" i="20" s="1"/>
  <c r="C6376" i="20"/>
  <c r="C6375" i="20"/>
  <c r="E6371" i="20"/>
  <c r="D6371" i="20"/>
  <c r="B6371" i="20"/>
  <c r="E6370" i="20"/>
  <c r="D6370" i="20"/>
  <c r="B6370" i="20"/>
  <c r="D6369" i="20"/>
  <c r="B6369" i="20"/>
  <c r="D6368" i="20"/>
  <c r="B6368" i="20"/>
  <c r="G6365" i="20"/>
  <c r="I6387" i="20" s="1"/>
  <c r="G6364" i="20"/>
  <c r="B6364" i="20"/>
  <c r="B6363" i="20"/>
  <c r="H6362" i="20"/>
  <c r="B6359" i="20"/>
  <c r="E6397" i="20"/>
  <c r="J43" i="4"/>
  <c r="L43" i="4" s="1"/>
  <c r="G43" i="4" s="1"/>
  <c r="D6375" i="20" s="1"/>
  <c r="F6375" i="20" s="1"/>
  <c r="B4852" i="20"/>
  <c r="B4851" i="20"/>
  <c r="E4846" i="20"/>
  <c r="F4846" i="20" s="1"/>
  <c r="H4847" i="20" s="1"/>
  <c r="N4818" i="20" s="1"/>
  <c r="D4842" i="20"/>
  <c r="F4842" i="20" s="1"/>
  <c r="C4842" i="20"/>
  <c r="B4842" i="20"/>
  <c r="D4841" i="20"/>
  <c r="F4841" i="20" s="1"/>
  <c r="C4841" i="20"/>
  <c r="B4841" i="20"/>
  <c r="D4840" i="20"/>
  <c r="F4840" i="20" s="1"/>
  <c r="C4840" i="20"/>
  <c r="B4840" i="20"/>
  <c r="D4839" i="20"/>
  <c r="F4839" i="20" s="1"/>
  <c r="C4839" i="20"/>
  <c r="B4839" i="20"/>
  <c r="D4838" i="20"/>
  <c r="F4838" i="20" s="1"/>
  <c r="C4838" i="20"/>
  <c r="B4838" i="20"/>
  <c r="D4837" i="20"/>
  <c r="F4837" i="20" s="1"/>
  <c r="C4837" i="20"/>
  <c r="B4837" i="20"/>
  <c r="D4836" i="20"/>
  <c r="F4836" i="20" s="1"/>
  <c r="C4836" i="20"/>
  <c r="B4836" i="20"/>
  <c r="D4835" i="20"/>
  <c r="F4835" i="20" s="1"/>
  <c r="C4835" i="20"/>
  <c r="B4835" i="20"/>
  <c r="D4834" i="20"/>
  <c r="F4834" i="20" s="1"/>
  <c r="C4834" i="20"/>
  <c r="B4834" i="20"/>
  <c r="D4833" i="20"/>
  <c r="F4833" i="20" s="1"/>
  <c r="C4833" i="20"/>
  <c r="B4833" i="20"/>
  <c r="D4832" i="20"/>
  <c r="F4832" i="20" s="1"/>
  <c r="C4832" i="20"/>
  <c r="B4832" i="20"/>
  <c r="D4831" i="20"/>
  <c r="F4831" i="20" s="1"/>
  <c r="C4831" i="20"/>
  <c r="B4831" i="20"/>
  <c r="C4830" i="20"/>
  <c r="C4829" i="20"/>
  <c r="E4825" i="20"/>
  <c r="G4825" i="20" s="1"/>
  <c r="D4825" i="20"/>
  <c r="B4825" i="20"/>
  <c r="E4824" i="20"/>
  <c r="D4824" i="20"/>
  <c r="B4824" i="20"/>
  <c r="D4823" i="20"/>
  <c r="B4823" i="20"/>
  <c r="G4820" i="20"/>
  <c r="I4841" i="20" s="1"/>
  <c r="G4819" i="20"/>
  <c r="B4819" i="20"/>
  <c r="B4818" i="20"/>
  <c r="H4817" i="20"/>
  <c r="B4814" i="20"/>
  <c r="E4851" i="20"/>
  <c r="B4801" i="20"/>
  <c r="B4800" i="20"/>
  <c r="E4795" i="20"/>
  <c r="F4795" i="20" s="1"/>
  <c r="H4796" i="20" s="1"/>
  <c r="N4767" i="20" s="1"/>
  <c r="D4791" i="20"/>
  <c r="F4791" i="20" s="1"/>
  <c r="C4791" i="20"/>
  <c r="B4791" i="20"/>
  <c r="D4790" i="20"/>
  <c r="F4790" i="20" s="1"/>
  <c r="C4790" i="20"/>
  <c r="B4790" i="20"/>
  <c r="D4789" i="20"/>
  <c r="F4789" i="20" s="1"/>
  <c r="C4789" i="20"/>
  <c r="B4789" i="20"/>
  <c r="D4788" i="20"/>
  <c r="F4788" i="20" s="1"/>
  <c r="C4788" i="20"/>
  <c r="B4788" i="20"/>
  <c r="D4787" i="20"/>
  <c r="F4787" i="20" s="1"/>
  <c r="C4787" i="20"/>
  <c r="B4787" i="20"/>
  <c r="D4786" i="20"/>
  <c r="F4786" i="20" s="1"/>
  <c r="C4786" i="20"/>
  <c r="B4786" i="20"/>
  <c r="D4785" i="20"/>
  <c r="F4785" i="20" s="1"/>
  <c r="C4785" i="20"/>
  <c r="B4785" i="20"/>
  <c r="D4784" i="20"/>
  <c r="F4784" i="20" s="1"/>
  <c r="C4784" i="20"/>
  <c r="B4784" i="20"/>
  <c r="D4783" i="20"/>
  <c r="F4783" i="20" s="1"/>
  <c r="C4783" i="20"/>
  <c r="B4783" i="20"/>
  <c r="D4782" i="20"/>
  <c r="F4782" i="20" s="1"/>
  <c r="C4782" i="20"/>
  <c r="B4782" i="20"/>
  <c r="D4781" i="20"/>
  <c r="F4781" i="20" s="1"/>
  <c r="C4781" i="20"/>
  <c r="B4781" i="20"/>
  <c r="D4780" i="20"/>
  <c r="F4780" i="20" s="1"/>
  <c r="C4780" i="20"/>
  <c r="B4780" i="20"/>
  <c r="C4779" i="20"/>
  <c r="C4778" i="20"/>
  <c r="E4774" i="20"/>
  <c r="G4774" i="20" s="1"/>
  <c r="D4774" i="20"/>
  <c r="B4774" i="20"/>
  <c r="E4773" i="20"/>
  <c r="D4773" i="20"/>
  <c r="B4773" i="20"/>
  <c r="D4772" i="20"/>
  <c r="B4772" i="20"/>
  <c r="G4769" i="20"/>
  <c r="I4790" i="20" s="1"/>
  <c r="G4768" i="20"/>
  <c r="B4768" i="20"/>
  <c r="B4767" i="20"/>
  <c r="H4766" i="20"/>
  <c r="B4763" i="20"/>
  <c r="E4800" i="20"/>
  <c r="B4750" i="20"/>
  <c r="B4749" i="20"/>
  <c r="E4744" i="20"/>
  <c r="F4744" i="20" s="1"/>
  <c r="H4745" i="20" s="1"/>
  <c r="N4716" i="20" s="1"/>
  <c r="D4740" i="20"/>
  <c r="F4740" i="20" s="1"/>
  <c r="C4740" i="20"/>
  <c r="B4740" i="20"/>
  <c r="D4739" i="20"/>
  <c r="F4739" i="20" s="1"/>
  <c r="C4739" i="20"/>
  <c r="B4739" i="20"/>
  <c r="D4738" i="20"/>
  <c r="F4738" i="20" s="1"/>
  <c r="C4738" i="20"/>
  <c r="B4738" i="20"/>
  <c r="D4737" i="20"/>
  <c r="F4737" i="20" s="1"/>
  <c r="C4737" i="20"/>
  <c r="B4737" i="20"/>
  <c r="D4736" i="20"/>
  <c r="F4736" i="20" s="1"/>
  <c r="C4736" i="20"/>
  <c r="B4736" i="20"/>
  <c r="D4735" i="20"/>
  <c r="F4735" i="20" s="1"/>
  <c r="C4735" i="20"/>
  <c r="B4735" i="20"/>
  <c r="D4734" i="20"/>
  <c r="F4734" i="20" s="1"/>
  <c r="C4734" i="20"/>
  <c r="B4734" i="20"/>
  <c r="D4733" i="20"/>
  <c r="F4733" i="20" s="1"/>
  <c r="C4733" i="20"/>
  <c r="B4733" i="20"/>
  <c r="D4732" i="20"/>
  <c r="F4732" i="20" s="1"/>
  <c r="C4732" i="20"/>
  <c r="B4732" i="20"/>
  <c r="D4731" i="20"/>
  <c r="F4731" i="20" s="1"/>
  <c r="C4731" i="20"/>
  <c r="B4731" i="20"/>
  <c r="D4730" i="20"/>
  <c r="F4730" i="20" s="1"/>
  <c r="C4730" i="20"/>
  <c r="B4730" i="20"/>
  <c r="D4729" i="20"/>
  <c r="F4729" i="20" s="1"/>
  <c r="C4729" i="20"/>
  <c r="B4729" i="20"/>
  <c r="C4728" i="20"/>
  <c r="C4727" i="20"/>
  <c r="E4723" i="20"/>
  <c r="G4723" i="20" s="1"/>
  <c r="D4723" i="20"/>
  <c r="B4723" i="20"/>
  <c r="E4722" i="20"/>
  <c r="D4722" i="20"/>
  <c r="B4722" i="20"/>
  <c r="D4721" i="20"/>
  <c r="B4721" i="20"/>
  <c r="G4718" i="20"/>
  <c r="I4739" i="20" s="1"/>
  <c r="G4717" i="20"/>
  <c r="B4717" i="20"/>
  <c r="B4716" i="20"/>
  <c r="H4715" i="20"/>
  <c r="B4712" i="20"/>
  <c r="H4711" i="20"/>
  <c r="E4749" i="20" s="1"/>
  <c r="J227" i="4"/>
  <c r="L227" i="4" s="1"/>
  <c r="G227" i="4" s="1"/>
  <c r="B2450" i="20"/>
  <c r="B2449" i="20"/>
  <c r="E2444" i="20"/>
  <c r="F2444" i="20" s="1"/>
  <c r="H2445" i="20" s="1"/>
  <c r="N2416" i="20" s="1"/>
  <c r="D2440" i="20"/>
  <c r="F2440" i="20" s="1"/>
  <c r="C2440" i="20"/>
  <c r="B2440" i="20"/>
  <c r="D2439" i="20"/>
  <c r="F2439" i="20" s="1"/>
  <c r="C2439" i="20"/>
  <c r="B2439" i="20"/>
  <c r="D2438" i="20"/>
  <c r="F2438" i="20" s="1"/>
  <c r="C2438" i="20"/>
  <c r="B2438" i="20"/>
  <c r="D2437" i="20"/>
  <c r="F2437" i="20" s="1"/>
  <c r="C2437" i="20"/>
  <c r="B2437" i="20"/>
  <c r="D2436" i="20"/>
  <c r="F2436" i="20" s="1"/>
  <c r="C2436" i="20"/>
  <c r="B2436" i="20"/>
  <c r="D2435" i="20"/>
  <c r="F2435" i="20" s="1"/>
  <c r="C2435" i="20"/>
  <c r="B2435" i="20"/>
  <c r="C2434" i="20"/>
  <c r="B2434" i="20"/>
  <c r="C2433" i="20"/>
  <c r="B2433" i="20"/>
  <c r="C2432" i="20"/>
  <c r="B2432" i="20"/>
  <c r="C2431" i="20"/>
  <c r="B2431" i="20"/>
  <c r="C2430" i="20"/>
  <c r="B2430" i="20"/>
  <c r="C2429" i="20"/>
  <c r="B2429" i="20"/>
  <c r="C2428" i="20"/>
  <c r="C2427" i="20"/>
  <c r="D2423" i="20"/>
  <c r="B2423" i="20"/>
  <c r="D2422" i="20"/>
  <c r="B2422" i="20"/>
  <c r="D2421" i="20"/>
  <c r="B2421" i="20"/>
  <c r="G2418" i="20"/>
  <c r="I2439" i="20" s="1"/>
  <c r="G2417" i="20"/>
  <c r="B2417" i="20"/>
  <c r="B2416" i="20"/>
  <c r="H2415" i="20"/>
  <c r="B2412" i="20"/>
  <c r="H2411" i="20"/>
  <c r="E2449" i="20" s="1"/>
  <c r="B2399" i="20"/>
  <c r="B2398" i="20"/>
  <c r="E2393" i="20"/>
  <c r="F2393" i="20" s="1"/>
  <c r="H2394" i="20" s="1"/>
  <c r="N2365" i="20" s="1"/>
  <c r="D2389" i="20"/>
  <c r="F2389" i="20" s="1"/>
  <c r="C2389" i="20"/>
  <c r="B2389" i="20"/>
  <c r="D2388" i="20"/>
  <c r="F2388" i="20" s="1"/>
  <c r="C2388" i="20"/>
  <c r="B2388" i="20"/>
  <c r="D2387" i="20"/>
  <c r="F2387" i="20" s="1"/>
  <c r="C2387" i="20"/>
  <c r="B2387" i="20"/>
  <c r="D2386" i="20"/>
  <c r="F2386" i="20" s="1"/>
  <c r="C2386" i="20"/>
  <c r="B2386" i="20"/>
  <c r="D2385" i="20"/>
  <c r="F2385" i="20" s="1"/>
  <c r="C2385" i="20"/>
  <c r="B2385" i="20"/>
  <c r="D2384" i="20"/>
  <c r="F2384" i="20" s="1"/>
  <c r="C2384" i="20"/>
  <c r="B2384" i="20"/>
  <c r="C2383" i="20"/>
  <c r="B2383" i="20"/>
  <c r="C2382" i="20"/>
  <c r="B2382" i="20"/>
  <c r="C2381" i="20"/>
  <c r="B2381" i="20"/>
  <c r="C2380" i="20"/>
  <c r="B2380" i="20"/>
  <c r="C2379" i="20"/>
  <c r="B2379" i="20"/>
  <c r="C2378" i="20"/>
  <c r="B2378" i="20"/>
  <c r="C2377" i="20"/>
  <c r="C2376" i="20"/>
  <c r="D2372" i="20"/>
  <c r="B2372" i="20"/>
  <c r="D2371" i="20"/>
  <c r="B2371" i="20"/>
  <c r="D2370" i="20"/>
  <c r="B2370" i="20"/>
  <c r="G2367" i="20"/>
  <c r="I2388" i="20" s="1"/>
  <c r="G2366" i="20"/>
  <c r="B2366" i="20"/>
  <c r="B2365" i="20"/>
  <c r="H2364" i="20"/>
  <c r="B2361" i="20"/>
  <c r="H2360" i="20"/>
  <c r="E2398" i="20" s="1"/>
  <c r="B2348" i="20"/>
  <c r="B2347" i="20"/>
  <c r="E2342" i="20"/>
  <c r="F2342" i="20" s="1"/>
  <c r="H2343" i="20" s="1"/>
  <c r="N2314" i="20" s="1"/>
  <c r="D2338" i="20"/>
  <c r="F2338" i="20" s="1"/>
  <c r="C2338" i="20"/>
  <c r="B2338" i="20"/>
  <c r="D2337" i="20"/>
  <c r="F2337" i="20" s="1"/>
  <c r="C2337" i="20"/>
  <c r="B2337" i="20"/>
  <c r="D2336" i="20"/>
  <c r="F2336" i="20" s="1"/>
  <c r="C2336" i="20"/>
  <c r="B2336" i="20"/>
  <c r="D2335" i="20"/>
  <c r="F2335" i="20" s="1"/>
  <c r="C2335" i="20"/>
  <c r="B2335" i="20"/>
  <c r="D2334" i="20"/>
  <c r="F2334" i="20" s="1"/>
  <c r="C2334" i="20"/>
  <c r="B2334" i="20"/>
  <c r="D2333" i="20"/>
  <c r="F2333" i="20" s="1"/>
  <c r="C2333" i="20"/>
  <c r="B2333" i="20"/>
  <c r="C2332" i="20"/>
  <c r="B2332" i="20"/>
  <c r="C2331" i="20"/>
  <c r="B2331" i="20"/>
  <c r="C2330" i="20"/>
  <c r="B2330" i="20"/>
  <c r="C2329" i="20"/>
  <c r="B2329" i="20"/>
  <c r="C2328" i="20"/>
  <c r="B2328" i="20"/>
  <c r="C2327" i="20"/>
  <c r="B2327" i="20"/>
  <c r="C2326" i="20"/>
  <c r="C2325" i="20"/>
  <c r="D2321" i="20"/>
  <c r="B2321" i="20"/>
  <c r="D2320" i="20"/>
  <c r="B2320" i="20"/>
  <c r="D2319" i="20"/>
  <c r="B2319" i="20"/>
  <c r="G2316" i="20"/>
  <c r="I2337" i="20" s="1"/>
  <c r="G2315" i="20"/>
  <c r="B2315" i="20"/>
  <c r="B2314" i="20"/>
  <c r="H2313" i="20"/>
  <c r="B2310" i="20"/>
  <c r="H2309" i="20"/>
  <c r="E2347" i="20" s="1"/>
  <c r="B2281" i="20"/>
  <c r="B2280" i="20"/>
  <c r="B2279" i="20"/>
  <c r="B2278" i="20"/>
  <c r="B2277" i="20"/>
  <c r="B2276" i="20"/>
  <c r="B2297" i="20"/>
  <c r="B2296" i="20"/>
  <c r="E2291" i="20"/>
  <c r="F2291" i="20" s="1"/>
  <c r="H2292" i="20" s="1"/>
  <c r="N2263" i="20" s="1"/>
  <c r="D2287" i="20"/>
  <c r="F2287" i="20" s="1"/>
  <c r="C2287" i="20"/>
  <c r="B2287" i="20"/>
  <c r="D2286" i="20"/>
  <c r="F2286" i="20" s="1"/>
  <c r="C2286" i="20"/>
  <c r="B2286" i="20"/>
  <c r="D2285" i="20"/>
  <c r="F2285" i="20" s="1"/>
  <c r="C2285" i="20"/>
  <c r="B2285" i="20"/>
  <c r="D2284" i="20"/>
  <c r="F2284" i="20" s="1"/>
  <c r="C2284" i="20"/>
  <c r="B2284" i="20"/>
  <c r="D2283" i="20"/>
  <c r="F2283" i="20" s="1"/>
  <c r="C2283" i="20"/>
  <c r="B2283" i="20"/>
  <c r="D2282" i="20"/>
  <c r="F2282" i="20" s="1"/>
  <c r="C2282" i="20"/>
  <c r="B2282" i="20"/>
  <c r="C2281" i="20"/>
  <c r="C2280" i="20"/>
  <c r="C2279" i="20"/>
  <c r="C2278" i="20"/>
  <c r="C2277" i="20"/>
  <c r="C2276" i="20"/>
  <c r="C2275" i="20"/>
  <c r="C2274" i="20"/>
  <c r="D2270" i="20"/>
  <c r="B2270" i="20"/>
  <c r="D2269" i="20"/>
  <c r="B2269" i="20"/>
  <c r="D2268" i="20"/>
  <c r="B2268" i="20"/>
  <c r="G2265" i="20"/>
  <c r="I2286" i="20" s="1"/>
  <c r="G2264" i="20"/>
  <c r="B2264" i="20"/>
  <c r="B2263" i="20"/>
  <c r="H2262" i="20"/>
  <c r="B2259" i="20"/>
  <c r="H2258" i="20"/>
  <c r="E2296" i="20" s="1"/>
  <c r="J189" i="4"/>
  <c r="L189" i="4" s="1"/>
  <c r="G189" i="4" s="1"/>
  <c r="D3039" i="20" s="1"/>
  <c r="F3039" i="20" s="1"/>
  <c r="E4801" i="20" l="1"/>
  <c r="E2348" i="20"/>
  <c r="E2399" i="20"/>
  <c r="E2450" i="20"/>
  <c r="E4750" i="20"/>
  <c r="E2297" i="20"/>
  <c r="F8188" i="20"/>
  <c r="E8221" i="20"/>
  <c r="F2268" i="20"/>
  <c r="F2319" i="20"/>
  <c r="F2370" i="20"/>
  <c r="F2421" i="20"/>
  <c r="F4772" i="20"/>
  <c r="E4852" i="20"/>
  <c r="I8202" i="20"/>
  <c r="I8207" i="20"/>
  <c r="I8206" i="20"/>
  <c r="I8210" i="20"/>
  <c r="I8211" i="20"/>
  <c r="I8199" i="20"/>
  <c r="I8203" i="20"/>
  <c r="I8195" i="20"/>
  <c r="I8196" i="20"/>
  <c r="I8200" i="20"/>
  <c r="I8204" i="20"/>
  <c r="I8208" i="20"/>
  <c r="F8189" i="20"/>
  <c r="G8189" i="20" s="1"/>
  <c r="F8190" i="20"/>
  <c r="G8190" i="20" s="1"/>
  <c r="I8197" i="20"/>
  <c r="I8201" i="20"/>
  <c r="I8205" i="20"/>
  <c r="I8209" i="20"/>
  <c r="E8219" i="20"/>
  <c r="F8191" i="20"/>
  <c r="G8191" i="20" s="1"/>
  <c r="I8198" i="20"/>
  <c r="I6480" i="20"/>
  <c r="I6479" i="20"/>
  <c r="I6492" i="20"/>
  <c r="I6488" i="20"/>
  <c r="I6484" i="20"/>
  <c r="I6440" i="20"/>
  <c r="G6473" i="20"/>
  <c r="E6502" i="20"/>
  <c r="I6433" i="20"/>
  <c r="F6474" i="20"/>
  <c r="G6474" i="20" s="1"/>
  <c r="I6481" i="20"/>
  <c r="I6485" i="20"/>
  <c r="I6489" i="20"/>
  <c r="I6428" i="20"/>
  <c r="F6475" i="20"/>
  <c r="G6475" i="20" s="1"/>
  <c r="I6482" i="20"/>
  <c r="I6486" i="20"/>
  <c r="I6490" i="20"/>
  <c r="E6500" i="20"/>
  <c r="I6427" i="20"/>
  <c r="I6429" i="20"/>
  <c r="F6472" i="20"/>
  <c r="I6483" i="20"/>
  <c r="I6487" i="20"/>
  <c r="I6436" i="20"/>
  <c r="I6432" i="20"/>
  <c r="I6437" i="20"/>
  <c r="E6450" i="20"/>
  <c r="F6422" i="20"/>
  <c r="G6422" i="20" s="1"/>
  <c r="F6421" i="20"/>
  <c r="F6423" i="20"/>
  <c r="G6423" i="20" s="1"/>
  <c r="I6430" i="20"/>
  <c r="I6434" i="20"/>
  <c r="I6438" i="20"/>
  <c r="E6448" i="20"/>
  <c r="F6420" i="20"/>
  <c r="I6431" i="20"/>
  <c r="I6435" i="20"/>
  <c r="I6388" i="20"/>
  <c r="I6375" i="20"/>
  <c r="I6376" i="20"/>
  <c r="I6380" i="20"/>
  <c r="I6384" i="20"/>
  <c r="I6377" i="20"/>
  <c r="I6381" i="20"/>
  <c r="I6385" i="20"/>
  <c r="H6389" i="20"/>
  <c r="K6363" i="20" s="1"/>
  <c r="F6369" i="20"/>
  <c r="E6398" i="20"/>
  <c r="F6370" i="20"/>
  <c r="G6370" i="20" s="1"/>
  <c r="F6371" i="20"/>
  <c r="G6371" i="20" s="1"/>
  <c r="I6378" i="20"/>
  <c r="I6382" i="20"/>
  <c r="I6386" i="20"/>
  <c r="E6396" i="20"/>
  <c r="F6368" i="20"/>
  <c r="I6379" i="20"/>
  <c r="I6383" i="20"/>
  <c r="I4830" i="20"/>
  <c r="F4823" i="20"/>
  <c r="I4831" i="20"/>
  <c r="I4835" i="20"/>
  <c r="I4839" i="20"/>
  <c r="F4824" i="20"/>
  <c r="G4824" i="20" s="1"/>
  <c r="I4832" i="20"/>
  <c r="I4836" i="20"/>
  <c r="I4840" i="20"/>
  <c r="E4850" i="20"/>
  <c r="I4829" i="20"/>
  <c r="I4834" i="20"/>
  <c r="I4838" i="20"/>
  <c r="I4842" i="20"/>
  <c r="I4833" i="20"/>
  <c r="I4837" i="20"/>
  <c r="F4773" i="20"/>
  <c r="G4773" i="20" s="1"/>
  <c r="I4781" i="20"/>
  <c r="I4785" i="20"/>
  <c r="I4789" i="20"/>
  <c r="E4799" i="20"/>
  <c r="I4778" i="20"/>
  <c r="I4779" i="20"/>
  <c r="I4783" i="20"/>
  <c r="I4787" i="20"/>
  <c r="I4791" i="20"/>
  <c r="I4780" i="20"/>
  <c r="I4784" i="20"/>
  <c r="I4788" i="20"/>
  <c r="I4782" i="20"/>
  <c r="I4786" i="20"/>
  <c r="I4727" i="20"/>
  <c r="I4728" i="20"/>
  <c r="I4732" i="20"/>
  <c r="I4736" i="20"/>
  <c r="I4740" i="20"/>
  <c r="F4721" i="20"/>
  <c r="I4729" i="20"/>
  <c r="I4733" i="20"/>
  <c r="I4737" i="20"/>
  <c r="F4722" i="20"/>
  <c r="G4722" i="20" s="1"/>
  <c r="I4730" i="20"/>
  <c r="I4734" i="20"/>
  <c r="I4738" i="20"/>
  <c r="E4748" i="20"/>
  <c r="I4731" i="20"/>
  <c r="I4735" i="20"/>
  <c r="I2428" i="20"/>
  <c r="I2440" i="20"/>
  <c r="I2427" i="20"/>
  <c r="I2436" i="20"/>
  <c r="I2432" i="20"/>
  <c r="F2422" i="20"/>
  <c r="I2429" i="20"/>
  <c r="I2433" i="20"/>
  <c r="I2437" i="20"/>
  <c r="F2423" i="20"/>
  <c r="I2430" i="20"/>
  <c r="I2434" i="20"/>
  <c r="I2438" i="20"/>
  <c r="E2448" i="20"/>
  <c r="I2431" i="20"/>
  <c r="I2435" i="20"/>
  <c r="I2378" i="20"/>
  <c r="I2389" i="20"/>
  <c r="I2385" i="20"/>
  <c r="I2381" i="20"/>
  <c r="I2386" i="20"/>
  <c r="I2376" i="20"/>
  <c r="I2377" i="20"/>
  <c r="I2382" i="20"/>
  <c r="I2325" i="20"/>
  <c r="I2326" i="20"/>
  <c r="F2371" i="20"/>
  <c r="I2338" i="20"/>
  <c r="I2334" i="20"/>
  <c r="F2372" i="20"/>
  <c r="I2379" i="20"/>
  <c r="I2383" i="20"/>
  <c r="I2387" i="20"/>
  <c r="E2397" i="20"/>
  <c r="I2330" i="20"/>
  <c r="I2380" i="20"/>
  <c r="I2384" i="20"/>
  <c r="F2320" i="20"/>
  <c r="I2327" i="20"/>
  <c r="I2331" i="20"/>
  <c r="I2335" i="20"/>
  <c r="F2321" i="20"/>
  <c r="I2328" i="20"/>
  <c r="I2332" i="20"/>
  <c r="I2336" i="20"/>
  <c r="E2346" i="20"/>
  <c r="I2329" i="20"/>
  <c r="I2333" i="20"/>
  <c r="I2283" i="20"/>
  <c r="I2275" i="20"/>
  <c r="I2277" i="20"/>
  <c r="I2279" i="20"/>
  <c r="I2287" i="20"/>
  <c r="I2274" i="20"/>
  <c r="F2269" i="20"/>
  <c r="I2276" i="20"/>
  <c r="I2280" i="20"/>
  <c r="I2284" i="20"/>
  <c r="F2270" i="20"/>
  <c r="I2281" i="20"/>
  <c r="I2285" i="20"/>
  <c r="E2295" i="20"/>
  <c r="I2278" i="20"/>
  <c r="I2282" i="20"/>
  <c r="B8166" i="20"/>
  <c r="B8165" i="20"/>
  <c r="E8160" i="20"/>
  <c r="F8160" i="20" s="1"/>
  <c r="H8161" i="20" s="1"/>
  <c r="N8136" i="20" s="1"/>
  <c r="D8156" i="20"/>
  <c r="F8156" i="20" s="1"/>
  <c r="C8156" i="20"/>
  <c r="B8156" i="20"/>
  <c r="D8155" i="20"/>
  <c r="F8155" i="20" s="1"/>
  <c r="C8155" i="20"/>
  <c r="B8155" i="20"/>
  <c r="D8154" i="20"/>
  <c r="F8154" i="20" s="1"/>
  <c r="C8154" i="20"/>
  <c r="B8154" i="20"/>
  <c r="D8153" i="20"/>
  <c r="F8153" i="20" s="1"/>
  <c r="C8153" i="20"/>
  <c r="B8153" i="20"/>
  <c r="D8152" i="20"/>
  <c r="F8152" i="20" s="1"/>
  <c r="C8152" i="20"/>
  <c r="B8152" i="20"/>
  <c r="D8151" i="20"/>
  <c r="F8151" i="20" s="1"/>
  <c r="C8151" i="20"/>
  <c r="B8151" i="20"/>
  <c r="D8150" i="20"/>
  <c r="F8150" i="20" s="1"/>
  <c r="C8150" i="20"/>
  <c r="B8150" i="20"/>
  <c r="D8149" i="20"/>
  <c r="F8149" i="20" s="1"/>
  <c r="C8149" i="20"/>
  <c r="C8148" i="20"/>
  <c r="E8144" i="20"/>
  <c r="D8144" i="20"/>
  <c r="B8144" i="20"/>
  <c r="D8143" i="20"/>
  <c r="B8143" i="20"/>
  <c r="D8142" i="20"/>
  <c r="B8142" i="20"/>
  <c r="D8141" i="20"/>
  <c r="B8141" i="20"/>
  <c r="G8138" i="20"/>
  <c r="I8155" i="20" s="1"/>
  <c r="G8137" i="20"/>
  <c r="B8137" i="20"/>
  <c r="B8136" i="20"/>
  <c r="H8135" i="20"/>
  <c r="B8132" i="20"/>
  <c r="H8131" i="20"/>
  <c r="E8165" i="20" s="1"/>
  <c r="H8084" i="20"/>
  <c r="E8119" i="20" s="1"/>
  <c r="B8119" i="20"/>
  <c r="B8118" i="20"/>
  <c r="E8113" i="20"/>
  <c r="F8113" i="20" s="1"/>
  <c r="H8114" i="20" s="1"/>
  <c r="N8089" i="20" s="1"/>
  <c r="D8109" i="20"/>
  <c r="F8109" i="20" s="1"/>
  <c r="C8109" i="20"/>
  <c r="B8109" i="20"/>
  <c r="D8108" i="20"/>
  <c r="F8108" i="20" s="1"/>
  <c r="C8108" i="20"/>
  <c r="B8108" i="20"/>
  <c r="D8107" i="20"/>
  <c r="F8107" i="20" s="1"/>
  <c r="C8107" i="20"/>
  <c r="B8107" i="20"/>
  <c r="D8106" i="20"/>
  <c r="F8106" i="20" s="1"/>
  <c r="C8106" i="20"/>
  <c r="B8106" i="20"/>
  <c r="D8105" i="20"/>
  <c r="F8105" i="20" s="1"/>
  <c r="C8105" i="20"/>
  <c r="B8105" i="20"/>
  <c r="D8104" i="20"/>
  <c r="F8104" i="20" s="1"/>
  <c r="C8104" i="20"/>
  <c r="B8104" i="20"/>
  <c r="D8103" i="20"/>
  <c r="F8103" i="20" s="1"/>
  <c r="C8103" i="20"/>
  <c r="B8103" i="20"/>
  <c r="D8102" i="20"/>
  <c r="F8102" i="20" s="1"/>
  <c r="C8102" i="20"/>
  <c r="C8101" i="20"/>
  <c r="E8097" i="20"/>
  <c r="D8097" i="20"/>
  <c r="B8097" i="20"/>
  <c r="D8096" i="20"/>
  <c r="B8096" i="20"/>
  <c r="D8095" i="20"/>
  <c r="B8095" i="20"/>
  <c r="D8094" i="20"/>
  <c r="B8094" i="20"/>
  <c r="G8091" i="20"/>
  <c r="G8090" i="20"/>
  <c r="B8090" i="20"/>
  <c r="B8089" i="20"/>
  <c r="H8088" i="20"/>
  <c r="B8085" i="20"/>
  <c r="F8096" i="20" l="1"/>
  <c r="E8118" i="20"/>
  <c r="F8143" i="20"/>
  <c r="F8141" i="20"/>
  <c r="E8166" i="20"/>
  <c r="F8144" i="20"/>
  <c r="G8144" i="20" s="1"/>
  <c r="I8156" i="20"/>
  <c r="I8152" i="20"/>
  <c r="F8142" i="20"/>
  <c r="I8148" i="20"/>
  <c r="I8149" i="20"/>
  <c r="I8153" i="20"/>
  <c r="I8150" i="20"/>
  <c r="I8154" i="20"/>
  <c r="E8164" i="20"/>
  <c r="I8151" i="20"/>
  <c r="F8097" i="20"/>
  <c r="G8097" i="20" s="1"/>
  <c r="F8094" i="20"/>
  <c r="I8105" i="20"/>
  <c r="I8109" i="20"/>
  <c r="F8095" i="20"/>
  <c r="I8101" i="20"/>
  <c r="I8102" i="20"/>
  <c r="I8106" i="20"/>
  <c r="I8107" i="20"/>
  <c r="I8103" i="20"/>
  <c r="I8108" i="20"/>
  <c r="E8117" i="20"/>
  <c r="I8104" i="20"/>
  <c r="B8923" i="20" l="1"/>
  <c r="B8922" i="20"/>
  <c r="E8917" i="20"/>
  <c r="F8917" i="20" s="1"/>
  <c r="H8918" i="20" s="1"/>
  <c r="N8888" i="20" s="1"/>
  <c r="D8913" i="20"/>
  <c r="F8913" i="20" s="1"/>
  <c r="C8913" i="20"/>
  <c r="B8913" i="20"/>
  <c r="D8912" i="20"/>
  <c r="F8912" i="20" s="1"/>
  <c r="C8912" i="20"/>
  <c r="B8912" i="20"/>
  <c r="D8911" i="20"/>
  <c r="F8911" i="20" s="1"/>
  <c r="C8911" i="20"/>
  <c r="B8911" i="20"/>
  <c r="D8910" i="20"/>
  <c r="F8910" i="20" s="1"/>
  <c r="C8910" i="20"/>
  <c r="B8910" i="20"/>
  <c r="D8909" i="20"/>
  <c r="F8909" i="20" s="1"/>
  <c r="C8909" i="20"/>
  <c r="B8909" i="20"/>
  <c r="C8908" i="20"/>
  <c r="B8908" i="20"/>
  <c r="C8907" i="20"/>
  <c r="B8907" i="20"/>
  <c r="C8906" i="20"/>
  <c r="B8906" i="20"/>
  <c r="C8905" i="20"/>
  <c r="B8905" i="20"/>
  <c r="C8904" i="20"/>
  <c r="B8904" i="20"/>
  <c r="C8903" i="20"/>
  <c r="B8903" i="20"/>
  <c r="C8902" i="20"/>
  <c r="B8902" i="20"/>
  <c r="C8901" i="20"/>
  <c r="C8900" i="20"/>
  <c r="E8896" i="20"/>
  <c r="D8896" i="20"/>
  <c r="B8896" i="20"/>
  <c r="D8895" i="20"/>
  <c r="B8895" i="20"/>
  <c r="D8894" i="20"/>
  <c r="B8894" i="20"/>
  <c r="D8893" i="20"/>
  <c r="B8893" i="20"/>
  <c r="G8890" i="20"/>
  <c r="I8912" i="20" s="1"/>
  <c r="G8889" i="20"/>
  <c r="B8889" i="20"/>
  <c r="B8888" i="20"/>
  <c r="H8887" i="20"/>
  <c r="B8884" i="20"/>
  <c r="H8883" i="20"/>
  <c r="E8922" i="20" s="1"/>
  <c r="G279" i="4"/>
  <c r="J21" i="4"/>
  <c r="L21" i="4" s="1"/>
  <c r="G21" i="4" s="1"/>
  <c r="D2171" i="20" s="1"/>
  <c r="F2171" i="20" s="1"/>
  <c r="B2246" i="20"/>
  <c r="B2245" i="20"/>
  <c r="E2240" i="20"/>
  <c r="F2240" i="20" s="1"/>
  <c r="H2241" i="20" s="1"/>
  <c r="N2212" i="20" s="1"/>
  <c r="D2236" i="20"/>
  <c r="F2236" i="20" s="1"/>
  <c r="C2236" i="20"/>
  <c r="B2236" i="20"/>
  <c r="D2235" i="20"/>
  <c r="F2235" i="20" s="1"/>
  <c r="C2235" i="20"/>
  <c r="B2235" i="20"/>
  <c r="D2234" i="20"/>
  <c r="F2234" i="20" s="1"/>
  <c r="C2234" i="20"/>
  <c r="B2234" i="20"/>
  <c r="D2233" i="20"/>
  <c r="F2233" i="20" s="1"/>
  <c r="C2233" i="20"/>
  <c r="B2233" i="20"/>
  <c r="D2232" i="20"/>
  <c r="F2232" i="20" s="1"/>
  <c r="C2232" i="20"/>
  <c r="B2232" i="20"/>
  <c r="D2231" i="20"/>
  <c r="F2231" i="20" s="1"/>
  <c r="C2231" i="20"/>
  <c r="B2231" i="20"/>
  <c r="D2230" i="20"/>
  <c r="F2230" i="20" s="1"/>
  <c r="C2230" i="20"/>
  <c r="B2230" i="20"/>
  <c r="C2229" i="20"/>
  <c r="B2229" i="20"/>
  <c r="C2228" i="20"/>
  <c r="B2228" i="20"/>
  <c r="C2227" i="20"/>
  <c r="B2227" i="20"/>
  <c r="C2226" i="20"/>
  <c r="B2226" i="20"/>
  <c r="C2225" i="20"/>
  <c r="B2225" i="20"/>
  <c r="C2224" i="20"/>
  <c r="C2223" i="20"/>
  <c r="D2219" i="20"/>
  <c r="B2219" i="20"/>
  <c r="D2218" i="20"/>
  <c r="B2218" i="20"/>
  <c r="D2217" i="20"/>
  <c r="B2217" i="20"/>
  <c r="G2214" i="20"/>
  <c r="I2235" i="20" s="1"/>
  <c r="G2213" i="20"/>
  <c r="B2213" i="20"/>
  <c r="B2212" i="20"/>
  <c r="H2211" i="20"/>
  <c r="B2208" i="20"/>
  <c r="H2207" i="20"/>
  <c r="E2245" i="20" s="1"/>
  <c r="B2194" i="20"/>
  <c r="B2193" i="20"/>
  <c r="E2188" i="20"/>
  <c r="F2188" i="20" s="1"/>
  <c r="H2189" i="20" s="1"/>
  <c r="N2160" i="20" s="1"/>
  <c r="D2184" i="20"/>
  <c r="F2184" i="20" s="1"/>
  <c r="C2184" i="20"/>
  <c r="B2184" i="20"/>
  <c r="D2183" i="20"/>
  <c r="F2183" i="20" s="1"/>
  <c r="C2183" i="20"/>
  <c r="B2183" i="20"/>
  <c r="D2182" i="20"/>
  <c r="F2182" i="20" s="1"/>
  <c r="C2182" i="20"/>
  <c r="B2182" i="20"/>
  <c r="D2181" i="20"/>
  <c r="F2181" i="20" s="1"/>
  <c r="C2181" i="20"/>
  <c r="B2181" i="20"/>
  <c r="D2180" i="20"/>
  <c r="F2180" i="20" s="1"/>
  <c r="C2180" i="20"/>
  <c r="B2180" i="20"/>
  <c r="D2179" i="20"/>
  <c r="F2179" i="20" s="1"/>
  <c r="C2179" i="20"/>
  <c r="B2179" i="20"/>
  <c r="C2178" i="20"/>
  <c r="B2178" i="20"/>
  <c r="C2177" i="20"/>
  <c r="B2177" i="20"/>
  <c r="C2176" i="20"/>
  <c r="B2176" i="20"/>
  <c r="C2175" i="20"/>
  <c r="B2175" i="20"/>
  <c r="C2174" i="20"/>
  <c r="B2174" i="20"/>
  <c r="C2173" i="20"/>
  <c r="B2173" i="20"/>
  <c r="C2172" i="20"/>
  <c r="C2171" i="20"/>
  <c r="E2167" i="20"/>
  <c r="D2167" i="20"/>
  <c r="B2167" i="20"/>
  <c r="D2166" i="20"/>
  <c r="B2166" i="20"/>
  <c r="D2165" i="20"/>
  <c r="B2165" i="20"/>
  <c r="G2162" i="20"/>
  <c r="I2181" i="20" s="1"/>
  <c r="G2161" i="20"/>
  <c r="B2161" i="20"/>
  <c r="B2160" i="20"/>
  <c r="H2159" i="20"/>
  <c r="B2156" i="20"/>
  <c r="H2155" i="20"/>
  <c r="F2166" i="20" s="1"/>
  <c r="B2143" i="20"/>
  <c r="B2142" i="20"/>
  <c r="E2137" i="20"/>
  <c r="F2137" i="20" s="1"/>
  <c r="H2138" i="20" s="1"/>
  <c r="N2109" i="20" s="1"/>
  <c r="D2133" i="20"/>
  <c r="F2133" i="20" s="1"/>
  <c r="C2133" i="20"/>
  <c r="B2133" i="20"/>
  <c r="D2132" i="20"/>
  <c r="F2132" i="20" s="1"/>
  <c r="C2132" i="20"/>
  <c r="B2132" i="20"/>
  <c r="D2131" i="20"/>
  <c r="F2131" i="20" s="1"/>
  <c r="C2131" i="20"/>
  <c r="B2131" i="20"/>
  <c r="D2130" i="20"/>
  <c r="F2130" i="20" s="1"/>
  <c r="C2130" i="20"/>
  <c r="B2130" i="20"/>
  <c r="D2129" i="20"/>
  <c r="F2129" i="20" s="1"/>
  <c r="C2129" i="20"/>
  <c r="B2129" i="20"/>
  <c r="D2128" i="20"/>
  <c r="F2128" i="20" s="1"/>
  <c r="C2128" i="20"/>
  <c r="B2128" i="20"/>
  <c r="C2127" i="20"/>
  <c r="B2127" i="20"/>
  <c r="C2126" i="20"/>
  <c r="B2126" i="20"/>
  <c r="C2125" i="20"/>
  <c r="B2125" i="20"/>
  <c r="C2124" i="20"/>
  <c r="B2124" i="20"/>
  <c r="C2123" i="20"/>
  <c r="B2123" i="20"/>
  <c r="C2122" i="20"/>
  <c r="B2122" i="20"/>
  <c r="C2121" i="20"/>
  <c r="C2120" i="20"/>
  <c r="D2116" i="20"/>
  <c r="B2116" i="20"/>
  <c r="D2115" i="20"/>
  <c r="B2115" i="20"/>
  <c r="D2114" i="20"/>
  <c r="B2114" i="20"/>
  <c r="G2111" i="20"/>
  <c r="I2132" i="20" s="1"/>
  <c r="G2110" i="20"/>
  <c r="B2110" i="20"/>
  <c r="B2109" i="20"/>
  <c r="H2108" i="20"/>
  <c r="B2105" i="20"/>
  <c r="H2104" i="20"/>
  <c r="E2142" i="20" s="1"/>
  <c r="J201" i="4"/>
  <c r="L201" i="4" s="1"/>
  <c r="G201" i="4" s="1"/>
  <c r="D2069" i="20" s="1"/>
  <c r="F2069" i="20" s="1"/>
  <c r="J202" i="4"/>
  <c r="L202" i="4" s="1"/>
  <c r="G202" i="4" s="1"/>
  <c r="D2835" i="20" s="1"/>
  <c r="F2835" i="20" s="1"/>
  <c r="B2092" i="20"/>
  <c r="B2091" i="20"/>
  <c r="E2086" i="20"/>
  <c r="F2086" i="20" s="1"/>
  <c r="H2087" i="20" s="1"/>
  <c r="N2058" i="20" s="1"/>
  <c r="D2082" i="20"/>
  <c r="F2082" i="20" s="1"/>
  <c r="C2082" i="20"/>
  <c r="B2082" i="20"/>
  <c r="D2081" i="20"/>
  <c r="F2081" i="20" s="1"/>
  <c r="C2081" i="20"/>
  <c r="B2081" i="20"/>
  <c r="D2080" i="20"/>
  <c r="F2080" i="20" s="1"/>
  <c r="C2080" i="20"/>
  <c r="B2080" i="20"/>
  <c r="D2079" i="20"/>
  <c r="F2079" i="20" s="1"/>
  <c r="C2079" i="20"/>
  <c r="B2079" i="20"/>
  <c r="D2078" i="20"/>
  <c r="F2078" i="20" s="1"/>
  <c r="C2078" i="20"/>
  <c r="B2078" i="20"/>
  <c r="D2077" i="20"/>
  <c r="F2077" i="20" s="1"/>
  <c r="C2077" i="20"/>
  <c r="B2077" i="20"/>
  <c r="C2076" i="20"/>
  <c r="B2076" i="20"/>
  <c r="C2075" i="20"/>
  <c r="B2075" i="20"/>
  <c r="C2074" i="20"/>
  <c r="B2074" i="20"/>
  <c r="C2073" i="20"/>
  <c r="B2073" i="20"/>
  <c r="C2072" i="20"/>
  <c r="B2072" i="20"/>
  <c r="C2071" i="20"/>
  <c r="B2071" i="20"/>
  <c r="C2070" i="20"/>
  <c r="C2069" i="20"/>
  <c r="D2065" i="20"/>
  <c r="B2065" i="20"/>
  <c r="D2064" i="20"/>
  <c r="B2064" i="20"/>
  <c r="D2063" i="20"/>
  <c r="B2063" i="20"/>
  <c r="G2060" i="20"/>
  <c r="I2081" i="20" s="1"/>
  <c r="G2059" i="20"/>
  <c r="B2059" i="20"/>
  <c r="B2058" i="20"/>
  <c r="H2057" i="20"/>
  <c r="B2054" i="20"/>
  <c r="H2053" i="20"/>
  <c r="E2091" i="20" s="1"/>
  <c r="J169" i="4"/>
  <c r="L169" i="4" s="1"/>
  <c r="G169" i="4" s="1"/>
  <c r="B2041" i="20"/>
  <c r="B2040" i="20"/>
  <c r="E2035" i="20"/>
  <c r="F2035" i="20" s="1"/>
  <c r="H2036" i="20" s="1"/>
  <c r="N2007" i="20" s="1"/>
  <c r="D2031" i="20"/>
  <c r="F2031" i="20" s="1"/>
  <c r="C2031" i="20"/>
  <c r="B2031" i="20"/>
  <c r="D2030" i="20"/>
  <c r="F2030" i="20" s="1"/>
  <c r="C2030" i="20"/>
  <c r="B2030" i="20"/>
  <c r="D2029" i="20"/>
  <c r="F2029" i="20" s="1"/>
  <c r="C2029" i="20"/>
  <c r="B2029" i="20"/>
  <c r="D2028" i="20"/>
  <c r="F2028" i="20" s="1"/>
  <c r="C2028" i="20"/>
  <c r="B2028" i="20"/>
  <c r="D2027" i="20"/>
  <c r="F2027" i="20" s="1"/>
  <c r="C2027" i="20"/>
  <c r="B2027" i="20"/>
  <c r="D2026" i="20"/>
  <c r="F2026" i="20" s="1"/>
  <c r="C2026" i="20"/>
  <c r="B2026" i="20"/>
  <c r="C2025" i="20"/>
  <c r="B2025" i="20"/>
  <c r="C2024" i="20"/>
  <c r="B2024" i="20"/>
  <c r="C2023" i="20"/>
  <c r="B2023" i="20"/>
  <c r="C2022" i="20"/>
  <c r="B2022" i="20"/>
  <c r="C2021" i="20"/>
  <c r="B2021" i="20"/>
  <c r="C2020" i="20"/>
  <c r="B2020" i="20"/>
  <c r="C2019" i="20"/>
  <c r="C2018" i="20"/>
  <c r="D2014" i="20"/>
  <c r="B2014" i="20"/>
  <c r="D2013" i="20"/>
  <c r="B2013" i="20"/>
  <c r="D2012" i="20"/>
  <c r="B2012" i="20"/>
  <c r="G2009" i="20"/>
  <c r="I2030" i="20" s="1"/>
  <c r="G2008" i="20"/>
  <c r="B2008" i="20"/>
  <c r="B2007" i="20"/>
  <c r="H2006" i="20"/>
  <c r="B2003" i="20"/>
  <c r="H2002" i="20"/>
  <c r="E2040" i="20" s="1"/>
  <c r="B1990" i="20"/>
  <c r="B1989" i="20"/>
  <c r="E1984" i="20"/>
  <c r="F1984" i="20" s="1"/>
  <c r="H1985" i="20" s="1"/>
  <c r="N1956" i="20" s="1"/>
  <c r="D1980" i="20"/>
  <c r="F1980" i="20" s="1"/>
  <c r="C1980" i="20"/>
  <c r="B1980" i="20"/>
  <c r="D1979" i="20"/>
  <c r="F1979" i="20" s="1"/>
  <c r="C1979" i="20"/>
  <c r="B1979" i="20"/>
  <c r="D1978" i="20"/>
  <c r="F1978" i="20" s="1"/>
  <c r="C1978" i="20"/>
  <c r="B1978" i="20"/>
  <c r="D1977" i="20"/>
  <c r="F1977" i="20" s="1"/>
  <c r="C1977" i="20"/>
  <c r="B1977" i="20"/>
  <c r="D1976" i="20"/>
  <c r="F1976" i="20" s="1"/>
  <c r="C1976" i="20"/>
  <c r="B1976" i="20"/>
  <c r="D1975" i="20"/>
  <c r="F1975" i="20" s="1"/>
  <c r="C1975" i="20"/>
  <c r="B1975" i="20"/>
  <c r="C1974" i="20"/>
  <c r="B1974" i="20"/>
  <c r="C1973" i="20"/>
  <c r="B1973" i="20"/>
  <c r="C1972" i="20"/>
  <c r="B1972" i="20"/>
  <c r="C1971" i="20"/>
  <c r="B1971" i="20"/>
  <c r="C1970" i="20"/>
  <c r="B1970" i="20"/>
  <c r="C1969" i="20"/>
  <c r="B1969" i="20"/>
  <c r="C1968" i="20"/>
  <c r="C1967" i="20"/>
  <c r="D1963" i="20"/>
  <c r="B1963" i="20"/>
  <c r="D1962" i="20"/>
  <c r="B1962" i="20"/>
  <c r="D1961" i="20"/>
  <c r="B1961" i="20"/>
  <c r="G1958" i="20"/>
  <c r="I1979" i="20" s="1"/>
  <c r="G1957" i="20"/>
  <c r="B1957" i="20"/>
  <c r="B1956" i="20"/>
  <c r="H1955" i="20"/>
  <c r="B1952" i="20"/>
  <c r="H1951" i="20"/>
  <c r="E1989" i="20" s="1"/>
  <c r="B1939" i="20"/>
  <c r="B1938" i="20"/>
  <c r="E1933" i="20"/>
  <c r="F1933" i="20" s="1"/>
  <c r="H1934" i="20" s="1"/>
  <c r="N1905" i="20" s="1"/>
  <c r="D1929" i="20"/>
  <c r="F1929" i="20" s="1"/>
  <c r="C1929" i="20"/>
  <c r="B1929" i="20"/>
  <c r="D1928" i="20"/>
  <c r="F1928" i="20" s="1"/>
  <c r="C1928" i="20"/>
  <c r="B1928" i="20"/>
  <c r="D1927" i="20"/>
  <c r="F1927" i="20" s="1"/>
  <c r="C1927" i="20"/>
  <c r="B1927" i="20"/>
  <c r="D1926" i="20"/>
  <c r="F1926" i="20" s="1"/>
  <c r="C1926" i="20"/>
  <c r="B1926" i="20"/>
  <c r="D1925" i="20"/>
  <c r="F1925" i="20" s="1"/>
  <c r="C1925" i="20"/>
  <c r="B1925" i="20"/>
  <c r="D1924" i="20"/>
  <c r="F1924" i="20" s="1"/>
  <c r="C1924" i="20"/>
  <c r="B1924" i="20"/>
  <c r="C1923" i="20"/>
  <c r="B1923" i="20"/>
  <c r="C1922" i="20"/>
  <c r="B1922" i="20"/>
  <c r="C1921" i="20"/>
  <c r="B1921" i="20"/>
  <c r="C1920" i="20"/>
  <c r="B1920" i="20"/>
  <c r="C1919" i="20"/>
  <c r="B1919" i="20"/>
  <c r="C1918" i="20"/>
  <c r="B1918" i="20"/>
  <c r="C1917" i="20"/>
  <c r="C1916" i="20"/>
  <c r="D1912" i="20"/>
  <c r="B1912" i="20"/>
  <c r="D1911" i="20"/>
  <c r="B1911" i="20"/>
  <c r="D1910" i="20"/>
  <c r="B1910" i="20"/>
  <c r="G1907" i="20"/>
  <c r="I1928" i="20" s="1"/>
  <c r="G1906" i="20"/>
  <c r="B1906" i="20"/>
  <c r="B1905" i="20"/>
  <c r="H1904" i="20"/>
  <c r="B1901" i="20"/>
  <c r="H1900" i="20"/>
  <c r="E1938" i="20" s="1"/>
  <c r="B1888" i="20"/>
  <c r="B1887" i="20"/>
  <c r="E1882" i="20"/>
  <c r="F1882" i="20" s="1"/>
  <c r="H1883" i="20" s="1"/>
  <c r="N1854" i="20" s="1"/>
  <c r="D1878" i="20"/>
  <c r="F1878" i="20" s="1"/>
  <c r="C1878" i="20"/>
  <c r="B1878" i="20"/>
  <c r="D1877" i="20"/>
  <c r="F1877" i="20" s="1"/>
  <c r="C1877" i="20"/>
  <c r="B1877" i="20"/>
  <c r="D1876" i="20"/>
  <c r="F1876" i="20" s="1"/>
  <c r="C1876" i="20"/>
  <c r="B1876" i="20"/>
  <c r="D1875" i="20"/>
  <c r="F1875" i="20" s="1"/>
  <c r="C1875" i="20"/>
  <c r="B1875" i="20"/>
  <c r="D1874" i="20"/>
  <c r="F1874" i="20" s="1"/>
  <c r="C1874" i="20"/>
  <c r="B1874" i="20"/>
  <c r="D1873" i="20"/>
  <c r="F1873" i="20" s="1"/>
  <c r="C1873" i="20"/>
  <c r="B1873" i="20"/>
  <c r="C1872" i="20"/>
  <c r="B1872" i="20"/>
  <c r="C1871" i="20"/>
  <c r="B1871" i="20"/>
  <c r="C1870" i="20"/>
  <c r="B1870" i="20"/>
  <c r="C1869" i="20"/>
  <c r="B1869" i="20"/>
  <c r="C1868" i="20"/>
  <c r="B1868" i="20"/>
  <c r="C1867" i="20"/>
  <c r="B1867" i="20"/>
  <c r="C1866" i="20"/>
  <c r="C1865" i="20"/>
  <c r="D1861" i="20"/>
  <c r="B1861" i="20"/>
  <c r="D1860" i="20"/>
  <c r="B1860" i="20"/>
  <c r="D1859" i="20"/>
  <c r="B1859" i="20"/>
  <c r="G1856" i="20"/>
  <c r="I1877" i="20" s="1"/>
  <c r="G1855" i="20"/>
  <c r="B1855" i="20"/>
  <c r="B1854" i="20"/>
  <c r="H1853" i="20"/>
  <c r="B1850" i="20"/>
  <c r="H1849" i="20"/>
  <c r="E1887" i="20" s="1"/>
  <c r="H1798" i="20"/>
  <c r="E1837" i="20" s="1"/>
  <c r="J265" i="4"/>
  <c r="L265" i="4" s="1"/>
  <c r="G265" i="4" s="1"/>
  <c r="D1865" i="20" s="1"/>
  <c r="F1865" i="20" s="1"/>
  <c r="H269" i="4"/>
  <c r="J269" i="4" s="1"/>
  <c r="L269" i="4" s="1"/>
  <c r="G269" i="4" s="1"/>
  <c r="D4110" i="20" s="1"/>
  <c r="F4110" i="20" s="1"/>
  <c r="J268" i="4"/>
  <c r="L268" i="4" s="1"/>
  <c r="G268" i="4" s="1"/>
  <c r="J266" i="4"/>
  <c r="L266" i="4" s="1"/>
  <c r="G266" i="4" s="1"/>
  <c r="D1916" i="20" s="1"/>
  <c r="F1916" i="20" s="1"/>
  <c r="J264" i="4"/>
  <c r="L264" i="4" s="1"/>
  <c r="G264" i="4" s="1"/>
  <c r="B1837" i="20"/>
  <c r="B1836" i="20"/>
  <c r="E1831" i="20"/>
  <c r="F1831" i="20" s="1"/>
  <c r="H1832" i="20" s="1"/>
  <c r="N1803" i="20" s="1"/>
  <c r="D1827" i="20"/>
  <c r="F1827" i="20" s="1"/>
  <c r="C1827" i="20"/>
  <c r="B1827" i="20"/>
  <c r="D1826" i="20"/>
  <c r="F1826" i="20" s="1"/>
  <c r="C1826" i="20"/>
  <c r="B1826" i="20"/>
  <c r="D1825" i="20"/>
  <c r="F1825" i="20" s="1"/>
  <c r="C1825" i="20"/>
  <c r="B1825" i="20"/>
  <c r="D1824" i="20"/>
  <c r="F1824" i="20" s="1"/>
  <c r="C1824" i="20"/>
  <c r="B1824" i="20"/>
  <c r="D1823" i="20"/>
  <c r="F1823" i="20" s="1"/>
  <c r="C1823" i="20"/>
  <c r="B1823" i="20"/>
  <c r="D1822" i="20"/>
  <c r="F1822" i="20" s="1"/>
  <c r="C1822" i="20"/>
  <c r="B1822" i="20"/>
  <c r="C1821" i="20"/>
  <c r="B1821" i="20"/>
  <c r="C1820" i="20"/>
  <c r="B1820" i="20"/>
  <c r="C1819" i="20"/>
  <c r="B1819" i="20"/>
  <c r="C1818" i="20"/>
  <c r="B1818" i="20"/>
  <c r="C1817" i="20"/>
  <c r="B1817" i="20"/>
  <c r="C1816" i="20"/>
  <c r="B1816" i="20"/>
  <c r="C1815" i="20"/>
  <c r="C1814" i="20"/>
  <c r="D1810" i="20"/>
  <c r="B1810" i="20"/>
  <c r="D1809" i="20"/>
  <c r="B1809" i="20"/>
  <c r="D1808" i="20"/>
  <c r="B1808" i="20"/>
  <c r="G1805" i="20"/>
  <c r="I1826" i="20" s="1"/>
  <c r="G1804" i="20"/>
  <c r="B1804" i="20"/>
  <c r="B1803" i="20"/>
  <c r="H1802" i="20"/>
  <c r="B1799" i="20"/>
  <c r="H9199" i="20"/>
  <c r="E9239" i="20" s="1"/>
  <c r="B9239" i="20"/>
  <c r="B9238" i="20"/>
  <c r="E9233" i="20"/>
  <c r="F9233" i="20" s="1"/>
  <c r="H9234" i="20" s="1"/>
  <c r="N9204" i="20" s="1"/>
  <c r="D9229" i="20"/>
  <c r="F9229" i="20" s="1"/>
  <c r="C9229" i="20"/>
  <c r="B9229" i="20"/>
  <c r="D9228" i="20"/>
  <c r="F9228" i="20" s="1"/>
  <c r="C9228" i="20"/>
  <c r="B9228" i="20"/>
  <c r="D9227" i="20"/>
  <c r="F9227" i="20" s="1"/>
  <c r="C9227" i="20"/>
  <c r="B9227" i="20"/>
  <c r="D9226" i="20"/>
  <c r="F9226" i="20" s="1"/>
  <c r="C9226" i="20"/>
  <c r="B9226" i="20"/>
  <c r="D9225" i="20"/>
  <c r="F9225" i="20" s="1"/>
  <c r="C9225" i="20"/>
  <c r="B9225" i="20"/>
  <c r="D9224" i="20"/>
  <c r="F9224" i="20" s="1"/>
  <c r="C9224" i="20"/>
  <c r="B9224" i="20"/>
  <c r="D9223" i="20"/>
  <c r="F9223" i="20" s="1"/>
  <c r="C9223" i="20"/>
  <c r="B9223" i="20"/>
  <c r="D9222" i="20"/>
  <c r="F9222" i="20" s="1"/>
  <c r="C9222" i="20"/>
  <c r="B9222" i="20"/>
  <c r="D9221" i="20"/>
  <c r="F9221" i="20" s="1"/>
  <c r="C9221" i="20"/>
  <c r="B9221" i="20"/>
  <c r="D9220" i="20"/>
  <c r="F9220" i="20" s="1"/>
  <c r="C9220" i="20"/>
  <c r="B9220" i="20"/>
  <c r="D9219" i="20"/>
  <c r="F9219" i="20" s="1"/>
  <c r="C9219" i="20"/>
  <c r="B9219" i="20"/>
  <c r="D9218" i="20"/>
  <c r="F9218" i="20" s="1"/>
  <c r="C9218" i="20"/>
  <c r="B9218" i="20"/>
  <c r="C9217" i="20"/>
  <c r="C9216" i="20"/>
  <c r="D9212" i="20"/>
  <c r="B9212" i="20"/>
  <c r="E9211" i="20"/>
  <c r="D9211" i="20"/>
  <c r="B9211" i="20"/>
  <c r="D9210" i="20"/>
  <c r="B9210" i="20"/>
  <c r="D9209" i="20"/>
  <c r="B9209" i="20"/>
  <c r="G9206" i="20"/>
  <c r="I9229" i="20" s="1"/>
  <c r="G9205" i="20"/>
  <c r="B9205" i="20"/>
  <c r="B9204" i="20"/>
  <c r="H9203" i="20"/>
  <c r="B9200" i="20"/>
  <c r="H9147" i="20"/>
  <c r="E9186" i="20" s="1"/>
  <c r="J122" i="4"/>
  <c r="L122" i="4" s="1"/>
  <c r="G122" i="4" s="1"/>
  <c r="J317" i="4"/>
  <c r="L317" i="4" s="1"/>
  <c r="G317" i="4" s="1"/>
  <c r="B9187" i="20"/>
  <c r="B9186" i="20"/>
  <c r="E9181" i="20"/>
  <c r="F9181" i="20" s="1"/>
  <c r="H9182" i="20" s="1"/>
  <c r="N9152" i="20" s="1"/>
  <c r="D9177" i="20"/>
  <c r="F9177" i="20" s="1"/>
  <c r="C9177" i="20"/>
  <c r="B9177" i="20"/>
  <c r="D9176" i="20"/>
  <c r="F9176" i="20" s="1"/>
  <c r="C9176" i="20"/>
  <c r="B9176" i="20"/>
  <c r="D9175" i="20"/>
  <c r="F9175" i="20" s="1"/>
  <c r="C9175" i="20"/>
  <c r="B9175" i="20"/>
  <c r="D9174" i="20"/>
  <c r="F9174" i="20" s="1"/>
  <c r="C9174" i="20"/>
  <c r="B9174" i="20"/>
  <c r="D9173" i="20"/>
  <c r="F9173" i="20" s="1"/>
  <c r="C9173" i="20"/>
  <c r="B9173" i="20"/>
  <c r="D9172" i="20"/>
  <c r="F9172" i="20" s="1"/>
  <c r="C9172" i="20"/>
  <c r="B9172" i="20"/>
  <c r="D9171" i="20"/>
  <c r="F9171" i="20" s="1"/>
  <c r="C9171" i="20"/>
  <c r="B9171" i="20"/>
  <c r="D9170" i="20"/>
  <c r="F9170" i="20" s="1"/>
  <c r="C9170" i="20"/>
  <c r="B9170" i="20"/>
  <c r="D9169" i="20"/>
  <c r="F9169" i="20" s="1"/>
  <c r="C9169" i="20"/>
  <c r="B9169" i="20"/>
  <c r="D9168" i="20"/>
  <c r="F9168" i="20" s="1"/>
  <c r="C9168" i="20"/>
  <c r="B9168" i="20"/>
  <c r="C9167" i="20"/>
  <c r="B9167" i="20"/>
  <c r="C9166" i="20"/>
  <c r="B9166" i="20"/>
  <c r="C9165" i="20"/>
  <c r="C9164" i="20"/>
  <c r="D9160" i="20"/>
  <c r="B9160" i="20"/>
  <c r="E9159" i="20"/>
  <c r="D9159" i="20"/>
  <c r="B9159" i="20"/>
  <c r="D9158" i="20"/>
  <c r="B9158" i="20"/>
  <c r="D9157" i="20"/>
  <c r="B9157" i="20"/>
  <c r="G9154" i="20"/>
  <c r="I9176" i="20" s="1"/>
  <c r="G9153" i="20"/>
  <c r="B9153" i="20"/>
  <c r="B9152" i="20"/>
  <c r="H9151" i="20"/>
  <c r="B9148" i="20"/>
  <c r="H9095" i="20"/>
  <c r="E9134" i="20" s="1"/>
  <c r="J318" i="4"/>
  <c r="L318" i="4" s="1"/>
  <c r="G318" i="4" s="1"/>
  <c r="J123" i="4"/>
  <c r="L123" i="4" s="1"/>
  <c r="G123" i="4" s="1"/>
  <c r="J301" i="4"/>
  <c r="L301" i="4" s="1"/>
  <c r="G301" i="4" s="1"/>
  <c r="D9112" i="20" s="1"/>
  <c r="F9112" i="20" s="1"/>
  <c r="B9135" i="20"/>
  <c r="B9134" i="20"/>
  <c r="E9129" i="20"/>
  <c r="F9129" i="20" s="1"/>
  <c r="H9130" i="20" s="1"/>
  <c r="N9100" i="20" s="1"/>
  <c r="D9125" i="20"/>
  <c r="F9125" i="20" s="1"/>
  <c r="C9125" i="20"/>
  <c r="B9125" i="20"/>
  <c r="D9124" i="20"/>
  <c r="F9124" i="20" s="1"/>
  <c r="C9124" i="20"/>
  <c r="B9124" i="20"/>
  <c r="D9123" i="20"/>
  <c r="F9123" i="20" s="1"/>
  <c r="C9123" i="20"/>
  <c r="B9123" i="20"/>
  <c r="D9122" i="20"/>
  <c r="F9122" i="20" s="1"/>
  <c r="C9122" i="20"/>
  <c r="B9122" i="20"/>
  <c r="D9121" i="20"/>
  <c r="F9121" i="20" s="1"/>
  <c r="C9121" i="20"/>
  <c r="B9121" i="20"/>
  <c r="D9120" i="20"/>
  <c r="F9120" i="20" s="1"/>
  <c r="C9120" i="20"/>
  <c r="B9120" i="20"/>
  <c r="D9119" i="20"/>
  <c r="F9119" i="20" s="1"/>
  <c r="C9119" i="20"/>
  <c r="B9119" i="20"/>
  <c r="D9118" i="20"/>
  <c r="F9118" i="20" s="1"/>
  <c r="C9118" i="20"/>
  <c r="B9118" i="20"/>
  <c r="D9117" i="20"/>
  <c r="F9117" i="20" s="1"/>
  <c r="C9117" i="20"/>
  <c r="B9117" i="20"/>
  <c r="D9116" i="20"/>
  <c r="F9116" i="20" s="1"/>
  <c r="C9116" i="20"/>
  <c r="B9116" i="20"/>
  <c r="C9115" i="20"/>
  <c r="B9115" i="20"/>
  <c r="C9114" i="20"/>
  <c r="B9114" i="20"/>
  <c r="C9113" i="20"/>
  <c r="C9112" i="20"/>
  <c r="D9108" i="20"/>
  <c r="B9108" i="20"/>
  <c r="E9107" i="20"/>
  <c r="D9107" i="20"/>
  <c r="B9107" i="20"/>
  <c r="D9106" i="20"/>
  <c r="B9106" i="20"/>
  <c r="D9105" i="20"/>
  <c r="B9105" i="20"/>
  <c r="G9102" i="20"/>
  <c r="I9124" i="20" s="1"/>
  <c r="G9101" i="20"/>
  <c r="B9101" i="20"/>
  <c r="B9100" i="20"/>
  <c r="H9099" i="20"/>
  <c r="B9096" i="20"/>
  <c r="B9082" i="20"/>
  <c r="B9081" i="20"/>
  <c r="E9076" i="20"/>
  <c r="F9076" i="20" s="1"/>
  <c r="H9077" i="20" s="1"/>
  <c r="N9047" i="20" s="1"/>
  <c r="D9072" i="20"/>
  <c r="F9072" i="20" s="1"/>
  <c r="C9072" i="20"/>
  <c r="B9072" i="20"/>
  <c r="D9071" i="20"/>
  <c r="F9071" i="20" s="1"/>
  <c r="C9071" i="20"/>
  <c r="B9071" i="20"/>
  <c r="D9070" i="20"/>
  <c r="F9070" i="20" s="1"/>
  <c r="C9070" i="20"/>
  <c r="B9070" i="20"/>
  <c r="D9069" i="20"/>
  <c r="F9069" i="20" s="1"/>
  <c r="C9069" i="20"/>
  <c r="B9069" i="20"/>
  <c r="D9068" i="20"/>
  <c r="F9068" i="20" s="1"/>
  <c r="C9068" i="20"/>
  <c r="B9068" i="20"/>
  <c r="D9067" i="20"/>
  <c r="F9067" i="20" s="1"/>
  <c r="C9067" i="20"/>
  <c r="B9067" i="20"/>
  <c r="D9066" i="20"/>
  <c r="F9066" i="20" s="1"/>
  <c r="C9066" i="20"/>
  <c r="B9066" i="20"/>
  <c r="D9065" i="20"/>
  <c r="F9065" i="20" s="1"/>
  <c r="C9065" i="20"/>
  <c r="B9065" i="20"/>
  <c r="D9064" i="20"/>
  <c r="F9064" i="20" s="1"/>
  <c r="C9064" i="20"/>
  <c r="B9064" i="20"/>
  <c r="D9063" i="20"/>
  <c r="F9063" i="20" s="1"/>
  <c r="C9063" i="20"/>
  <c r="B9063" i="20"/>
  <c r="D9062" i="20"/>
  <c r="F9062" i="20" s="1"/>
  <c r="C9062" i="20"/>
  <c r="B9062" i="20"/>
  <c r="D9061" i="20"/>
  <c r="F9061" i="20" s="1"/>
  <c r="C9061" i="20"/>
  <c r="B9061" i="20"/>
  <c r="C9060" i="20"/>
  <c r="C9059" i="20"/>
  <c r="E9055" i="20"/>
  <c r="D9055" i="20"/>
  <c r="B9055" i="20"/>
  <c r="E9054" i="20"/>
  <c r="D9054" i="20"/>
  <c r="B9054" i="20"/>
  <c r="D9053" i="20"/>
  <c r="B9053" i="20"/>
  <c r="D9052" i="20"/>
  <c r="B9052" i="20"/>
  <c r="G9049" i="20"/>
  <c r="I9071" i="20" s="1"/>
  <c r="G9048" i="20"/>
  <c r="B9048" i="20"/>
  <c r="B9047" i="20"/>
  <c r="H9046" i="20"/>
  <c r="B9043" i="20"/>
  <c r="E9081" i="20"/>
  <c r="E9029" i="20"/>
  <c r="B9030" i="20"/>
  <c r="B9029" i="20"/>
  <c r="E9024" i="20"/>
  <c r="F9024" i="20" s="1"/>
  <c r="H9025" i="20" s="1"/>
  <c r="N8995" i="20" s="1"/>
  <c r="D9020" i="20"/>
  <c r="F9020" i="20" s="1"/>
  <c r="C9020" i="20"/>
  <c r="B9020" i="20"/>
  <c r="D9019" i="20"/>
  <c r="F9019" i="20" s="1"/>
  <c r="C9019" i="20"/>
  <c r="B9019" i="20"/>
  <c r="D9018" i="20"/>
  <c r="F9018" i="20" s="1"/>
  <c r="C9018" i="20"/>
  <c r="B9018" i="20"/>
  <c r="D9017" i="20"/>
  <c r="F9017" i="20" s="1"/>
  <c r="C9017" i="20"/>
  <c r="B9017" i="20"/>
  <c r="D9016" i="20"/>
  <c r="F9016" i="20" s="1"/>
  <c r="C9016" i="20"/>
  <c r="B9016" i="20"/>
  <c r="D9015" i="20"/>
  <c r="F9015" i="20" s="1"/>
  <c r="C9015" i="20"/>
  <c r="B9015" i="20"/>
  <c r="D9014" i="20"/>
  <c r="F9014" i="20" s="1"/>
  <c r="C9014" i="20"/>
  <c r="B9014" i="20"/>
  <c r="D9013" i="20"/>
  <c r="F9013" i="20" s="1"/>
  <c r="C9013" i="20"/>
  <c r="B9013" i="20"/>
  <c r="D9012" i="20"/>
  <c r="F9012" i="20" s="1"/>
  <c r="C9012" i="20"/>
  <c r="B9012" i="20"/>
  <c r="D9011" i="20"/>
  <c r="F9011" i="20" s="1"/>
  <c r="C9011" i="20"/>
  <c r="B9011" i="20"/>
  <c r="D9010" i="20"/>
  <c r="F9010" i="20" s="1"/>
  <c r="C9010" i="20"/>
  <c r="B9010" i="20"/>
  <c r="D9009" i="20"/>
  <c r="F9009" i="20" s="1"/>
  <c r="C9009" i="20"/>
  <c r="B9009" i="20"/>
  <c r="C9008" i="20"/>
  <c r="C9007" i="20"/>
  <c r="E9003" i="20"/>
  <c r="D9003" i="20"/>
  <c r="B9003" i="20"/>
  <c r="E9002" i="20"/>
  <c r="D9002" i="20"/>
  <c r="B9002" i="20"/>
  <c r="D9001" i="20"/>
  <c r="B9001" i="20"/>
  <c r="D9000" i="20"/>
  <c r="B9000" i="20"/>
  <c r="G8997" i="20"/>
  <c r="I9019" i="20" s="1"/>
  <c r="G8996" i="20"/>
  <c r="B8996" i="20"/>
  <c r="B8995" i="20"/>
  <c r="H8994" i="20"/>
  <c r="B8991" i="20"/>
  <c r="E8977" i="20"/>
  <c r="J314" i="4"/>
  <c r="L314" i="4" s="1"/>
  <c r="G314" i="4" s="1"/>
  <c r="D9320" i="20" s="1"/>
  <c r="F9320" i="20" s="1"/>
  <c r="B8978" i="20"/>
  <c r="B8977" i="20"/>
  <c r="E8972" i="20"/>
  <c r="F8972" i="20" s="1"/>
  <c r="H8973" i="20" s="1"/>
  <c r="N8943" i="20" s="1"/>
  <c r="D8968" i="20"/>
  <c r="F8968" i="20" s="1"/>
  <c r="C8968" i="20"/>
  <c r="B8968" i="20"/>
  <c r="D8967" i="20"/>
  <c r="F8967" i="20" s="1"/>
  <c r="C8967" i="20"/>
  <c r="B8967" i="20"/>
  <c r="D8966" i="20"/>
  <c r="F8966" i="20" s="1"/>
  <c r="C8966" i="20"/>
  <c r="B8966" i="20"/>
  <c r="D8965" i="20"/>
  <c r="F8965" i="20" s="1"/>
  <c r="C8965" i="20"/>
  <c r="B8965" i="20"/>
  <c r="D8964" i="20"/>
  <c r="F8964" i="20" s="1"/>
  <c r="C8964" i="20"/>
  <c r="B8964" i="20"/>
  <c r="D8963" i="20"/>
  <c r="F8963" i="20" s="1"/>
  <c r="C8963" i="20"/>
  <c r="B8963" i="20"/>
  <c r="D8962" i="20"/>
  <c r="F8962" i="20" s="1"/>
  <c r="C8962" i="20"/>
  <c r="B8962" i="20"/>
  <c r="C8961" i="20"/>
  <c r="B8961" i="20"/>
  <c r="D8960" i="20"/>
  <c r="F8960" i="20" s="1"/>
  <c r="C8960" i="20"/>
  <c r="B8960" i="20"/>
  <c r="D8959" i="20"/>
  <c r="F8959" i="20" s="1"/>
  <c r="C8959" i="20"/>
  <c r="B8959" i="20"/>
  <c r="D8958" i="20"/>
  <c r="F8958" i="20" s="1"/>
  <c r="C8958" i="20"/>
  <c r="B8958" i="20"/>
  <c r="D8957" i="20"/>
  <c r="F8957" i="20" s="1"/>
  <c r="C8957" i="20"/>
  <c r="B8957" i="20"/>
  <c r="C8956" i="20"/>
  <c r="C8955" i="20"/>
  <c r="E8951" i="20"/>
  <c r="D8951" i="20"/>
  <c r="B8951" i="20"/>
  <c r="E8950" i="20"/>
  <c r="D8950" i="20"/>
  <c r="B8950" i="20"/>
  <c r="D8949" i="20"/>
  <c r="B8949" i="20"/>
  <c r="D8948" i="20"/>
  <c r="B8948" i="20"/>
  <c r="G8945" i="20"/>
  <c r="I8967" i="20" s="1"/>
  <c r="G8944" i="20"/>
  <c r="B8944" i="20"/>
  <c r="B8943" i="20"/>
  <c r="H8942" i="20"/>
  <c r="B8939" i="20"/>
  <c r="B6346" i="20"/>
  <c r="B6345" i="20"/>
  <c r="E6340" i="20"/>
  <c r="F6340" i="20" s="1"/>
  <c r="H6341" i="20" s="1"/>
  <c r="N6311" i="20" s="1"/>
  <c r="D6336" i="20"/>
  <c r="F6336" i="20" s="1"/>
  <c r="C6336" i="20"/>
  <c r="B6336" i="20"/>
  <c r="D6335" i="20"/>
  <c r="F6335" i="20" s="1"/>
  <c r="C6335" i="20"/>
  <c r="B6335" i="20"/>
  <c r="D6334" i="20"/>
  <c r="F6334" i="20" s="1"/>
  <c r="C6334" i="20"/>
  <c r="B6334" i="20"/>
  <c r="D6333" i="20"/>
  <c r="F6333" i="20" s="1"/>
  <c r="C6333" i="20"/>
  <c r="B6333" i="20"/>
  <c r="D6332" i="20"/>
  <c r="F6332" i="20" s="1"/>
  <c r="C6332" i="20"/>
  <c r="B6332" i="20"/>
  <c r="D6331" i="20"/>
  <c r="F6331" i="20" s="1"/>
  <c r="C6331" i="20"/>
  <c r="B6331" i="20"/>
  <c r="D6330" i="20"/>
  <c r="F6330" i="20" s="1"/>
  <c r="C6330" i="20"/>
  <c r="B6330" i="20"/>
  <c r="D6329" i="20"/>
  <c r="F6329" i="20" s="1"/>
  <c r="C6329" i="20"/>
  <c r="B6329" i="20"/>
  <c r="D6328" i="20"/>
  <c r="F6328" i="20" s="1"/>
  <c r="C6328" i="20"/>
  <c r="B6328" i="20"/>
  <c r="D6327" i="20"/>
  <c r="F6327" i="20" s="1"/>
  <c r="C6327" i="20"/>
  <c r="B6327" i="20"/>
  <c r="D6326" i="20"/>
  <c r="F6326" i="20" s="1"/>
  <c r="C6326" i="20"/>
  <c r="B6326" i="20"/>
  <c r="D6325" i="20"/>
  <c r="F6325" i="20" s="1"/>
  <c r="C6325" i="20"/>
  <c r="B6325" i="20"/>
  <c r="D6324" i="20"/>
  <c r="F6324" i="20" s="1"/>
  <c r="C6324" i="20"/>
  <c r="C6323" i="20"/>
  <c r="E6319" i="20"/>
  <c r="D6319" i="20"/>
  <c r="B6319" i="20"/>
  <c r="E6318" i="20"/>
  <c r="D6318" i="20"/>
  <c r="B6318" i="20"/>
  <c r="E6317" i="20"/>
  <c r="D6317" i="20"/>
  <c r="B6317" i="20"/>
  <c r="D6316" i="20"/>
  <c r="B6316" i="20"/>
  <c r="G6313" i="20"/>
  <c r="I6335" i="20" s="1"/>
  <c r="G6312" i="20"/>
  <c r="B6312" i="20"/>
  <c r="B6311" i="20"/>
  <c r="H6310" i="20"/>
  <c r="B6307" i="20"/>
  <c r="E6345" i="20"/>
  <c r="J58" i="4"/>
  <c r="L58" i="4" s="1"/>
  <c r="G58" i="4" s="1"/>
  <c r="B6294" i="20"/>
  <c r="B6293" i="20"/>
  <c r="E6288" i="20"/>
  <c r="F6288" i="20" s="1"/>
  <c r="H6289" i="20" s="1"/>
  <c r="N6259" i="20" s="1"/>
  <c r="D6284" i="20"/>
  <c r="F6284" i="20" s="1"/>
  <c r="C6284" i="20"/>
  <c r="B6284" i="20"/>
  <c r="D6283" i="20"/>
  <c r="F6283" i="20" s="1"/>
  <c r="C6283" i="20"/>
  <c r="B6283" i="20"/>
  <c r="D6282" i="20"/>
  <c r="F6282" i="20" s="1"/>
  <c r="C6282" i="20"/>
  <c r="B6282" i="20"/>
  <c r="D6281" i="20"/>
  <c r="F6281" i="20" s="1"/>
  <c r="C6281" i="20"/>
  <c r="B6281" i="20"/>
  <c r="D6280" i="20"/>
  <c r="F6280" i="20" s="1"/>
  <c r="C6280" i="20"/>
  <c r="B6280" i="20"/>
  <c r="D6279" i="20"/>
  <c r="F6279" i="20" s="1"/>
  <c r="C6279" i="20"/>
  <c r="B6279" i="20"/>
  <c r="D6278" i="20"/>
  <c r="F6278" i="20" s="1"/>
  <c r="C6278" i="20"/>
  <c r="B6278" i="20"/>
  <c r="D6277" i="20"/>
  <c r="F6277" i="20" s="1"/>
  <c r="C6277" i="20"/>
  <c r="B6277" i="20"/>
  <c r="D6276" i="20"/>
  <c r="F6276" i="20" s="1"/>
  <c r="C6276" i="20"/>
  <c r="B6276" i="20"/>
  <c r="D6275" i="20"/>
  <c r="F6275" i="20" s="1"/>
  <c r="C6275" i="20"/>
  <c r="B6275" i="20"/>
  <c r="D6274" i="20"/>
  <c r="F6274" i="20" s="1"/>
  <c r="C6274" i="20"/>
  <c r="B6274" i="20"/>
  <c r="D6273" i="20"/>
  <c r="F6273" i="20" s="1"/>
  <c r="C6273" i="20"/>
  <c r="B6273" i="20"/>
  <c r="D6272" i="20"/>
  <c r="F6272" i="20" s="1"/>
  <c r="C6272" i="20"/>
  <c r="C6271" i="20"/>
  <c r="E6267" i="20"/>
  <c r="D6267" i="20"/>
  <c r="B6267" i="20"/>
  <c r="E6266" i="20"/>
  <c r="D6266" i="20"/>
  <c r="B6266" i="20"/>
  <c r="E6265" i="20"/>
  <c r="D6265" i="20"/>
  <c r="B6265" i="20"/>
  <c r="D6264" i="20"/>
  <c r="B6264" i="20"/>
  <c r="G6261" i="20"/>
  <c r="I6283" i="20" s="1"/>
  <c r="G6260" i="20"/>
  <c r="B6260" i="20"/>
  <c r="B6259" i="20"/>
  <c r="H6258" i="20"/>
  <c r="B6255" i="20"/>
  <c r="E6293" i="20"/>
  <c r="E6241" i="20"/>
  <c r="B6242" i="20"/>
  <c r="B6241" i="20"/>
  <c r="E6236" i="20"/>
  <c r="F6236" i="20" s="1"/>
  <c r="H6237" i="20" s="1"/>
  <c r="N6207" i="20" s="1"/>
  <c r="D6232" i="20"/>
  <c r="F6232" i="20" s="1"/>
  <c r="C6232" i="20"/>
  <c r="B6232" i="20"/>
  <c r="D6231" i="20"/>
  <c r="F6231" i="20" s="1"/>
  <c r="C6231" i="20"/>
  <c r="B6231" i="20"/>
  <c r="D6230" i="20"/>
  <c r="F6230" i="20" s="1"/>
  <c r="C6230" i="20"/>
  <c r="B6230" i="20"/>
  <c r="D6229" i="20"/>
  <c r="F6229" i="20" s="1"/>
  <c r="C6229" i="20"/>
  <c r="B6229" i="20"/>
  <c r="D6228" i="20"/>
  <c r="F6228" i="20" s="1"/>
  <c r="C6228" i="20"/>
  <c r="B6228" i="20"/>
  <c r="D6227" i="20"/>
  <c r="F6227" i="20" s="1"/>
  <c r="C6227" i="20"/>
  <c r="B6227" i="20"/>
  <c r="D6226" i="20"/>
  <c r="F6226" i="20" s="1"/>
  <c r="C6226" i="20"/>
  <c r="B6226" i="20"/>
  <c r="D6225" i="20"/>
  <c r="F6225" i="20" s="1"/>
  <c r="C6225" i="20"/>
  <c r="B6225" i="20"/>
  <c r="D6224" i="20"/>
  <c r="F6224" i="20" s="1"/>
  <c r="C6224" i="20"/>
  <c r="B6224" i="20"/>
  <c r="D6223" i="20"/>
  <c r="F6223" i="20" s="1"/>
  <c r="C6223" i="20"/>
  <c r="B6223" i="20"/>
  <c r="D6222" i="20"/>
  <c r="F6222" i="20" s="1"/>
  <c r="C6222" i="20"/>
  <c r="B6222" i="20"/>
  <c r="D6221" i="20"/>
  <c r="F6221" i="20" s="1"/>
  <c r="C6221" i="20"/>
  <c r="B6221" i="20"/>
  <c r="D6220" i="20"/>
  <c r="F6220" i="20" s="1"/>
  <c r="C6220" i="20"/>
  <c r="C6219" i="20"/>
  <c r="E6215" i="20"/>
  <c r="D6215" i="20"/>
  <c r="B6215" i="20"/>
  <c r="E6214" i="20"/>
  <c r="D6214" i="20"/>
  <c r="B6214" i="20"/>
  <c r="E6213" i="20"/>
  <c r="D6213" i="20"/>
  <c r="B6213" i="20"/>
  <c r="D6212" i="20"/>
  <c r="B6212" i="20"/>
  <c r="G6209" i="20"/>
  <c r="I6231" i="20" s="1"/>
  <c r="G6208" i="20"/>
  <c r="B6208" i="20"/>
  <c r="B6207" i="20"/>
  <c r="H6206" i="20"/>
  <c r="B6203" i="20"/>
  <c r="E6189" i="20"/>
  <c r="J35" i="4"/>
  <c r="L35" i="4" s="1"/>
  <c r="G35" i="4" s="1"/>
  <c r="B6190" i="20"/>
  <c r="B6189" i="20"/>
  <c r="E6184" i="20"/>
  <c r="F6184" i="20" s="1"/>
  <c r="H6185" i="20" s="1"/>
  <c r="N6155" i="20" s="1"/>
  <c r="D6180" i="20"/>
  <c r="F6180" i="20" s="1"/>
  <c r="C6180" i="20"/>
  <c r="B6180" i="20"/>
  <c r="D6179" i="20"/>
  <c r="F6179" i="20" s="1"/>
  <c r="C6179" i="20"/>
  <c r="B6179" i="20"/>
  <c r="D6178" i="20"/>
  <c r="F6178" i="20" s="1"/>
  <c r="C6178" i="20"/>
  <c r="B6178" i="20"/>
  <c r="D6177" i="20"/>
  <c r="F6177" i="20" s="1"/>
  <c r="C6177" i="20"/>
  <c r="B6177" i="20"/>
  <c r="D6176" i="20"/>
  <c r="F6176" i="20" s="1"/>
  <c r="C6176" i="20"/>
  <c r="B6176" i="20"/>
  <c r="D6175" i="20"/>
  <c r="F6175" i="20" s="1"/>
  <c r="C6175" i="20"/>
  <c r="B6175" i="20"/>
  <c r="D6174" i="20"/>
  <c r="F6174" i="20" s="1"/>
  <c r="C6174" i="20"/>
  <c r="B6174" i="20"/>
  <c r="D6173" i="20"/>
  <c r="F6173" i="20" s="1"/>
  <c r="C6173" i="20"/>
  <c r="B6173" i="20"/>
  <c r="D6172" i="20"/>
  <c r="F6172" i="20" s="1"/>
  <c r="C6172" i="20"/>
  <c r="B6172" i="20"/>
  <c r="D6171" i="20"/>
  <c r="F6171" i="20" s="1"/>
  <c r="C6171" i="20"/>
  <c r="B6171" i="20"/>
  <c r="D6170" i="20"/>
  <c r="F6170" i="20" s="1"/>
  <c r="C6170" i="20"/>
  <c r="B6170" i="20"/>
  <c r="D6169" i="20"/>
  <c r="F6169" i="20" s="1"/>
  <c r="C6169" i="20"/>
  <c r="B6169" i="20"/>
  <c r="D6168" i="20"/>
  <c r="F6168" i="20" s="1"/>
  <c r="C6168" i="20"/>
  <c r="C6167" i="20"/>
  <c r="E6163" i="20"/>
  <c r="D6163" i="20"/>
  <c r="B6163" i="20"/>
  <c r="E6162" i="20"/>
  <c r="D6162" i="20"/>
  <c r="B6162" i="20"/>
  <c r="E6161" i="20"/>
  <c r="D6161" i="20"/>
  <c r="B6161" i="20"/>
  <c r="D6160" i="20"/>
  <c r="B6160" i="20"/>
  <c r="G6157" i="20"/>
  <c r="I6179" i="20" s="1"/>
  <c r="G6156" i="20"/>
  <c r="B6156" i="20"/>
  <c r="B6155" i="20"/>
  <c r="H6154" i="20"/>
  <c r="B6151" i="20"/>
  <c r="E6138" i="20"/>
  <c r="B6139" i="20"/>
  <c r="B6138" i="20"/>
  <c r="E6133" i="20"/>
  <c r="F6133" i="20" s="1"/>
  <c r="H6134" i="20" s="1"/>
  <c r="N6104" i="20" s="1"/>
  <c r="D6129" i="20"/>
  <c r="F6129" i="20" s="1"/>
  <c r="C6129" i="20"/>
  <c r="B6129" i="20"/>
  <c r="D6128" i="20"/>
  <c r="F6128" i="20" s="1"/>
  <c r="C6128" i="20"/>
  <c r="B6128" i="20"/>
  <c r="D6127" i="20"/>
  <c r="F6127" i="20" s="1"/>
  <c r="C6127" i="20"/>
  <c r="B6127" i="20"/>
  <c r="D6126" i="20"/>
  <c r="F6126" i="20" s="1"/>
  <c r="C6126" i="20"/>
  <c r="B6126" i="20"/>
  <c r="D6125" i="20"/>
  <c r="F6125" i="20" s="1"/>
  <c r="C6125" i="20"/>
  <c r="B6125" i="20"/>
  <c r="D6124" i="20"/>
  <c r="F6124" i="20" s="1"/>
  <c r="C6124" i="20"/>
  <c r="B6124" i="20"/>
  <c r="D6123" i="20"/>
  <c r="F6123" i="20" s="1"/>
  <c r="C6123" i="20"/>
  <c r="B6123" i="20"/>
  <c r="D6122" i="20"/>
  <c r="F6122" i="20" s="1"/>
  <c r="C6122" i="20"/>
  <c r="B6122" i="20"/>
  <c r="D6121" i="20"/>
  <c r="F6121" i="20" s="1"/>
  <c r="C6121" i="20"/>
  <c r="B6121" i="20"/>
  <c r="D6120" i="20"/>
  <c r="F6120" i="20" s="1"/>
  <c r="C6120" i="20"/>
  <c r="B6120" i="20"/>
  <c r="D6119" i="20"/>
  <c r="F6119" i="20" s="1"/>
  <c r="C6119" i="20"/>
  <c r="B6119" i="20"/>
  <c r="D6118" i="20"/>
  <c r="F6118" i="20" s="1"/>
  <c r="C6118" i="20"/>
  <c r="B6118" i="20"/>
  <c r="D6117" i="20"/>
  <c r="F6117" i="20" s="1"/>
  <c r="C6117" i="20"/>
  <c r="C6116" i="20"/>
  <c r="E6112" i="20"/>
  <c r="D6112" i="20"/>
  <c r="B6112" i="20"/>
  <c r="E6111" i="20"/>
  <c r="D6111" i="20"/>
  <c r="B6111" i="20"/>
  <c r="E6110" i="20"/>
  <c r="D6110" i="20"/>
  <c r="B6110" i="20"/>
  <c r="D6109" i="20"/>
  <c r="B6109" i="20"/>
  <c r="G6106" i="20"/>
  <c r="I6128" i="20" s="1"/>
  <c r="G6105" i="20"/>
  <c r="B6105" i="20"/>
  <c r="B6104" i="20"/>
  <c r="H6103" i="20"/>
  <c r="B6100" i="20"/>
  <c r="J230" i="4"/>
  <c r="L230" i="4" s="1"/>
  <c r="G230" i="4" s="1"/>
  <c r="D5084" i="20" s="1"/>
  <c r="F5084" i="20" s="1"/>
  <c r="B4699" i="20"/>
  <c r="B4698" i="20"/>
  <c r="E4693" i="20"/>
  <c r="F4693" i="20" s="1"/>
  <c r="H4694" i="20" s="1"/>
  <c r="N4665" i="20" s="1"/>
  <c r="D4689" i="20"/>
  <c r="F4689" i="20" s="1"/>
  <c r="C4689" i="20"/>
  <c r="B4689" i="20"/>
  <c r="D4688" i="20"/>
  <c r="F4688" i="20" s="1"/>
  <c r="C4688" i="20"/>
  <c r="B4688" i="20"/>
  <c r="D4687" i="20"/>
  <c r="F4687" i="20" s="1"/>
  <c r="C4687" i="20"/>
  <c r="B4687" i="20"/>
  <c r="D4686" i="20"/>
  <c r="F4686" i="20" s="1"/>
  <c r="C4686" i="20"/>
  <c r="B4686" i="20"/>
  <c r="D4685" i="20"/>
  <c r="F4685" i="20" s="1"/>
  <c r="C4685" i="20"/>
  <c r="B4685" i="20"/>
  <c r="D4684" i="20"/>
  <c r="F4684" i="20" s="1"/>
  <c r="C4684" i="20"/>
  <c r="B4684" i="20"/>
  <c r="D4683" i="20"/>
  <c r="F4683" i="20" s="1"/>
  <c r="C4683" i="20"/>
  <c r="B4683" i="20"/>
  <c r="D4682" i="20"/>
  <c r="F4682" i="20" s="1"/>
  <c r="C4682" i="20"/>
  <c r="B4682" i="20"/>
  <c r="D4681" i="20"/>
  <c r="F4681" i="20" s="1"/>
  <c r="C4681" i="20"/>
  <c r="B4681" i="20"/>
  <c r="D4680" i="20"/>
  <c r="F4680" i="20" s="1"/>
  <c r="C4680" i="20"/>
  <c r="B4680" i="20"/>
  <c r="D4679" i="20"/>
  <c r="F4679" i="20" s="1"/>
  <c r="C4679" i="20"/>
  <c r="B4679" i="20"/>
  <c r="D4678" i="20"/>
  <c r="F4678" i="20" s="1"/>
  <c r="C4678" i="20"/>
  <c r="B4678" i="20"/>
  <c r="C4677" i="20"/>
  <c r="C4676" i="20"/>
  <c r="E4672" i="20"/>
  <c r="G4672" i="20" s="1"/>
  <c r="D4672" i="20"/>
  <c r="B4672" i="20"/>
  <c r="E4671" i="20"/>
  <c r="D4671" i="20"/>
  <c r="B4671" i="20"/>
  <c r="D4670" i="20"/>
  <c r="B4670" i="20"/>
  <c r="G4667" i="20"/>
  <c r="I4688" i="20" s="1"/>
  <c r="G4666" i="20"/>
  <c r="B4666" i="20"/>
  <c r="B4665" i="20"/>
  <c r="H4664" i="20"/>
  <c r="B4661" i="20"/>
  <c r="E4698" i="20"/>
  <c r="J229" i="4"/>
  <c r="L229" i="4" s="1"/>
  <c r="G229" i="4" s="1"/>
  <c r="D4727" i="20" s="1"/>
  <c r="F4727" i="20" s="1"/>
  <c r="B4648" i="20"/>
  <c r="B4647" i="20"/>
  <c r="E4642" i="20"/>
  <c r="F4642" i="20" s="1"/>
  <c r="H4643" i="20" s="1"/>
  <c r="N4614" i="20" s="1"/>
  <c r="D4638" i="20"/>
  <c r="F4638" i="20" s="1"/>
  <c r="C4638" i="20"/>
  <c r="B4638" i="20"/>
  <c r="D4637" i="20"/>
  <c r="F4637" i="20" s="1"/>
  <c r="C4637" i="20"/>
  <c r="B4637" i="20"/>
  <c r="D4636" i="20"/>
  <c r="F4636" i="20" s="1"/>
  <c r="C4636" i="20"/>
  <c r="B4636" i="20"/>
  <c r="D4635" i="20"/>
  <c r="F4635" i="20" s="1"/>
  <c r="C4635" i="20"/>
  <c r="B4635" i="20"/>
  <c r="D4634" i="20"/>
  <c r="F4634" i="20" s="1"/>
  <c r="C4634" i="20"/>
  <c r="B4634" i="20"/>
  <c r="D4633" i="20"/>
  <c r="F4633" i="20" s="1"/>
  <c r="C4633" i="20"/>
  <c r="B4633" i="20"/>
  <c r="D4632" i="20"/>
  <c r="F4632" i="20" s="1"/>
  <c r="C4632" i="20"/>
  <c r="B4632" i="20"/>
  <c r="D4631" i="20"/>
  <c r="F4631" i="20" s="1"/>
  <c r="C4631" i="20"/>
  <c r="B4631" i="20"/>
  <c r="D4630" i="20"/>
  <c r="F4630" i="20" s="1"/>
  <c r="C4630" i="20"/>
  <c r="B4630" i="20"/>
  <c r="D4629" i="20"/>
  <c r="F4629" i="20" s="1"/>
  <c r="C4629" i="20"/>
  <c r="B4629" i="20"/>
  <c r="D4628" i="20"/>
  <c r="F4628" i="20" s="1"/>
  <c r="C4628" i="20"/>
  <c r="B4628" i="20"/>
  <c r="D4627" i="20"/>
  <c r="F4627" i="20" s="1"/>
  <c r="C4627" i="20"/>
  <c r="B4627" i="20"/>
  <c r="C4626" i="20"/>
  <c r="C4625" i="20"/>
  <c r="E4621" i="20"/>
  <c r="G4621" i="20" s="1"/>
  <c r="D4621" i="20"/>
  <c r="B4621" i="20"/>
  <c r="D4620" i="20"/>
  <c r="B4620" i="20"/>
  <c r="D4619" i="20"/>
  <c r="B4619" i="20"/>
  <c r="G4616" i="20"/>
  <c r="I4637" i="20" s="1"/>
  <c r="G4615" i="20"/>
  <c r="B4615" i="20"/>
  <c r="B4614" i="20"/>
  <c r="H4613" i="20"/>
  <c r="B4610" i="20"/>
  <c r="E4647" i="20"/>
  <c r="J226" i="4"/>
  <c r="L226" i="4" s="1"/>
  <c r="G226" i="4" s="1"/>
  <c r="B4597" i="20"/>
  <c r="B4596" i="20"/>
  <c r="E4591" i="20"/>
  <c r="F4591" i="20" s="1"/>
  <c r="H4592" i="20" s="1"/>
  <c r="N4563" i="20" s="1"/>
  <c r="D4587" i="20"/>
  <c r="F4587" i="20" s="1"/>
  <c r="C4587" i="20"/>
  <c r="B4587" i="20"/>
  <c r="D4586" i="20"/>
  <c r="F4586" i="20" s="1"/>
  <c r="C4586" i="20"/>
  <c r="B4586" i="20"/>
  <c r="D4585" i="20"/>
  <c r="F4585" i="20" s="1"/>
  <c r="C4585" i="20"/>
  <c r="B4585" i="20"/>
  <c r="D4584" i="20"/>
  <c r="F4584" i="20" s="1"/>
  <c r="C4584" i="20"/>
  <c r="B4584" i="20"/>
  <c r="D4583" i="20"/>
  <c r="F4583" i="20" s="1"/>
  <c r="C4583" i="20"/>
  <c r="B4583" i="20"/>
  <c r="D4582" i="20"/>
  <c r="F4582" i="20" s="1"/>
  <c r="C4582" i="20"/>
  <c r="B4582" i="20"/>
  <c r="D4581" i="20"/>
  <c r="F4581" i="20" s="1"/>
  <c r="C4581" i="20"/>
  <c r="B4581" i="20"/>
  <c r="D4580" i="20"/>
  <c r="F4580" i="20" s="1"/>
  <c r="C4580" i="20"/>
  <c r="B4580" i="20"/>
  <c r="D4579" i="20"/>
  <c r="F4579" i="20" s="1"/>
  <c r="C4579" i="20"/>
  <c r="B4579" i="20"/>
  <c r="D4578" i="20"/>
  <c r="F4578" i="20" s="1"/>
  <c r="C4578" i="20"/>
  <c r="B4578" i="20"/>
  <c r="D4577" i="20"/>
  <c r="F4577" i="20" s="1"/>
  <c r="C4577" i="20"/>
  <c r="B4577" i="20"/>
  <c r="D4576" i="20"/>
  <c r="F4576" i="20" s="1"/>
  <c r="C4576" i="20"/>
  <c r="B4576" i="20"/>
  <c r="C4575" i="20"/>
  <c r="C4574" i="20"/>
  <c r="E4570" i="20"/>
  <c r="G4570" i="20" s="1"/>
  <c r="D4570" i="20"/>
  <c r="B4570" i="20"/>
  <c r="D4569" i="20"/>
  <c r="B4569" i="20"/>
  <c r="D4568" i="20"/>
  <c r="B4568" i="20"/>
  <c r="G4565" i="20"/>
  <c r="I4586" i="20" s="1"/>
  <c r="G4564" i="20"/>
  <c r="B4564" i="20"/>
  <c r="B4563" i="20"/>
  <c r="H4562" i="20"/>
  <c r="B4559" i="20"/>
  <c r="E4596" i="20"/>
  <c r="D6792" i="20" l="1"/>
  <c r="F6792" i="20" s="1"/>
  <c r="H6806" i="20" s="1"/>
  <c r="K6780" i="20" s="1"/>
  <c r="D7104" i="20"/>
  <c r="F7104" i="20" s="1"/>
  <c r="H7118" i="20" s="1"/>
  <c r="D1967" i="20"/>
  <c r="F1967" i="20" s="1"/>
  <c r="D3447" i="20"/>
  <c r="F3447" i="20" s="1"/>
  <c r="D2120" i="20"/>
  <c r="F2120" i="20" s="1"/>
  <c r="F1808" i="20"/>
  <c r="E1836" i="20"/>
  <c r="F9209" i="20"/>
  <c r="D2223" i="20"/>
  <c r="F2223" i="20" s="1"/>
  <c r="D2478" i="20"/>
  <c r="F2478" i="20" s="1"/>
  <c r="E1939" i="20"/>
  <c r="E2143" i="20"/>
  <c r="F1963" i="20"/>
  <c r="F2167" i="20"/>
  <c r="G2167" i="20" s="1"/>
  <c r="F1910" i="20"/>
  <c r="F2217" i="20"/>
  <c r="I8901" i="20"/>
  <c r="I8913" i="20"/>
  <c r="I8900" i="20"/>
  <c r="I8909" i="20"/>
  <c r="I8905" i="20"/>
  <c r="F8895" i="20"/>
  <c r="I8902" i="20"/>
  <c r="I8906" i="20"/>
  <c r="I8910" i="20"/>
  <c r="F8896" i="20"/>
  <c r="G8896" i="20" s="1"/>
  <c r="I8903" i="20"/>
  <c r="I8907" i="20"/>
  <c r="I8911" i="20"/>
  <c r="E8921" i="20"/>
  <c r="F8894" i="20"/>
  <c r="E8923" i="20"/>
  <c r="F8893" i="20"/>
  <c r="I8904" i="20"/>
  <c r="I8908" i="20"/>
  <c r="I2232" i="20"/>
  <c r="I2233" i="20"/>
  <c r="I2234" i="20"/>
  <c r="E4648" i="20"/>
  <c r="F1861" i="20"/>
  <c r="F2114" i="20"/>
  <c r="E2194" i="20"/>
  <c r="I2223" i="20"/>
  <c r="I2228" i="20"/>
  <c r="I2229" i="20"/>
  <c r="I2230" i="20"/>
  <c r="E2092" i="20"/>
  <c r="F4619" i="20"/>
  <c r="F1859" i="20"/>
  <c r="E1888" i="20"/>
  <c r="F2012" i="20"/>
  <c r="F2063" i="20"/>
  <c r="E2193" i="20"/>
  <c r="I2226" i="20"/>
  <c r="E2246" i="20"/>
  <c r="E4699" i="20"/>
  <c r="F1961" i="20"/>
  <c r="E1990" i="20"/>
  <c r="F2165" i="20"/>
  <c r="E2192" i="20"/>
  <c r="I2224" i="20"/>
  <c r="I2225" i="20"/>
  <c r="I2236" i="20"/>
  <c r="I2178" i="20"/>
  <c r="I2174" i="20"/>
  <c r="I2182" i="20"/>
  <c r="I2175" i="20"/>
  <c r="I2179" i="20"/>
  <c r="I2183" i="20"/>
  <c r="F2218" i="20"/>
  <c r="I2171" i="20"/>
  <c r="I2172" i="20"/>
  <c r="I2176" i="20"/>
  <c r="I2180" i="20"/>
  <c r="I2184" i="20"/>
  <c r="F2219" i="20"/>
  <c r="E2244" i="20"/>
  <c r="I2173" i="20"/>
  <c r="I2177" i="20"/>
  <c r="I2227" i="20"/>
  <c r="I2231" i="20"/>
  <c r="I2121" i="20"/>
  <c r="I2120" i="20"/>
  <c r="I2129" i="20"/>
  <c r="I2133" i="20"/>
  <c r="I2125" i="20"/>
  <c r="F2115" i="20"/>
  <c r="I2122" i="20"/>
  <c r="I2126" i="20"/>
  <c r="I2130" i="20"/>
  <c r="F2116" i="20"/>
  <c r="I2123" i="20"/>
  <c r="I2127" i="20"/>
  <c r="I2131" i="20"/>
  <c r="E2141" i="20"/>
  <c r="I2124" i="20"/>
  <c r="I2128" i="20"/>
  <c r="I2069" i="20"/>
  <c r="I2078" i="20"/>
  <c r="I2082" i="20"/>
  <c r="I2074" i="20"/>
  <c r="I2070" i="20"/>
  <c r="I2018" i="20"/>
  <c r="F2064" i="20"/>
  <c r="I2071" i="20"/>
  <c r="I2075" i="20"/>
  <c r="I2079" i="20"/>
  <c r="F2065" i="20"/>
  <c r="I2072" i="20"/>
  <c r="I2076" i="20"/>
  <c r="I2080" i="20"/>
  <c r="E2090" i="20"/>
  <c r="I2019" i="20"/>
  <c r="I2073" i="20"/>
  <c r="I2077" i="20"/>
  <c r="I2023" i="20"/>
  <c r="I2027" i="20"/>
  <c r="I2031" i="20"/>
  <c r="E2041" i="20"/>
  <c r="F2013" i="20"/>
  <c r="I2020" i="20"/>
  <c r="I2024" i="20"/>
  <c r="I2028" i="20"/>
  <c r="F2014" i="20"/>
  <c r="I2021" i="20"/>
  <c r="I2025" i="20"/>
  <c r="I2029" i="20"/>
  <c r="E2039" i="20"/>
  <c r="I2022" i="20"/>
  <c r="I2026" i="20"/>
  <c r="I1980" i="20"/>
  <c r="I1972" i="20"/>
  <c r="I1967" i="20"/>
  <c r="I1968" i="20"/>
  <c r="I1976" i="20"/>
  <c r="I1916" i="20"/>
  <c r="I1929" i="20"/>
  <c r="F1962" i="20"/>
  <c r="I1969" i="20"/>
  <c r="I1973" i="20"/>
  <c r="I1977" i="20"/>
  <c r="I1918" i="20"/>
  <c r="I1878" i="20"/>
  <c r="I1970" i="20"/>
  <c r="I1974" i="20"/>
  <c r="I1978" i="20"/>
  <c r="E1988" i="20"/>
  <c r="I1925" i="20"/>
  <c r="I1971" i="20"/>
  <c r="I1975" i="20"/>
  <c r="I1921" i="20"/>
  <c r="I1926" i="20"/>
  <c r="I1917" i="20"/>
  <c r="I1922" i="20"/>
  <c r="F1912" i="20"/>
  <c r="I1919" i="20"/>
  <c r="I1923" i="20"/>
  <c r="I1927" i="20"/>
  <c r="E1937" i="20"/>
  <c r="F1911" i="20"/>
  <c r="I1920" i="20"/>
  <c r="I1924" i="20"/>
  <c r="I1874" i="20"/>
  <c r="I1870" i="20"/>
  <c r="I1865" i="20"/>
  <c r="I1866" i="20"/>
  <c r="F1860" i="20"/>
  <c r="I1867" i="20"/>
  <c r="I1871" i="20"/>
  <c r="I1875" i="20"/>
  <c r="I1868" i="20"/>
  <c r="I1872" i="20"/>
  <c r="I1876" i="20"/>
  <c r="E1886" i="20"/>
  <c r="I1869" i="20"/>
  <c r="I1873" i="20"/>
  <c r="I1827" i="20"/>
  <c r="I1814" i="20"/>
  <c r="I1823" i="20"/>
  <c r="I1815" i="20"/>
  <c r="I1819" i="20"/>
  <c r="F1809" i="20"/>
  <c r="I1816" i="20"/>
  <c r="I1820" i="20"/>
  <c r="I1824" i="20"/>
  <c r="F1810" i="20"/>
  <c r="I1817" i="20"/>
  <c r="I1821" i="20"/>
  <c r="I1825" i="20"/>
  <c r="E1835" i="20"/>
  <c r="I1818" i="20"/>
  <c r="I1822" i="20"/>
  <c r="I9165" i="20"/>
  <c r="I9164" i="20"/>
  <c r="I9112" i="20"/>
  <c r="I9177" i="20"/>
  <c r="E9237" i="20"/>
  <c r="F9210" i="20"/>
  <c r="F9211" i="20"/>
  <c r="G9211" i="20" s="1"/>
  <c r="F9212" i="20"/>
  <c r="E9238" i="20"/>
  <c r="I9218" i="20"/>
  <c r="I9222" i="20"/>
  <c r="I9226" i="20"/>
  <c r="I9219" i="20"/>
  <c r="I9223" i="20"/>
  <c r="I9227" i="20"/>
  <c r="I9220" i="20"/>
  <c r="I9224" i="20"/>
  <c r="I9228" i="20"/>
  <c r="I9216" i="20"/>
  <c r="I9217" i="20"/>
  <c r="I9221" i="20"/>
  <c r="I9225" i="20"/>
  <c r="D9167" i="20"/>
  <c r="F9167" i="20" s="1"/>
  <c r="D9115" i="20"/>
  <c r="F9115" i="20" s="1"/>
  <c r="D9114" i="20"/>
  <c r="F9114" i="20" s="1"/>
  <c r="D9166" i="20"/>
  <c r="F9166" i="20" s="1"/>
  <c r="I9173" i="20"/>
  <c r="I9169" i="20"/>
  <c r="F9159" i="20"/>
  <c r="G9159" i="20" s="1"/>
  <c r="I9166" i="20"/>
  <c r="I9170" i="20"/>
  <c r="I9174" i="20"/>
  <c r="E9187" i="20"/>
  <c r="F9160" i="20"/>
  <c r="I9167" i="20"/>
  <c r="I9171" i="20"/>
  <c r="I9175" i="20"/>
  <c r="E9185" i="20"/>
  <c r="F9158" i="20"/>
  <c r="F9157" i="20"/>
  <c r="I9168" i="20"/>
  <c r="I9172" i="20"/>
  <c r="I9117" i="20"/>
  <c r="I9125" i="20"/>
  <c r="I9113" i="20"/>
  <c r="I9121" i="20"/>
  <c r="F9106" i="20"/>
  <c r="E9135" i="20"/>
  <c r="I9064" i="20"/>
  <c r="F9107" i="20"/>
  <c r="G9107" i="20" s="1"/>
  <c r="I9114" i="20"/>
  <c r="I9118" i="20"/>
  <c r="I9122" i="20"/>
  <c r="I9060" i="20"/>
  <c r="F9108" i="20"/>
  <c r="I9115" i="20"/>
  <c r="I9119" i="20"/>
  <c r="I9123" i="20"/>
  <c r="E9133" i="20"/>
  <c r="F9105" i="20"/>
  <c r="I9116" i="20"/>
  <c r="I9120" i="20"/>
  <c r="I9059" i="20"/>
  <c r="I9072" i="20"/>
  <c r="I9068" i="20"/>
  <c r="F9053" i="20"/>
  <c r="E9082" i="20"/>
  <c r="F9054" i="20"/>
  <c r="G9054" i="20" s="1"/>
  <c r="I9061" i="20"/>
  <c r="I9065" i="20"/>
  <c r="I9069" i="20"/>
  <c r="I9008" i="20"/>
  <c r="F9055" i="20"/>
  <c r="G9055" i="20" s="1"/>
  <c r="I9062" i="20"/>
  <c r="I9066" i="20"/>
  <c r="I9070" i="20"/>
  <c r="E9080" i="20"/>
  <c r="F9052" i="20"/>
  <c r="I9063" i="20"/>
  <c r="I9067" i="20"/>
  <c r="I9007" i="20"/>
  <c r="I9020" i="20"/>
  <c r="I9016" i="20"/>
  <c r="I9012" i="20"/>
  <c r="F9002" i="20"/>
  <c r="G9002" i="20" s="1"/>
  <c r="I9009" i="20"/>
  <c r="I9013" i="20"/>
  <c r="I9017" i="20"/>
  <c r="F9001" i="20"/>
  <c r="E9030" i="20"/>
  <c r="F9003" i="20"/>
  <c r="G9003" i="20" s="1"/>
  <c r="I9010" i="20"/>
  <c r="I9014" i="20"/>
  <c r="I9018" i="20"/>
  <c r="E9028" i="20"/>
  <c r="I8956" i="20"/>
  <c r="I8968" i="20"/>
  <c r="F9000" i="20"/>
  <c r="I9011" i="20"/>
  <c r="I9015" i="20"/>
  <c r="I8955" i="20"/>
  <c r="I8964" i="20"/>
  <c r="I8960" i="20"/>
  <c r="E8978" i="20"/>
  <c r="F8950" i="20"/>
  <c r="G8950" i="20" s="1"/>
  <c r="I8957" i="20"/>
  <c r="I8961" i="20"/>
  <c r="I8965" i="20"/>
  <c r="F8951" i="20"/>
  <c r="G8951" i="20" s="1"/>
  <c r="I8958" i="20"/>
  <c r="I8962" i="20"/>
  <c r="I8966" i="20"/>
  <c r="E8976" i="20"/>
  <c r="F8949" i="20"/>
  <c r="F8948" i="20"/>
  <c r="I8959" i="20"/>
  <c r="I8963" i="20"/>
  <c r="I6324" i="20"/>
  <c r="I6323" i="20"/>
  <c r="I6336" i="20"/>
  <c r="I6332" i="20"/>
  <c r="I6328" i="20"/>
  <c r="I6272" i="20"/>
  <c r="F6317" i="20"/>
  <c r="G6317" i="20" s="1"/>
  <c r="E6346" i="20"/>
  <c r="F6318" i="20"/>
  <c r="G6318" i="20" s="1"/>
  <c r="I6325" i="20"/>
  <c r="I6329" i="20"/>
  <c r="I6333" i="20"/>
  <c r="I6220" i="20"/>
  <c r="F6319" i="20"/>
  <c r="G6319" i="20" s="1"/>
  <c r="I6326" i="20"/>
  <c r="I6330" i="20"/>
  <c r="I6334" i="20"/>
  <c r="E6344" i="20"/>
  <c r="F6316" i="20"/>
  <c r="I6327" i="20"/>
  <c r="I6331" i="20"/>
  <c r="I6271" i="20"/>
  <c r="I6284" i="20"/>
  <c r="I6280" i="20"/>
  <c r="I6276" i="20"/>
  <c r="E6294" i="20"/>
  <c r="F6266" i="20"/>
  <c r="G6266" i="20" s="1"/>
  <c r="I6273" i="20"/>
  <c r="I6277" i="20"/>
  <c r="I6281" i="20"/>
  <c r="F6265" i="20"/>
  <c r="G6265" i="20" s="1"/>
  <c r="F6267" i="20"/>
  <c r="G6267" i="20" s="1"/>
  <c r="I6274" i="20"/>
  <c r="I6278" i="20"/>
  <c r="I6282" i="20"/>
  <c r="E6292" i="20"/>
  <c r="F6264" i="20"/>
  <c r="I6275" i="20"/>
  <c r="I6279" i="20"/>
  <c r="I6219" i="20"/>
  <c r="I6232" i="20"/>
  <c r="I6228" i="20"/>
  <c r="I6224" i="20"/>
  <c r="F6213" i="20"/>
  <c r="G6213" i="20" s="1"/>
  <c r="E6242" i="20"/>
  <c r="I6117" i="20"/>
  <c r="I6122" i="20"/>
  <c r="F6214" i="20"/>
  <c r="G6214" i="20" s="1"/>
  <c r="I6221" i="20"/>
  <c r="I6225" i="20"/>
  <c r="I6229" i="20"/>
  <c r="F6215" i="20"/>
  <c r="G6215" i="20" s="1"/>
  <c r="I6222" i="20"/>
  <c r="I6226" i="20"/>
  <c r="I6230" i="20"/>
  <c r="E6240" i="20"/>
  <c r="F6212" i="20"/>
  <c r="I6223" i="20"/>
  <c r="I6227" i="20"/>
  <c r="D6116" i="20"/>
  <c r="F6116" i="20" s="1"/>
  <c r="H6130" i="20" s="1"/>
  <c r="K6104" i="20" s="1"/>
  <c r="F6161" i="20"/>
  <c r="G6161" i="20" s="1"/>
  <c r="I6167" i="20"/>
  <c r="I6168" i="20"/>
  <c r="I6172" i="20"/>
  <c r="I6176" i="20"/>
  <c r="I6180" i="20"/>
  <c r="E6190" i="20"/>
  <c r="F6162" i="20"/>
  <c r="G6162" i="20" s="1"/>
  <c r="I6169" i="20"/>
  <c r="I6173" i="20"/>
  <c r="I6177" i="20"/>
  <c r="F6163" i="20"/>
  <c r="G6163" i="20" s="1"/>
  <c r="I6170" i="20"/>
  <c r="I6174" i="20"/>
  <c r="I6178" i="20"/>
  <c r="E6188" i="20"/>
  <c r="F6160" i="20"/>
  <c r="I6171" i="20"/>
  <c r="I6175" i="20"/>
  <c r="I6116" i="20"/>
  <c r="I6118" i="20"/>
  <c r="I6129" i="20"/>
  <c r="I6125" i="20"/>
  <c r="I6121" i="20"/>
  <c r="I6126" i="20"/>
  <c r="E6139" i="20"/>
  <c r="F6112" i="20"/>
  <c r="G6112" i="20" s="1"/>
  <c r="I6119" i="20"/>
  <c r="I6123" i="20"/>
  <c r="I6127" i="20"/>
  <c r="E6137" i="20"/>
  <c r="F6110" i="20"/>
  <c r="G6110" i="20" s="1"/>
  <c r="F6111" i="20"/>
  <c r="G6111" i="20" s="1"/>
  <c r="F6109" i="20"/>
  <c r="I6120" i="20"/>
  <c r="I6124" i="20"/>
  <c r="D4625" i="20"/>
  <c r="F4625" i="20" s="1"/>
  <c r="D4574" i="20"/>
  <c r="F4574" i="20" s="1"/>
  <c r="I4685" i="20"/>
  <c r="I4689" i="20"/>
  <c r="F4670" i="20"/>
  <c r="I4678" i="20"/>
  <c r="I4682" i="20"/>
  <c r="I4686" i="20"/>
  <c r="I4676" i="20"/>
  <c r="I4681" i="20"/>
  <c r="F4671" i="20"/>
  <c r="G4671" i="20" s="1"/>
  <c r="I4679" i="20"/>
  <c r="I4683" i="20"/>
  <c r="I4687" i="20"/>
  <c r="E4697" i="20"/>
  <c r="I4677" i="20"/>
  <c r="I4680" i="20"/>
  <c r="I4684" i="20"/>
  <c r="I4627" i="20"/>
  <c r="I4631" i="20"/>
  <c r="I4635" i="20"/>
  <c r="I4628" i="20"/>
  <c r="I4632" i="20"/>
  <c r="I4636" i="20"/>
  <c r="E4646" i="20"/>
  <c r="I4625" i="20"/>
  <c r="I4626" i="20"/>
  <c r="I4630" i="20"/>
  <c r="I4634" i="20"/>
  <c r="I4638" i="20"/>
  <c r="F4620" i="20"/>
  <c r="I4629" i="20"/>
  <c r="I4633" i="20"/>
  <c r="I4574" i="20"/>
  <c r="I4575" i="20"/>
  <c r="I4583" i="20"/>
  <c r="I4587" i="20"/>
  <c r="F4568" i="20"/>
  <c r="I4576" i="20"/>
  <c r="I4580" i="20"/>
  <c r="I4584" i="20"/>
  <c r="F4569" i="20"/>
  <c r="I4577" i="20"/>
  <c r="I4581" i="20"/>
  <c r="I4585" i="20"/>
  <c r="E4595" i="20"/>
  <c r="I4579" i="20"/>
  <c r="E4597" i="20"/>
  <c r="I4578" i="20"/>
  <c r="I4582" i="20"/>
  <c r="K7092" i="20" l="1"/>
  <c r="B1786" i="20"/>
  <c r="B1785" i="20"/>
  <c r="E1780" i="20"/>
  <c r="F1780" i="20" s="1"/>
  <c r="H1781" i="20" s="1"/>
  <c r="N1752" i="20" s="1"/>
  <c r="D1776" i="20"/>
  <c r="F1776" i="20" s="1"/>
  <c r="C1776" i="20"/>
  <c r="B1776" i="20"/>
  <c r="D1775" i="20"/>
  <c r="F1775" i="20" s="1"/>
  <c r="C1775" i="20"/>
  <c r="B1775" i="20"/>
  <c r="D1774" i="20"/>
  <c r="F1774" i="20" s="1"/>
  <c r="C1774" i="20"/>
  <c r="B1774" i="20"/>
  <c r="D1773" i="20"/>
  <c r="F1773" i="20" s="1"/>
  <c r="C1773" i="20"/>
  <c r="B1773" i="20"/>
  <c r="D1772" i="20"/>
  <c r="F1772" i="20" s="1"/>
  <c r="C1772" i="20"/>
  <c r="B1772" i="20"/>
  <c r="D1771" i="20"/>
  <c r="F1771" i="20" s="1"/>
  <c r="C1771" i="20"/>
  <c r="B1771" i="20"/>
  <c r="C1770" i="20"/>
  <c r="B1770" i="20"/>
  <c r="C1769" i="20"/>
  <c r="B1769" i="20"/>
  <c r="C1768" i="20"/>
  <c r="B1768" i="20"/>
  <c r="C1767" i="20"/>
  <c r="B1767" i="20"/>
  <c r="C1766" i="20"/>
  <c r="B1766" i="20"/>
  <c r="C1765" i="20"/>
  <c r="B1765" i="20"/>
  <c r="C1764" i="20"/>
  <c r="C1763" i="20"/>
  <c r="D1759" i="20"/>
  <c r="B1759" i="20"/>
  <c r="D1758" i="20"/>
  <c r="B1758" i="20"/>
  <c r="D1757" i="20"/>
  <c r="B1757" i="20"/>
  <c r="G1754" i="20"/>
  <c r="I1775" i="20" s="1"/>
  <c r="G1753" i="20"/>
  <c r="B1753" i="20"/>
  <c r="B1752" i="20"/>
  <c r="H1751" i="20"/>
  <c r="B1748" i="20"/>
  <c r="H1747" i="20"/>
  <c r="E1785" i="20" s="1"/>
  <c r="B1735" i="20"/>
  <c r="B1734" i="20"/>
  <c r="E1729" i="20"/>
  <c r="F1729" i="20" s="1"/>
  <c r="H1730" i="20" s="1"/>
  <c r="N1701" i="20" s="1"/>
  <c r="D1725" i="20"/>
  <c r="F1725" i="20" s="1"/>
  <c r="C1725" i="20"/>
  <c r="B1725" i="20"/>
  <c r="D1724" i="20"/>
  <c r="F1724" i="20" s="1"/>
  <c r="C1724" i="20"/>
  <c r="B1724" i="20"/>
  <c r="D1723" i="20"/>
  <c r="F1723" i="20" s="1"/>
  <c r="C1723" i="20"/>
  <c r="B1723" i="20"/>
  <c r="D1722" i="20"/>
  <c r="F1722" i="20" s="1"/>
  <c r="C1722" i="20"/>
  <c r="B1722" i="20"/>
  <c r="D1721" i="20"/>
  <c r="F1721" i="20" s="1"/>
  <c r="C1721" i="20"/>
  <c r="B1721" i="20"/>
  <c r="D1720" i="20"/>
  <c r="F1720" i="20" s="1"/>
  <c r="C1720" i="20"/>
  <c r="B1720" i="20"/>
  <c r="C1719" i="20"/>
  <c r="B1719" i="20"/>
  <c r="C1718" i="20"/>
  <c r="B1718" i="20"/>
  <c r="C1717" i="20"/>
  <c r="B1717" i="20"/>
  <c r="C1716" i="20"/>
  <c r="B1716" i="20"/>
  <c r="C1715" i="20"/>
  <c r="B1715" i="20"/>
  <c r="C1714" i="20"/>
  <c r="B1714" i="20"/>
  <c r="C1713" i="20"/>
  <c r="C1712" i="20"/>
  <c r="D1708" i="20"/>
  <c r="B1708" i="20"/>
  <c r="D1707" i="20"/>
  <c r="B1707" i="20"/>
  <c r="D1706" i="20"/>
  <c r="B1706" i="20"/>
  <c r="G1703" i="20"/>
  <c r="I1724" i="20" s="1"/>
  <c r="G1702" i="20"/>
  <c r="B1702" i="20"/>
  <c r="B1701" i="20"/>
  <c r="H1700" i="20"/>
  <c r="B1697" i="20"/>
  <c r="H1696" i="20"/>
  <c r="E1734" i="20" s="1"/>
  <c r="B1683" i="20"/>
  <c r="B1682" i="20"/>
  <c r="E1677" i="20"/>
  <c r="F1677" i="20" s="1"/>
  <c r="H1678" i="20" s="1"/>
  <c r="N1649" i="20" s="1"/>
  <c r="D1673" i="20"/>
  <c r="F1673" i="20" s="1"/>
  <c r="C1673" i="20"/>
  <c r="B1673" i="20"/>
  <c r="D1672" i="20"/>
  <c r="F1672" i="20" s="1"/>
  <c r="C1672" i="20"/>
  <c r="B1672" i="20"/>
  <c r="D1671" i="20"/>
  <c r="F1671" i="20" s="1"/>
  <c r="C1671" i="20"/>
  <c r="B1671" i="20"/>
  <c r="D1670" i="20"/>
  <c r="F1670" i="20" s="1"/>
  <c r="C1670" i="20"/>
  <c r="B1670" i="20"/>
  <c r="D1669" i="20"/>
  <c r="F1669" i="20" s="1"/>
  <c r="C1669" i="20"/>
  <c r="B1669" i="20"/>
  <c r="D1668" i="20"/>
  <c r="F1668" i="20" s="1"/>
  <c r="C1668" i="20"/>
  <c r="B1668" i="20"/>
  <c r="C1667" i="20"/>
  <c r="B1667" i="20"/>
  <c r="C1666" i="20"/>
  <c r="B1666" i="20"/>
  <c r="C1665" i="20"/>
  <c r="B1665" i="20"/>
  <c r="C1664" i="20"/>
  <c r="B1664" i="20"/>
  <c r="C1663" i="20"/>
  <c r="B1663" i="20"/>
  <c r="C1662" i="20"/>
  <c r="B1662" i="20"/>
  <c r="C1661" i="20"/>
  <c r="C1660" i="20"/>
  <c r="D1656" i="20"/>
  <c r="B1656" i="20"/>
  <c r="D1655" i="20"/>
  <c r="B1655" i="20"/>
  <c r="D1654" i="20"/>
  <c r="B1654" i="20"/>
  <c r="G1651" i="20"/>
  <c r="I1672" i="20" s="1"/>
  <c r="G1650" i="20"/>
  <c r="B1650" i="20"/>
  <c r="B1649" i="20"/>
  <c r="H1648" i="20"/>
  <c r="B1645" i="20"/>
  <c r="H1644" i="20"/>
  <c r="E1682" i="20" s="1"/>
  <c r="B1632" i="20"/>
  <c r="B1631" i="20"/>
  <c r="E1626" i="20"/>
  <c r="F1626" i="20" s="1"/>
  <c r="H1627" i="20" s="1"/>
  <c r="N1598" i="20" s="1"/>
  <c r="D1622" i="20"/>
  <c r="F1622" i="20" s="1"/>
  <c r="C1622" i="20"/>
  <c r="B1622" i="20"/>
  <c r="D1621" i="20"/>
  <c r="F1621" i="20" s="1"/>
  <c r="C1621" i="20"/>
  <c r="B1621" i="20"/>
  <c r="D1620" i="20"/>
  <c r="F1620" i="20" s="1"/>
  <c r="C1620" i="20"/>
  <c r="B1620" i="20"/>
  <c r="D1619" i="20"/>
  <c r="F1619" i="20" s="1"/>
  <c r="C1619" i="20"/>
  <c r="B1619" i="20"/>
  <c r="D1618" i="20"/>
  <c r="F1618" i="20" s="1"/>
  <c r="C1618" i="20"/>
  <c r="B1618" i="20"/>
  <c r="D1617" i="20"/>
  <c r="F1617" i="20" s="1"/>
  <c r="C1617" i="20"/>
  <c r="B1617" i="20"/>
  <c r="C1616" i="20"/>
  <c r="B1616" i="20"/>
  <c r="C1615" i="20"/>
  <c r="B1615" i="20"/>
  <c r="C1614" i="20"/>
  <c r="B1614" i="20"/>
  <c r="C1613" i="20"/>
  <c r="B1613" i="20"/>
  <c r="C1612" i="20"/>
  <c r="B1612" i="20"/>
  <c r="C1611" i="20"/>
  <c r="B1611" i="20"/>
  <c r="C1610" i="20"/>
  <c r="C1609" i="20"/>
  <c r="D1605" i="20"/>
  <c r="B1605" i="20"/>
  <c r="D1604" i="20"/>
  <c r="B1604" i="20"/>
  <c r="D1603" i="20"/>
  <c r="B1603" i="20"/>
  <c r="G1600" i="20"/>
  <c r="I1621" i="20" s="1"/>
  <c r="G1599" i="20"/>
  <c r="B1599" i="20"/>
  <c r="B1598" i="20"/>
  <c r="H1597" i="20"/>
  <c r="B1594" i="20"/>
  <c r="H1593" i="20"/>
  <c r="E1631" i="20" s="1"/>
  <c r="B1581" i="20"/>
  <c r="B1580" i="20"/>
  <c r="E1575" i="20"/>
  <c r="F1575" i="20" s="1"/>
  <c r="H1576" i="20" s="1"/>
  <c r="N1547" i="20" s="1"/>
  <c r="D1571" i="20"/>
  <c r="F1571" i="20" s="1"/>
  <c r="C1571" i="20"/>
  <c r="B1571" i="20"/>
  <c r="D1570" i="20"/>
  <c r="F1570" i="20" s="1"/>
  <c r="C1570" i="20"/>
  <c r="B1570" i="20"/>
  <c r="D1569" i="20"/>
  <c r="F1569" i="20" s="1"/>
  <c r="C1569" i="20"/>
  <c r="B1569" i="20"/>
  <c r="D1568" i="20"/>
  <c r="F1568" i="20" s="1"/>
  <c r="C1568" i="20"/>
  <c r="B1568" i="20"/>
  <c r="D1567" i="20"/>
  <c r="F1567" i="20" s="1"/>
  <c r="C1567" i="20"/>
  <c r="B1567" i="20"/>
  <c r="D1566" i="20"/>
  <c r="F1566" i="20" s="1"/>
  <c r="C1566" i="20"/>
  <c r="B1566" i="20"/>
  <c r="C1565" i="20"/>
  <c r="B1565" i="20"/>
  <c r="C1564" i="20"/>
  <c r="B1564" i="20"/>
  <c r="C1563" i="20"/>
  <c r="B1563" i="20"/>
  <c r="C1562" i="20"/>
  <c r="B1562" i="20"/>
  <c r="C1561" i="20"/>
  <c r="B1561" i="20"/>
  <c r="C1560" i="20"/>
  <c r="B1560" i="20"/>
  <c r="C1559" i="20"/>
  <c r="C1558" i="20"/>
  <c r="D1554" i="20"/>
  <c r="B1554" i="20"/>
  <c r="D1553" i="20"/>
  <c r="B1553" i="20"/>
  <c r="D1552" i="20"/>
  <c r="B1552" i="20"/>
  <c r="G1549" i="20"/>
  <c r="I1570" i="20" s="1"/>
  <c r="G1548" i="20"/>
  <c r="B1548" i="20"/>
  <c r="B1547" i="20"/>
  <c r="H1546" i="20"/>
  <c r="B1543" i="20"/>
  <c r="H1542" i="20"/>
  <c r="E1580" i="20" s="1"/>
  <c r="B1530" i="20"/>
  <c r="B1529" i="20"/>
  <c r="E1524" i="20"/>
  <c r="F1524" i="20" s="1"/>
  <c r="H1525" i="20" s="1"/>
  <c r="N1496" i="20" s="1"/>
  <c r="D1520" i="20"/>
  <c r="F1520" i="20" s="1"/>
  <c r="C1520" i="20"/>
  <c r="B1520" i="20"/>
  <c r="D1519" i="20"/>
  <c r="F1519" i="20" s="1"/>
  <c r="C1519" i="20"/>
  <c r="B1519" i="20"/>
  <c r="D1518" i="20"/>
  <c r="F1518" i="20" s="1"/>
  <c r="C1518" i="20"/>
  <c r="B1518" i="20"/>
  <c r="D1517" i="20"/>
  <c r="F1517" i="20" s="1"/>
  <c r="C1517" i="20"/>
  <c r="B1517" i="20"/>
  <c r="D1516" i="20"/>
  <c r="F1516" i="20" s="1"/>
  <c r="C1516" i="20"/>
  <c r="B1516" i="20"/>
  <c r="D1515" i="20"/>
  <c r="F1515" i="20" s="1"/>
  <c r="C1515" i="20"/>
  <c r="B1515" i="20"/>
  <c r="C1514" i="20"/>
  <c r="B1514" i="20"/>
  <c r="C1513" i="20"/>
  <c r="B1513" i="20"/>
  <c r="C1512" i="20"/>
  <c r="B1512" i="20"/>
  <c r="C1511" i="20"/>
  <c r="B1511" i="20"/>
  <c r="C1510" i="20"/>
  <c r="B1510" i="20"/>
  <c r="C1509" i="20"/>
  <c r="B1509" i="20"/>
  <c r="C1508" i="20"/>
  <c r="C1507" i="20"/>
  <c r="D1503" i="20"/>
  <c r="B1503" i="20"/>
  <c r="D1502" i="20"/>
  <c r="B1502" i="20"/>
  <c r="D1501" i="20"/>
  <c r="B1501" i="20"/>
  <c r="G1498" i="20"/>
  <c r="I1519" i="20" s="1"/>
  <c r="G1497" i="20"/>
  <c r="B1497" i="20"/>
  <c r="B1496" i="20"/>
  <c r="H1495" i="20"/>
  <c r="B1492" i="20"/>
  <c r="H1491" i="20"/>
  <c r="E1529" i="20" s="1"/>
  <c r="B1479" i="20"/>
  <c r="B1478" i="20"/>
  <c r="E1473" i="20"/>
  <c r="F1473" i="20" s="1"/>
  <c r="H1474" i="20" s="1"/>
  <c r="N1445" i="20" s="1"/>
  <c r="D1469" i="20"/>
  <c r="F1469" i="20" s="1"/>
  <c r="C1469" i="20"/>
  <c r="B1469" i="20"/>
  <c r="D1468" i="20"/>
  <c r="F1468" i="20" s="1"/>
  <c r="C1468" i="20"/>
  <c r="B1468" i="20"/>
  <c r="D1467" i="20"/>
  <c r="F1467" i="20" s="1"/>
  <c r="C1467" i="20"/>
  <c r="B1467" i="20"/>
  <c r="D1466" i="20"/>
  <c r="F1466" i="20" s="1"/>
  <c r="C1466" i="20"/>
  <c r="B1466" i="20"/>
  <c r="D1465" i="20"/>
  <c r="F1465" i="20" s="1"/>
  <c r="C1465" i="20"/>
  <c r="B1465" i="20"/>
  <c r="D1464" i="20"/>
  <c r="F1464" i="20" s="1"/>
  <c r="C1464" i="20"/>
  <c r="B1464" i="20"/>
  <c r="C1463" i="20"/>
  <c r="B1463" i="20"/>
  <c r="C1462" i="20"/>
  <c r="B1462" i="20"/>
  <c r="C1461" i="20"/>
  <c r="B1461" i="20"/>
  <c r="C1460" i="20"/>
  <c r="B1460" i="20"/>
  <c r="C1459" i="20"/>
  <c r="B1459" i="20"/>
  <c r="C1458" i="20"/>
  <c r="B1458" i="20"/>
  <c r="C1457" i="20"/>
  <c r="C1456" i="20"/>
  <c r="D1452" i="20"/>
  <c r="B1452" i="20"/>
  <c r="D1451" i="20"/>
  <c r="B1451" i="20"/>
  <c r="D1450" i="20"/>
  <c r="B1450" i="20"/>
  <c r="G1447" i="20"/>
  <c r="I1468" i="20" s="1"/>
  <c r="G1446" i="20"/>
  <c r="B1446" i="20"/>
  <c r="B1445" i="20"/>
  <c r="H1444" i="20"/>
  <c r="B1441" i="20"/>
  <c r="H1440" i="20"/>
  <c r="E1478" i="20" s="1"/>
  <c r="B1428" i="20"/>
  <c r="B1427" i="20"/>
  <c r="E1422" i="20"/>
  <c r="F1422" i="20" s="1"/>
  <c r="H1423" i="20" s="1"/>
  <c r="N1394" i="20" s="1"/>
  <c r="D1418" i="20"/>
  <c r="F1418" i="20" s="1"/>
  <c r="C1418" i="20"/>
  <c r="B1418" i="20"/>
  <c r="D1417" i="20"/>
  <c r="F1417" i="20" s="1"/>
  <c r="C1417" i="20"/>
  <c r="B1417" i="20"/>
  <c r="D1416" i="20"/>
  <c r="F1416" i="20" s="1"/>
  <c r="C1416" i="20"/>
  <c r="B1416" i="20"/>
  <c r="D1415" i="20"/>
  <c r="F1415" i="20" s="1"/>
  <c r="C1415" i="20"/>
  <c r="B1415" i="20"/>
  <c r="D1414" i="20"/>
  <c r="F1414" i="20" s="1"/>
  <c r="C1414" i="20"/>
  <c r="B1414" i="20"/>
  <c r="D1413" i="20"/>
  <c r="F1413" i="20" s="1"/>
  <c r="C1413" i="20"/>
  <c r="B1413" i="20"/>
  <c r="D1412" i="20"/>
  <c r="F1412" i="20" s="1"/>
  <c r="C1412" i="20"/>
  <c r="B1412" i="20"/>
  <c r="C1411" i="20"/>
  <c r="B1411" i="20"/>
  <c r="C1410" i="20"/>
  <c r="B1410" i="20"/>
  <c r="C1409" i="20"/>
  <c r="B1409" i="20"/>
  <c r="C1408" i="20"/>
  <c r="B1408" i="20"/>
  <c r="C1407" i="20"/>
  <c r="B1407" i="20"/>
  <c r="C1406" i="20"/>
  <c r="C1405" i="20"/>
  <c r="D1401" i="20"/>
  <c r="B1401" i="20"/>
  <c r="D1400" i="20"/>
  <c r="B1400" i="20"/>
  <c r="D1399" i="20"/>
  <c r="B1399" i="20"/>
  <c r="G1396" i="20"/>
  <c r="I1417" i="20" s="1"/>
  <c r="G1395" i="20"/>
  <c r="B1395" i="20"/>
  <c r="B1394" i="20"/>
  <c r="H1393" i="20"/>
  <c r="B1390" i="20"/>
  <c r="H1389" i="20"/>
  <c r="E1427" i="20" s="1"/>
  <c r="B1377" i="20"/>
  <c r="B1376" i="20"/>
  <c r="E1371" i="20"/>
  <c r="F1371" i="20" s="1"/>
  <c r="H1372" i="20" s="1"/>
  <c r="N1343" i="20" s="1"/>
  <c r="D1367" i="20"/>
  <c r="F1367" i="20" s="1"/>
  <c r="C1367" i="20"/>
  <c r="B1367" i="20"/>
  <c r="D1366" i="20"/>
  <c r="F1366" i="20" s="1"/>
  <c r="C1366" i="20"/>
  <c r="B1366" i="20"/>
  <c r="D1365" i="20"/>
  <c r="F1365" i="20" s="1"/>
  <c r="C1365" i="20"/>
  <c r="B1365" i="20"/>
  <c r="D1364" i="20"/>
  <c r="F1364" i="20" s="1"/>
  <c r="C1364" i="20"/>
  <c r="B1364" i="20"/>
  <c r="D1363" i="20"/>
  <c r="F1363" i="20" s="1"/>
  <c r="C1363" i="20"/>
  <c r="B1363" i="20"/>
  <c r="D1362" i="20"/>
  <c r="F1362" i="20" s="1"/>
  <c r="C1362" i="20"/>
  <c r="B1362" i="20"/>
  <c r="D1361" i="20"/>
  <c r="F1361" i="20" s="1"/>
  <c r="C1361" i="20"/>
  <c r="B1361" i="20"/>
  <c r="C1360" i="20"/>
  <c r="B1360" i="20"/>
  <c r="C1359" i="20"/>
  <c r="B1359" i="20"/>
  <c r="C1358" i="20"/>
  <c r="B1358" i="20"/>
  <c r="C1357" i="20"/>
  <c r="B1357" i="20"/>
  <c r="C1356" i="20"/>
  <c r="B1356" i="20"/>
  <c r="C1355" i="20"/>
  <c r="C1354" i="20"/>
  <c r="D1350" i="20"/>
  <c r="B1350" i="20"/>
  <c r="D1349" i="20"/>
  <c r="B1349" i="20"/>
  <c r="D1348" i="20"/>
  <c r="B1348" i="20"/>
  <c r="G1345" i="20"/>
  <c r="I1366" i="20" s="1"/>
  <c r="G1344" i="20"/>
  <c r="B1344" i="20"/>
  <c r="B1343" i="20"/>
  <c r="H1342" i="20"/>
  <c r="B1339" i="20"/>
  <c r="H1338" i="20"/>
  <c r="E1376" i="20" s="1"/>
  <c r="B1326" i="20"/>
  <c r="B1325" i="20"/>
  <c r="E1320" i="20"/>
  <c r="F1320" i="20" s="1"/>
  <c r="H1321" i="20" s="1"/>
  <c r="N1292" i="20" s="1"/>
  <c r="D1316" i="20"/>
  <c r="F1316" i="20" s="1"/>
  <c r="C1316" i="20"/>
  <c r="B1316" i="20"/>
  <c r="D1315" i="20"/>
  <c r="F1315" i="20" s="1"/>
  <c r="C1315" i="20"/>
  <c r="B1315" i="20"/>
  <c r="D1314" i="20"/>
  <c r="F1314" i="20" s="1"/>
  <c r="C1314" i="20"/>
  <c r="B1314" i="20"/>
  <c r="D1313" i="20"/>
  <c r="F1313" i="20" s="1"/>
  <c r="C1313" i="20"/>
  <c r="B1313" i="20"/>
  <c r="D1312" i="20"/>
  <c r="F1312" i="20" s="1"/>
  <c r="C1312" i="20"/>
  <c r="B1312" i="20"/>
  <c r="D1311" i="20"/>
  <c r="F1311" i="20" s="1"/>
  <c r="C1311" i="20"/>
  <c r="B1311" i="20"/>
  <c r="D1310" i="20"/>
  <c r="F1310" i="20" s="1"/>
  <c r="C1310" i="20"/>
  <c r="B1310" i="20"/>
  <c r="C1309" i="20"/>
  <c r="B1309" i="20"/>
  <c r="C1308" i="20"/>
  <c r="B1308" i="20"/>
  <c r="C1307" i="20"/>
  <c r="B1307" i="20"/>
  <c r="C1306" i="20"/>
  <c r="B1306" i="20"/>
  <c r="C1305" i="20"/>
  <c r="B1305" i="20"/>
  <c r="C1304" i="20"/>
  <c r="C1303" i="20"/>
  <c r="D1299" i="20"/>
  <c r="B1299" i="20"/>
  <c r="D1298" i="20"/>
  <c r="B1298" i="20"/>
  <c r="D1297" i="20"/>
  <c r="B1297" i="20"/>
  <c r="G1294" i="20"/>
  <c r="I1315" i="20" s="1"/>
  <c r="G1293" i="20"/>
  <c r="B1293" i="20"/>
  <c r="B1292" i="20"/>
  <c r="H1291" i="20"/>
  <c r="B1288" i="20"/>
  <c r="H1287" i="20"/>
  <c r="E1325" i="20" s="1"/>
  <c r="B1275" i="20"/>
  <c r="B1274" i="20"/>
  <c r="E1269" i="20"/>
  <c r="F1269" i="20" s="1"/>
  <c r="H1270" i="20" s="1"/>
  <c r="N1241" i="20" s="1"/>
  <c r="D1265" i="20"/>
  <c r="F1265" i="20" s="1"/>
  <c r="C1265" i="20"/>
  <c r="B1265" i="20"/>
  <c r="D1264" i="20"/>
  <c r="F1264" i="20" s="1"/>
  <c r="C1264" i="20"/>
  <c r="B1264" i="20"/>
  <c r="D1263" i="20"/>
  <c r="F1263" i="20" s="1"/>
  <c r="C1263" i="20"/>
  <c r="B1263" i="20"/>
  <c r="D1262" i="20"/>
  <c r="F1262" i="20" s="1"/>
  <c r="C1262" i="20"/>
  <c r="B1262" i="20"/>
  <c r="D1261" i="20"/>
  <c r="F1261" i="20" s="1"/>
  <c r="C1261" i="20"/>
  <c r="B1261" i="20"/>
  <c r="D1260" i="20"/>
  <c r="F1260" i="20" s="1"/>
  <c r="C1260" i="20"/>
  <c r="B1260" i="20"/>
  <c r="C1259" i="20"/>
  <c r="B1259" i="20"/>
  <c r="C1258" i="20"/>
  <c r="B1258" i="20"/>
  <c r="C1257" i="20"/>
  <c r="B1257" i="20"/>
  <c r="C1256" i="20"/>
  <c r="B1256" i="20"/>
  <c r="C1255" i="20"/>
  <c r="B1255" i="20"/>
  <c r="C1254" i="20"/>
  <c r="B1254" i="20"/>
  <c r="C1253" i="20"/>
  <c r="C1252" i="20"/>
  <c r="D1248" i="20"/>
  <c r="B1248" i="20"/>
  <c r="D1247" i="20"/>
  <c r="B1247" i="20"/>
  <c r="D1246" i="20"/>
  <c r="B1246" i="20"/>
  <c r="G1243" i="20"/>
  <c r="I1264" i="20" s="1"/>
  <c r="G1242" i="20"/>
  <c r="B1242" i="20"/>
  <c r="B1241" i="20"/>
  <c r="H1240" i="20"/>
  <c r="B1237" i="20"/>
  <c r="H1236" i="20"/>
  <c r="E1274" i="20" s="1"/>
  <c r="B1224" i="20"/>
  <c r="B1223" i="20"/>
  <c r="E1218" i="20"/>
  <c r="F1218" i="20" s="1"/>
  <c r="H1219" i="20" s="1"/>
  <c r="N1190" i="20" s="1"/>
  <c r="D1214" i="20"/>
  <c r="F1214" i="20" s="1"/>
  <c r="C1214" i="20"/>
  <c r="B1214" i="20"/>
  <c r="D1213" i="20"/>
  <c r="F1213" i="20" s="1"/>
  <c r="C1213" i="20"/>
  <c r="B1213" i="20"/>
  <c r="D1212" i="20"/>
  <c r="F1212" i="20" s="1"/>
  <c r="C1212" i="20"/>
  <c r="B1212" i="20"/>
  <c r="D1211" i="20"/>
  <c r="F1211" i="20" s="1"/>
  <c r="C1211" i="20"/>
  <c r="B1211" i="20"/>
  <c r="D1210" i="20"/>
  <c r="F1210" i="20" s="1"/>
  <c r="C1210" i="20"/>
  <c r="B1210" i="20"/>
  <c r="D1209" i="20"/>
  <c r="F1209" i="20" s="1"/>
  <c r="C1209" i="20"/>
  <c r="B1209" i="20"/>
  <c r="C1208" i="20"/>
  <c r="B1208" i="20"/>
  <c r="C1207" i="20"/>
  <c r="B1207" i="20"/>
  <c r="C1206" i="20"/>
  <c r="B1206" i="20"/>
  <c r="C1205" i="20"/>
  <c r="B1205" i="20"/>
  <c r="C1204" i="20"/>
  <c r="B1204" i="20"/>
  <c r="C1203" i="20"/>
  <c r="B1203" i="20"/>
  <c r="C1202" i="20"/>
  <c r="C1201" i="20"/>
  <c r="D1197" i="20"/>
  <c r="B1197" i="20"/>
  <c r="D1196" i="20"/>
  <c r="B1196" i="20"/>
  <c r="D1195" i="20"/>
  <c r="B1195" i="20"/>
  <c r="G1192" i="20"/>
  <c r="I1213" i="20" s="1"/>
  <c r="G1191" i="20"/>
  <c r="B1191" i="20"/>
  <c r="B1190" i="20"/>
  <c r="H1189" i="20"/>
  <c r="B1186" i="20"/>
  <c r="H1185" i="20"/>
  <c r="E1223" i="20" s="1"/>
  <c r="E1530" i="20" l="1"/>
  <c r="E1479" i="20"/>
  <c r="E1377" i="20"/>
  <c r="E1581" i="20"/>
  <c r="F1450" i="20"/>
  <c r="F1501" i="20"/>
  <c r="F1552" i="20"/>
  <c r="F1603" i="20"/>
  <c r="F1654" i="20"/>
  <c r="F1706" i="20"/>
  <c r="F1757" i="20"/>
  <c r="E1632" i="20"/>
  <c r="E1683" i="20"/>
  <c r="E1735" i="20"/>
  <c r="E1786" i="20"/>
  <c r="I1776" i="20"/>
  <c r="I1768" i="20"/>
  <c r="I1763" i="20"/>
  <c r="I1764" i="20"/>
  <c r="I1772" i="20"/>
  <c r="F1758" i="20"/>
  <c r="I1765" i="20"/>
  <c r="I1769" i="20"/>
  <c r="I1773" i="20"/>
  <c r="F1759" i="20"/>
  <c r="I1766" i="20"/>
  <c r="I1770" i="20"/>
  <c r="I1774" i="20"/>
  <c r="E1784" i="20"/>
  <c r="I1665" i="20"/>
  <c r="I1767" i="20"/>
  <c r="I1771" i="20"/>
  <c r="I1713" i="20"/>
  <c r="I1725" i="20"/>
  <c r="I1712" i="20"/>
  <c r="I1721" i="20"/>
  <c r="I1717" i="20"/>
  <c r="I1673" i="20"/>
  <c r="F1707" i="20"/>
  <c r="I1714" i="20"/>
  <c r="I1718" i="20"/>
  <c r="I1722" i="20"/>
  <c r="I1660" i="20"/>
  <c r="I1661" i="20"/>
  <c r="F1708" i="20"/>
  <c r="I1715" i="20"/>
  <c r="I1719" i="20"/>
  <c r="I1723" i="20"/>
  <c r="E1733" i="20"/>
  <c r="I1716" i="20"/>
  <c r="I1720" i="20"/>
  <c r="I1669" i="20"/>
  <c r="I1622" i="20"/>
  <c r="F1655" i="20"/>
  <c r="I1662" i="20"/>
  <c r="I1666" i="20"/>
  <c r="I1670" i="20"/>
  <c r="I1614" i="20"/>
  <c r="F1656" i="20"/>
  <c r="I1663" i="20"/>
  <c r="I1667" i="20"/>
  <c r="I1671" i="20"/>
  <c r="E1681" i="20"/>
  <c r="I1664" i="20"/>
  <c r="I1668" i="20"/>
  <c r="I1609" i="20"/>
  <c r="I1610" i="20"/>
  <c r="I1618" i="20"/>
  <c r="I1560" i="20"/>
  <c r="I1571" i="20"/>
  <c r="F1604" i="20"/>
  <c r="I1611" i="20"/>
  <c r="I1615" i="20"/>
  <c r="I1619" i="20"/>
  <c r="I1558" i="20"/>
  <c r="F1605" i="20"/>
  <c r="I1612" i="20"/>
  <c r="I1616" i="20"/>
  <c r="I1620" i="20"/>
  <c r="E1630" i="20"/>
  <c r="I1613" i="20"/>
  <c r="I1617" i="20"/>
  <c r="I1567" i="20"/>
  <c r="I1563" i="20"/>
  <c r="I1568" i="20"/>
  <c r="I1559" i="20"/>
  <c r="I1564" i="20"/>
  <c r="F1553" i="20"/>
  <c r="F1554" i="20"/>
  <c r="I1561" i="20"/>
  <c r="I1565" i="20"/>
  <c r="I1569" i="20"/>
  <c r="E1579" i="20"/>
  <c r="I1562" i="20"/>
  <c r="I1566" i="20"/>
  <c r="I1520" i="20"/>
  <c r="I1507" i="20"/>
  <c r="I1508" i="20"/>
  <c r="I1456" i="20"/>
  <c r="I1516" i="20"/>
  <c r="I1512" i="20"/>
  <c r="I1469" i="20"/>
  <c r="F1502" i="20"/>
  <c r="I1509" i="20"/>
  <c r="I1513" i="20"/>
  <c r="I1517" i="20"/>
  <c r="F1503" i="20"/>
  <c r="I1510" i="20"/>
  <c r="I1514" i="20"/>
  <c r="I1518" i="20"/>
  <c r="E1528" i="20"/>
  <c r="I1458" i="20"/>
  <c r="I1511" i="20"/>
  <c r="I1515" i="20"/>
  <c r="I1465" i="20"/>
  <c r="I1461" i="20"/>
  <c r="I1457" i="20"/>
  <c r="F1451" i="20"/>
  <c r="I1462" i="20"/>
  <c r="I1466" i="20"/>
  <c r="F1452" i="20"/>
  <c r="I1459" i="20"/>
  <c r="I1463" i="20"/>
  <c r="I1467" i="20"/>
  <c r="E1477" i="20"/>
  <c r="I1460" i="20"/>
  <c r="I1464" i="20"/>
  <c r="E1326" i="20"/>
  <c r="F1299" i="20"/>
  <c r="F1297" i="20"/>
  <c r="F1348" i="20"/>
  <c r="F1399" i="20"/>
  <c r="I1405" i="20"/>
  <c r="I1406" i="20"/>
  <c r="I1410" i="20"/>
  <c r="I1414" i="20"/>
  <c r="I1418" i="20"/>
  <c r="E1428" i="20"/>
  <c r="F1400" i="20"/>
  <c r="I1407" i="20"/>
  <c r="I1411" i="20"/>
  <c r="I1415" i="20"/>
  <c r="F1401" i="20"/>
  <c r="I1408" i="20"/>
  <c r="I1412" i="20"/>
  <c r="I1416" i="20"/>
  <c r="E1426" i="20"/>
  <c r="I1409" i="20"/>
  <c r="I1413" i="20"/>
  <c r="I1367" i="20"/>
  <c r="I1363" i="20"/>
  <c r="I1354" i="20"/>
  <c r="I1355" i="20"/>
  <c r="I1359" i="20"/>
  <c r="I1364" i="20"/>
  <c r="I1356" i="20"/>
  <c r="I1360" i="20"/>
  <c r="F1349" i="20"/>
  <c r="F1350" i="20"/>
  <c r="I1357" i="20"/>
  <c r="I1361" i="20"/>
  <c r="I1365" i="20"/>
  <c r="E1375" i="20"/>
  <c r="I1358" i="20"/>
  <c r="I1362" i="20"/>
  <c r="I1304" i="20"/>
  <c r="I1316" i="20"/>
  <c r="I1303" i="20"/>
  <c r="I1312" i="20"/>
  <c r="I1308" i="20"/>
  <c r="F1298" i="20"/>
  <c r="I1305" i="20"/>
  <c r="I1309" i="20"/>
  <c r="I1313" i="20"/>
  <c r="I1306" i="20"/>
  <c r="I1310" i="20"/>
  <c r="I1314" i="20"/>
  <c r="E1324" i="20"/>
  <c r="I1307" i="20"/>
  <c r="I1311" i="20"/>
  <c r="F1246" i="20"/>
  <c r="F1195" i="20"/>
  <c r="E1275" i="20"/>
  <c r="I1265" i="20"/>
  <c r="I1254" i="20"/>
  <c r="I1252" i="20"/>
  <c r="I1261" i="20"/>
  <c r="I1257" i="20"/>
  <c r="I1253" i="20"/>
  <c r="I1258" i="20"/>
  <c r="I1262" i="20"/>
  <c r="F1247" i="20"/>
  <c r="F1248" i="20"/>
  <c r="I1255" i="20"/>
  <c r="I1259" i="20"/>
  <c r="I1263" i="20"/>
  <c r="E1273" i="20"/>
  <c r="I1256" i="20"/>
  <c r="I1260" i="20"/>
  <c r="I1202" i="20"/>
  <c r="I1214" i="20"/>
  <c r="I1201" i="20"/>
  <c r="I1210" i="20"/>
  <c r="I1206" i="20"/>
  <c r="I1203" i="20"/>
  <c r="I1207" i="20"/>
  <c r="I1211" i="20"/>
  <c r="F1196" i="20"/>
  <c r="I1204" i="20"/>
  <c r="I1208" i="20"/>
  <c r="I1212" i="20"/>
  <c r="E1222" i="20"/>
  <c r="E1224" i="20"/>
  <c r="F1197" i="20"/>
  <c r="I1205" i="20"/>
  <c r="I1209" i="20"/>
  <c r="B1173" i="20" l="1"/>
  <c r="B1172" i="20"/>
  <c r="E1167" i="20"/>
  <c r="F1167" i="20" s="1"/>
  <c r="H1168" i="20" s="1"/>
  <c r="N1139" i="20" s="1"/>
  <c r="D1163" i="20"/>
  <c r="F1163" i="20" s="1"/>
  <c r="C1163" i="20"/>
  <c r="B1163" i="20"/>
  <c r="D1162" i="20"/>
  <c r="F1162" i="20" s="1"/>
  <c r="C1162" i="20"/>
  <c r="B1162" i="20"/>
  <c r="D1161" i="20"/>
  <c r="F1161" i="20" s="1"/>
  <c r="C1161" i="20"/>
  <c r="B1161" i="20"/>
  <c r="D1160" i="20"/>
  <c r="F1160" i="20" s="1"/>
  <c r="C1160" i="20"/>
  <c r="B1160" i="20"/>
  <c r="D1159" i="20"/>
  <c r="F1159" i="20" s="1"/>
  <c r="C1159" i="20"/>
  <c r="B1159" i="20"/>
  <c r="D1158" i="20"/>
  <c r="F1158" i="20" s="1"/>
  <c r="C1158" i="20"/>
  <c r="B1158" i="20"/>
  <c r="C1157" i="20"/>
  <c r="B1157" i="20"/>
  <c r="C1156" i="20"/>
  <c r="B1156" i="20"/>
  <c r="C1155" i="20"/>
  <c r="B1155" i="20"/>
  <c r="C1154" i="20"/>
  <c r="B1154" i="20"/>
  <c r="C1153" i="20"/>
  <c r="B1153" i="20"/>
  <c r="C1152" i="20"/>
  <c r="B1152" i="20"/>
  <c r="C1151" i="20"/>
  <c r="C1150" i="20"/>
  <c r="D1146" i="20"/>
  <c r="B1146" i="20"/>
  <c r="D1145" i="20"/>
  <c r="B1145" i="20"/>
  <c r="D1144" i="20"/>
  <c r="B1144" i="20"/>
  <c r="G1141" i="20"/>
  <c r="I1162" i="20" s="1"/>
  <c r="G1140" i="20"/>
  <c r="B1140" i="20"/>
  <c r="B1139" i="20"/>
  <c r="H1138" i="20"/>
  <c r="B1135" i="20"/>
  <c r="H1134" i="20"/>
  <c r="E1172" i="20" s="1"/>
  <c r="B1067" i="20"/>
  <c r="B1066" i="20"/>
  <c r="E1061" i="20"/>
  <c r="F1061" i="20" s="1"/>
  <c r="H1062" i="20" s="1"/>
  <c r="N1033" i="20" s="1"/>
  <c r="D1057" i="20"/>
  <c r="F1057" i="20" s="1"/>
  <c r="C1057" i="20"/>
  <c r="B1057" i="20"/>
  <c r="D1056" i="20"/>
  <c r="F1056" i="20" s="1"/>
  <c r="C1056" i="20"/>
  <c r="B1056" i="20"/>
  <c r="D1055" i="20"/>
  <c r="F1055" i="20" s="1"/>
  <c r="C1055" i="20"/>
  <c r="B1055" i="20"/>
  <c r="D1054" i="20"/>
  <c r="F1054" i="20" s="1"/>
  <c r="C1054" i="20"/>
  <c r="B1054" i="20"/>
  <c r="D1053" i="20"/>
  <c r="F1053" i="20" s="1"/>
  <c r="C1053" i="20"/>
  <c r="B1053" i="20"/>
  <c r="D1052" i="20"/>
  <c r="F1052" i="20" s="1"/>
  <c r="C1052" i="20"/>
  <c r="B1052" i="20"/>
  <c r="C1051" i="20"/>
  <c r="B1051" i="20"/>
  <c r="C1050" i="20"/>
  <c r="B1050" i="20"/>
  <c r="C1049" i="20"/>
  <c r="B1049" i="20"/>
  <c r="C1048" i="20"/>
  <c r="B1048" i="20"/>
  <c r="C1047" i="20"/>
  <c r="B1047" i="20"/>
  <c r="C1046" i="20"/>
  <c r="B1046" i="20"/>
  <c r="C1045" i="20"/>
  <c r="C1044" i="20"/>
  <c r="D1040" i="20"/>
  <c r="B1040" i="20"/>
  <c r="D1039" i="20"/>
  <c r="B1039" i="20"/>
  <c r="D1038" i="20"/>
  <c r="B1038" i="20"/>
  <c r="G1035" i="20"/>
  <c r="I1056" i="20" s="1"/>
  <c r="G1034" i="20"/>
  <c r="B1034" i="20"/>
  <c r="B1033" i="20"/>
  <c r="H1032" i="20"/>
  <c r="B1029" i="20"/>
  <c r="H1028" i="20"/>
  <c r="E1066" i="20" s="1"/>
  <c r="B1016" i="20"/>
  <c r="B1015" i="20"/>
  <c r="E1010" i="20"/>
  <c r="F1010" i="20" s="1"/>
  <c r="H1011" i="20" s="1"/>
  <c r="N982" i="20" s="1"/>
  <c r="D1006" i="20"/>
  <c r="F1006" i="20" s="1"/>
  <c r="C1006" i="20"/>
  <c r="B1006" i="20"/>
  <c r="D1005" i="20"/>
  <c r="F1005" i="20" s="1"/>
  <c r="C1005" i="20"/>
  <c r="B1005" i="20"/>
  <c r="D1004" i="20"/>
  <c r="F1004" i="20" s="1"/>
  <c r="C1004" i="20"/>
  <c r="B1004" i="20"/>
  <c r="D1003" i="20"/>
  <c r="F1003" i="20" s="1"/>
  <c r="C1003" i="20"/>
  <c r="B1003" i="20"/>
  <c r="D1002" i="20"/>
  <c r="F1002" i="20" s="1"/>
  <c r="C1002" i="20"/>
  <c r="B1002" i="20"/>
  <c r="D1001" i="20"/>
  <c r="F1001" i="20" s="1"/>
  <c r="C1001" i="20"/>
  <c r="B1001" i="20"/>
  <c r="C1000" i="20"/>
  <c r="B1000" i="20"/>
  <c r="C999" i="20"/>
  <c r="B999" i="20"/>
  <c r="C998" i="20"/>
  <c r="B998" i="20"/>
  <c r="C997" i="20"/>
  <c r="B997" i="20"/>
  <c r="C996" i="20"/>
  <c r="B996" i="20"/>
  <c r="C995" i="20"/>
  <c r="B995" i="20"/>
  <c r="C994" i="20"/>
  <c r="C993" i="20"/>
  <c r="D989" i="20"/>
  <c r="B989" i="20"/>
  <c r="D988" i="20"/>
  <c r="B988" i="20"/>
  <c r="D987" i="20"/>
  <c r="B987" i="20"/>
  <c r="G984" i="20"/>
  <c r="I1005" i="20" s="1"/>
  <c r="G983" i="20"/>
  <c r="B983" i="20"/>
  <c r="B982" i="20"/>
  <c r="H981" i="20"/>
  <c r="B978" i="20"/>
  <c r="H977" i="20"/>
  <c r="E1015" i="20" s="1"/>
  <c r="B965" i="20"/>
  <c r="B964" i="20"/>
  <c r="E959" i="20"/>
  <c r="F959" i="20" s="1"/>
  <c r="H960" i="20" s="1"/>
  <c r="N931" i="20" s="1"/>
  <c r="D955" i="20"/>
  <c r="F955" i="20" s="1"/>
  <c r="C955" i="20"/>
  <c r="B955" i="20"/>
  <c r="D954" i="20"/>
  <c r="F954" i="20" s="1"/>
  <c r="C954" i="20"/>
  <c r="B954" i="20"/>
  <c r="D953" i="20"/>
  <c r="F953" i="20" s="1"/>
  <c r="C953" i="20"/>
  <c r="B953" i="20"/>
  <c r="D952" i="20"/>
  <c r="F952" i="20" s="1"/>
  <c r="C952" i="20"/>
  <c r="B952" i="20"/>
  <c r="D951" i="20"/>
  <c r="F951" i="20" s="1"/>
  <c r="C951" i="20"/>
  <c r="B951" i="20"/>
  <c r="D950" i="20"/>
  <c r="F950" i="20" s="1"/>
  <c r="C950" i="20"/>
  <c r="B950" i="20"/>
  <c r="C949" i="20"/>
  <c r="B949" i="20"/>
  <c r="C948" i="20"/>
  <c r="B948" i="20"/>
  <c r="C947" i="20"/>
  <c r="B947" i="20"/>
  <c r="C946" i="20"/>
  <c r="B946" i="20"/>
  <c r="C945" i="20"/>
  <c r="B945" i="20"/>
  <c r="C944" i="20"/>
  <c r="B944" i="20"/>
  <c r="C943" i="20"/>
  <c r="C942" i="20"/>
  <c r="D938" i="20"/>
  <c r="B938" i="20"/>
  <c r="D937" i="20"/>
  <c r="B937" i="20"/>
  <c r="D936" i="20"/>
  <c r="B936" i="20"/>
  <c r="G933" i="20"/>
  <c r="I954" i="20" s="1"/>
  <c r="G932" i="20"/>
  <c r="B932" i="20"/>
  <c r="B931" i="20"/>
  <c r="H930" i="20"/>
  <c r="B927" i="20"/>
  <c r="H926" i="20"/>
  <c r="E964" i="20" s="1"/>
  <c r="B914" i="20"/>
  <c r="B913" i="20"/>
  <c r="E908" i="20"/>
  <c r="F908" i="20" s="1"/>
  <c r="H909" i="20" s="1"/>
  <c r="N880" i="20" s="1"/>
  <c r="D904" i="20"/>
  <c r="F904" i="20" s="1"/>
  <c r="C904" i="20"/>
  <c r="B904" i="20"/>
  <c r="D903" i="20"/>
  <c r="F903" i="20" s="1"/>
  <c r="C903" i="20"/>
  <c r="B903" i="20"/>
  <c r="D902" i="20"/>
  <c r="F902" i="20" s="1"/>
  <c r="C902" i="20"/>
  <c r="B902" i="20"/>
  <c r="D901" i="20"/>
  <c r="F901" i="20" s="1"/>
  <c r="C901" i="20"/>
  <c r="B901" i="20"/>
  <c r="D900" i="20"/>
  <c r="F900" i="20" s="1"/>
  <c r="C900" i="20"/>
  <c r="B900" i="20"/>
  <c r="D899" i="20"/>
  <c r="F899" i="20" s="1"/>
  <c r="C899" i="20"/>
  <c r="B899" i="20"/>
  <c r="C898" i="20"/>
  <c r="B898" i="20"/>
  <c r="C897" i="20"/>
  <c r="B897" i="20"/>
  <c r="C896" i="20"/>
  <c r="B896" i="20"/>
  <c r="C895" i="20"/>
  <c r="B895" i="20"/>
  <c r="C894" i="20"/>
  <c r="B894" i="20"/>
  <c r="C893" i="20"/>
  <c r="B893" i="20"/>
  <c r="C892" i="20"/>
  <c r="C891" i="20"/>
  <c r="D887" i="20"/>
  <c r="B887" i="20"/>
  <c r="D886" i="20"/>
  <c r="B886" i="20"/>
  <c r="D885" i="20"/>
  <c r="B885" i="20"/>
  <c r="G882" i="20"/>
  <c r="I903" i="20" s="1"/>
  <c r="G881" i="20"/>
  <c r="B881" i="20"/>
  <c r="B880" i="20"/>
  <c r="H879" i="20"/>
  <c r="B876" i="20"/>
  <c r="H875" i="20"/>
  <c r="E913" i="20" s="1"/>
  <c r="B1122" i="20"/>
  <c r="B1121" i="20"/>
  <c r="E1116" i="20"/>
  <c r="F1116" i="20" s="1"/>
  <c r="H1117" i="20" s="1"/>
  <c r="N1088" i="20" s="1"/>
  <c r="D1112" i="20"/>
  <c r="F1112" i="20" s="1"/>
  <c r="C1112" i="20"/>
  <c r="B1112" i="20"/>
  <c r="D1111" i="20"/>
  <c r="F1111" i="20" s="1"/>
  <c r="C1111" i="20"/>
  <c r="B1111" i="20"/>
  <c r="D1110" i="20"/>
  <c r="F1110" i="20" s="1"/>
  <c r="C1110" i="20"/>
  <c r="B1110" i="20"/>
  <c r="D1109" i="20"/>
  <c r="F1109" i="20" s="1"/>
  <c r="C1109" i="20"/>
  <c r="B1109" i="20"/>
  <c r="D1108" i="20"/>
  <c r="F1108" i="20" s="1"/>
  <c r="C1108" i="20"/>
  <c r="B1108" i="20"/>
  <c r="D1107" i="20"/>
  <c r="F1107" i="20" s="1"/>
  <c r="C1107" i="20"/>
  <c r="B1107" i="20"/>
  <c r="C1106" i="20"/>
  <c r="B1106" i="20"/>
  <c r="C1105" i="20"/>
  <c r="B1105" i="20"/>
  <c r="C1104" i="20"/>
  <c r="B1104" i="20"/>
  <c r="C1103" i="20"/>
  <c r="B1103" i="20"/>
  <c r="C1102" i="20"/>
  <c r="B1102" i="20"/>
  <c r="C1101" i="20"/>
  <c r="B1101" i="20"/>
  <c r="C1100" i="20"/>
  <c r="C1099" i="20"/>
  <c r="D1095" i="20"/>
  <c r="B1095" i="20"/>
  <c r="D1094" i="20"/>
  <c r="B1094" i="20"/>
  <c r="D1093" i="20"/>
  <c r="B1093" i="20"/>
  <c r="G1090" i="20"/>
  <c r="I1111" i="20" s="1"/>
  <c r="G1089" i="20"/>
  <c r="B1089" i="20"/>
  <c r="B1088" i="20"/>
  <c r="H1087" i="20"/>
  <c r="B1084" i="20"/>
  <c r="H1083" i="20"/>
  <c r="E1121" i="20" s="1"/>
  <c r="B863" i="20"/>
  <c r="B862" i="20"/>
  <c r="E857" i="20"/>
  <c r="F857" i="20" s="1"/>
  <c r="H858" i="20" s="1"/>
  <c r="N829" i="20" s="1"/>
  <c r="D853" i="20"/>
  <c r="F853" i="20" s="1"/>
  <c r="C853" i="20"/>
  <c r="B853" i="20"/>
  <c r="D852" i="20"/>
  <c r="F852" i="20" s="1"/>
  <c r="C852" i="20"/>
  <c r="B852" i="20"/>
  <c r="D851" i="20"/>
  <c r="F851" i="20" s="1"/>
  <c r="C851" i="20"/>
  <c r="B851" i="20"/>
  <c r="D850" i="20"/>
  <c r="F850" i="20" s="1"/>
  <c r="C850" i="20"/>
  <c r="B850" i="20"/>
  <c r="D849" i="20"/>
  <c r="F849" i="20" s="1"/>
  <c r="C849" i="20"/>
  <c r="B849" i="20"/>
  <c r="D848" i="20"/>
  <c r="F848" i="20" s="1"/>
  <c r="C848" i="20"/>
  <c r="B848" i="20"/>
  <c r="C847" i="20"/>
  <c r="B847" i="20"/>
  <c r="C846" i="20"/>
  <c r="B846" i="20"/>
  <c r="C845" i="20"/>
  <c r="B845" i="20"/>
  <c r="C844" i="20"/>
  <c r="B844" i="20"/>
  <c r="C843" i="20"/>
  <c r="B843" i="20"/>
  <c r="C842" i="20"/>
  <c r="B842" i="20"/>
  <c r="C841" i="20"/>
  <c r="C840" i="20"/>
  <c r="D836" i="20"/>
  <c r="B836" i="20"/>
  <c r="D835" i="20"/>
  <c r="B835" i="20"/>
  <c r="D834" i="20"/>
  <c r="B834" i="20"/>
  <c r="G831" i="20"/>
  <c r="I852" i="20" s="1"/>
  <c r="G830" i="20"/>
  <c r="B830" i="20"/>
  <c r="B829" i="20"/>
  <c r="H828" i="20"/>
  <c r="B825" i="20"/>
  <c r="H824" i="20"/>
  <c r="E862" i="20" s="1"/>
  <c r="O3" i="25"/>
  <c r="N3" i="25"/>
  <c r="M3" i="25"/>
  <c r="L3" i="25"/>
  <c r="K3" i="25"/>
  <c r="P10" i="25" s="1"/>
  <c r="J3" i="25"/>
  <c r="I3" i="25"/>
  <c r="H3" i="25"/>
  <c r="G3" i="25"/>
  <c r="J171" i="4"/>
  <c r="L171" i="4" s="1"/>
  <c r="G171" i="4" s="1"/>
  <c r="D1712" i="20" s="1"/>
  <c r="F1712" i="20" s="1"/>
  <c r="J170" i="4"/>
  <c r="L170" i="4" s="1"/>
  <c r="G170" i="4" s="1"/>
  <c r="D1660" i="20" s="1"/>
  <c r="F1660" i="20" s="1"/>
  <c r="J153" i="4"/>
  <c r="L153" i="4" s="1"/>
  <c r="G153" i="4" s="1"/>
  <c r="D891" i="20" s="1"/>
  <c r="F891" i="20" s="1"/>
  <c r="J152" i="4"/>
  <c r="L152" i="4" s="1"/>
  <c r="G152" i="4" s="1"/>
  <c r="D840" i="20" s="1"/>
  <c r="F840" i="20" s="1"/>
  <c r="J155" i="4"/>
  <c r="L155" i="4" s="1"/>
  <c r="G155" i="4" s="1"/>
  <c r="D993" i="20" s="1"/>
  <c r="F993" i="20" s="1"/>
  <c r="J154" i="4"/>
  <c r="L154" i="4" s="1"/>
  <c r="G154" i="4" s="1"/>
  <c r="J158" i="4"/>
  <c r="L158" i="4" s="1"/>
  <c r="G158" i="4" s="1"/>
  <c r="D1099" i="20" s="1"/>
  <c r="F1099" i="20" s="1"/>
  <c r="J156" i="4"/>
  <c r="L156" i="4" s="1"/>
  <c r="G156" i="4" s="1"/>
  <c r="D1044" i="20" s="1"/>
  <c r="F1044" i="20" s="1"/>
  <c r="J160" i="4"/>
  <c r="L160" i="4" s="1"/>
  <c r="G160" i="4" s="1"/>
  <c r="D1201" i="20" s="1"/>
  <c r="F1201" i="20" s="1"/>
  <c r="J159" i="4"/>
  <c r="L159" i="4" s="1"/>
  <c r="G159" i="4" s="1"/>
  <c r="D1150" i="20" s="1"/>
  <c r="F1150" i="20" s="1"/>
  <c r="J162" i="4"/>
  <c r="L162" i="4" s="1"/>
  <c r="G162" i="4" s="1"/>
  <c r="J161" i="4"/>
  <c r="L161" i="4" s="1"/>
  <c r="G161" i="4" s="1"/>
  <c r="D1252" i="20" s="1"/>
  <c r="F1252" i="20" s="1"/>
  <c r="J164" i="4"/>
  <c r="L164" i="4" s="1"/>
  <c r="G164" i="4" s="1"/>
  <c r="D1405" i="20" s="1"/>
  <c r="F1405" i="20" s="1"/>
  <c r="J163" i="4"/>
  <c r="L163" i="4" s="1"/>
  <c r="G163" i="4" s="1"/>
  <c r="D1354" i="20" s="1"/>
  <c r="F1354" i="20" s="1"/>
  <c r="J166" i="4"/>
  <c r="L166" i="4" s="1"/>
  <c r="G166" i="4" s="1"/>
  <c r="D1507" i="20" s="1"/>
  <c r="F1507" i="20" s="1"/>
  <c r="J165" i="4"/>
  <c r="L165" i="4" s="1"/>
  <c r="G165" i="4" s="1"/>
  <c r="D1456" i="20" s="1"/>
  <c r="F1456" i="20" s="1"/>
  <c r="J168" i="4"/>
  <c r="L168" i="4" s="1"/>
  <c r="G168" i="4" s="1"/>
  <c r="D1609" i="20" s="1"/>
  <c r="F1609" i="20" s="1"/>
  <c r="J167" i="4"/>
  <c r="L167" i="4" s="1"/>
  <c r="G167" i="4" s="1"/>
  <c r="D1558" i="20" s="1"/>
  <c r="F1558" i="20" s="1"/>
  <c r="J172" i="4"/>
  <c r="L172" i="4" s="1"/>
  <c r="G172" i="4" s="1"/>
  <c r="D2018" i="20" s="1"/>
  <c r="F2018" i="20" s="1"/>
  <c r="J195" i="4"/>
  <c r="L195" i="4" s="1"/>
  <c r="G195" i="4" s="1"/>
  <c r="D3243" i="20" s="1"/>
  <c r="F3243" i="20" s="1"/>
  <c r="P28" i="25" l="1"/>
  <c r="H177" i="4" s="1"/>
  <c r="J177" i="4" s="1"/>
  <c r="L177" i="4" s="1"/>
  <c r="G177" i="4" s="1"/>
  <c r="D3804" i="20" s="1"/>
  <c r="F3804" i="20" s="1"/>
  <c r="P27" i="25"/>
  <c r="P25" i="25"/>
  <c r="H179" i="4" s="1"/>
  <c r="J179" i="4" s="1"/>
  <c r="L179" i="4" s="1"/>
  <c r="G179" i="4" s="1"/>
  <c r="D3396" i="20" s="1"/>
  <c r="F3396" i="20" s="1"/>
  <c r="P26" i="25"/>
  <c r="D1303" i="20"/>
  <c r="F1303" i="20" s="1"/>
  <c r="D3702" i="20"/>
  <c r="F3702" i="20" s="1"/>
  <c r="D942" i="20"/>
  <c r="F942" i="20" s="1"/>
  <c r="P21" i="25"/>
  <c r="H174" i="4" s="1"/>
  <c r="J174" i="4" s="1"/>
  <c r="L174" i="4" s="1"/>
  <c r="G174" i="4" s="1"/>
  <c r="P24" i="25"/>
  <c r="H180" i="4" s="1"/>
  <c r="J180" i="4" s="1"/>
  <c r="L180" i="4" s="1"/>
  <c r="G180" i="4" s="1"/>
  <c r="D2376" i="20" s="1"/>
  <c r="F2376" i="20" s="1"/>
  <c r="P23" i="25"/>
  <c r="H178" i="4" s="1"/>
  <c r="J178" i="4" s="1"/>
  <c r="L178" i="4" s="1"/>
  <c r="G178" i="4" s="1"/>
  <c r="D2325" i="20" s="1"/>
  <c r="F2325" i="20" s="1"/>
  <c r="P22" i="25"/>
  <c r="J176" i="4" s="1"/>
  <c r="L176" i="4" s="1"/>
  <c r="G176" i="4" s="1"/>
  <c r="D3753" i="20" s="1"/>
  <c r="F3753" i="20" s="1"/>
  <c r="F885" i="20"/>
  <c r="F936" i="20"/>
  <c r="F987" i="20"/>
  <c r="D1763" i="20"/>
  <c r="F1763" i="20" s="1"/>
  <c r="D1814" i="20"/>
  <c r="F1814" i="20" s="1"/>
  <c r="E914" i="20"/>
  <c r="E965" i="20"/>
  <c r="F1144" i="20"/>
  <c r="F1038" i="20"/>
  <c r="E1016" i="20"/>
  <c r="E1067" i="20"/>
  <c r="E1173" i="20"/>
  <c r="I1150" i="20"/>
  <c r="I1155" i="20"/>
  <c r="I1151" i="20"/>
  <c r="I1163" i="20"/>
  <c r="I1159" i="20"/>
  <c r="I1057" i="20"/>
  <c r="F1145" i="20"/>
  <c r="I1152" i="20"/>
  <c r="I1156" i="20"/>
  <c r="I1160" i="20"/>
  <c r="F1146" i="20"/>
  <c r="I1153" i="20"/>
  <c r="I1157" i="20"/>
  <c r="I1161" i="20"/>
  <c r="E1171" i="20"/>
  <c r="I1044" i="20"/>
  <c r="I1045" i="20"/>
  <c r="I1154" i="20"/>
  <c r="I1158" i="20"/>
  <c r="I1053" i="20"/>
  <c r="I1049" i="20"/>
  <c r="F1039" i="20"/>
  <c r="I1046" i="20"/>
  <c r="I1050" i="20"/>
  <c r="I1054" i="20"/>
  <c r="F1040" i="20"/>
  <c r="I1047" i="20"/>
  <c r="I1051" i="20"/>
  <c r="I1055" i="20"/>
  <c r="E1065" i="20"/>
  <c r="I1048" i="20"/>
  <c r="I1052" i="20"/>
  <c r="I994" i="20"/>
  <c r="I1006" i="20"/>
  <c r="I993" i="20"/>
  <c r="I1002" i="20"/>
  <c r="I998" i="20"/>
  <c r="I955" i="20"/>
  <c r="F988" i="20"/>
  <c r="I995" i="20"/>
  <c r="I999" i="20"/>
  <c r="I1003" i="20"/>
  <c r="F989" i="20"/>
  <c r="I996" i="20"/>
  <c r="I1000" i="20"/>
  <c r="I1004" i="20"/>
  <c r="E1014" i="20"/>
  <c r="I942" i="20"/>
  <c r="I943" i="20"/>
  <c r="I997" i="20"/>
  <c r="I1001" i="20"/>
  <c r="I951" i="20"/>
  <c r="I947" i="20"/>
  <c r="F937" i="20"/>
  <c r="I944" i="20"/>
  <c r="I948" i="20"/>
  <c r="I952" i="20"/>
  <c r="F938" i="20"/>
  <c r="I945" i="20"/>
  <c r="I949" i="20"/>
  <c r="I953" i="20"/>
  <c r="E963" i="20"/>
  <c r="I946" i="20"/>
  <c r="I950" i="20"/>
  <c r="I904" i="20"/>
  <c r="I891" i="20"/>
  <c r="I892" i="20"/>
  <c r="I900" i="20"/>
  <c r="I896" i="20"/>
  <c r="F886" i="20"/>
  <c r="I893" i="20"/>
  <c r="I897" i="20"/>
  <c r="I901" i="20"/>
  <c r="F887" i="20"/>
  <c r="I894" i="20"/>
  <c r="I898" i="20"/>
  <c r="I902" i="20"/>
  <c r="E912" i="20"/>
  <c r="I895" i="20"/>
  <c r="I899" i="20"/>
  <c r="I1112" i="20"/>
  <c r="I1104" i="20"/>
  <c r="F1093" i="20"/>
  <c r="I1100" i="20"/>
  <c r="I1099" i="20"/>
  <c r="I1101" i="20"/>
  <c r="I1108" i="20"/>
  <c r="E1122" i="20"/>
  <c r="F1094" i="20"/>
  <c r="I1105" i="20"/>
  <c r="I1109" i="20"/>
  <c r="F1095" i="20"/>
  <c r="I1102" i="20"/>
  <c r="I1106" i="20"/>
  <c r="I1110" i="20"/>
  <c r="E1120" i="20"/>
  <c r="I1103" i="20"/>
  <c r="I1107" i="20"/>
  <c r="I840" i="20"/>
  <c r="I841" i="20"/>
  <c r="I853" i="20"/>
  <c r="I849" i="20"/>
  <c r="I845" i="20"/>
  <c r="F834" i="20"/>
  <c r="E863" i="20"/>
  <c r="F835" i="20"/>
  <c r="I842" i="20"/>
  <c r="I846" i="20"/>
  <c r="I850" i="20"/>
  <c r="F836" i="20"/>
  <c r="I843" i="20"/>
  <c r="I847" i="20"/>
  <c r="I851" i="20"/>
  <c r="E861" i="20"/>
  <c r="I844" i="20"/>
  <c r="I848" i="20"/>
  <c r="P6" i="25"/>
  <c r="P18" i="25"/>
  <c r="P3" i="25"/>
  <c r="H173" i="4" s="1"/>
  <c r="J173" i="4" s="1"/>
  <c r="L173" i="4" s="1"/>
  <c r="G173" i="4" s="1"/>
  <c r="D3855" i="20" s="1"/>
  <c r="F3855" i="20" s="1"/>
  <c r="P7" i="25"/>
  <c r="P11" i="25"/>
  <c r="P15" i="25"/>
  <c r="P19" i="25"/>
  <c r="P4" i="25"/>
  <c r="P8" i="25"/>
  <c r="P12" i="25"/>
  <c r="P16" i="25"/>
  <c r="P20" i="25"/>
  <c r="P14" i="25"/>
  <c r="P5" i="25"/>
  <c r="P9" i="25"/>
  <c r="P13" i="25"/>
  <c r="P17" i="25"/>
  <c r="H175" i="4" l="1"/>
  <c r="J175" i="4" s="1"/>
  <c r="L175" i="4" s="1"/>
  <c r="G175" i="4" s="1"/>
  <c r="H157" i="4"/>
  <c r="J157" i="4" s="1"/>
  <c r="L157" i="4" s="1"/>
  <c r="G157" i="4" s="1"/>
  <c r="D3549" i="20" s="1"/>
  <c r="F3549" i="20" s="1"/>
  <c r="D2274" i="20"/>
  <c r="F2274" i="20" s="1"/>
  <c r="D3498" i="20"/>
  <c r="F3498" i="20" s="1"/>
  <c r="H8666" i="20"/>
  <c r="E8709" i="20" s="1"/>
  <c r="B8709" i="20"/>
  <c r="B8708" i="20"/>
  <c r="E8703" i="20"/>
  <c r="F8703" i="20" s="1"/>
  <c r="H8704" i="20" s="1"/>
  <c r="N8671" i="20" s="1"/>
  <c r="D8699" i="20"/>
  <c r="F8699" i="20" s="1"/>
  <c r="C8699" i="20"/>
  <c r="B8699" i="20"/>
  <c r="D8698" i="20"/>
  <c r="F8698" i="20" s="1"/>
  <c r="C8698" i="20"/>
  <c r="B8698" i="20"/>
  <c r="D8697" i="20"/>
  <c r="F8697" i="20" s="1"/>
  <c r="C8697" i="20"/>
  <c r="B8697" i="20"/>
  <c r="D8696" i="20"/>
  <c r="F8696" i="20" s="1"/>
  <c r="C8696" i="20"/>
  <c r="B8696" i="20"/>
  <c r="D8695" i="20"/>
  <c r="F8695" i="20" s="1"/>
  <c r="C8695" i="20"/>
  <c r="B8695" i="20"/>
  <c r="D8694" i="20"/>
  <c r="F8694" i="20" s="1"/>
  <c r="C8694" i="20"/>
  <c r="B8694" i="20"/>
  <c r="D8693" i="20"/>
  <c r="F8693" i="20" s="1"/>
  <c r="C8693" i="20"/>
  <c r="B8693" i="20"/>
  <c r="D8692" i="20"/>
  <c r="F8692" i="20" s="1"/>
  <c r="C8692" i="20"/>
  <c r="B8692" i="20"/>
  <c r="D8691" i="20"/>
  <c r="F8691" i="20" s="1"/>
  <c r="C8691" i="20"/>
  <c r="B8691" i="20"/>
  <c r="D8690" i="20"/>
  <c r="F8690" i="20" s="1"/>
  <c r="C8690" i="20"/>
  <c r="B8690" i="20"/>
  <c r="D8689" i="20"/>
  <c r="F8689" i="20" s="1"/>
  <c r="C8689" i="20"/>
  <c r="B8689" i="20"/>
  <c r="D8688" i="20"/>
  <c r="F8688" i="20" s="1"/>
  <c r="C8688" i="20"/>
  <c r="B8688" i="20"/>
  <c r="D8687" i="20"/>
  <c r="F8687" i="20" s="1"/>
  <c r="C8687" i="20"/>
  <c r="B8687" i="20"/>
  <c r="D8686" i="20"/>
  <c r="F8686" i="20" s="1"/>
  <c r="C8686" i="20"/>
  <c r="B8686" i="20"/>
  <c r="D8685" i="20"/>
  <c r="F8685" i="20" s="1"/>
  <c r="C8685" i="20"/>
  <c r="B8685" i="20"/>
  <c r="C8684" i="20"/>
  <c r="C8683" i="20"/>
  <c r="E8679" i="20"/>
  <c r="D8679" i="20"/>
  <c r="B8679" i="20"/>
  <c r="D8678" i="20"/>
  <c r="B8678" i="20"/>
  <c r="D8677" i="20"/>
  <c r="B8677" i="20"/>
  <c r="D8676" i="20"/>
  <c r="B8676" i="20"/>
  <c r="G8673" i="20"/>
  <c r="I8698" i="20" s="1"/>
  <c r="G8672" i="20"/>
  <c r="B8672" i="20"/>
  <c r="B8671" i="20"/>
  <c r="H8670" i="20"/>
  <c r="B8667" i="20"/>
  <c r="H8831" i="20"/>
  <c r="E8870" i="20" s="1"/>
  <c r="J332" i="4"/>
  <c r="L332" i="4" s="1"/>
  <c r="H335" i="4"/>
  <c r="J335" i="4" s="1"/>
  <c r="L335" i="4" s="1"/>
  <c r="J334" i="4"/>
  <c r="L334" i="4" s="1"/>
  <c r="J333" i="4"/>
  <c r="L333" i="4" s="1"/>
  <c r="J331" i="4"/>
  <c r="L331" i="4" s="1"/>
  <c r="B8871" i="20"/>
  <c r="B8870" i="20"/>
  <c r="E8865" i="20"/>
  <c r="F8865" i="20" s="1"/>
  <c r="H8866" i="20" s="1"/>
  <c r="N8836" i="20" s="1"/>
  <c r="D8861" i="20"/>
  <c r="F8861" i="20" s="1"/>
  <c r="C8861" i="20"/>
  <c r="B8861" i="20"/>
  <c r="D8860" i="20"/>
  <c r="F8860" i="20" s="1"/>
  <c r="C8860" i="20"/>
  <c r="B8860" i="20"/>
  <c r="D8859" i="20"/>
  <c r="F8859" i="20" s="1"/>
  <c r="C8859" i="20"/>
  <c r="B8859" i="20"/>
  <c r="D8858" i="20"/>
  <c r="F8858" i="20" s="1"/>
  <c r="C8858" i="20"/>
  <c r="B8858" i="20"/>
  <c r="D8857" i="20"/>
  <c r="F8857" i="20" s="1"/>
  <c r="C8857" i="20"/>
  <c r="B8857" i="20"/>
  <c r="D8856" i="20"/>
  <c r="F8856" i="20" s="1"/>
  <c r="C8856" i="20"/>
  <c r="B8856" i="20"/>
  <c r="D8855" i="20"/>
  <c r="F8855" i="20" s="1"/>
  <c r="C8855" i="20"/>
  <c r="B8855" i="20"/>
  <c r="C8854" i="20"/>
  <c r="B8854" i="20"/>
  <c r="C8853" i="20"/>
  <c r="B8853" i="20"/>
  <c r="C8852" i="20"/>
  <c r="B8852" i="20"/>
  <c r="C8851" i="20"/>
  <c r="B8851" i="20"/>
  <c r="C8850" i="20"/>
  <c r="B8850" i="20"/>
  <c r="C8849" i="20"/>
  <c r="C8848" i="20"/>
  <c r="E8844" i="20"/>
  <c r="D8844" i="20"/>
  <c r="B8844" i="20"/>
  <c r="E8843" i="20"/>
  <c r="D8843" i="20"/>
  <c r="B8843" i="20"/>
  <c r="D8842" i="20"/>
  <c r="B8842" i="20"/>
  <c r="D8841" i="20"/>
  <c r="B8841" i="20"/>
  <c r="G8838" i="20"/>
  <c r="I8860" i="20" s="1"/>
  <c r="G8837" i="20"/>
  <c r="B8837" i="20"/>
  <c r="B8836" i="20"/>
  <c r="H8835" i="20"/>
  <c r="B8832" i="20"/>
  <c r="E8818" i="20"/>
  <c r="F8621" i="20"/>
  <c r="J330" i="4"/>
  <c r="L330" i="4" s="1"/>
  <c r="B8819" i="20"/>
  <c r="B8818" i="20"/>
  <c r="E8813" i="20"/>
  <c r="F8813" i="20" s="1"/>
  <c r="H8814" i="20" s="1"/>
  <c r="N8784" i="20" s="1"/>
  <c r="D8809" i="20"/>
  <c r="F8809" i="20" s="1"/>
  <c r="C8809" i="20"/>
  <c r="B8809" i="20"/>
  <c r="D8808" i="20"/>
  <c r="F8808" i="20" s="1"/>
  <c r="C8808" i="20"/>
  <c r="B8808" i="20"/>
  <c r="D8807" i="20"/>
  <c r="F8807" i="20" s="1"/>
  <c r="C8807" i="20"/>
  <c r="B8807" i="20"/>
  <c r="D8806" i="20"/>
  <c r="F8806" i="20" s="1"/>
  <c r="C8806" i="20"/>
  <c r="B8806" i="20"/>
  <c r="D8805" i="20"/>
  <c r="F8805" i="20" s="1"/>
  <c r="C8805" i="20"/>
  <c r="B8805" i="20"/>
  <c r="D8804" i="20"/>
  <c r="F8804" i="20" s="1"/>
  <c r="C8804" i="20"/>
  <c r="B8804" i="20"/>
  <c r="D8803" i="20"/>
  <c r="F8803" i="20" s="1"/>
  <c r="C8803" i="20"/>
  <c r="B8803" i="20"/>
  <c r="D8802" i="20"/>
  <c r="F8802" i="20" s="1"/>
  <c r="C8802" i="20"/>
  <c r="B8802" i="20"/>
  <c r="D8801" i="20"/>
  <c r="F8801" i="20" s="1"/>
  <c r="C8801" i="20"/>
  <c r="B8801" i="20"/>
  <c r="D8800" i="20"/>
  <c r="F8800" i="20" s="1"/>
  <c r="C8800" i="20"/>
  <c r="B8800" i="20"/>
  <c r="C8799" i="20"/>
  <c r="B8799" i="20"/>
  <c r="C8798" i="20"/>
  <c r="B8798" i="20"/>
  <c r="C8797" i="20"/>
  <c r="C8796" i="20"/>
  <c r="E8792" i="20"/>
  <c r="D8792" i="20"/>
  <c r="B8792" i="20"/>
  <c r="E8791" i="20"/>
  <c r="D8791" i="20"/>
  <c r="B8791" i="20"/>
  <c r="D8790" i="20"/>
  <c r="B8790" i="20"/>
  <c r="D8789" i="20"/>
  <c r="B8789" i="20"/>
  <c r="G8786" i="20"/>
  <c r="I8803" i="20" s="1"/>
  <c r="G8785" i="20"/>
  <c r="B8785" i="20"/>
  <c r="B8784" i="20"/>
  <c r="H8783" i="20"/>
  <c r="B8780" i="20"/>
  <c r="B8654" i="20"/>
  <c r="B8653" i="20"/>
  <c r="E8648" i="20"/>
  <c r="F8648" i="20" s="1"/>
  <c r="H8649" i="20" s="1"/>
  <c r="N8616" i="20" s="1"/>
  <c r="D8644" i="20"/>
  <c r="F8644" i="20" s="1"/>
  <c r="C8644" i="20"/>
  <c r="B8644" i="20"/>
  <c r="D8643" i="20"/>
  <c r="F8643" i="20" s="1"/>
  <c r="C8643" i="20"/>
  <c r="B8643" i="20"/>
  <c r="D8642" i="20"/>
  <c r="F8642" i="20" s="1"/>
  <c r="C8642" i="20"/>
  <c r="B8642" i="20"/>
  <c r="D8641" i="20"/>
  <c r="F8641" i="20" s="1"/>
  <c r="C8641" i="20"/>
  <c r="B8641" i="20"/>
  <c r="D8640" i="20"/>
  <c r="F8640" i="20" s="1"/>
  <c r="C8640" i="20"/>
  <c r="B8640" i="20"/>
  <c r="D8639" i="20"/>
  <c r="F8639" i="20" s="1"/>
  <c r="C8639" i="20"/>
  <c r="B8639" i="20"/>
  <c r="D8638" i="20"/>
  <c r="F8638" i="20" s="1"/>
  <c r="C8638" i="20"/>
  <c r="B8638" i="20"/>
  <c r="D8637" i="20"/>
  <c r="F8637" i="20" s="1"/>
  <c r="C8637" i="20"/>
  <c r="B8637" i="20"/>
  <c r="D8636" i="20"/>
  <c r="F8636" i="20" s="1"/>
  <c r="C8636" i="20"/>
  <c r="B8636" i="20"/>
  <c r="D8635" i="20"/>
  <c r="F8635" i="20" s="1"/>
  <c r="C8635" i="20"/>
  <c r="B8635" i="20"/>
  <c r="D8634" i="20"/>
  <c r="F8634" i="20" s="1"/>
  <c r="C8634" i="20"/>
  <c r="B8634" i="20"/>
  <c r="D8633" i="20"/>
  <c r="F8633" i="20" s="1"/>
  <c r="C8633" i="20"/>
  <c r="B8633" i="20"/>
  <c r="D8632" i="20"/>
  <c r="F8632" i="20" s="1"/>
  <c r="C8632" i="20"/>
  <c r="B8632" i="20"/>
  <c r="D8631" i="20"/>
  <c r="F8631" i="20" s="1"/>
  <c r="C8631" i="20"/>
  <c r="B8631" i="20"/>
  <c r="C8630" i="20"/>
  <c r="B8630" i="20"/>
  <c r="C8629" i="20"/>
  <c r="C8628" i="20"/>
  <c r="E8624" i="20"/>
  <c r="D8624" i="20"/>
  <c r="B8624" i="20"/>
  <c r="E8623" i="20"/>
  <c r="D8623" i="20"/>
  <c r="B8623" i="20"/>
  <c r="D8622" i="20"/>
  <c r="B8622" i="20"/>
  <c r="D8621" i="20"/>
  <c r="B8621" i="20"/>
  <c r="G8618" i="20"/>
  <c r="I8635" i="20" s="1"/>
  <c r="G8617" i="20"/>
  <c r="B8617" i="20"/>
  <c r="B8616" i="20"/>
  <c r="H8615" i="20"/>
  <c r="B8612" i="20"/>
  <c r="C8061" i="20"/>
  <c r="B8061" i="20"/>
  <c r="C8057" i="20"/>
  <c r="B8057" i="20"/>
  <c r="C8058" i="20"/>
  <c r="B8058" i="20"/>
  <c r="E8653" i="20" l="1"/>
  <c r="I8699" i="20"/>
  <c r="E8708" i="20"/>
  <c r="F8678" i="20"/>
  <c r="F8679" i="20"/>
  <c r="G8679" i="20" s="1"/>
  <c r="F8676" i="20"/>
  <c r="I8695" i="20"/>
  <c r="I8691" i="20"/>
  <c r="I8687" i="20"/>
  <c r="F8677" i="20"/>
  <c r="I8683" i="20"/>
  <c r="I8684" i="20"/>
  <c r="I8688" i="20"/>
  <c r="I8692" i="20"/>
  <c r="I8696" i="20"/>
  <c r="I8685" i="20"/>
  <c r="I8689" i="20"/>
  <c r="I8693" i="20"/>
  <c r="I8697" i="20"/>
  <c r="E8707" i="20"/>
  <c r="I8686" i="20"/>
  <c r="I8690" i="20"/>
  <c r="I8694" i="20"/>
  <c r="I8849" i="20"/>
  <c r="I8639" i="20"/>
  <c r="I8857" i="20"/>
  <c r="I8848" i="20"/>
  <c r="I8861" i="20"/>
  <c r="I8853" i="20"/>
  <c r="F8842" i="20"/>
  <c r="E8871" i="20"/>
  <c r="I8640" i="20"/>
  <c r="F8843" i="20"/>
  <c r="G8843" i="20" s="1"/>
  <c r="I8850" i="20"/>
  <c r="I8854" i="20"/>
  <c r="I8858" i="20"/>
  <c r="I8643" i="20"/>
  <c r="F8844" i="20"/>
  <c r="G8844" i="20" s="1"/>
  <c r="I8851" i="20"/>
  <c r="I8855" i="20"/>
  <c r="I8859" i="20"/>
  <c r="E8869" i="20"/>
  <c r="F8841" i="20"/>
  <c r="I8852" i="20"/>
  <c r="I8856" i="20"/>
  <c r="E8819" i="20"/>
  <c r="F8791" i="20"/>
  <c r="G8791" i="20" s="1"/>
  <c r="F8792" i="20"/>
  <c r="G8792" i="20" s="1"/>
  <c r="F8789" i="20"/>
  <c r="E8654" i="20"/>
  <c r="I8800" i="20"/>
  <c r="I8804" i="20"/>
  <c r="I8809" i="20"/>
  <c r="F8790" i="20"/>
  <c r="I8796" i="20"/>
  <c r="I8797" i="20"/>
  <c r="I8801" i="20"/>
  <c r="I8805" i="20"/>
  <c r="I8807" i="20"/>
  <c r="I8798" i="20"/>
  <c r="I8802" i="20"/>
  <c r="I8806" i="20"/>
  <c r="I8808" i="20"/>
  <c r="E8817" i="20"/>
  <c r="I8799" i="20"/>
  <c r="I8632" i="20"/>
  <c r="I8644" i="20"/>
  <c r="I8628" i="20"/>
  <c r="I8629" i="20"/>
  <c r="I8633" i="20"/>
  <c r="I8636" i="20"/>
  <c r="I8637" i="20"/>
  <c r="I8641" i="20"/>
  <c r="F8623" i="20"/>
  <c r="G8623" i="20" s="1"/>
  <c r="I8630" i="20"/>
  <c r="I8634" i="20"/>
  <c r="I8638" i="20"/>
  <c r="I8642" i="20"/>
  <c r="E8652" i="20"/>
  <c r="F8622" i="20"/>
  <c r="F8624" i="20"/>
  <c r="G8624" i="20" s="1"/>
  <c r="I8631" i="20"/>
  <c r="B8072" i="20"/>
  <c r="B8071" i="20"/>
  <c r="E8066" i="20"/>
  <c r="F8066" i="20" s="1"/>
  <c r="H8067" i="20" s="1"/>
  <c r="N8034" i="20" s="1"/>
  <c r="C8062" i="20"/>
  <c r="B8062" i="20"/>
  <c r="C8060" i="20"/>
  <c r="B8060" i="20"/>
  <c r="C8059" i="20"/>
  <c r="B8059" i="20"/>
  <c r="C8056" i="20"/>
  <c r="B8056" i="20"/>
  <c r="C8055" i="20"/>
  <c r="B8055" i="20"/>
  <c r="C8054" i="20"/>
  <c r="B8054" i="20"/>
  <c r="C8053" i="20"/>
  <c r="B8053" i="20"/>
  <c r="C8052" i="20"/>
  <c r="B8052" i="20"/>
  <c r="C8051" i="20"/>
  <c r="B8051" i="20"/>
  <c r="C8050" i="20"/>
  <c r="B8050" i="20"/>
  <c r="C8049" i="20"/>
  <c r="B8049" i="20"/>
  <c r="C8048" i="20"/>
  <c r="B8048" i="20"/>
  <c r="C8047" i="20"/>
  <c r="C8046" i="20"/>
  <c r="E8042" i="20"/>
  <c r="D8042" i="20"/>
  <c r="B8042" i="20"/>
  <c r="E8041" i="20"/>
  <c r="D8041" i="20"/>
  <c r="B8041" i="20"/>
  <c r="E8040" i="20"/>
  <c r="D8040" i="20"/>
  <c r="B8040" i="20"/>
  <c r="D8039" i="20"/>
  <c r="B8039" i="20"/>
  <c r="G8036" i="20"/>
  <c r="G8035" i="20"/>
  <c r="B8035" i="20"/>
  <c r="B8034" i="20"/>
  <c r="H8033" i="20"/>
  <c r="B8030" i="20"/>
  <c r="E8071" i="20"/>
  <c r="B6087" i="20"/>
  <c r="B6086" i="20"/>
  <c r="E6081" i="20"/>
  <c r="F6081" i="20" s="1"/>
  <c r="H6082" i="20" s="1"/>
  <c r="N6052" i="20" s="1"/>
  <c r="D6077" i="20"/>
  <c r="F6077" i="20" s="1"/>
  <c r="C6077" i="20"/>
  <c r="B6077" i="20"/>
  <c r="D6076" i="20"/>
  <c r="F6076" i="20" s="1"/>
  <c r="C6076" i="20"/>
  <c r="B6076" i="20"/>
  <c r="D6075" i="20"/>
  <c r="F6075" i="20" s="1"/>
  <c r="C6075" i="20"/>
  <c r="B6075" i="20"/>
  <c r="D6074" i="20"/>
  <c r="F6074" i="20" s="1"/>
  <c r="C6074" i="20"/>
  <c r="B6074" i="20"/>
  <c r="D6073" i="20"/>
  <c r="F6073" i="20" s="1"/>
  <c r="C6073" i="20"/>
  <c r="B6073" i="20"/>
  <c r="D6072" i="20"/>
  <c r="F6072" i="20" s="1"/>
  <c r="C6072" i="20"/>
  <c r="B6072" i="20"/>
  <c r="D6071" i="20"/>
  <c r="F6071" i="20" s="1"/>
  <c r="C6071" i="20"/>
  <c r="B6071" i="20"/>
  <c r="D6070" i="20"/>
  <c r="F6070" i="20" s="1"/>
  <c r="C6070" i="20"/>
  <c r="B6070" i="20"/>
  <c r="D6069" i="20"/>
  <c r="F6069" i="20" s="1"/>
  <c r="C6069" i="20"/>
  <c r="B6069" i="20"/>
  <c r="D6068" i="20"/>
  <c r="F6068" i="20" s="1"/>
  <c r="C6068" i="20"/>
  <c r="B6068" i="20"/>
  <c r="D6067" i="20"/>
  <c r="F6067" i="20" s="1"/>
  <c r="C6067" i="20"/>
  <c r="B6067" i="20"/>
  <c r="D6066" i="20"/>
  <c r="F6066" i="20" s="1"/>
  <c r="C6066" i="20"/>
  <c r="B6066" i="20"/>
  <c r="D6065" i="20"/>
  <c r="F6065" i="20" s="1"/>
  <c r="C6065" i="20"/>
  <c r="D6064" i="20"/>
  <c r="F6064" i="20" s="1"/>
  <c r="C6064" i="20"/>
  <c r="E6060" i="20"/>
  <c r="D6060" i="20"/>
  <c r="B6060" i="20"/>
  <c r="E6059" i="20"/>
  <c r="D6059" i="20"/>
  <c r="B6059" i="20"/>
  <c r="E6058" i="20"/>
  <c r="D6058" i="20"/>
  <c r="B6058" i="20"/>
  <c r="D6057" i="20"/>
  <c r="B6057" i="20"/>
  <c r="G6054" i="20"/>
  <c r="I6076" i="20" s="1"/>
  <c r="G6053" i="20"/>
  <c r="B6053" i="20"/>
  <c r="B6052" i="20"/>
  <c r="H6051" i="20"/>
  <c r="B6048" i="20"/>
  <c r="E6086" i="20"/>
  <c r="B6035" i="20"/>
  <c r="B6034" i="20"/>
  <c r="E6029" i="20"/>
  <c r="F6029" i="20" s="1"/>
  <c r="H6030" i="20" s="1"/>
  <c r="N6000" i="20" s="1"/>
  <c r="D6025" i="20"/>
  <c r="F6025" i="20" s="1"/>
  <c r="C6025" i="20"/>
  <c r="B6025" i="20"/>
  <c r="D6024" i="20"/>
  <c r="F6024" i="20" s="1"/>
  <c r="C6024" i="20"/>
  <c r="B6024" i="20"/>
  <c r="D6023" i="20"/>
  <c r="F6023" i="20" s="1"/>
  <c r="C6023" i="20"/>
  <c r="B6023" i="20"/>
  <c r="D6022" i="20"/>
  <c r="F6022" i="20" s="1"/>
  <c r="C6022" i="20"/>
  <c r="B6022" i="20"/>
  <c r="D6021" i="20"/>
  <c r="F6021" i="20" s="1"/>
  <c r="C6021" i="20"/>
  <c r="B6021" i="20"/>
  <c r="D6020" i="20"/>
  <c r="F6020" i="20" s="1"/>
  <c r="C6020" i="20"/>
  <c r="B6020" i="20"/>
  <c r="D6019" i="20"/>
  <c r="F6019" i="20" s="1"/>
  <c r="C6019" i="20"/>
  <c r="B6019" i="20"/>
  <c r="D6018" i="20"/>
  <c r="F6018" i="20" s="1"/>
  <c r="C6018" i="20"/>
  <c r="B6018" i="20"/>
  <c r="D6017" i="20"/>
  <c r="F6017" i="20" s="1"/>
  <c r="C6017" i="20"/>
  <c r="B6017" i="20"/>
  <c r="D6016" i="20"/>
  <c r="F6016" i="20" s="1"/>
  <c r="C6016" i="20"/>
  <c r="B6016" i="20"/>
  <c r="D6015" i="20"/>
  <c r="F6015" i="20" s="1"/>
  <c r="C6015" i="20"/>
  <c r="B6015" i="20"/>
  <c r="D6014" i="20"/>
  <c r="F6014" i="20" s="1"/>
  <c r="C6014" i="20"/>
  <c r="B6014" i="20"/>
  <c r="D6013" i="20"/>
  <c r="F6013" i="20" s="1"/>
  <c r="C6013" i="20"/>
  <c r="C6012" i="20"/>
  <c r="E6008" i="20"/>
  <c r="D6008" i="20"/>
  <c r="B6008" i="20"/>
  <c r="E6007" i="20"/>
  <c r="D6007" i="20"/>
  <c r="B6007" i="20"/>
  <c r="E6006" i="20"/>
  <c r="D6006" i="20"/>
  <c r="B6006" i="20"/>
  <c r="D6005" i="20"/>
  <c r="B6005" i="20"/>
  <c r="G6002" i="20"/>
  <c r="I6024" i="20" s="1"/>
  <c r="G6001" i="20"/>
  <c r="B6001" i="20"/>
  <c r="B6000" i="20"/>
  <c r="H5999" i="20"/>
  <c r="B5996" i="20"/>
  <c r="E6034" i="20"/>
  <c r="B5983" i="20"/>
  <c r="B5982" i="20"/>
  <c r="E5977" i="20"/>
  <c r="F5977" i="20" s="1"/>
  <c r="H5978" i="20" s="1"/>
  <c r="N5948" i="20" s="1"/>
  <c r="D5973" i="20"/>
  <c r="F5973" i="20" s="1"/>
  <c r="C5973" i="20"/>
  <c r="B5973" i="20"/>
  <c r="D5972" i="20"/>
  <c r="F5972" i="20" s="1"/>
  <c r="C5972" i="20"/>
  <c r="B5972" i="20"/>
  <c r="D5971" i="20"/>
  <c r="F5971" i="20" s="1"/>
  <c r="C5971" i="20"/>
  <c r="B5971" i="20"/>
  <c r="D5970" i="20"/>
  <c r="F5970" i="20" s="1"/>
  <c r="C5970" i="20"/>
  <c r="B5970" i="20"/>
  <c r="D5969" i="20"/>
  <c r="F5969" i="20" s="1"/>
  <c r="C5969" i="20"/>
  <c r="B5969" i="20"/>
  <c r="D5968" i="20"/>
  <c r="F5968" i="20" s="1"/>
  <c r="C5968" i="20"/>
  <c r="B5968" i="20"/>
  <c r="D5967" i="20"/>
  <c r="F5967" i="20" s="1"/>
  <c r="C5967" i="20"/>
  <c r="B5967" i="20"/>
  <c r="D5966" i="20"/>
  <c r="F5966" i="20" s="1"/>
  <c r="C5966" i="20"/>
  <c r="B5966" i="20"/>
  <c r="D5965" i="20"/>
  <c r="F5965" i="20" s="1"/>
  <c r="C5965" i="20"/>
  <c r="B5965" i="20"/>
  <c r="D5964" i="20"/>
  <c r="F5964" i="20" s="1"/>
  <c r="C5964" i="20"/>
  <c r="B5964" i="20"/>
  <c r="D5963" i="20"/>
  <c r="F5963" i="20" s="1"/>
  <c r="C5963" i="20"/>
  <c r="B5963" i="20"/>
  <c r="D5962" i="20"/>
  <c r="F5962" i="20" s="1"/>
  <c r="C5962" i="20"/>
  <c r="B5962" i="20"/>
  <c r="D5961" i="20"/>
  <c r="F5961" i="20" s="1"/>
  <c r="C5961" i="20"/>
  <c r="C5960" i="20"/>
  <c r="E5956" i="20"/>
  <c r="D5956" i="20"/>
  <c r="B5956" i="20"/>
  <c r="E5955" i="20"/>
  <c r="D5955" i="20"/>
  <c r="B5955" i="20"/>
  <c r="D5954" i="20"/>
  <c r="B5954" i="20"/>
  <c r="D5953" i="20"/>
  <c r="B5953" i="20"/>
  <c r="G5950" i="20"/>
  <c r="I5972" i="20" s="1"/>
  <c r="G5949" i="20"/>
  <c r="B5949" i="20"/>
  <c r="B5948" i="20"/>
  <c r="H5947" i="20"/>
  <c r="B5944" i="20"/>
  <c r="E5982" i="20"/>
  <c r="B5931" i="20"/>
  <c r="B5930" i="20"/>
  <c r="E5925" i="20"/>
  <c r="F5925" i="20" s="1"/>
  <c r="H5926" i="20" s="1"/>
  <c r="N5896" i="20" s="1"/>
  <c r="D5921" i="20"/>
  <c r="F5921" i="20" s="1"/>
  <c r="C5921" i="20"/>
  <c r="B5921" i="20"/>
  <c r="D5920" i="20"/>
  <c r="F5920" i="20" s="1"/>
  <c r="C5920" i="20"/>
  <c r="B5920" i="20"/>
  <c r="D5919" i="20"/>
  <c r="F5919" i="20" s="1"/>
  <c r="C5919" i="20"/>
  <c r="B5919" i="20"/>
  <c r="D5918" i="20"/>
  <c r="F5918" i="20" s="1"/>
  <c r="C5918" i="20"/>
  <c r="B5918" i="20"/>
  <c r="D5917" i="20"/>
  <c r="F5917" i="20" s="1"/>
  <c r="C5917" i="20"/>
  <c r="B5917" i="20"/>
  <c r="D5916" i="20"/>
  <c r="F5916" i="20" s="1"/>
  <c r="C5916" i="20"/>
  <c r="B5916" i="20"/>
  <c r="D5915" i="20"/>
  <c r="F5915" i="20" s="1"/>
  <c r="C5915" i="20"/>
  <c r="B5915" i="20"/>
  <c r="D5914" i="20"/>
  <c r="F5914" i="20" s="1"/>
  <c r="C5914" i="20"/>
  <c r="B5914" i="20"/>
  <c r="D5913" i="20"/>
  <c r="F5913" i="20" s="1"/>
  <c r="C5913" i="20"/>
  <c r="B5913" i="20"/>
  <c r="D5912" i="20"/>
  <c r="F5912" i="20" s="1"/>
  <c r="C5912" i="20"/>
  <c r="B5912" i="20"/>
  <c r="D5911" i="20"/>
  <c r="F5911" i="20" s="1"/>
  <c r="C5911" i="20"/>
  <c r="B5911" i="20"/>
  <c r="D5910" i="20"/>
  <c r="F5910" i="20" s="1"/>
  <c r="C5910" i="20"/>
  <c r="B5910" i="20"/>
  <c r="D5909" i="20"/>
  <c r="F5909" i="20" s="1"/>
  <c r="C5909" i="20"/>
  <c r="C5908" i="20"/>
  <c r="E5904" i="20"/>
  <c r="D5904" i="20"/>
  <c r="B5904" i="20"/>
  <c r="E5903" i="20"/>
  <c r="D5903" i="20"/>
  <c r="B5903" i="20"/>
  <c r="D5902" i="20"/>
  <c r="B5902" i="20"/>
  <c r="D5901" i="20"/>
  <c r="B5901" i="20"/>
  <c r="G5898" i="20"/>
  <c r="I5920" i="20" s="1"/>
  <c r="G5897" i="20"/>
  <c r="B5897" i="20"/>
  <c r="B5896" i="20"/>
  <c r="H5895" i="20"/>
  <c r="B5892" i="20"/>
  <c r="E5930" i="20"/>
  <c r="E5878" i="20"/>
  <c r="B5879" i="20"/>
  <c r="B5878" i="20"/>
  <c r="E5873" i="20"/>
  <c r="F5873" i="20" s="1"/>
  <c r="H5874" i="20" s="1"/>
  <c r="N5844" i="20" s="1"/>
  <c r="D5869" i="20"/>
  <c r="F5869" i="20" s="1"/>
  <c r="C5869" i="20"/>
  <c r="B5869" i="20"/>
  <c r="D5868" i="20"/>
  <c r="F5868" i="20" s="1"/>
  <c r="C5868" i="20"/>
  <c r="B5868" i="20"/>
  <c r="D5867" i="20"/>
  <c r="F5867" i="20" s="1"/>
  <c r="C5867" i="20"/>
  <c r="B5867" i="20"/>
  <c r="D5866" i="20"/>
  <c r="F5866" i="20" s="1"/>
  <c r="C5866" i="20"/>
  <c r="B5866" i="20"/>
  <c r="D5865" i="20"/>
  <c r="F5865" i="20" s="1"/>
  <c r="C5865" i="20"/>
  <c r="B5865" i="20"/>
  <c r="D5864" i="20"/>
  <c r="F5864" i="20" s="1"/>
  <c r="C5864" i="20"/>
  <c r="B5864" i="20"/>
  <c r="D5863" i="20"/>
  <c r="F5863" i="20" s="1"/>
  <c r="C5863" i="20"/>
  <c r="B5863" i="20"/>
  <c r="D5862" i="20"/>
  <c r="F5862" i="20" s="1"/>
  <c r="C5862" i="20"/>
  <c r="B5862" i="20"/>
  <c r="D5861" i="20"/>
  <c r="F5861" i="20" s="1"/>
  <c r="C5861" i="20"/>
  <c r="B5861" i="20"/>
  <c r="D5860" i="20"/>
  <c r="F5860" i="20" s="1"/>
  <c r="C5860" i="20"/>
  <c r="B5860" i="20"/>
  <c r="D5859" i="20"/>
  <c r="F5859" i="20" s="1"/>
  <c r="C5859" i="20"/>
  <c r="B5859" i="20"/>
  <c r="D5858" i="20"/>
  <c r="F5858" i="20" s="1"/>
  <c r="C5858" i="20"/>
  <c r="B5858" i="20"/>
  <c r="D5857" i="20"/>
  <c r="F5857" i="20" s="1"/>
  <c r="C5857" i="20"/>
  <c r="C5856" i="20"/>
  <c r="E5852" i="20"/>
  <c r="D5852" i="20"/>
  <c r="B5852" i="20"/>
  <c r="E5851" i="20"/>
  <c r="D5851" i="20"/>
  <c r="B5851" i="20"/>
  <c r="D5850" i="20"/>
  <c r="B5850" i="20"/>
  <c r="D5849" i="20"/>
  <c r="B5849" i="20"/>
  <c r="G5846" i="20"/>
  <c r="I5868" i="20" s="1"/>
  <c r="G5845" i="20"/>
  <c r="B5845" i="20"/>
  <c r="B5844" i="20"/>
  <c r="H5843" i="20"/>
  <c r="B5840" i="20"/>
  <c r="H5735" i="20"/>
  <c r="H5787" i="20"/>
  <c r="J309" i="4"/>
  <c r="L309" i="4" s="1"/>
  <c r="G309" i="4" s="1"/>
  <c r="D9216" i="20" s="1"/>
  <c r="F9216" i="20" s="1"/>
  <c r="J329" i="4"/>
  <c r="L329" i="4" s="1"/>
  <c r="G329" i="4" s="1"/>
  <c r="J328" i="4"/>
  <c r="L328" i="4" s="1"/>
  <c r="G328" i="4" s="1"/>
  <c r="I8060" i="20" l="1"/>
  <c r="I8061" i="20"/>
  <c r="I8058" i="20"/>
  <c r="I8057" i="20"/>
  <c r="I8047" i="20"/>
  <c r="I8046" i="20"/>
  <c r="I8062" i="20"/>
  <c r="I8055" i="20"/>
  <c r="I8051" i="20"/>
  <c r="F8040" i="20"/>
  <c r="G8040" i="20" s="1"/>
  <c r="E8072" i="20"/>
  <c r="F8041" i="20"/>
  <c r="G8041" i="20" s="1"/>
  <c r="I8048" i="20"/>
  <c r="I8052" i="20"/>
  <c r="I8056" i="20"/>
  <c r="F8042" i="20"/>
  <c r="G8042" i="20" s="1"/>
  <c r="I8049" i="20"/>
  <c r="I8053" i="20"/>
  <c r="I8059" i="20"/>
  <c r="E8070" i="20"/>
  <c r="F8039" i="20"/>
  <c r="I8050" i="20"/>
  <c r="I8054" i="20"/>
  <c r="I6065" i="20"/>
  <c r="I6077" i="20"/>
  <c r="I6073" i="20"/>
  <c r="I6064" i="20"/>
  <c r="I6069" i="20"/>
  <c r="H6078" i="20"/>
  <c r="K6052" i="20" s="1"/>
  <c r="E6087" i="20"/>
  <c r="F6059" i="20"/>
  <c r="G6059" i="20" s="1"/>
  <c r="I6066" i="20"/>
  <c r="I6070" i="20"/>
  <c r="I6074" i="20"/>
  <c r="F6060" i="20"/>
  <c r="G6060" i="20" s="1"/>
  <c r="I6067" i="20"/>
  <c r="I6071" i="20"/>
  <c r="I6075" i="20"/>
  <c r="E6085" i="20"/>
  <c r="F6058" i="20"/>
  <c r="G6058" i="20" s="1"/>
  <c r="I6013" i="20"/>
  <c r="F6057" i="20"/>
  <c r="I6068" i="20"/>
  <c r="I6072" i="20"/>
  <c r="I6012" i="20"/>
  <c r="I6025" i="20"/>
  <c r="I6021" i="20"/>
  <c r="I6017" i="20"/>
  <c r="F6007" i="20"/>
  <c r="G6007" i="20" s="1"/>
  <c r="I6014" i="20"/>
  <c r="I6018" i="20"/>
  <c r="I6022" i="20"/>
  <c r="F6008" i="20"/>
  <c r="G6008" i="20" s="1"/>
  <c r="I6015" i="20"/>
  <c r="I6019" i="20"/>
  <c r="I6023" i="20"/>
  <c r="E6033" i="20"/>
  <c r="F6006" i="20"/>
  <c r="G6006" i="20" s="1"/>
  <c r="E6035" i="20"/>
  <c r="F6005" i="20"/>
  <c r="I6016" i="20"/>
  <c r="I6020" i="20"/>
  <c r="I5965" i="20"/>
  <c r="I5961" i="20"/>
  <c r="I5973" i="20"/>
  <c r="I5960" i="20"/>
  <c r="I5969" i="20"/>
  <c r="F5954" i="20"/>
  <c r="E5983" i="20"/>
  <c r="F5955" i="20"/>
  <c r="G5955" i="20" s="1"/>
  <c r="I5962" i="20"/>
  <c r="I5966" i="20"/>
  <c r="I5970" i="20"/>
  <c r="F5956" i="20"/>
  <c r="G5956" i="20" s="1"/>
  <c r="I5963" i="20"/>
  <c r="I5967" i="20"/>
  <c r="I5971" i="20"/>
  <c r="E5981" i="20"/>
  <c r="F5953" i="20"/>
  <c r="I5964" i="20"/>
  <c r="I5968" i="20"/>
  <c r="I5909" i="20"/>
  <c r="I5908" i="20"/>
  <c r="I5921" i="20"/>
  <c r="I5917" i="20"/>
  <c r="I5913" i="20"/>
  <c r="E5931" i="20"/>
  <c r="F5903" i="20"/>
  <c r="G5903" i="20" s="1"/>
  <c r="I5910" i="20"/>
  <c r="I5914" i="20"/>
  <c r="I5918" i="20"/>
  <c r="F5902" i="20"/>
  <c r="F5904" i="20"/>
  <c r="G5904" i="20" s="1"/>
  <c r="I5911" i="20"/>
  <c r="I5915" i="20"/>
  <c r="I5919" i="20"/>
  <c r="E5929" i="20"/>
  <c r="F5901" i="20"/>
  <c r="I5912" i="20"/>
  <c r="I5916" i="20"/>
  <c r="F5850" i="20"/>
  <c r="I5856" i="20"/>
  <c r="I5857" i="20"/>
  <c r="I5861" i="20"/>
  <c r="I5865" i="20"/>
  <c r="I5869" i="20"/>
  <c r="E5879" i="20"/>
  <c r="I5858" i="20"/>
  <c r="I5862" i="20"/>
  <c r="I5866" i="20"/>
  <c r="F5852" i="20"/>
  <c r="G5852" i="20" s="1"/>
  <c r="I5859" i="20"/>
  <c r="I5863" i="20"/>
  <c r="I5867" i="20"/>
  <c r="E5877" i="20"/>
  <c r="F5851" i="20"/>
  <c r="G5851" i="20" s="1"/>
  <c r="F5849" i="20"/>
  <c r="I5860" i="20"/>
  <c r="I5864" i="20"/>
  <c r="J303" i="4" l="1"/>
  <c r="L303" i="4" s="1"/>
  <c r="G303" i="4" s="1"/>
  <c r="D9164" i="20" s="1"/>
  <c r="F9164" i="20" s="1"/>
  <c r="B5827" i="20"/>
  <c r="B5826" i="20"/>
  <c r="E5821" i="20"/>
  <c r="F5821" i="20" s="1"/>
  <c r="H5822" i="20" s="1"/>
  <c r="N5792" i="20" s="1"/>
  <c r="D5817" i="20"/>
  <c r="F5817" i="20" s="1"/>
  <c r="C5817" i="20"/>
  <c r="B5817" i="20"/>
  <c r="D5816" i="20"/>
  <c r="F5816" i="20" s="1"/>
  <c r="C5816" i="20"/>
  <c r="B5816" i="20"/>
  <c r="D5815" i="20"/>
  <c r="F5815" i="20" s="1"/>
  <c r="C5815" i="20"/>
  <c r="B5815" i="20"/>
  <c r="D5814" i="20"/>
  <c r="F5814" i="20" s="1"/>
  <c r="C5814" i="20"/>
  <c r="B5814" i="20"/>
  <c r="D5813" i="20"/>
  <c r="F5813" i="20" s="1"/>
  <c r="C5813" i="20"/>
  <c r="B5813" i="20"/>
  <c r="D5812" i="20"/>
  <c r="F5812" i="20" s="1"/>
  <c r="C5812" i="20"/>
  <c r="B5812" i="20"/>
  <c r="D5811" i="20"/>
  <c r="F5811" i="20" s="1"/>
  <c r="C5811" i="20"/>
  <c r="B5811" i="20"/>
  <c r="D5810" i="20"/>
  <c r="F5810" i="20" s="1"/>
  <c r="C5810" i="20"/>
  <c r="B5810" i="20"/>
  <c r="D5809" i="20"/>
  <c r="F5809" i="20" s="1"/>
  <c r="C5809" i="20"/>
  <c r="B5809" i="20"/>
  <c r="D5808" i="20"/>
  <c r="F5808" i="20" s="1"/>
  <c r="C5808" i="20"/>
  <c r="B5808" i="20"/>
  <c r="C5807" i="20"/>
  <c r="B5807" i="20"/>
  <c r="C5806" i="20"/>
  <c r="B5806" i="20"/>
  <c r="C5805" i="20"/>
  <c r="C5804" i="20"/>
  <c r="D5800" i="20"/>
  <c r="B5800" i="20"/>
  <c r="E5799" i="20"/>
  <c r="D5799" i="20"/>
  <c r="B5799" i="20"/>
  <c r="D5798" i="20"/>
  <c r="B5798" i="20"/>
  <c r="D5797" i="20"/>
  <c r="B5797" i="20"/>
  <c r="G5794" i="20"/>
  <c r="I5816" i="20" s="1"/>
  <c r="G5793" i="20"/>
  <c r="B5793" i="20"/>
  <c r="B5792" i="20"/>
  <c r="H5791" i="20"/>
  <c r="B5788" i="20"/>
  <c r="E5826" i="20"/>
  <c r="E5774" i="20"/>
  <c r="J36" i="4"/>
  <c r="L36" i="4" s="1"/>
  <c r="G36" i="4" s="1"/>
  <c r="B5775" i="20"/>
  <c r="B5774" i="20"/>
  <c r="E5769" i="20"/>
  <c r="F5769" i="20" s="1"/>
  <c r="H5770" i="20" s="1"/>
  <c r="N5740" i="20" s="1"/>
  <c r="D5765" i="20"/>
  <c r="F5765" i="20" s="1"/>
  <c r="C5765" i="20"/>
  <c r="B5765" i="20"/>
  <c r="D5764" i="20"/>
  <c r="F5764" i="20" s="1"/>
  <c r="C5764" i="20"/>
  <c r="B5764" i="20"/>
  <c r="D5763" i="20"/>
  <c r="F5763" i="20" s="1"/>
  <c r="C5763" i="20"/>
  <c r="B5763" i="20"/>
  <c r="D5762" i="20"/>
  <c r="F5762" i="20" s="1"/>
  <c r="C5762" i="20"/>
  <c r="B5762" i="20"/>
  <c r="D5761" i="20"/>
  <c r="F5761" i="20" s="1"/>
  <c r="C5761" i="20"/>
  <c r="B5761" i="20"/>
  <c r="D5760" i="20"/>
  <c r="F5760" i="20" s="1"/>
  <c r="C5760" i="20"/>
  <c r="B5760" i="20"/>
  <c r="D5759" i="20"/>
  <c r="F5759" i="20" s="1"/>
  <c r="C5759" i="20"/>
  <c r="B5759" i="20"/>
  <c r="D5758" i="20"/>
  <c r="F5758" i="20" s="1"/>
  <c r="C5758" i="20"/>
  <c r="B5758" i="20"/>
  <c r="D5757" i="20"/>
  <c r="F5757" i="20" s="1"/>
  <c r="C5757" i="20"/>
  <c r="B5757" i="20"/>
  <c r="C5756" i="20"/>
  <c r="B5756" i="20"/>
  <c r="C5755" i="20"/>
  <c r="B5755" i="20"/>
  <c r="C5754" i="20"/>
  <c r="B5754" i="20"/>
  <c r="C5753" i="20"/>
  <c r="C5752" i="20"/>
  <c r="D5748" i="20"/>
  <c r="B5748" i="20"/>
  <c r="E5747" i="20"/>
  <c r="D5747" i="20"/>
  <c r="B5747" i="20"/>
  <c r="D5746" i="20"/>
  <c r="B5746" i="20"/>
  <c r="D5745" i="20"/>
  <c r="B5745" i="20"/>
  <c r="G5742" i="20"/>
  <c r="I5764" i="20" s="1"/>
  <c r="G5741" i="20"/>
  <c r="B5741" i="20"/>
  <c r="B5740" i="20"/>
  <c r="H5739" i="20"/>
  <c r="B5736" i="20"/>
  <c r="H5683" i="20"/>
  <c r="F5694" i="20" s="1"/>
  <c r="D5694" i="20"/>
  <c r="B5694" i="20"/>
  <c r="B5723" i="20"/>
  <c r="B5722" i="20"/>
  <c r="E5717" i="20"/>
  <c r="F5717" i="20" s="1"/>
  <c r="H5718" i="20" s="1"/>
  <c r="N5688" i="20" s="1"/>
  <c r="D5713" i="20"/>
  <c r="F5713" i="20" s="1"/>
  <c r="C5713" i="20"/>
  <c r="B5713" i="20"/>
  <c r="D5712" i="20"/>
  <c r="F5712" i="20" s="1"/>
  <c r="C5712" i="20"/>
  <c r="B5712" i="20"/>
  <c r="D5711" i="20"/>
  <c r="F5711" i="20" s="1"/>
  <c r="C5711" i="20"/>
  <c r="B5711" i="20"/>
  <c r="D5710" i="20"/>
  <c r="F5710" i="20" s="1"/>
  <c r="C5710" i="20"/>
  <c r="B5710" i="20"/>
  <c r="D5709" i="20"/>
  <c r="F5709" i="20" s="1"/>
  <c r="C5709" i="20"/>
  <c r="B5709" i="20"/>
  <c r="D5708" i="20"/>
  <c r="F5708" i="20" s="1"/>
  <c r="C5708" i="20"/>
  <c r="B5708" i="20"/>
  <c r="D5707" i="20"/>
  <c r="F5707" i="20" s="1"/>
  <c r="C5707" i="20"/>
  <c r="B5707" i="20"/>
  <c r="D5706" i="20"/>
  <c r="F5706" i="20" s="1"/>
  <c r="C5706" i="20"/>
  <c r="B5706" i="20"/>
  <c r="D5705" i="20"/>
  <c r="F5705" i="20" s="1"/>
  <c r="C5705" i="20"/>
  <c r="B5705" i="20"/>
  <c r="D5704" i="20"/>
  <c r="F5704" i="20" s="1"/>
  <c r="C5704" i="20"/>
  <c r="B5704" i="20"/>
  <c r="C5703" i="20"/>
  <c r="B5703" i="20"/>
  <c r="C5702" i="20"/>
  <c r="B5702" i="20"/>
  <c r="C5701" i="20"/>
  <c r="C5700" i="20"/>
  <c r="D5696" i="20"/>
  <c r="B5696" i="20"/>
  <c r="E5695" i="20"/>
  <c r="D5695" i="20"/>
  <c r="B5695" i="20"/>
  <c r="D5693" i="20"/>
  <c r="B5693" i="20"/>
  <c r="G5690" i="20"/>
  <c r="I5712" i="20" s="1"/>
  <c r="G5689" i="20"/>
  <c r="B5689" i="20"/>
  <c r="B5688" i="20"/>
  <c r="H5687" i="20"/>
  <c r="B5684" i="20"/>
  <c r="B4546" i="20"/>
  <c r="B4545" i="20"/>
  <c r="E4540" i="20"/>
  <c r="F4540" i="20" s="1"/>
  <c r="H4541" i="20" s="1"/>
  <c r="N4512" i="20" s="1"/>
  <c r="D4536" i="20"/>
  <c r="F4536" i="20" s="1"/>
  <c r="C4536" i="20"/>
  <c r="B4536" i="20"/>
  <c r="D4535" i="20"/>
  <c r="F4535" i="20" s="1"/>
  <c r="C4535" i="20"/>
  <c r="B4535" i="20"/>
  <c r="D4534" i="20"/>
  <c r="F4534" i="20" s="1"/>
  <c r="C4534" i="20"/>
  <c r="B4534" i="20"/>
  <c r="D4533" i="20"/>
  <c r="F4533" i="20" s="1"/>
  <c r="C4533" i="20"/>
  <c r="B4533" i="20"/>
  <c r="D4532" i="20"/>
  <c r="F4532" i="20" s="1"/>
  <c r="C4532" i="20"/>
  <c r="B4532" i="20"/>
  <c r="D4531" i="20"/>
  <c r="F4531" i="20" s="1"/>
  <c r="C4531" i="20"/>
  <c r="B4531" i="20"/>
  <c r="D4530" i="20"/>
  <c r="F4530" i="20" s="1"/>
  <c r="C4530" i="20"/>
  <c r="B4530" i="20"/>
  <c r="D4529" i="20"/>
  <c r="F4529" i="20" s="1"/>
  <c r="C4529" i="20"/>
  <c r="B4529" i="20"/>
  <c r="D4528" i="20"/>
  <c r="F4528" i="20" s="1"/>
  <c r="C4528" i="20"/>
  <c r="B4528" i="20"/>
  <c r="D4527" i="20"/>
  <c r="F4527" i="20" s="1"/>
  <c r="C4527" i="20"/>
  <c r="B4527" i="20"/>
  <c r="D4526" i="20"/>
  <c r="F4526" i="20" s="1"/>
  <c r="C4526" i="20"/>
  <c r="B4526" i="20"/>
  <c r="D4525" i="20"/>
  <c r="F4525" i="20" s="1"/>
  <c r="C4525" i="20"/>
  <c r="B4525" i="20"/>
  <c r="C4524" i="20"/>
  <c r="C4523" i="20"/>
  <c r="E4519" i="20"/>
  <c r="G4519" i="20" s="1"/>
  <c r="D4519" i="20"/>
  <c r="B4519" i="20"/>
  <c r="D4518" i="20"/>
  <c r="B4518" i="20"/>
  <c r="D4517" i="20"/>
  <c r="B4517" i="20"/>
  <c r="G4514" i="20"/>
  <c r="I4535" i="20" s="1"/>
  <c r="G4513" i="20"/>
  <c r="B4513" i="20"/>
  <c r="B4512" i="20"/>
  <c r="H4511" i="20"/>
  <c r="B4508" i="20"/>
  <c r="E4545" i="20"/>
  <c r="J225" i="4"/>
  <c r="L225" i="4" s="1"/>
  <c r="G225" i="4" s="1"/>
  <c r="D5289" i="20" s="1"/>
  <c r="F5289" i="20" s="1"/>
  <c r="J244" i="4"/>
  <c r="L244" i="4" s="1"/>
  <c r="G244" i="4" s="1"/>
  <c r="B4494" i="20"/>
  <c r="B4493" i="20"/>
  <c r="E4488" i="20"/>
  <c r="F4488" i="20" s="1"/>
  <c r="H4489" i="20" s="1"/>
  <c r="N4460" i="20" s="1"/>
  <c r="D4484" i="20"/>
  <c r="F4484" i="20" s="1"/>
  <c r="C4484" i="20"/>
  <c r="B4484" i="20"/>
  <c r="D4483" i="20"/>
  <c r="F4483" i="20" s="1"/>
  <c r="C4483" i="20"/>
  <c r="B4483" i="20"/>
  <c r="D4482" i="20"/>
  <c r="F4482" i="20" s="1"/>
  <c r="C4482" i="20"/>
  <c r="B4482" i="20"/>
  <c r="D4481" i="20"/>
  <c r="F4481" i="20" s="1"/>
  <c r="C4481" i="20"/>
  <c r="B4481" i="20"/>
  <c r="D4480" i="20"/>
  <c r="F4480" i="20" s="1"/>
  <c r="C4480" i="20"/>
  <c r="B4480" i="20"/>
  <c r="D4479" i="20"/>
  <c r="F4479" i="20" s="1"/>
  <c r="C4479" i="20"/>
  <c r="B4479" i="20"/>
  <c r="D4478" i="20"/>
  <c r="F4478" i="20" s="1"/>
  <c r="C4478" i="20"/>
  <c r="B4478" i="20"/>
  <c r="D4477" i="20"/>
  <c r="F4477" i="20" s="1"/>
  <c r="C4477" i="20"/>
  <c r="B4477" i="20"/>
  <c r="D4476" i="20"/>
  <c r="F4476" i="20" s="1"/>
  <c r="C4476" i="20"/>
  <c r="B4476" i="20"/>
  <c r="D4475" i="20"/>
  <c r="F4475" i="20" s="1"/>
  <c r="C4475" i="20"/>
  <c r="B4475" i="20"/>
  <c r="D4474" i="20"/>
  <c r="F4474" i="20" s="1"/>
  <c r="C4474" i="20"/>
  <c r="B4474" i="20"/>
  <c r="D4473" i="20"/>
  <c r="F4473" i="20" s="1"/>
  <c r="C4473" i="20"/>
  <c r="B4473" i="20"/>
  <c r="C4472" i="20"/>
  <c r="C4471" i="20"/>
  <c r="E4467" i="20"/>
  <c r="G4467" i="20" s="1"/>
  <c r="D4467" i="20"/>
  <c r="B4467" i="20"/>
  <c r="E4466" i="20"/>
  <c r="D4466" i="20"/>
  <c r="B4466" i="20"/>
  <c r="D4465" i="20"/>
  <c r="B4465" i="20"/>
  <c r="G4462" i="20"/>
  <c r="I4483" i="20" s="1"/>
  <c r="G4461" i="20"/>
  <c r="B4461" i="20"/>
  <c r="B4460" i="20"/>
  <c r="H4459" i="20"/>
  <c r="B4456" i="20"/>
  <c r="E4493" i="20"/>
  <c r="B4443" i="20"/>
  <c r="B4442" i="20"/>
  <c r="E4437" i="20"/>
  <c r="F4437" i="20" s="1"/>
  <c r="H4438" i="20" s="1"/>
  <c r="N4409" i="20" s="1"/>
  <c r="D4433" i="20"/>
  <c r="F4433" i="20" s="1"/>
  <c r="C4433" i="20"/>
  <c r="B4433" i="20"/>
  <c r="D4432" i="20"/>
  <c r="F4432" i="20" s="1"/>
  <c r="C4432" i="20"/>
  <c r="B4432" i="20"/>
  <c r="D4431" i="20"/>
  <c r="F4431" i="20" s="1"/>
  <c r="C4431" i="20"/>
  <c r="B4431" i="20"/>
  <c r="D4430" i="20"/>
  <c r="F4430" i="20" s="1"/>
  <c r="C4430" i="20"/>
  <c r="B4430" i="20"/>
  <c r="D4429" i="20"/>
  <c r="F4429" i="20" s="1"/>
  <c r="C4429" i="20"/>
  <c r="B4429" i="20"/>
  <c r="D4428" i="20"/>
  <c r="F4428" i="20" s="1"/>
  <c r="C4428" i="20"/>
  <c r="B4428" i="20"/>
  <c r="D4427" i="20"/>
  <c r="F4427" i="20" s="1"/>
  <c r="C4427" i="20"/>
  <c r="B4427" i="20"/>
  <c r="D4426" i="20"/>
  <c r="F4426" i="20" s="1"/>
  <c r="C4426" i="20"/>
  <c r="B4426" i="20"/>
  <c r="D4425" i="20"/>
  <c r="F4425" i="20" s="1"/>
  <c r="C4425" i="20"/>
  <c r="B4425" i="20"/>
  <c r="D4424" i="20"/>
  <c r="F4424" i="20" s="1"/>
  <c r="C4424" i="20"/>
  <c r="B4424" i="20"/>
  <c r="D4423" i="20"/>
  <c r="F4423" i="20" s="1"/>
  <c r="C4423" i="20"/>
  <c r="B4423" i="20"/>
  <c r="D4422" i="20"/>
  <c r="F4422" i="20" s="1"/>
  <c r="C4422" i="20"/>
  <c r="B4422" i="20"/>
  <c r="C4421" i="20"/>
  <c r="C4420" i="20"/>
  <c r="E4416" i="20"/>
  <c r="G4416" i="20" s="1"/>
  <c r="D4416" i="20"/>
  <c r="B4416" i="20"/>
  <c r="E4415" i="20"/>
  <c r="D4415" i="20"/>
  <c r="B4415" i="20"/>
  <c r="D4414" i="20"/>
  <c r="B4414" i="20"/>
  <c r="G4411" i="20"/>
  <c r="I4432" i="20" s="1"/>
  <c r="G4410" i="20"/>
  <c r="B4410" i="20"/>
  <c r="B4409" i="20"/>
  <c r="H4408" i="20"/>
  <c r="B4405" i="20"/>
  <c r="E4442" i="20"/>
  <c r="B811" i="20"/>
  <c r="B810" i="20"/>
  <c r="E805" i="20"/>
  <c r="F805" i="20" s="1"/>
  <c r="H806" i="20" s="1"/>
  <c r="N777" i="20" s="1"/>
  <c r="D801" i="20"/>
  <c r="F801" i="20" s="1"/>
  <c r="C801" i="20"/>
  <c r="B801" i="20"/>
  <c r="D800" i="20"/>
  <c r="F800" i="20" s="1"/>
  <c r="C800" i="20"/>
  <c r="B800" i="20"/>
  <c r="D799" i="20"/>
  <c r="F799" i="20" s="1"/>
  <c r="C799" i="20"/>
  <c r="B799" i="20"/>
  <c r="D798" i="20"/>
  <c r="F798" i="20" s="1"/>
  <c r="C798" i="20"/>
  <c r="B798" i="20"/>
  <c r="D797" i="20"/>
  <c r="F797" i="20" s="1"/>
  <c r="C797" i="20"/>
  <c r="B797" i="20"/>
  <c r="D796" i="20"/>
  <c r="F796" i="20" s="1"/>
  <c r="C796" i="20"/>
  <c r="B796" i="20"/>
  <c r="D795" i="20"/>
  <c r="F795" i="20" s="1"/>
  <c r="C795" i="20"/>
  <c r="B795" i="20"/>
  <c r="C794" i="20"/>
  <c r="B794" i="20"/>
  <c r="C793" i="20"/>
  <c r="B793" i="20"/>
  <c r="C792" i="20"/>
  <c r="B792" i="20"/>
  <c r="C791" i="20"/>
  <c r="B791" i="20"/>
  <c r="C790" i="20"/>
  <c r="B790" i="20"/>
  <c r="C789" i="20"/>
  <c r="C788" i="20"/>
  <c r="D784" i="20"/>
  <c r="B784" i="20"/>
  <c r="D783" i="20"/>
  <c r="B783" i="20"/>
  <c r="D782" i="20"/>
  <c r="B782" i="20"/>
  <c r="G779" i="20"/>
  <c r="I800" i="20" s="1"/>
  <c r="G778" i="20"/>
  <c r="B778" i="20"/>
  <c r="B777" i="20"/>
  <c r="H776" i="20"/>
  <c r="B773" i="20"/>
  <c r="H772" i="20"/>
  <c r="E810" i="20" s="1"/>
  <c r="H327" i="4"/>
  <c r="J327" i="4" s="1"/>
  <c r="L327" i="4" s="1"/>
  <c r="G327" i="4" s="1"/>
  <c r="D737" i="20" s="1"/>
  <c r="F737" i="20" s="1"/>
  <c r="B760" i="20"/>
  <c r="B759" i="20"/>
  <c r="E754" i="20"/>
  <c r="F754" i="20" s="1"/>
  <c r="H755" i="20" s="1"/>
  <c r="N726" i="20" s="1"/>
  <c r="D750" i="20"/>
  <c r="F750" i="20" s="1"/>
  <c r="C750" i="20"/>
  <c r="B750" i="20"/>
  <c r="D749" i="20"/>
  <c r="F749" i="20" s="1"/>
  <c r="C749" i="20"/>
  <c r="B749" i="20"/>
  <c r="D748" i="20"/>
  <c r="F748" i="20" s="1"/>
  <c r="C748" i="20"/>
  <c r="B748" i="20"/>
  <c r="D747" i="20"/>
  <c r="F747" i="20" s="1"/>
  <c r="C747" i="20"/>
  <c r="B747" i="20"/>
  <c r="D746" i="20"/>
  <c r="F746" i="20" s="1"/>
  <c r="C746" i="20"/>
  <c r="B746" i="20"/>
  <c r="D745" i="20"/>
  <c r="F745" i="20" s="1"/>
  <c r="C745" i="20"/>
  <c r="B745" i="20"/>
  <c r="D744" i="20"/>
  <c r="F744" i="20" s="1"/>
  <c r="C744" i="20"/>
  <c r="B744" i="20"/>
  <c r="C743" i="20"/>
  <c r="B743" i="20"/>
  <c r="C742" i="20"/>
  <c r="B742" i="20"/>
  <c r="C741" i="20"/>
  <c r="B741" i="20"/>
  <c r="C740" i="20"/>
  <c r="B740" i="20"/>
  <c r="C739" i="20"/>
  <c r="B739" i="20"/>
  <c r="C738" i="20"/>
  <c r="C737" i="20"/>
  <c r="D733" i="20"/>
  <c r="B733" i="20"/>
  <c r="D732" i="20"/>
  <c r="B732" i="20"/>
  <c r="D731" i="20"/>
  <c r="B731" i="20"/>
  <c r="G728" i="20"/>
  <c r="I749" i="20" s="1"/>
  <c r="G727" i="20"/>
  <c r="B727" i="20"/>
  <c r="B726" i="20"/>
  <c r="H725" i="20"/>
  <c r="B722" i="20"/>
  <c r="H721" i="20"/>
  <c r="E759" i="20" s="1"/>
  <c r="B709" i="20"/>
  <c r="B708" i="20"/>
  <c r="E703" i="20"/>
  <c r="F703" i="20" s="1"/>
  <c r="H704" i="20" s="1"/>
  <c r="N675" i="20" s="1"/>
  <c r="D699" i="20"/>
  <c r="F699" i="20" s="1"/>
  <c r="C699" i="20"/>
  <c r="B699" i="20"/>
  <c r="D698" i="20"/>
  <c r="F698" i="20" s="1"/>
  <c r="C698" i="20"/>
  <c r="B698" i="20"/>
  <c r="D697" i="20"/>
  <c r="F697" i="20" s="1"/>
  <c r="C697" i="20"/>
  <c r="B697" i="20"/>
  <c r="D696" i="20"/>
  <c r="F696" i="20" s="1"/>
  <c r="C696" i="20"/>
  <c r="B696" i="20"/>
  <c r="D695" i="20"/>
  <c r="F695" i="20" s="1"/>
  <c r="C695" i="20"/>
  <c r="B695" i="20"/>
  <c r="D694" i="20"/>
  <c r="F694" i="20" s="1"/>
  <c r="C694" i="20"/>
  <c r="B694" i="20"/>
  <c r="D693" i="20"/>
  <c r="F693" i="20" s="1"/>
  <c r="C693" i="20"/>
  <c r="B693" i="20"/>
  <c r="C692" i="20"/>
  <c r="B692" i="20"/>
  <c r="C691" i="20"/>
  <c r="B691" i="20"/>
  <c r="C690" i="20"/>
  <c r="B690" i="20"/>
  <c r="C689" i="20"/>
  <c r="B689" i="20"/>
  <c r="C688" i="20"/>
  <c r="B688" i="20"/>
  <c r="C687" i="20"/>
  <c r="C686" i="20"/>
  <c r="D682" i="20"/>
  <c r="B682" i="20"/>
  <c r="D681" i="20"/>
  <c r="B681" i="20"/>
  <c r="D680" i="20"/>
  <c r="B680" i="20"/>
  <c r="G677" i="20"/>
  <c r="I698" i="20" s="1"/>
  <c r="G676" i="20"/>
  <c r="B676" i="20"/>
  <c r="B675" i="20"/>
  <c r="H674" i="20"/>
  <c r="B671" i="20"/>
  <c r="H670" i="20"/>
  <c r="E708" i="20" s="1"/>
  <c r="H619" i="20"/>
  <c r="F629" i="20" s="1"/>
  <c r="J326" i="4"/>
  <c r="L326" i="4" s="1"/>
  <c r="J281" i="4"/>
  <c r="L281" i="4" s="1"/>
  <c r="G281" i="4" s="1"/>
  <c r="D788" i="20" s="1"/>
  <c r="F788" i="20" s="1"/>
  <c r="B658" i="20"/>
  <c r="B657" i="20"/>
  <c r="E652" i="20"/>
  <c r="F652" i="20" s="1"/>
  <c r="H653" i="20" s="1"/>
  <c r="N624" i="20" s="1"/>
  <c r="D648" i="20"/>
  <c r="F648" i="20" s="1"/>
  <c r="C648" i="20"/>
  <c r="B648" i="20"/>
  <c r="D647" i="20"/>
  <c r="F647" i="20" s="1"/>
  <c r="C647" i="20"/>
  <c r="B647" i="20"/>
  <c r="D646" i="20"/>
  <c r="F646" i="20" s="1"/>
  <c r="C646" i="20"/>
  <c r="B646" i="20"/>
  <c r="D645" i="20"/>
  <c r="F645" i="20" s="1"/>
  <c r="C645" i="20"/>
  <c r="B645" i="20"/>
  <c r="D644" i="20"/>
  <c r="F644" i="20" s="1"/>
  <c r="C644" i="20"/>
  <c r="B644" i="20"/>
  <c r="D643" i="20"/>
  <c r="F643" i="20" s="1"/>
  <c r="C643" i="20"/>
  <c r="B643" i="20"/>
  <c r="C642" i="20"/>
  <c r="B642" i="20"/>
  <c r="C641" i="20"/>
  <c r="B641" i="20"/>
  <c r="C640" i="20"/>
  <c r="B640" i="20"/>
  <c r="C639" i="20"/>
  <c r="B639" i="20"/>
  <c r="C638" i="20"/>
  <c r="B638" i="20"/>
  <c r="C637" i="20"/>
  <c r="B637" i="20"/>
  <c r="C636" i="20"/>
  <c r="C635" i="20"/>
  <c r="D631" i="20"/>
  <c r="B631" i="20"/>
  <c r="D630" i="20"/>
  <c r="B630" i="20"/>
  <c r="D629" i="20"/>
  <c r="B629" i="20"/>
  <c r="G626" i="20"/>
  <c r="I647" i="20" s="1"/>
  <c r="G625" i="20"/>
  <c r="B625" i="20"/>
  <c r="B624" i="20"/>
  <c r="H623" i="20"/>
  <c r="B620" i="20"/>
  <c r="H568" i="20"/>
  <c r="E606" i="20" s="1"/>
  <c r="E591" i="20"/>
  <c r="E588" i="20"/>
  <c r="E590" i="20"/>
  <c r="E585" i="20"/>
  <c r="J324" i="4"/>
  <c r="L324" i="4" s="1"/>
  <c r="B607" i="20"/>
  <c r="B606" i="20"/>
  <c r="E601" i="20"/>
  <c r="F601" i="20" s="1"/>
  <c r="H602" i="20" s="1"/>
  <c r="N573" i="20" s="1"/>
  <c r="D597" i="20"/>
  <c r="F597" i="20" s="1"/>
  <c r="C597" i="20"/>
  <c r="B597" i="20"/>
  <c r="D596" i="20"/>
  <c r="F596" i="20" s="1"/>
  <c r="C596" i="20"/>
  <c r="B596" i="20"/>
  <c r="D595" i="20"/>
  <c r="F595" i="20" s="1"/>
  <c r="C595" i="20"/>
  <c r="B595" i="20"/>
  <c r="D594" i="20"/>
  <c r="F594" i="20" s="1"/>
  <c r="C594" i="20"/>
  <c r="B594" i="20"/>
  <c r="D593" i="20"/>
  <c r="F593" i="20" s="1"/>
  <c r="C593" i="20"/>
  <c r="B593" i="20"/>
  <c r="D592" i="20"/>
  <c r="F592" i="20" s="1"/>
  <c r="C592" i="20"/>
  <c r="B592" i="20"/>
  <c r="C591" i="20"/>
  <c r="B591" i="20"/>
  <c r="C590" i="20"/>
  <c r="B590" i="20"/>
  <c r="C589" i="20"/>
  <c r="B589" i="20"/>
  <c r="C588" i="20"/>
  <c r="B588" i="20"/>
  <c r="C587" i="20"/>
  <c r="B587" i="20"/>
  <c r="C586" i="20"/>
  <c r="B586" i="20"/>
  <c r="C585" i="20"/>
  <c r="C584" i="20"/>
  <c r="E580" i="20"/>
  <c r="D580" i="20"/>
  <c r="B580" i="20"/>
  <c r="D579" i="20"/>
  <c r="B579" i="20"/>
  <c r="D578" i="20"/>
  <c r="B578" i="20"/>
  <c r="G575" i="20"/>
  <c r="I596" i="20" s="1"/>
  <c r="G574" i="20"/>
  <c r="B574" i="20"/>
  <c r="B573" i="20"/>
  <c r="H572" i="20"/>
  <c r="B569" i="20"/>
  <c r="H517" i="20"/>
  <c r="L377" i="4"/>
  <c r="L378" i="4"/>
  <c r="L379" i="4"/>
  <c r="L380" i="4"/>
  <c r="L381" i="4"/>
  <c r="L382" i="4"/>
  <c r="L383" i="4"/>
  <c r="J4" i="4"/>
  <c r="L4" i="4" s="1"/>
  <c r="J5" i="4"/>
  <c r="L5" i="4" s="1"/>
  <c r="J6" i="4"/>
  <c r="L6" i="4" s="1"/>
  <c r="J7" i="4"/>
  <c r="L7" i="4" s="1"/>
  <c r="J8" i="4"/>
  <c r="L8" i="4" s="1"/>
  <c r="J9" i="4"/>
  <c r="L9" i="4" s="1"/>
  <c r="J10" i="4"/>
  <c r="L10" i="4" s="1"/>
  <c r="J11" i="4"/>
  <c r="L11" i="4" s="1"/>
  <c r="J12" i="4"/>
  <c r="L12" i="4" s="1"/>
  <c r="J13" i="4"/>
  <c r="L13" i="4" s="1"/>
  <c r="J14" i="4"/>
  <c r="L14" i="4" s="1"/>
  <c r="J15" i="4"/>
  <c r="L15" i="4" s="1"/>
  <c r="J16" i="4"/>
  <c r="L16" i="4" s="1"/>
  <c r="J17" i="4"/>
  <c r="L17" i="4" s="1"/>
  <c r="J18" i="4"/>
  <c r="L18" i="4" s="1"/>
  <c r="J19" i="4"/>
  <c r="L19" i="4" s="1"/>
  <c r="J22" i="4"/>
  <c r="L22" i="4" s="1"/>
  <c r="G22" i="4" s="1"/>
  <c r="J23" i="4"/>
  <c r="L23" i="4" s="1"/>
  <c r="J24" i="4"/>
  <c r="L24" i="4" s="1"/>
  <c r="J25" i="4"/>
  <c r="L25" i="4" s="1"/>
  <c r="J26" i="4"/>
  <c r="L26" i="4" s="1"/>
  <c r="J27" i="4"/>
  <c r="L27" i="4" s="1"/>
  <c r="J28" i="4"/>
  <c r="L28" i="4" s="1"/>
  <c r="J29" i="4"/>
  <c r="L29" i="4" s="1"/>
  <c r="J30" i="4"/>
  <c r="L30" i="4" s="1"/>
  <c r="J31" i="4"/>
  <c r="L31" i="4" s="1"/>
  <c r="J32" i="4"/>
  <c r="L32" i="4" s="1"/>
  <c r="J33" i="4"/>
  <c r="L33" i="4" s="1"/>
  <c r="J40" i="4"/>
  <c r="L40" i="4" s="1"/>
  <c r="J41" i="4"/>
  <c r="L41" i="4" s="1"/>
  <c r="J42" i="4"/>
  <c r="L42" i="4" s="1"/>
  <c r="J44" i="4"/>
  <c r="L44" i="4" s="1"/>
  <c r="J45" i="4"/>
  <c r="L45" i="4" s="1"/>
  <c r="J46" i="4"/>
  <c r="L46" i="4" s="1"/>
  <c r="J49" i="4"/>
  <c r="L49" i="4" s="1"/>
  <c r="J53" i="4"/>
  <c r="L53" i="4" s="1"/>
  <c r="J54" i="4"/>
  <c r="L54" i="4" s="1"/>
  <c r="J55" i="4"/>
  <c r="L55" i="4" s="1"/>
  <c r="J56" i="4"/>
  <c r="L56" i="4" s="1"/>
  <c r="J57" i="4"/>
  <c r="L57" i="4" s="1"/>
  <c r="J59" i="4"/>
  <c r="L59" i="4" s="1"/>
  <c r="J61" i="4"/>
  <c r="L61" i="4" s="1"/>
  <c r="J62" i="4"/>
  <c r="L62" i="4" s="1"/>
  <c r="J63" i="4"/>
  <c r="L63" i="4" s="1"/>
  <c r="J64" i="4"/>
  <c r="L64" i="4" s="1"/>
  <c r="G64" i="4" s="1"/>
  <c r="D2479" i="20" s="1"/>
  <c r="F2479" i="20" s="1"/>
  <c r="J65" i="4"/>
  <c r="L65" i="4" s="1"/>
  <c r="J66" i="4"/>
  <c r="L66" i="4" s="1"/>
  <c r="J67" i="4"/>
  <c r="L67" i="4" s="1"/>
  <c r="J68" i="4"/>
  <c r="L68" i="4" s="1"/>
  <c r="J69" i="4"/>
  <c r="L69" i="4" s="1"/>
  <c r="J70" i="4"/>
  <c r="L70" i="4" s="1"/>
  <c r="J71" i="4"/>
  <c r="L71" i="4" s="1"/>
  <c r="J72" i="4"/>
  <c r="L72" i="4" s="1"/>
  <c r="J74" i="4"/>
  <c r="L74" i="4" s="1"/>
  <c r="J75" i="4"/>
  <c r="L75" i="4" s="1"/>
  <c r="J76" i="4"/>
  <c r="L76" i="4" s="1"/>
  <c r="J77" i="4"/>
  <c r="L77" i="4" s="1"/>
  <c r="J78" i="4"/>
  <c r="L78" i="4" s="1"/>
  <c r="J79" i="4"/>
  <c r="L79" i="4" s="1"/>
  <c r="J80" i="4"/>
  <c r="L80" i="4" s="1"/>
  <c r="J81" i="4"/>
  <c r="L81" i="4" s="1"/>
  <c r="J82" i="4"/>
  <c r="L82" i="4" s="1"/>
  <c r="J83" i="4"/>
  <c r="L83" i="4" s="1"/>
  <c r="J84" i="4"/>
  <c r="L84" i="4" s="1"/>
  <c r="J85" i="4"/>
  <c r="L85" i="4" s="1"/>
  <c r="J86" i="4"/>
  <c r="L86" i="4" s="1"/>
  <c r="J87" i="4"/>
  <c r="L87" i="4" s="1"/>
  <c r="J88" i="4"/>
  <c r="L88" i="4" s="1"/>
  <c r="J89" i="4"/>
  <c r="L89" i="4" s="1"/>
  <c r="J90" i="4"/>
  <c r="L90" i="4" s="1"/>
  <c r="J91" i="4"/>
  <c r="L91" i="4" s="1"/>
  <c r="J92" i="4"/>
  <c r="L92" i="4" s="1"/>
  <c r="J93" i="4"/>
  <c r="L93" i="4" s="1"/>
  <c r="J94" i="4"/>
  <c r="L94" i="4" s="1"/>
  <c r="J95" i="4"/>
  <c r="L95" i="4" s="1"/>
  <c r="J96" i="4"/>
  <c r="L96" i="4" s="1"/>
  <c r="J97" i="4"/>
  <c r="L97" i="4" s="1"/>
  <c r="J98" i="4"/>
  <c r="L98" i="4" s="1"/>
  <c r="J99" i="4"/>
  <c r="L99" i="4" s="1"/>
  <c r="J100" i="4"/>
  <c r="L100" i="4" s="1"/>
  <c r="J101" i="4"/>
  <c r="L101" i="4" s="1"/>
  <c r="J102" i="4"/>
  <c r="L102" i="4" s="1"/>
  <c r="J103" i="4"/>
  <c r="L103" i="4" s="1"/>
  <c r="J104" i="4"/>
  <c r="L104" i="4" s="1"/>
  <c r="J105" i="4"/>
  <c r="L105" i="4" s="1"/>
  <c r="J106" i="4"/>
  <c r="L106" i="4" s="1"/>
  <c r="J107" i="4"/>
  <c r="L107" i="4" s="1"/>
  <c r="J108" i="4"/>
  <c r="L108" i="4" s="1"/>
  <c r="J109" i="4"/>
  <c r="L109" i="4" s="1"/>
  <c r="J110" i="4"/>
  <c r="L110" i="4" s="1"/>
  <c r="J111" i="4"/>
  <c r="L111" i="4" s="1"/>
  <c r="J112" i="4"/>
  <c r="L112" i="4" s="1"/>
  <c r="J113" i="4"/>
  <c r="L113" i="4" s="1"/>
  <c r="J114" i="4"/>
  <c r="L114" i="4" s="1"/>
  <c r="J115" i="4"/>
  <c r="L115" i="4" s="1"/>
  <c r="J116" i="4"/>
  <c r="L116" i="4" s="1"/>
  <c r="J117" i="4"/>
  <c r="L117" i="4" s="1"/>
  <c r="J118" i="4"/>
  <c r="L118" i="4" s="1"/>
  <c r="J119" i="4"/>
  <c r="L119" i="4" s="1"/>
  <c r="J120" i="4"/>
  <c r="L120" i="4" s="1"/>
  <c r="J121" i="4"/>
  <c r="L121" i="4" s="1"/>
  <c r="J124" i="4"/>
  <c r="L124" i="4" s="1"/>
  <c r="J125" i="4"/>
  <c r="L125" i="4" s="1"/>
  <c r="J126" i="4"/>
  <c r="L126" i="4" s="1"/>
  <c r="J127" i="4"/>
  <c r="L127" i="4" s="1"/>
  <c r="J128" i="4"/>
  <c r="L128" i="4" s="1"/>
  <c r="J129" i="4"/>
  <c r="L129" i="4" s="1"/>
  <c r="J130" i="4"/>
  <c r="L130" i="4" s="1"/>
  <c r="J131" i="4"/>
  <c r="L131" i="4" s="1"/>
  <c r="J132" i="4"/>
  <c r="L132" i="4" s="1"/>
  <c r="J133" i="4"/>
  <c r="L133" i="4" s="1"/>
  <c r="J134" i="4"/>
  <c r="L134" i="4" s="1"/>
  <c r="J135" i="4"/>
  <c r="L135" i="4" s="1"/>
  <c r="J136" i="4"/>
  <c r="L136" i="4" s="1"/>
  <c r="J137" i="4"/>
  <c r="L137" i="4" s="1"/>
  <c r="J138" i="4"/>
  <c r="L138" i="4" s="1"/>
  <c r="J139" i="4"/>
  <c r="L139" i="4" s="1"/>
  <c r="J140" i="4"/>
  <c r="L140" i="4" s="1"/>
  <c r="J141" i="4"/>
  <c r="L141" i="4" s="1"/>
  <c r="J143" i="4"/>
  <c r="L143" i="4" s="1"/>
  <c r="J144" i="4"/>
  <c r="L144" i="4" s="1"/>
  <c r="J145" i="4"/>
  <c r="L145" i="4" s="1"/>
  <c r="J146" i="4"/>
  <c r="L146" i="4" s="1"/>
  <c r="J147" i="4"/>
  <c r="L147" i="4" s="1"/>
  <c r="J148" i="4"/>
  <c r="L148" i="4" s="1"/>
  <c r="J149" i="4"/>
  <c r="L149" i="4" s="1"/>
  <c r="J150" i="4"/>
  <c r="L150" i="4" s="1"/>
  <c r="J151" i="4"/>
  <c r="L151" i="4" s="1"/>
  <c r="J196" i="4"/>
  <c r="L196" i="4" s="1"/>
  <c r="J197" i="4"/>
  <c r="L197" i="4" s="1"/>
  <c r="J199" i="4"/>
  <c r="L199" i="4" s="1"/>
  <c r="J209" i="4"/>
  <c r="L209" i="4" s="1"/>
  <c r="J211" i="4"/>
  <c r="L211" i="4" s="1"/>
  <c r="J212" i="4"/>
  <c r="L212" i="4" s="1"/>
  <c r="J213" i="4"/>
  <c r="L213" i="4" s="1"/>
  <c r="J214" i="4"/>
  <c r="L214" i="4" s="1"/>
  <c r="J215" i="4"/>
  <c r="L215" i="4" s="1"/>
  <c r="J216" i="4"/>
  <c r="L216" i="4" s="1"/>
  <c r="J217" i="4"/>
  <c r="L217" i="4" s="1"/>
  <c r="J218" i="4"/>
  <c r="L218" i="4" s="1"/>
  <c r="J219" i="4"/>
  <c r="L219" i="4" s="1"/>
  <c r="J220" i="4"/>
  <c r="L220" i="4" s="1"/>
  <c r="J221" i="4"/>
  <c r="L221" i="4" s="1"/>
  <c r="J222" i="4"/>
  <c r="L222" i="4" s="1"/>
  <c r="J223" i="4"/>
  <c r="L223" i="4" s="1"/>
  <c r="J224" i="4"/>
  <c r="L224" i="4" s="1"/>
  <c r="J233" i="4"/>
  <c r="L233" i="4" s="1"/>
  <c r="J234" i="4"/>
  <c r="L234" i="4" s="1"/>
  <c r="J235" i="4"/>
  <c r="L235" i="4" s="1"/>
  <c r="J239" i="4"/>
  <c r="L239" i="4" s="1"/>
  <c r="J240" i="4"/>
  <c r="L240" i="4" s="1"/>
  <c r="J241" i="4"/>
  <c r="L241" i="4" s="1"/>
  <c r="J242" i="4"/>
  <c r="L242" i="4" s="1"/>
  <c r="J245" i="4"/>
  <c r="L245" i="4" s="1"/>
  <c r="J247" i="4"/>
  <c r="L247" i="4" s="1"/>
  <c r="J248" i="4"/>
  <c r="L248" i="4" s="1"/>
  <c r="J249" i="4"/>
  <c r="L249" i="4" s="1"/>
  <c r="J251" i="4"/>
  <c r="L251" i="4" s="1"/>
  <c r="J254" i="4"/>
  <c r="L254" i="4" s="1"/>
  <c r="J255" i="4"/>
  <c r="L255" i="4" s="1"/>
  <c r="J256" i="4"/>
  <c r="L256" i="4" s="1"/>
  <c r="J258" i="4"/>
  <c r="L258" i="4" s="1"/>
  <c r="J261" i="4"/>
  <c r="L261" i="4" s="1"/>
  <c r="J262" i="4"/>
  <c r="L262" i="4" s="1"/>
  <c r="J263" i="4"/>
  <c r="L263" i="4" s="1"/>
  <c r="J275" i="4"/>
  <c r="L275" i="4" s="1"/>
  <c r="J276" i="4"/>
  <c r="L276" i="4" s="1"/>
  <c r="J282" i="4"/>
  <c r="L282" i="4" s="1"/>
  <c r="G282" i="4" s="1"/>
  <c r="D2176" i="20" s="1"/>
  <c r="F2176" i="20" s="1"/>
  <c r="J283" i="4"/>
  <c r="L283" i="4" s="1"/>
  <c r="J284" i="4"/>
  <c r="L284" i="4" s="1"/>
  <c r="J285" i="4"/>
  <c r="L285" i="4" s="1"/>
  <c r="J286" i="4"/>
  <c r="L286" i="4" s="1"/>
  <c r="J287" i="4"/>
  <c r="L287" i="4" s="1"/>
  <c r="J288" i="4"/>
  <c r="L288" i="4" s="1"/>
  <c r="J289" i="4"/>
  <c r="L289" i="4" s="1"/>
  <c r="J290" i="4"/>
  <c r="L290" i="4" s="1"/>
  <c r="J291" i="4"/>
  <c r="L291" i="4" s="1"/>
  <c r="J292" i="4"/>
  <c r="L292" i="4" s="1"/>
  <c r="J293" i="4"/>
  <c r="L293" i="4" s="1"/>
  <c r="J304" i="4"/>
  <c r="L304" i="4" s="1"/>
  <c r="J306" i="4"/>
  <c r="L306" i="4" s="1"/>
  <c r="J307" i="4"/>
  <c r="L307" i="4" s="1"/>
  <c r="J308" i="4"/>
  <c r="L308" i="4" s="1"/>
  <c r="J311" i="4"/>
  <c r="L311" i="4" s="1"/>
  <c r="J312" i="4"/>
  <c r="L312" i="4" s="1"/>
  <c r="J313" i="4"/>
  <c r="L313" i="4" s="1"/>
  <c r="J315" i="4"/>
  <c r="L315" i="4" s="1"/>
  <c r="J316" i="4"/>
  <c r="L316" i="4" s="1"/>
  <c r="J319" i="4"/>
  <c r="L319" i="4" s="1"/>
  <c r="J320" i="4"/>
  <c r="L320" i="4" s="1"/>
  <c r="J321" i="4"/>
  <c r="L321" i="4" s="1"/>
  <c r="J322" i="4"/>
  <c r="L322" i="4" s="1"/>
  <c r="J323" i="4"/>
  <c r="L323" i="4" s="1"/>
  <c r="J336" i="4"/>
  <c r="L336" i="4" s="1"/>
  <c r="J337" i="4"/>
  <c r="L337" i="4" s="1"/>
  <c r="J338" i="4"/>
  <c r="L338" i="4" s="1"/>
  <c r="J339" i="4"/>
  <c r="L339" i="4" s="1"/>
  <c r="J340" i="4"/>
  <c r="L340" i="4" s="1"/>
  <c r="J341" i="4"/>
  <c r="L341" i="4" s="1"/>
  <c r="J342" i="4"/>
  <c r="L342" i="4" s="1"/>
  <c r="J343" i="4"/>
  <c r="L343" i="4" s="1"/>
  <c r="J344" i="4"/>
  <c r="L344" i="4" s="1"/>
  <c r="J345" i="4"/>
  <c r="L345" i="4" s="1"/>
  <c r="J346" i="4"/>
  <c r="L346" i="4" s="1"/>
  <c r="J347" i="4"/>
  <c r="L347" i="4" s="1"/>
  <c r="J348" i="4"/>
  <c r="L348" i="4" s="1"/>
  <c r="J349" i="4"/>
  <c r="L349" i="4" s="1"/>
  <c r="J350" i="4"/>
  <c r="L350" i="4" s="1"/>
  <c r="J351" i="4"/>
  <c r="L351" i="4" s="1"/>
  <c r="J352" i="4"/>
  <c r="L352" i="4" s="1"/>
  <c r="J353" i="4"/>
  <c r="L353" i="4" s="1"/>
  <c r="J354" i="4"/>
  <c r="L354" i="4" s="1"/>
  <c r="J355" i="4"/>
  <c r="L355" i="4" s="1"/>
  <c r="J356" i="4"/>
  <c r="L356" i="4" s="1"/>
  <c r="J357" i="4"/>
  <c r="L357" i="4" s="1"/>
  <c r="J358" i="4"/>
  <c r="L358" i="4" s="1"/>
  <c r="J359" i="4"/>
  <c r="L359" i="4" s="1"/>
  <c r="J360" i="4"/>
  <c r="L360" i="4" s="1"/>
  <c r="J361" i="4"/>
  <c r="L361" i="4" s="1"/>
  <c r="J362" i="4"/>
  <c r="L362" i="4" s="1"/>
  <c r="J363" i="4"/>
  <c r="L363" i="4" s="1"/>
  <c r="J364" i="4"/>
  <c r="L364" i="4" s="1"/>
  <c r="J365" i="4"/>
  <c r="L365" i="4" s="1"/>
  <c r="J366" i="4"/>
  <c r="L366" i="4" s="1"/>
  <c r="J367" i="4"/>
  <c r="L367" i="4" s="1"/>
  <c r="J368" i="4"/>
  <c r="L368" i="4" s="1"/>
  <c r="J369" i="4"/>
  <c r="L369" i="4" s="1"/>
  <c r="J370" i="4"/>
  <c r="L370" i="4" s="1"/>
  <c r="J371" i="4"/>
  <c r="L371" i="4" s="1"/>
  <c r="J372" i="4"/>
  <c r="L372" i="4" s="1"/>
  <c r="J373" i="4"/>
  <c r="L373" i="4" s="1"/>
  <c r="J374" i="4"/>
  <c r="L374" i="4" s="1"/>
  <c r="J375" i="4"/>
  <c r="L375" i="4" s="1"/>
  <c r="J376" i="4"/>
  <c r="L376" i="4" s="1"/>
  <c r="D5804" i="20" l="1"/>
  <c r="F5804" i="20" s="1"/>
  <c r="D6167" i="20"/>
  <c r="F6167" i="20" s="1"/>
  <c r="H6181" i="20" s="1"/>
  <c r="K6155" i="20" s="1"/>
  <c r="D738" i="20"/>
  <c r="F738" i="20" s="1"/>
  <c r="D2224" i="20"/>
  <c r="F2224" i="20" s="1"/>
  <c r="D2172" i="20"/>
  <c r="F2172" i="20" s="1"/>
  <c r="E5722" i="20"/>
  <c r="F733" i="20"/>
  <c r="F731" i="20"/>
  <c r="E760" i="20"/>
  <c r="F782" i="20"/>
  <c r="I5805" i="20"/>
  <c r="I5804" i="20"/>
  <c r="I5817" i="20"/>
  <c r="I5813" i="20"/>
  <c r="I5809" i="20"/>
  <c r="E5827" i="20"/>
  <c r="F5799" i="20"/>
  <c r="G5799" i="20" s="1"/>
  <c r="I5806" i="20"/>
  <c r="I5810" i="20"/>
  <c r="I5814" i="20"/>
  <c r="F5798" i="20"/>
  <c r="I5758" i="20"/>
  <c r="F5800" i="20"/>
  <c r="I5807" i="20"/>
  <c r="I5811" i="20"/>
  <c r="I5815" i="20"/>
  <c r="E5825" i="20"/>
  <c r="I5753" i="20"/>
  <c r="F5797" i="20"/>
  <c r="I5808" i="20"/>
  <c r="I5812" i="20"/>
  <c r="I5752" i="20"/>
  <c r="I5754" i="20"/>
  <c r="I5765" i="20"/>
  <c r="I5761" i="20"/>
  <c r="I5757" i="20"/>
  <c r="I5762" i="20"/>
  <c r="E5775" i="20"/>
  <c r="F5746" i="20"/>
  <c r="F5747" i="20"/>
  <c r="G5747" i="20" s="1"/>
  <c r="F5748" i="20"/>
  <c r="I5755" i="20"/>
  <c r="I5759" i="20"/>
  <c r="I5763" i="20"/>
  <c r="E5773" i="20"/>
  <c r="F5745" i="20"/>
  <c r="I5756" i="20"/>
  <c r="I5760" i="20"/>
  <c r="E5723" i="20"/>
  <c r="F5696" i="20"/>
  <c r="F5695" i="20"/>
  <c r="G5695" i="20" s="1"/>
  <c r="I5700" i="20"/>
  <c r="I5701" i="20"/>
  <c r="I5705" i="20"/>
  <c r="I5709" i="20"/>
  <c r="I5713" i="20"/>
  <c r="F5693" i="20"/>
  <c r="I5702" i="20"/>
  <c r="I5706" i="20"/>
  <c r="I5710" i="20"/>
  <c r="I5703" i="20"/>
  <c r="I5707" i="20"/>
  <c r="I5711" i="20"/>
  <c r="E5721" i="20"/>
  <c r="I5704" i="20"/>
  <c r="I5708" i="20"/>
  <c r="E709" i="20"/>
  <c r="E658" i="20"/>
  <c r="E657" i="20"/>
  <c r="F631" i="20"/>
  <c r="E811" i="20"/>
  <c r="E4494" i="20"/>
  <c r="F680" i="20"/>
  <c r="E4443" i="20"/>
  <c r="E4546" i="20"/>
  <c r="I4523" i="20"/>
  <c r="I4524" i="20"/>
  <c r="I4528" i="20"/>
  <c r="I4532" i="20"/>
  <c r="I4536" i="20"/>
  <c r="F4517" i="20"/>
  <c r="I4525" i="20"/>
  <c r="I4529" i="20"/>
  <c r="I4533" i="20"/>
  <c r="F4518" i="20"/>
  <c r="I4526" i="20"/>
  <c r="I4530" i="20"/>
  <c r="I4534" i="20"/>
  <c r="E4544" i="20"/>
  <c r="I4527" i="20"/>
  <c r="I4531" i="20"/>
  <c r="D789" i="20"/>
  <c r="F789" i="20" s="1"/>
  <c r="D687" i="20"/>
  <c r="F687" i="20" s="1"/>
  <c r="I4471" i="20"/>
  <c r="I4476" i="20"/>
  <c r="I4480" i="20"/>
  <c r="F4465" i="20"/>
  <c r="I4473" i="20"/>
  <c r="I4477" i="20"/>
  <c r="I4481" i="20"/>
  <c r="I4472" i="20"/>
  <c r="I4484" i="20"/>
  <c r="F4466" i="20"/>
  <c r="G4466" i="20" s="1"/>
  <c r="I4474" i="20"/>
  <c r="I4478" i="20"/>
  <c r="I4482" i="20"/>
  <c r="E4492" i="20"/>
  <c r="I4475" i="20"/>
  <c r="I4479" i="20"/>
  <c r="F4414" i="20"/>
  <c r="I4422" i="20"/>
  <c r="I4426" i="20"/>
  <c r="I4430" i="20"/>
  <c r="I4420" i="20"/>
  <c r="I4425" i="20"/>
  <c r="I4429" i="20"/>
  <c r="F4415" i="20"/>
  <c r="G4415" i="20" s="1"/>
  <c r="I4423" i="20"/>
  <c r="I4427" i="20"/>
  <c r="I4431" i="20"/>
  <c r="E4441" i="20"/>
  <c r="I4421" i="20"/>
  <c r="I4433" i="20"/>
  <c r="I4424" i="20"/>
  <c r="I4428" i="20"/>
  <c r="I789" i="20"/>
  <c r="I801" i="20"/>
  <c r="I788" i="20"/>
  <c r="I797" i="20"/>
  <c r="I793" i="20"/>
  <c r="F783" i="20"/>
  <c r="I790" i="20"/>
  <c r="I794" i="20"/>
  <c r="I798" i="20"/>
  <c r="F784" i="20"/>
  <c r="I791" i="20"/>
  <c r="I795" i="20"/>
  <c r="I799" i="20"/>
  <c r="E809" i="20"/>
  <c r="I792" i="20"/>
  <c r="I796" i="20"/>
  <c r="I738" i="20"/>
  <c r="I750" i="20"/>
  <c r="I737" i="20"/>
  <c r="I746" i="20"/>
  <c r="I742" i="20"/>
  <c r="I691" i="20"/>
  <c r="F732" i="20"/>
  <c r="I739" i="20"/>
  <c r="I743" i="20"/>
  <c r="I747" i="20"/>
  <c r="I740" i="20"/>
  <c r="I744" i="20"/>
  <c r="I748" i="20"/>
  <c r="E758" i="20"/>
  <c r="I741" i="20"/>
  <c r="I745" i="20"/>
  <c r="I687" i="20"/>
  <c r="I699" i="20"/>
  <c r="I686" i="20"/>
  <c r="I695" i="20"/>
  <c r="F681" i="20"/>
  <c r="I688" i="20"/>
  <c r="I692" i="20"/>
  <c r="I696" i="20"/>
  <c r="F682" i="20"/>
  <c r="I689" i="20"/>
  <c r="I693" i="20"/>
  <c r="I697" i="20"/>
  <c r="E707" i="20"/>
  <c r="I690" i="20"/>
  <c r="I694" i="20"/>
  <c r="D585" i="20"/>
  <c r="F585" i="20" s="1"/>
  <c r="D636" i="20"/>
  <c r="F636" i="20" s="1"/>
  <c r="I639" i="20"/>
  <c r="I636" i="20"/>
  <c r="I641" i="20"/>
  <c r="I642" i="20"/>
  <c r="I644" i="20"/>
  <c r="I648" i="20"/>
  <c r="I635" i="20"/>
  <c r="F630" i="20"/>
  <c r="I645" i="20"/>
  <c r="I637" i="20"/>
  <c r="I640" i="20"/>
  <c r="I646" i="20"/>
  <c r="E656" i="20"/>
  <c r="I638" i="20"/>
  <c r="I643" i="20"/>
  <c r="I584" i="20"/>
  <c r="I586" i="20"/>
  <c r="I590" i="20"/>
  <c r="I594" i="20"/>
  <c r="I587" i="20"/>
  <c r="I585" i="20"/>
  <c r="F580" i="20"/>
  <c r="G580" i="20" s="1"/>
  <c r="F578" i="20"/>
  <c r="I589" i="20"/>
  <c r="I593" i="20"/>
  <c r="I597" i="20"/>
  <c r="E607" i="20"/>
  <c r="I591" i="20"/>
  <c r="I595" i="20"/>
  <c r="E605" i="20"/>
  <c r="F579" i="20"/>
  <c r="I588" i="20"/>
  <c r="I592" i="20"/>
  <c r="G284" i="4"/>
  <c r="D2483" i="20" s="1"/>
  <c r="F2483" i="20" s="1"/>
  <c r="B556" i="20"/>
  <c r="B555" i="20"/>
  <c r="E550" i="20"/>
  <c r="F550" i="20" s="1"/>
  <c r="H551" i="20" s="1"/>
  <c r="N522" i="20" s="1"/>
  <c r="D546" i="20"/>
  <c r="F546" i="20" s="1"/>
  <c r="C546" i="20"/>
  <c r="B546" i="20"/>
  <c r="D545" i="20"/>
  <c r="F545" i="20" s="1"/>
  <c r="C545" i="20"/>
  <c r="B545" i="20"/>
  <c r="D544" i="20"/>
  <c r="F544" i="20" s="1"/>
  <c r="C544" i="20"/>
  <c r="B544" i="20"/>
  <c r="D543" i="20"/>
  <c r="F543" i="20" s="1"/>
  <c r="C543" i="20"/>
  <c r="B543" i="20"/>
  <c r="D542" i="20"/>
  <c r="F542" i="20" s="1"/>
  <c r="C542" i="20"/>
  <c r="B542" i="20"/>
  <c r="D541" i="20"/>
  <c r="F541" i="20" s="1"/>
  <c r="C541" i="20"/>
  <c r="B541" i="20"/>
  <c r="C540" i="20"/>
  <c r="B540" i="20"/>
  <c r="C539" i="20"/>
  <c r="B539" i="20"/>
  <c r="C538" i="20"/>
  <c r="B538" i="20"/>
  <c r="C537" i="20"/>
  <c r="B537" i="20"/>
  <c r="C536" i="20"/>
  <c r="B536" i="20"/>
  <c r="C535" i="20"/>
  <c r="B535" i="20"/>
  <c r="D534" i="20"/>
  <c r="F534" i="20" s="1"/>
  <c r="C534" i="20"/>
  <c r="C533" i="20"/>
  <c r="E529" i="20"/>
  <c r="D529" i="20"/>
  <c r="B529" i="20"/>
  <c r="D528" i="20"/>
  <c r="B528" i="20"/>
  <c r="D527" i="20"/>
  <c r="B527" i="20"/>
  <c r="G524" i="20"/>
  <c r="I545" i="20" s="1"/>
  <c r="G523" i="20"/>
  <c r="B523" i="20"/>
  <c r="B522" i="20"/>
  <c r="H521" i="20"/>
  <c r="B518" i="20"/>
  <c r="E555" i="20"/>
  <c r="D2228" i="20" l="1"/>
  <c r="F2228" i="20" s="1"/>
  <c r="D2177" i="20"/>
  <c r="F2177" i="20" s="1"/>
  <c r="D742" i="20"/>
  <c r="F742" i="20" s="1"/>
  <c r="D691" i="20"/>
  <c r="F691" i="20" s="1"/>
  <c r="D793" i="20"/>
  <c r="F793" i="20" s="1"/>
  <c r="D589" i="20"/>
  <c r="F589" i="20" s="1"/>
  <c r="D640" i="20"/>
  <c r="F640" i="20" s="1"/>
  <c r="I542" i="20"/>
  <c r="I534" i="20"/>
  <c r="I546" i="20"/>
  <c r="I533" i="20"/>
  <c r="I538" i="20"/>
  <c r="F528" i="20"/>
  <c r="I535" i="20"/>
  <c r="I539" i="20"/>
  <c r="I543" i="20"/>
  <c r="F529" i="20"/>
  <c r="G529" i="20" s="1"/>
  <c r="I536" i="20"/>
  <c r="I540" i="20"/>
  <c r="I544" i="20"/>
  <c r="E554" i="20"/>
  <c r="F527" i="20"/>
  <c r="E556" i="20"/>
  <c r="I537" i="20"/>
  <c r="I541" i="20"/>
  <c r="G245" i="4"/>
  <c r="B4392" i="20"/>
  <c r="B4391" i="20"/>
  <c r="E4386" i="20"/>
  <c r="F4386" i="20" s="1"/>
  <c r="H4387" i="20" s="1"/>
  <c r="N4358" i="20" s="1"/>
  <c r="D4382" i="20"/>
  <c r="F4382" i="20" s="1"/>
  <c r="C4382" i="20"/>
  <c r="B4382" i="20"/>
  <c r="D4381" i="20"/>
  <c r="F4381" i="20" s="1"/>
  <c r="C4381" i="20"/>
  <c r="B4381" i="20"/>
  <c r="D4380" i="20"/>
  <c r="F4380" i="20" s="1"/>
  <c r="C4380" i="20"/>
  <c r="B4380" i="20"/>
  <c r="D4379" i="20"/>
  <c r="F4379" i="20" s="1"/>
  <c r="C4379" i="20"/>
  <c r="B4379" i="20"/>
  <c r="D4378" i="20"/>
  <c r="F4378" i="20" s="1"/>
  <c r="C4378" i="20"/>
  <c r="B4378" i="20"/>
  <c r="D4377" i="20"/>
  <c r="F4377" i="20" s="1"/>
  <c r="C4377" i="20"/>
  <c r="B4377" i="20"/>
  <c r="D4376" i="20"/>
  <c r="F4376" i="20" s="1"/>
  <c r="C4376" i="20"/>
  <c r="B4376" i="20"/>
  <c r="D4375" i="20"/>
  <c r="F4375" i="20" s="1"/>
  <c r="C4375" i="20"/>
  <c r="B4375" i="20"/>
  <c r="D4374" i="20"/>
  <c r="F4374" i="20" s="1"/>
  <c r="C4374" i="20"/>
  <c r="B4374" i="20"/>
  <c r="D4373" i="20"/>
  <c r="F4373" i="20" s="1"/>
  <c r="C4373" i="20"/>
  <c r="B4373" i="20"/>
  <c r="D4372" i="20"/>
  <c r="F4372" i="20" s="1"/>
  <c r="C4372" i="20"/>
  <c r="B4372" i="20"/>
  <c r="D4371" i="20"/>
  <c r="F4371" i="20" s="1"/>
  <c r="C4371" i="20"/>
  <c r="B4371" i="20"/>
  <c r="C4370" i="20"/>
  <c r="C4369" i="20"/>
  <c r="E4365" i="20"/>
  <c r="G4365" i="20" s="1"/>
  <c r="D4365" i="20"/>
  <c r="B4365" i="20"/>
  <c r="E4364" i="20"/>
  <c r="D4364" i="20"/>
  <c r="B4364" i="20"/>
  <c r="D4363" i="20"/>
  <c r="B4363" i="20"/>
  <c r="G4360" i="20"/>
  <c r="I4381" i="20" s="1"/>
  <c r="G4359" i="20"/>
  <c r="B4359" i="20"/>
  <c r="B4358" i="20"/>
  <c r="H4357" i="20"/>
  <c r="B4354" i="20"/>
  <c r="E4391" i="20"/>
  <c r="B4341" i="20"/>
  <c r="B4340" i="20"/>
  <c r="E4335" i="20"/>
  <c r="F4335" i="20" s="1"/>
  <c r="H4336" i="20" s="1"/>
  <c r="N4307" i="20" s="1"/>
  <c r="D4331" i="20"/>
  <c r="F4331" i="20" s="1"/>
  <c r="C4331" i="20"/>
  <c r="B4331" i="20"/>
  <c r="D4330" i="20"/>
  <c r="F4330" i="20" s="1"/>
  <c r="C4330" i="20"/>
  <c r="B4330" i="20"/>
  <c r="D4329" i="20"/>
  <c r="F4329" i="20" s="1"/>
  <c r="C4329" i="20"/>
  <c r="B4329" i="20"/>
  <c r="D4328" i="20"/>
  <c r="F4328" i="20" s="1"/>
  <c r="C4328" i="20"/>
  <c r="B4328" i="20"/>
  <c r="D4327" i="20"/>
  <c r="F4327" i="20" s="1"/>
  <c r="C4327" i="20"/>
  <c r="B4327" i="20"/>
  <c r="D4326" i="20"/>
  <c r="F4326" i="20" s="1"/>
  <c r="C4326" i="20"/>
  <c r="B4326" i="20"/>
  <c r="D4325" i="20"/>
  <c r="F4325" i="20" s="1"/>
  <c r="C4325" i="20"/>
  <c r="B4325" i="20"/>
  <c r="D4324" i="20"/>
  <c r="F4324" i="20" s="1"/>
  <c r="C4324" i="20"/>
  <c r="B4324" i="20"/>
  <c r="D4323" i="20"/>
  <c r="F4323" i="20" s="1"/>
  <c r="C4323" i="20"/>
  <c r="B4323" i="20"/>
  <c r="D4322" i="20"/>
  <c r="F4322" i="20" s="1"/>
  <c r="C4322" i="20"/>
  <c r="B4322" i="20"/>
  <c r="D4321" i="20"/>
  <c r="F4321" i="20" s="1"/>
  <c r="C4321" i="20"/>
  <c r="B4321" i="20"/>
  <c r="D4320" i="20"/>
  <c r="F4320" i="20" s="1"/>
  <c r="C4320" i="20"/>
  <c r="B4320" i="20"/>
  <c r="C4319" i="20"/>
  <c r="C4318" i="20"/>
  <c r="E4314" i="20"/>
  <c r="G4314" i="20" s="1"/>
  <c r="D4314" i="20"/>
  <c r="B4314" i="20"/>
  <c r="D4313" i="20"/>
  <c r="B4313" i="20"/>
  <c r="D4312" i="20"/>
  <c r="B4312" i="20"/>
  <c r="G4309" i="20"/>
  <c r="I4330" i="20" s="1"/>
  <c r="G4308" i="20"/>
  <c r="B4308" i="20"/>
  <c r="B4307" i="20"/>
  <c r="H4306" i="20"/>
  <c r="B4303" i="20"/>
  <c r="E4340" i="20"/>
  <c r="E4290" i="20"/>
  <c r="H73" i="4"/>
  <c r="J73" i="4" s="1"/>
  <c r="L73" i="4" s="1"/>
  <c r="G73" i="4" s="1"/>
  <c r="D5648" i="20" s="1"/>
  <c r="F5648" i="20" s="1"/>
  <c r="G233" i="4"/>
  <c r="B4290" i="20"/>
  <c r="B4289" i="20"/>
  <c r="E4284" i="20"/>
  <c r="F4284" i="20" s="1"/>
  <c r="H4285" i="20" s="1"/>
  <c r="N4256" i="20" s="1"/>
  <c r="D4280" i="20"/>
  <c r="F4280" i="20" s="1"/>
  <c r="C4280" i="20"/>
  <c r="B4280" i="20"/>
  <c r="D4279" i="20"/>
  <c r="F4279" i="20" s="1"/>
  <c r="C4279" i="20"/>
  <c r="B4279" i="20"/>
  <c r="D4278" i="20"/>
  <c r="F4278" i="20" s="1"/>
  <c r="C4278" i="20"/>
  <c r="B4278" i="20"/>
  <c r="D4277" i="20"/>
  <c r="F4277" i="20" s="1"/>
  <c r="C4277" i="20"/>
  <c r="B4277" i="20"/>
  <c r="D4276" i="20"/>
  <c r="F4276" i="20" s="1"/>
  <c r="C4276" i="20"/>
  <c r="B4276" i="20"/>
  <c r="D4275" i="20"/>
  <c r="F4275" i="20" s="1"/>
  <c r="C4275" i="20"/>
  <c r="B4275" i="20"/>
  <c r="D4274" i="20"/>
  <c r="F4274" i="20" s="1"/>
  <c r="C4274" i="20"/>
  <c r="B4274" i="20"/>
  <c r="C4273" i="20"/>
  <c r="B4273" i="20"/>
  <c r="C4272" i="20"/>
  <c r="B4272" i="20"/>
  <c r="C4271" i="20"/>
  <c r="B4271" i="20"/>
  <c r="C4270" i="20"/>
  <c r="B4270" i="20"/>
  <c r="C4269" i="20"/>
  <c r="B4269" i="20"/>
  <c r="C4268" i="20"/>
  <c r="C4267" i="20"/>
  <c r="E4263" i="20"/>
  <c r="D4263" i="20"/>
  <c r="B4263" i="20"/>
  <c r="D4262" i="20"/>
  <c r="B4262" i="20"/>
  <c r="D4261" i="20"/>
  <c r="B4261" i="20"/>
  <c r="G4258" i="20"/>
  <c r="I4279" i="20" s="1"/>
  <c r="G4257" i="20"/>
  <c r="B4257" i="20"/>
  <c r="B4256" i="20"/>
  <c r="H4255" i="20"/>
  <c r="B4252" i="20"/>
  <c r="B504" i="20"/>
  <c r="B503" i="20"/>
  <c r="E498" i="20"/>
  <c r="F498" i="20" s="1"/>
  <c r="H499" i="20" s="1"/>
  <c r="N470" i="20" s="1"/>
  <c r="D494" i="20"/>
  <c r="F494" i="20" s="1"/>
  <c r="C494" i="20"/>
  <c r="B494" i="20"/>
  <c r="D493" i="20"/>
  <c r="F493" i="20" s="1"/>
  <c r="C493" i="20"/>
  <c r="B493" i="20"/>
  <c r="D492" i="20"/>
  <c r="F492" i="20" s="1"/>
  <c r="C492" i="20"/>
  <c r="B492" i="20"/>
  <c r="D491" i="20"/>
  <c r="F491" i="20" s="1"/>
  <c r="C491" i="20"/>
  <c r="B491" i="20"/>
  <c r="D490" i="20"/>
  <c r="F490" i="20" s="1"/>
  <c r="C490" i="20"/>
  <c r="B490" i="20"/>
  <c r="D489" i="20"/>
  <c r="F489" i="20" s="1"/>
  <c r="C489" i="20"/>
  <c r="B489" i="20"/>
  <c r="D488" i="20"/>
  <c r="F488" i="20" s="1"/>
  <c r="C488" i="20"/>
  <c r="B488" i="20"/>
  <c r="C487" i="20"/>
  <c r="B487" i="20"/>
  <c r="C486" i="20"/>
  <c r="B486" i="20"/>
  <c r="C485" i="20"/>
  <c r="B485" i="20"/>
  <c r="C484" i="20"/>
  <c r="B484" i="20"/>
  <c r="C483" i="20"/>
  <c r="B483" i="20"/>
  <c r="C482" i="20"/>
  <c r="C481" i="20"/>
  <c r="D477" i="20"/>
  <c r="B477" i="20"/>
  <c r="D476" i="20"/>
  <c r="B476" i="20"/>
  <c r="D475" i="20"/>
  <c r="B475" i="20"/>
  <c r="G472" i="20"/>
  <c r="I493" i="20" s="1"/>
  <c r="G471" i="20"/>
  <c r="B471" i="20"/>
  <c r="B470" i="20"/>
  <c r="H469" i="20"/>
  <c r="B466" i="20"/>
  <c r="H465" i="20"/>
  <c r="E503" i="20" s="1"/>
  <c r="H414" i="20"/>
  <c r="E453" i="20" s="1"/>
  <c r="B453" i="20"/>
  <c r="B452" i="20"/>
  <c r="E447" i="20"/>
  <c r="F447" i="20" s="1"/>
  <c r="H448" i="20" s="1"/>
  <c r="N419" i="20" s="1"/>
  <c r="D443" i="20"/>
  <c r="F443" i="20" s="1"/>
  <c r="C443" i="20"/>
  <c r="B443" i="20"/>
  <c r="D442" i="20"/>
  <c r="F442" i="20" s="1"/>
  <c r="C442" i="20"/>
  <c r="B442" i="20"/>
  <c r="D441" i="20"/>
  <c r="F441" i="20" s="1"/>
  <c r="C441" i="20"/>
  <c r="B441" i="20"/>
  <c r="D440" i="20"/>
  <c r="F440" i="20" s="1"/>
  <c r="C440" i="20"/>
  <c r="B440" i="20"/>
  <c r="D439" i="20"/>
  <c r="F439" i="20" s="1"/>
  <c r="C439" i="20"/>
  <c r="B439" i="20"/>
  <c r="D438" i="20"/>
  <c r="F438" i="20" s="1"/>
  <c r="C438" i="20"/>
  <c r="B438" i="20"/>
  <c r="D437" i="20"/>
  <c r="F437" i="20" s="1"/>
  <c r="C437" i="20"/>
  <c r="B437" i="20"/>
  <c r="C436" i="20"/>
  <c r="B436" i="20"/>
  <c r="C435" i="20"/>
  <c r="B435" i="20"/>
  <c r="C434" i="20"/>
  <c r="B434" i="20"/>
  <c r="C433" i="20"/>
  <c r="B433" i="20"/>
  <c r="C432" i="20"/>
  <c r="B432" i="20"/>
  <c r="C431" i="20"/>
  <c r="C430" i="20"/>
  <c r="D426" i="20"/>
  <c r="B426" i="20"/>
  <c r="D425" i="20"/>
  <c r="B425" i="20"/>
  <c r="D424" i="20"/>
  <c r="B424" i="20"/>
  <c r="G421" i="20"/>
  <c r="I442" i="20" s="1"/>
  <c r="G420" i="20"/>
  <c r="B420" i="20"/>
  <c r="B419" i="20"/>
  <c r="H418" i="20"/>
  <c r="B415" i="20"/>
  <c r="B402" i="20"/>
  <c r="B401" i="20"/>
  <c r="E396" i="20"/>
  <c r="F396" i="20" s="1"/>
  <c r="H397" i="20" s="1"/>
  <c r="N368" i="20" s="1"/>
  <c r="D392" i="20"/>
  <c r="F392" i="20" s="1"/>
  <c r="C392" i="20"/>
  <c r="B392" i="20"/>
  <c r="D391" i="20"/>
  <c r="F391" i="20" s="1"/>
  <c r="C391" i="20"/>
  <c r="B391" i="20"/>
  <c r="D390" i="20"/>
  <c r="F390" i="20" s="1"/>
  <c r="C390" i="20"/>
  <c r="B390" i="20"/>
  <c r="D389" i="20"/>
  <c r="F389" i="20" s="1"/>
  <c r="C389" i="20"/>
  <c r="B389" i="20"/>
  <c r="D388" i="20"/>
  <c r="F388" i="20" s="1"/>
  <c r="C388" i="20"/>
  <c r="B388" i="20"/>
  <c r="D387" i="20"/>
  <c r="F387" i="20" s="1"/>
  <c r="C387" i="20"/>
  <c r="B387" i="20"/>
  <c r="C386" i="20"/>
  <c r="B386" i="20"/>
  <c r="C385" i="20"/>
  <c r="B385" i="20"/>
  <c r="C384" i="20"/>
  <c r="B384" i="20"/>
  <c r="C383" i="20"/>
  <c r="B383" i="20"/>
  <c r="C382" i="20"/>
  <c r="B382" i="20"/>
  <c r="C381" i="20"/>
  <c r="B381" i="20"/>
  <c r="C380" i="20"/>
  <c r="C379" i="20"/>
  <c r="D375" i="20"/>
  <c r="B375" i="20"/>
  <c r="D374" i="20"/>
  <c r="B374" i="20"/>
  <c r="D373" i="20"/>
  <c r="B373" i="20"/>
  <c r="G370" i="20"/>
  <c r="I391" i="20" s="1"/>
  <c r="G369" i="20"/>
  <c r="B369" i="20"/>
  <c r="B368" i="20"/>
  <c r="H367" i="20"/>
  <c r="B364" i="20"/>
  <c r="H363" i="20"/>
  <c r="E401" i="20" s="1"/>
  <c r="B351" i="20"/>
  <c r="B350" i="20"/>
  <c r="E345" i="20"/>
  <c r="F345" i="20" s="1"/>
  <c r="H346" i="20" s="1"/>
  <c r="N317" i="20" s="1"/>
  <c r="D341" i="20"/>
  <c r="F341" i="20" s="1"/>
  <c r="C341" i="20"/>
  <c r="B341" i="20"/>
  <c r="D340" i="20"/>
  <c r="F340" i="20" s="1"/>
  <c r="C340" i="20"/>
  <c r="B340" i="20"/>
  <c r="D339" i="20"/>
  <c r="F339" i="20" s="1"/>
  <c r="C339" i="20"/>
  <c r="B339" i="20"/>
  <c r="D338" i="20"/>
  <c r="F338" i="20" s="1"/>
  <c r="C338" i="20"/>
  <c r="B338" i="20"/>
  <c r="D337" i="20"/>
  <c r="F337" i="20" s="1"/>
  <c r="C337" i="20"/>
  <c r="B337" i="20"/>
  <c r="D336" i="20"/>
  <c r="F336" i="20" s="1"/>
  <c r="C336" i="20"/>
  <c r="B336" i="20"/>
  <c r="C335" i="20"/>
  <c r="B335" i="20"/>
  <c r="C334" i="20"/>
  <c r="B334" i="20"/>
  <c r="C333" i="20"/>
  <c r="B333" i="20"/>
  <c r="C332" i="20"/>
  <c r="B332" i="20"/>
  <c r="C331" i="20"/>
  <c r="B331" i="20"/>
  <c r="C330" i="20"/>
  <c r="B330" i="20"/>
  <c r="C329" i="20"/>
  <c r="C328" i="20"/>
  <c r="D324" i="20"/>
  <c r="B324" i="20"/>
  <c r="D323" i="20"/>
  <c r="B323" i="20"/>
  <c r="D322" i="20"/>
  <c r="B322" i="20"/>
  <c r="G319" i="20"/>
  <c r="I340" i="20" s="1"/>
  <c r="G318" i="20"/>
  <c r="B318" i="20"/>
  <c r="B317" i="20"/>
  <c r="H316" i="20"/>
  <c r="B313" i="20"/>
  <c r="H312" i="20"/>
  <c r="E350" i="20" s="1"/>
  <c r="H261" i="20"/>
  <c r="F271" i="20" s="1"/>
  <c r="B300" i="20"/>
  <c r="B299" i="20"/>
  <c r="E294" i="20"/>
  <c r="F294" i="20" s="1"/>
  <c r="H295" i="20" s="1"/>
  <c r="N266" i="20" s="1"/>
  <c r="D290" i="20"/>
  <c r="F290" i="20" s="1"/>
  <c r="C290" i="20"/>
  <c r="B290" i="20"/>
  <c r="D289" i="20"/>
  <c r="F289" i="20" s="1"/>
  <c r="C289" i="20"/>
  <c r="B289" i="20"/>
  <c r="D288" i="20"/>
  <c r="F288" i="20" s="1"/>
  <c r="C288" i="20"/>
  <c r="B288" i="20"/>
  <c r="D287" i="20"/>
  <c r="F287" i="20" s="1"/>
  <c r="C287" i="20"/>
  <c r="B287" i="20"/>
  <c r="D286" i="20"/>
  <c r="F286" i="20" s="1"/>
  <c r="C286" i="20"/>
  <c r="B286" i="20"/>
  <c r="D285" i="20"/>
  <c r="F285" i="20" s="1"/>
  <c r="C285" i="20"/>
  <c r="B285" i="20"/>
  <c r="C284" i="20"/>
  <c r="B284" i="20"/>
  <c r="C283" i="20"/>
  <c r="B283" i="20"/>
  <c r="C282" i="20"/>
  <c r="B282" i="20"/>
  <c r="C281" i="20"/>
  <c r="B281" i="20"/>
  <c r="C280" i="20"/>
  <c r="B280" i="20"/>
  <c r="C279" i="20"/>
  <c r="B279" i="20"/>
  <c r="C278" i="20"/>
  <c r="C277" i="20"/>
  <c r="D273" i="20"/>
  <c r="B273" i="20"/>
  <c r="D272" i="20"/>
  <c r="B272" i="20"/>
  <c r="D271" i="20"/>
  <c r="B271" i="20"/>
  <c r="G268" i="20"/>
  <c r="I289" i="20" s="1"/>
  <c r="G267" i="20"/>
  <c r="B267" i="20"/>
  <c r="B266" i="20"/>
  <c r="H265" i="20"/>
  <c r="B262" i="20"/>
  <c r="B249" i="20"/>
  <c r="B248" i="20"/>
  <c r="E243" i="20"/>
  <c r="F243" i="20" s="1"/>
  <c r="H244" i="20" s="1"/>
  <c r="N215" i="20" s="1"/>
  <c r="D239" i="20"/>
  <c r="F239" i="20" s="1"/>
  <c r="C239" i="20"/>
  <c r="B239" i="20"/>
  <c r="D238" i="20"/>
  <c r="F238" i="20" s="1"/>
  <c r="C238" i="20"/>
  <c r="B238" i="20"/>
  <c r="D237" i="20"/>
  <c r="F237" i="20" s="1"/>
  <c r="C237" i="20"/>
  <c r="B237" i="20"/>
  <c r="D236" i="20"/>
  <c r="F236" i="20" s="1"/>
  <c r="C236" i="20"/>
  <c r="B236" i="20"/>
  <c r="D235" i="20"/>
  <c r="F235" i="20" s="1"/>
  <c r="C235" i="20"/>
  <c r="B235" i="20"/>
  <c r="D234" i="20"/>
  <c r="F234" i="20" s="1"/>
  <c r="C234" i="20"/>
  <c r="B234" i="20"/>
  <c r="C233" i="20"/>
  <c r="B233" i="20"/>
  <c r="C232" i="20"/>
  <c r="B232" i="20"/>
  <c r="C231" i="20"/>
  <c r="B231" i="20"/>
  <c r="C230" i="20"/>
  <c r="B230" i="20"/>
  <c r="C229" i="20"/>
  <c r="B229" i="20"/>
  <c r="C228" i="20"/>
  <c r="B228" i="20"/>
  <c r="C227" i="20"/>
  <c r="C226" i="20"/>
  <c r="D222" i="20"/>
  <c r="B222" i="20"/>
  <c r="D221" i="20"/>
  <c r="B221" i="20"/>
  <c r="D220" i="20"/>
  <c r="B220" i="20"/>
  <c r="G217" i="20"/>
  <c r="I238" i="20" s="1"/>
  <c r="G216" i="20"/>
  <c r="B216" i="20"/>
  <c r="B215" i="20"/>
  <c r="H214" i="20"/>
  <c r="B211" i="20"/>
  <c r="H210" i="20"/>
  <c r="E248" i="20" s="1"/>
  <c r="B198" i="20"/>
  <c r="B197" i="20"/>
  <c r="E192" i="20"/>
  <c r="F192" i="20" s="1"/>
  <c r="H193" i="20" s="1"/>
  <c r="N164" i="20" s="1"/>
  <c r="D188" i="20"/>
  <c r="F188" i="20" s="1"/>
  <c r="C188" i="20"/>
  <c r="B188" i="20"/>
  <c r="D187" i="20"/>
  <c r="F187" i="20" s="1"/>
  <c r="C187" i="20"/>
  <c r="B187" i="20"/>
  <c r="D186" i="20"/>
  <c r="F186" i="20" s="1"/>
  <c r="C186" i="20"/>
  <c r="B186" i="20"/>
  <c r="D185" i="20"/>
  <c r="F185" i="20" s="1"/>
  <c r="C185" i="20"/>
  <c r="B185" i="20"/>
  <c r="D184" i="20"/>
  <c r="F184" i="20" s="1"/>
  <c r="C184" i="20"/>
  <c r="B184" i="20"/>
  <c r="D183" i="20"/>
  <c r="F183" i="20" s="1"/>
  <c r="C183" i="20"/>
  <c r="B183" i="20"/>
  <c r="C182" i="20"/>
  <c r="B182" i="20"/>
  <c r="C181" i="20"/>
  <c r="B181" i="20"/>
  <c r="C180" i="20"/>
  <c r="B180" i="20"/>
  <c r="C179" i="20"/>
  <c r="B179" i="20"/>
  <c r="C178" i="20"/>
  <c r="B178" i="20"/>
  <c r="C177" i="20"/>
  <c r="B177" i="20"/>
  <c r="C176" i="20"/>
  <c r="C175" i="20"/>
  <c r="D171" i="20"/>
  <c r="B171" i="20"/>
  <c r="D170" i="20"/>
  <c r="B170" i="20"/>
  <c r="D169" i="20"/>
  <c r="B169" i="20"/>
  <c r="G166" i="20"/>
  <c r="I187" i="20" s="1"/>
  <c r="G165" i="20"/>
  <c r="B165" i="20"/>
  <c r="B164" i="20"/>
  <c r="H163" i="20"/>
  <c r="B160" i="20"/>
  <c r="H159" i="20"/>
  <c r="E197" i="20" s="1"/>
  <c r="B147" i="20"/>
  <c r="B146" i="20"/>
  <c r="E141" i="20"/>
  <c r="F141" i="20" s="1"/>
  <c r="H142" i="20" s="1"/>
  <c r="N113" i="20" s="1"/>
  <c r="D137" i="20"/>
  <c r="F137" i="20" s="1"/>
  <c r="C137" i="20"/>
  <c r="B137" i="20"/>
  <c r="D136" i="20"/>
  <c r="F136" i="20" s="1"/>
  <c r="C136" i="20"/>
  <c r="B136" i="20"/>
  <c r="D135" i="20"/>
  <c r="F135" i="20" s="1"/>
  <c r="C135" i="20"/>
  <c r="B135" i="20"/>
  <c r="D134" i="20"/>
  <c r="F134" i="20" s="1"/>
  <c r="C134" i="20"/>
  <c r="B134" i="20"/>
  <c r="D133" i="20"/>
  <c r="F133" i="20" s="1"/>
  <c r="C133" i="20"/>
  <c r="B133" i="20"/>
  <c r="D132" i="20"/>
  <c r="F132" i="20" s="1"/>
  <c r="C132" i="20"/>
  <c r="B132" i="20"/>
  <c r="C131" i="20"/>
  <c r="B131" i="20"/>
  <c r="C130" i="20"/>
  <c r="B130" i="20"/>
  <c r="C129" i="20"/>
  <c r="B129" i="20"/>
  <c r="C128" i="20"/>
  <c r="B128" i="20"/>
  <c r="C127" i="20"/>
  <c r="B127" i="20"/>
  <c r="C126" i="20"/>
  <c r="B126" i="20"/>
  <c r="C125" i="20"/>
  <c r="C124" i="20"/>
  <c r="D120" i="20"/>
  <c r="B120" i="20"/>
  <c r="D119" i="20"/>
  <c r="B119" i="20"/>
  <c r="D118" i="20"/>
  <c r="B118" i="20"/>
  <c r="G115" i="20"/>
  <c r="I136" i="20" s="1"/>
  <c r="G114" i="20"/>
  <c r="B114" i="20"/>
  <c r="B113" i="20"/>
  <c r="H112" i="20"/>
  <c r="B109" i="20"/>
  <c r="H108" i="20"/>
  <c r="E146" i="20" s="1"/>
  <c r="J278" i="4"/>
  <c r="L278" i="4" s="1"/>
  <c r="H272" i="4"/>
  <c r="J272" i="4" s="1"/>
  <c r="L272" i="4" s="1"/>
  <c r="H271" i="4"/>
  <c r="J271" i="4" s="1"/>
  <c r="L271" i="4" s="1"/>
  <c r="J208" i="4"/>
  <c r="L208" i="4" s="1"/>
  <c r="H206" i="4"/>
  <c r="J206" i="4" s="1"/>
  <c r="L206" i="4" s="1"/>
  <c r="H205" i="4"/>
  <c r="J205" i="4" s="1"/>
  <c r="L205" i="4" s="1"/>
  <c r="H200" i="4"/>
  <c r="J200" i="4" s="1"/>
  <c r="L200" i="4" s="1"/>
  <c r="H204" i="4"/>
  <c r="J204" i="4" s="1"/>
  <c r="L204" i="4" s="1"/>
  <c r="H203" i="4"/>
  <c r="J203" i="4" s="1"/>
  <c r="L203" i="4" s="1"/>
  <c r="B96" i="20"/>
  <c r="B95" i="20"/>
  <c r="E90" i="20"/>
  <c r="F90" i="20" s="1"/>
  <c r="H91" i="20" s="1"/>
  <c r="N62" i="20" s="1"/>
  <c r="D86" i="20"/>
  <c r="F86" i="20" s="1"/>
  <c r="C86" i="20"/>
  <c r="B86" i="20"/>
  <c r="D85" i="20"/>
  <c r="F85" i="20" s="1"/>
  <c r="C85" i="20"/>
  <c r="B85" i="20"/>
  <c r="D84" i="20"/>
  <c r="F84" i="20" s="1"/>
  <c r="C84" i="20"/>
  <c r="B84" i="20"/>
  <c r="D83" i="20"/>
  <c r="F83" i="20" s="1"/>
  <c r="C83" i="20"/>
  <c r="B83" i="20"/>
  <c r="D82" i="20"/>
  <c r="F82" i="20" s="1"/>
  <c r="C82" i="20"/>
  <c r="B82" i="20"/>
  <c r="D81" i="20"/>
  <c r="F81" i="20" s="1"/>
  <c r="C81" i="20"/>
  <c r="B81" i="20"/>
  <c r="C80" i="20"/>
  <c r="B80" i="20"/>
  <c r="C79" i="20"/>
  <c r="B79" i="20"/>
  <c r="C78" i="20"/>
  <c r="B78" i="20"/>
  <c r="C77" i="20"/>
  <c r="B77" i="20"/>
  <c r="C76" i="20"/>
  <c r="B76" i="20"/>
  <c r="C75" i="20"/>
  <c r="B75" i="20"/>
  <c r="C74" i="20"/>
  <c r="C73" i="20"/>
  <c r="D69" i="20"/>
  <c r="B69" i="20"/>
  <c r="D68" i="20"/>
  <c r="B68" i="20"/>
  <c r="D67" i="20"/>
  <c r="B67" i="20"/>
  <c r="G64" i="20"/>
  <c r="I85" i="20" s="1"/>
  <c r="G63" i="20"/>
  <c r="B63" i="20"/>
  <c r="B62" i="20"/>
  <c r="H61" i="20"/>
  <c r="B58" i="20"/>
  <c r="H57" i="20"/>
  <c r="E95" i="20" s="1"/>
  <c r="D5546" i="20" l="1"/>
  <c r="F5546" i="20" s="1"/>
  <c r="D5597" i="20"/>
  <c r="F5597" i="20" s="1"/>
  <c r="D5495" i="20"/>
  <c r="F5495" i="20" s="1"/>
  <c r="D5392" i="20"/>
  <c r="F5392" i="20" s="1"/>
  <c r="D5443" i="20"/>
  <c r="F5443" i="20" s="1"/>
  <c r="D5238" i="20"/>
  <c r="F5238" i="20" s="1"/>
  <c r="H5251" i="20" s="1"/>
  <c r="K5226" i="20" s="1"/>
  <c r="D5290" i="20"/>
  <c r="F5290" i="20" s="1"/>
  <c r="H5303" i="20" s="1"/>
  <c r="D5341" i="20"/>
  <c r="F5341" i="20" s="1"/>
  <c r="F426" i="20"/>
  <c r="E452" i="20"/>
  <c r="F424" i="20"/>
  <c r="D4676" i="20"/>
  <c r="F4676" i="20" s="1"/>
  <c r="D5135" i="20"/>
  <c r="F5135" i="20" s="1"/>
  <c r="D4931" i="20"/>
  <c r="F4931" i="20" s="1"/>
  <c r="D5187" i="20"/>
  <c r="F5187" i="20" s="1"/>
  <c r="D5136" i="20"/>
  <c r="F5136" i="20" s="1"/>
  <c r="D5085" i="20"/>
  <c r="F5085" i="20" s="1"/>
  <c r="H5098" i="20" s="1"/>
  <c r="D5034" i="20"/>
  <c r="F5034" i="20" s="1"/>
  <c r="D4983" i="20"/>
  <c r="F4983" i="20" s="1"/>
  <c r="D4881" i="20"/>
  <c r="F4881" i="20" s="1"/>
  <c r="D4932" i="20"/>
  <c r="F4932" i="20" s="1"/>
  <c r="D4677" i="20"/>
  <c r="F4677" i="20" s="1"/>
  <c r="D4830" i="20"/>
  <c r="F4830" i="20" s="1"/>
  <c r="D4779" i="20"/>
  <c r="F4779" i="20" s="1"/>
  <c r="D4728" i="20"/>
  <c r="F4728" i="20" s="1"/>
  <c r="H4741" i="20" s="1"/>
  <c r="E299" i="20"/>
  <c r="D4575" i="20"/>
  <c r="F4575" i="20" s="1"/>
  <c r="H4588" i="20" s="1"/>
  <c r="K4563" i="20" s="1"/>
  <c r="D4626" i="20"/>
  <c r="F4626" i="20" s="1"/>
  <c r="H4639" i="20" s="1"/>
  <c r="D8684" i="20"/>
  <c r="F8684" i="20" s="1"/>
  <c r="F67" i="20"/>
  <c r="D4318" i="20"/>
  <c r="F4318" i="20" s="1"/>
  <c r="D4523" i="20"/>
  <c r="F4523" i="20" s="1"/>
  <c r="D5754" i="20"/>
  <c r="F5754" i="20" s="1"/>
  <c r="D5702" i="20"/>
  <c r="F5702" i="20" s="1"/>
  <c r="D4524" i="20"/>
  <c r="F4524" i="20" s="1"/>
  <c r="E147" i="20"/>
  <c r="E198" i="20"/>
  <c r="E249" i="20"/>
  <c r="E300" i="20"/>
  <c r="F322" i="20"/>
  <c r="F373" i="20"/>
  <c r="E351" i="20"/>
  <c r="E402" i="20"/>
  <c r="E4341" i="20"/>
  <c r="E4392" i="20"/>
  <c r="E96" i="20"/>
  <c r="F118" i="20"/>
  <c r="F169" i="20"/>
  <c r="F220" i="20"/>
  <c r="D4319" i="20"/>
  <c r="F4319" i="20" s="1"/>
  <c r="D4472" i="20"/>
  <c r="F4472" i="20" s="1"/>
  <c r="D4421" i="20"/>
  <c r="F4421" i="20" s="1"/>
  <c r="D4471" i="20"/>
  <c r="F4471" i="20" s="1"/>
  <c r="D4420" i="20"/>
  <c r="F4420" i="20" s="1"/>
  <c r="D4370" i="20"/>
  <c r="F4370" i="20" s="1"/>
  <c r="I4369" i="20"/>
  <c r="I4370" i="20"/>
  <c r="I4374" i="20"/>
  <c r="I4378" i="20"/>
  <c r="I4382" i="20"/>
  <c r="F4363" i="20"/>
  <c r="I4371" i="20"/>
  <c r="I4375" i="20"/>
  <c r="I4379" i="20"/>
  <c r="F4364" i="20"/>
  <c r="G4364" i="20" s="1"/>
  <c r="I4372" i="20"/>
  <c r="I4376" i="20"/>
  <c r="I4380" i="20"/>
  <c r="E4390" i="20"/>
  <c r="I4373" i="20"/>
  <c r="I4377" i="20"/>
  <c r="I4323" i="20"/>
  <c r="F4312" i="20"/>
  <c r="I4320" i="20"/>
  <c r="I4324" i="20"/>
  <c r="I4328" i="20"/>
  <c r="I4318" i="20"/>
  <c r="I4319" i="20"/>
  <c r="I4327" i="20"/>
  <c r="I4331" i="20"/>
  <c r="F4313" i="20"/>
  <c r="I4321" i="20"/>
  <c r="I4325" i="20"/>
  <c r="I4329" i="20"/>
  <c r="E4339" i="20"/>
  <c r="I4322" i="20"/>
  <c r="I4326" i="20"/>
  <c r="E4289" i="20"/>
  <c r="F4261" i="20"/>
  <c r="I4268" i="20"/>
  <c r="I4267" i="20"/>
  <c r="I4272" i="20"/>
  <c r="I4280" i="20"/>
  <c r="I4276" i="20"/>
  <c r="I4269" i="20"/>
  <c r="I4273" i="20"/>
  <c r="I4277" i="20"/>
  <c r="I4270" i="20"/>
  <c r="I4274" i="20"/>
  <c r="I4278" i="20"/>
  <c r="E4288" i="20"/>
  <c r="F4262" i="20"/>
  <c r="G4263" i="20"/>
  <c r="I4271" i="20"/>
  <c r="I4275" i="20"/>
  <c r="F475" i="20"/>
  <c r="I481" i="20"/>
  <c r="I482" i="20"/>
  <c r="I486" i="20"/>
  <c r="I490" i="20"/>
  <c r="I494" i="20"/>
  <c r="E504" i="20"/>
  <c r="I443" i="20"/>
  <c r="F476" i="20"/>
  <c r="I483" i="20"/>
  <c r="I487" i="20"/>
  <c r="I491" i="20"/>
  <c r="F477" i="20"/>
  <c r="I484" i="20"/>
  <c r="I488" i="20"/>
  <c r="I492" i="20"/>
  <c r="E502" i="20"/>
  <c r="I485" i="20"/>
  <c r="I489" i="20"/>
  <c r="I439" i="20"/>
  <c r="I431" i="20"/>
  <c r="I430" i="20"/>
  <c r="I435" i="20"/>
  <c r="F425" i="20"/>
  <c r="I432" i="20"/>
  <c r="I436" i="20"/>
  <c r="I440" i="20"/>
  <c r="I433" i="20"/>
  <c r="I437" i="20"/>
  <c r="I441" i="20"/>
  <c r="E451" i="20"/>
  <c r="I434" i="20"/>
  <c r="I438" i="20"/>
  <c r="I392" i="20"/>
  <c r="I388" i="20"/>
  <c r="I384" i="20"/>
  <c r="I380" i="20"/>
  <c r="I379" i="20"/>
  <c r="F374" i="20"/>
  <c r="I381" i="20"/>
  <c r="I385" i="20"/>
  <c r="I389" i="20"/>
  <c r="F375" i="20"/>
  <c r="I382" i="20"/>
  <c r="I386" i="20"/>
  <c r="I390" i="20"/>
  <c r="E400" i="20"/>
  <c r="I290" i="20"/>
  <c r="I383" i="20"/>
  <c r="I387" i="20"/>
  <c r="I329" i="20"/>
  <c r="I341" i="20"/>
  <c r="I328" i="20"/>
  <c r="I337" i="20"/>
  <c r="I333" i="20"/>
  <c r="I278" i="20"/>
  <c r="F323" i="20"/>
  <c r="I330" i="20"/>
  <c r="I334" i="20"/>
  <c r="I338" i="20"/>
  <c r="I277" i="20"/>
  <c r="I282" i="20"/>
  <c r="F324" i="20"/>
  <c r="I331" i="20"/>
  <c r="I335" i="20"/>
  <c r="I339" i="20"/>
  <c r="E349" i="20"/>
  <c r="I332" i="20"/>
  <c r="I336" i="20"/>
  <c r="I286" i="20"/>
  <c r="F272" i="20"/>
  <c r="I279" i="20"/>
  <c r="I283" i="20"/>
  <c r="I287" i="20"/>
  <c r="F273" i="20"/>
  <c r="I280" i="20"/>
  <c r="I284" i="20"/>
  <c r="I288" i="20"/>
  <c r="E298" i="20"/>
  <c r="I281" i="20"/>
  <c r="I285" i="20"/>
  <c r="I227" i="20"/>
  <c r="I239" i="20"/>
  <c r="I226" i="20"/>
  <c r="I235" i="20"/>
  <c r="I231" i="20"/>
  <c r="F221" i="20"/>
  <c r="I228" i="20"/>
  <c r="I232" i="20"/>
  <c r="I236" i="20"/>
  <c r="F222" i="20"/>
  <c r="I229" i="20"/>
  <c r="I233" i="20"/>
  <c r="I237" i="20"/>
  <c r="E247" i="20"/>
  <c r="I230" i="20"/>
  <c r="I234" i="20"/>
  <c r="I175" i="20"/>
  <c r="I176" i="20"/>
  <c r="I180" i="20"/>
  <c r="I184" i="20"/>
  <c r="I188" i="20"/>
  <c r="I177" i="20"/>
  <c r="I181" i="20"/>
  <c r="I185" i="20"/>
  <c r="F171" i="20"/>
  <c r="I178" i="20"/>
  <c r="I182" i="20"/>
  <c r="I186" i="20"/>
  <c r="E196" i="20"/>
  <c r="F170" i="20"/>
  <c r="I179" i="20"/>
  <c r="I183" i="20"/>
  <c r="I125" i="20"/>
  <c r="I137" i="20"/>
  <c r="I124" i="20"/>
  <c r="I133" i="20"/>
  <c r="I129" i="20"/>
  <c r="F119" i="20"/>
  <c r="I126" i="20"/>
  <c r="I130" i="20"/>
  <c r="I134" i="20"/>
  <c r="F120" i="20"/>
  <c r="I127" i="20"/>
  <c r="I131" i="20"/>
  <c r="I135" i="20"/>
  <c r="E145" i="20"/>
  <c r="I128" i="20"/>
  <c r="I132" i="20"/>
  <c r="I74" i="20"/>
  <c r="I86" i="20"/>
  <c r="I73" i="20"/>
  <c r="I82" i="20"/>
  <c r="I78" i="20"/>
  <c r="F68" i="20"/>
  <c r="I75" i="20"/>
  <c r="I79" i="20"/>
  <c r="I83" i="20"/>
  <c r="I76" i="20"/>
  <c r="I80" i="20"/>
  <c r="I84" i="20"/>
  <c r="E94" i="20"/>
  <c r="F69" i="20"/>
  <c r="I77" i="20"/>
  <c r="I81" i="20"/>
  <c r="K5278" i="20" l="1"/>
  <c r="H4945" i="20"/>
  <c r="H4690" i="20"/>
  <c r="K4665" i="20" s="1"/>
  <c r="K5073" i="20"/>
  <c r="K4716" i="20"/>
  <c r="K4614" i="20"/>
  <c r="H4537" i="20"/>
  <c r="K4512" i="20" s="1"/>
  <c r="H4332" i="20"/>
  <c r="K4307" i="20" s="1"/>
  <c r="H4434" i="20"/>
  <c r="K4409" i="20" s="1"/>
  <c r="H4485" i="20"/>
  <c r="K4460" i="20" s="1"/>
  <c r="K4920" i="20" l="1"/>
  <c r="H5" i="20" l="1"/>
  <c r="F17" i="20" s="1"/>
  <c r="D16" i="20"/>
  <c r="B16" i="20"/>
  <c r="G255" i="4"/>
  <c r="G324" i="4"/>
  <c r="D9529" i="20" s="1"/>
  <c r="F9529" i="20" s="1"/>
  <c r="G326" i="4"/>
  <c r="G330" i="4"/>
  <c r="D8796" i="20" s="1"/>
  <c r="F8796" i="20" s="1"/>
  <c r="G331" i="4"/>
  <c r="G332" i="4"/>
  <c r="D8798" i="20" s="1"/>
  <c r="F8798" i="20" s="1"/>
  <c r="G333" i="4"/>
  <c r="D8799" i="20" s="1"/>
  <c r="F8799" i="20" s="1"/>
  <c r="G334" i="4"/>
  <c r="G335" i="4"/>
  <c r="J3" i="4"/>
  <c r="B4" i="4"/>
  <c r="B5" i="4" l="1"/>
  <c r="D4066" i="20"/>
  <c r="F4066" i="20" s="1"/>
  <c r="D3964" i="20"/>
  <c r="F3964" i="20" s="1"/>
  <c r="D4015" i="20"/>
  <c r="F4015" i="20" s="1"/>
  <c r="D3913" i="20"/>
  <c r="F3913" i="20" s="1"/>
  <c r="D9477" i="20"/>
  <c r="F9477" i="20" s="1"/>
  <c r="D9425" i="20"/>
  <c r="F9425" i="20" s="1"/>
  <c r="D8738" i="20"/>
  <c r="F8738" i="20" s="1"/>
  <c r="D3862" i="20"/>
  <c r="F3862" i="20" s="1"/>
  <c r="D3811" i="20"/>
  <c r="F3811" i="20" s="1"/>
  <c r="D3602" i="20"/>
  <c r="F3602" i="20" s="1"/>
  <c r="D3704" i="20"/>
  <c r="F3704" i="20" s="1"/>
  <c r="D3653" i="20"/>
  <c r="F3653" i="20" s="1"/>
  <c r="D3760" i="20"/>
  <c r="F3760" i="20" s="1"/>
  <c r="D686" i="20"/>
  <c r="F686" i="20" s="1"/>
  <c r="D3600" i="20"/>
  <c r="F3600" i="20" s="1"/>
  <c r="D3556" i="20"/>
  <c r="F3556" i="20" s="1"/>
  <c r="D9269" i="20"/>
  <c r="F9269" i="20" s="1"/>
  <c r="D3352" i="20"/>
  <c r="F3352" i="20" s="1"/>
  <c r="D3505" i="20"/>
  <c r="F3505" i="20" s="1"/>
  <c r="D9165" i="20"/>
  <c r="F9165" i="20" s="1"/>
  <c r="H9178" i="20" s="1"/>
  <c r="K9152" i="20" s="1"/>
  <c r="D3301" i="20"/>
  <c r="F3301" i="20" s="1"/>
  <c r="D3148" i="20"/>
  <c r="F3148" i="20" s="1"/>
  <c r="D3046" i="20"/>
  <c r="F3046" i="20" s="1"/>
  <c r="D2791" i="20"/>
  <c r="F2791" i="20" s="1"/>
  <c r="D2995" i="20"/>
  <c r="F2995" i="20" s="1"/>
  <c r="D2944" i="20"/>
  <c r="F2944" i="20" s="1"/>
  <c r="D2740" i="20"/>
  <c r="F2740" i="20" s="1"/>
  <c r="D2689" i="20"/>
  <c r="F2689" i="20" s="1"/>
  <c r="D2893" i="20"/>
  <c r="F2893" i="20" s="1"/>
  <c r="D3250" i="20"/>
  <c r="F3250" i="20" s="1"/>
  <c r="D3199" i="20"/>
  <c r="F3199" i="20" s="1"/>
  <c r="D3097" i="20"/>
  <c r="F3097" i="20" s="1"/>
  <c r="D2842" i="20"/>
  <c r="F2842" i="20" s="1"/>
  <c r="D2638" i="20"/>
  <c r="F2638" i="20" s="1"/>
  <c r="D5137" i="20"/>
  <c r="F5137" i="20" s="1"/>
  <c r="H5149" i="20" s="1"/>
  <c r="K5124" i="20" s="1"/>
  <c r="D5192" i="20"/>
  <c r="F5192" i="20" s="1"/>
  <c r="D2587" i="20"/>
  <c r="F2587" i="20" s="1"/>
  <c r="D2536" i="20"/>
  <c r="F2536" i="20" s="1"/>
  <c r="D2480" i="20"/>
  <c r="F2480" i="20" s="1"/>
  <c r="D8901" i="20"/>
  <c r="F8901" i="20" s="1"/>
  <c r="D9217" i="20"/>
  <c r="F9217" i="20" s="1"/>
  <c r="H9230" i="20" s="1"/>
  <c r="K9204" i="20" s="1"/>
  <c r="D1872" i="20"/>
  <c r="F1872" i="20" s="1"/>
  <c r="D2225" i="20"/>
  <c r="F2225" i="20" s="1"/>
  <c r="D1923" i="20"/>
  <c r="F1923" i="20" s="1"/>
  <c r="D1974" i="20"/>
  <c r="F1974" i="20" s="1"/>
  <c r="D8853" i="20"/>
  <c r="F8853" i="20" s="1"/>
  <c r="D8905" i="20"/>
  <c r="F8905" i="20" s="1"/>
  <c r="D8852" i="20"/>
  <c r="F8852" i="20" s="1"/>
  <c r="D8904" i="20"/>
  <c r="F8904" i="20" s="1"/>
  <c r="D8851" i="20"/>
  <c r="F8851" i="20" s="1"/>
  <c r="D8903" i="20"/>
  <c r="F8903" i="20" s="1"/>
  <c r="D8850" i="20"/>
  <c r="F8850" i="20" s="1"/>
  <c r="D8902" i="20"/>
  <c r="F8902" i="20" s="1"/>
  <c r="D8848" i="20"/>
  <c r="F8848" i="20" s="1"/>
  <c r="D8900" i="20"/>
  <c r="F8900" i="20" s="1"/>
  <c r="D9113" i="20"/>
  <c r="F9113" i="20" s="1"/>
  <c r="H9126" i="20" s="1"/>
  <c r="D8683" i="20"/>
  <c r="F8683" i="20" s="1"/>
  <c r="H8700" i="20" s="1"/>
  <c r="D8849" i="20"/>
  <c r="F8849" i="20" s="1"/>
  <c r="D8797" i="20"/>
  <c r="F8797" i="20" s="1"/>
  <c r="H8810" i="20" s="1"/>
  <c r="D5756" i="20"/>
  <c r="F5756" i="20" s="1"/>
  <c r="D5806" i="20"/>
  <c r="F5806" i="20" s="1"/>
  <c r="F15" i="20"/>
  <c r="D790" i="20"/>
  <c r="F790" i="20" s="1"/>
  <c r="D637" i="20"/>
  <c r="F637" i="20" s="1"/>
  <c r="D586" i="20"/>
  <c r="F586" i="20" s="1"/>
  <c r="D739" i="20"/>
  <c r="F739" i="20" s="1"/>
  <c r="D688" i="20"/>
  <c r="F688" i="20" s="1"/>
  <c r="F16" i="20"/>
  <c r="B6" i="4" l="1"/>
  <c r="K8784" i="20"/>
  <c r="K8671" i="20"/>
  <c r="K9100" i="20"/>
  <c r="B7" i="4" l="1"/>
  <c r="G5" i="5"/>
  <c r="G6" i="5"/>
  <c r="G7" i="5"/>
  <c r="G8" i="5"/>
  <c r="G9" i="5"/>
  <c r="G10" i="5"/>
  <c r="G11" i="5"/>
  <c r="G12" i="5"/>
  <c r="G13" i="5"/>
  <c r="G14" i="5"/>
  <c r="G17" i="5"/>
  <c r="G18" i="5"/>
  <c r="G19" i="5"/>
  <c r="G20" i="5"/>
  <c r="G21" i="5"/>
  <c r="G4" i="5"/>
  <c r="B8" i="4" l="1"/>
  <c r="B10" i="20"/>
  <c r="B9" i="4" l="1"/>
  <c r="G320" i="4"/>
  <c r="B10" i="4" l="1"/>
  <c r="B11" i="4" l="1"/>
  <c r="C22" i="20"/>
  <c r="B23" i="20"/>
  <c r="C23" i="20"/>
  <c r="B24" i="20"/>
  <c r="C24" i="20"/>
  <c r="B25" i="20"/>
  <c r="C25" i="20"/>
  <c r="B26" i="20"/>
  <c r="C26" i="20"/>
  <c r="B27" i="20"/>
  <c r="C27" i="20"/>
  <c r="B28" i="20"/>
  <c r="C28" i="20"/>
  <c r="B29" i="20"/>
  <c r="C29" i="20"/>
  <c r="D29" i="20"/>
  <c r="F29" i="20" s="1"/>
  <c r="B30" i="20"/>
  <c r="C30" i="20"/>
  <c r="D30" i="20"/>
  <c r="F30" i="20" s="1"/>
  <c r="B31" i="20"/>
  <c r="C31" i="20"/>
  <c r="D31" i="20"/>
  <c r="F31" i="20" s="1"/>
  <c r="B32" i="20"/>
  <c r="C32" i="20"/>
  <c r="D32" i="20"/>
  <c r="F32" i="20" s="1"/>
  <c r="B33" i="20"/>
  <c r="C33" i="20"/>
  <c r="D33" i="20"/>
  <c r="F33" i="20" s="1"/>
  <c r="B34" i="20"/>
  <c r="C34" i="20"/>
  <c r="D34" i="20"/>
  <c r="F34" i="20" s="1"/>
  <c r="C21" i="20"/>
  <c r="B12" i="4" l="1"/>
  <c r="K3" i="24"/>
  <c r="K4" i="24"/>
  <c r="B13" i="4" l="1"/>
  <c r="M10" i="23"/>
  <c r="E10" i="23"/>
  <c r="C10" i="23"/>
  <c r="D10" i="23" s="1"/>
  <c r="C9" i="23"/>
  <c r="D9" i="23" s="1"/>
  <c r="C8" i="23"/>
  <c r="D8" i="23" s="1"/>
  <c r="M7" i="23"/>
  <c r="E7" i="23"/>
  <c r="C7" i="23"/>
  <c r="D7" i="23" s="1"/>
  <c r="C6" i="23"/>
  <c r="D6" i="23" s="1"/>
  <c r="B14" i="4" l="1"/>
  <c r="T7" i="23"/>
  <c r="U7" i="23" s="1"/>
  <c r="H7" i="23"/>
  <c r="I7" i="23" s="1"/>
  <c r="K7" i="23"/>
  <c r="L7" i="23" s="1"/>
  <c r="Q7" i="23"/>
  <c r="R7" i="23" s="1"/>
  <c r="N7" i="23"/>
  <c r="O7" i="23" s="1"/>
  <c r="F7" i="23"/>
  <c r="K8" i="23"/>
  <c r="L8" i="23" s="1"/>
  <c r="T8" i="23"/>
  <c r="U8" i="23" s="1"/>
  <c r="F8" i="23"/>
  <c r="H8" i="23"/>
  <c r="I8" i="23" s="1"/>
  <c r="Q8" i="23"/>
  <c r="R8" i="23" s="1"/>
  <c r="N8" i="23"/>
  <c r="O8" i="23" s="1"/>
  <c r="Q9" i="23"/>
  <c r="R9" i="23" s="1"/>
  <c r="K9" i="23"/>
  <c r="L9" i="23" s="1"/>
  <c r="T9" i="23"/>
  <c r="U9" i="23" s="1"/>
  <c r="N9" i="23"/>
  <c r="O9" i="23" s="1"/>
  <c r="H9" i="23"/>
  <c r="I9" i="23" s="1"/>
  <c r="F9" i="23"/>
  <c r="H10" i="23"/>
  <c r="I10" i="23" s="1"/>
  <c r="Q10" i="23"/>
  <c r="R10" i="23" s="1"/>
  <c r="N10" i="23"/>
  <c r="O10" i="23" s="1"/>
  <c r="T10" i="23"/>
  <c r="U10" i="23" s="1"/>
  <c r="K10" i="23"/>
  <c r="L10" i="23" s="1"/>
  <c r="F10" i="23"/>
  <c r="F6" i="23"/>
  <c r="Q6" i="23"/>
  <c r="R6" i="23" s="1"/>
  <c r="H6" i="23"/>
  <c r="I6" i="23" s="1"/>
  <c r="I11" i="23" s="1"/>
  <c r="N6" i="23"/>
  <c r="O6" i="23" s="1"/>
  <c r="T6" i="23"/>
  <c r="U6" i="23" s="1"/>
  <c r="K6" i="23"/>
  <c r="L6" i="23" s="1"/>
  <c r="B15" i="4" l="1"/>
  <c r="L11" i="23"/>
  <c r="R11" i="23"/>
  <c r="U11" i="23"/>
  <c r="O11" i="23"/>
  <c r="F11" i="23"/>
  <c r="B16" i="4" l="1"/>
  <c r="G144" i="4"/>
  <c r="G136" i="4"/>
  <c r="G137" i="4"/>
  <c r="G138" i="4"/>
  <c r="G139" i="4"/>
  <c r="G140" i="4"/>
  <c r="G141" i="4"/>
  <c r="G143" i="4"/>
  <c r="D8531" i="20" s="1"/>
  <c r="F8531" i="20" s="1"/>
  <c r="G145" i="4"/>
  <c r="D8310" i="20" s="1"/>
  <c r="F8310" i="20" s="1"/>
  <c r="G146" i="4"/>
  <c r="D8309" i="20" s="1"/>
  <c r="F8309" i="20" s="1"/>
  <c r="G147" i="4"/>
  <c r="D8312" i="20" s="1"/>
  <c r="F8312" i="20" s="1"/>
  <c r="B20" i="4" l="1"/>
  <c r="B17" i="4"/>
  <c r="D8477" i="20"/>
  <c r="F8477" i="20" s="1"/>
  <c r="D8532" i="20"/>
  <c r="F8532" i="20" s="1"/>
  <c r="D4111" i="20"/>
  <c r="F4111" i="20" s="1"/>
  <c r="D4162" i="20"/>
  <c r="F4162" i="20" s="1"/>
  <c r="D4213" i="20"/>
  <c r="F4213" i="20" s="1"/>
  <c r="D3907" i="20"/>
  <c r="F3907" i="20" s="1"/>
  <c r="D4009" i="20"/>
  <c r="F4009" i="20" s="1"/>
  <c r="D3958" i="20"/>
  <c r="F3958" i="20" s="1"/>
  <c r="D4060" i="20"/>
  <c r="F4060" i="20" s="1"/>
  <c r="D3856" i="20"/>
  <c r="F3856" i="20" s="1"/>
  <c r="D3805" i="20"/>
  <c r="F3805" i="20" s="1"/>
  <c r="D8421" i="20"/>
  <c r="F8421" i="20" s="1"/>
  <c r="D8476" i="20"/>
  <c r="F8476" i="20" s="1"/>
  <c r="D8367" i="20"/>
  <c r="F8367" i="20" s="1"/>
  <c r="D8422" i="20"/>
  <c r="F8422" i="20" s="1"/>
  <c r="D3703" i="20"/>
  <c r="F3703" i="20" s="1"/>
  <c r="H3716" i="20" s="1"/>
  <c r="D3652" i="20"/>
  <c r="F3652" i="20" s="1"/>
  <c r="H3665" i="20" s="1"/>
  <c r="D3754" i="20"/>
  <c r="F3754" i="20" s="1"/>
  <c r="D3550" i="20"/>
  <c r="F3550" i="20" s="1"/>
  <c r="D3601" i="20"/>
  <c r="F3601" i="20" s="1"/>
  <c r="H3614" i="20" s="1"/>
  <c r="D3448" i="20"/>
  <c r="F3448" i="20" s="1"/>
  <c r="D3499" i="20"/>
  <c r="F3499" i="20" s="1"/>
  <c r="D8256" i="20"/>
  <c r="F8256" i="20" s="1"/>
  <c r="D8366" i="20"/>
  <c r="F8366" i="20" s="1"/>
  <c r="D3295" i="20"/>
  <c r="F3295" i="20" s="1"/>
  <c r="D3397" i="20"/>
  <c r="F3397" i="20" s="1"/>
  <c r="D3346" i="20"/>
  <c r="F3346" i="20" s="1"/>
  <c r="D3244" i="20"/>
  <c r="F3244" i="20" s="1"/>
  <c r="D2989" i="20"/>
  <c r="F2989" i="20" s="1"/>
  <c r="D2938" i="20"/>
  <c r="F2938" i="20" s="1"/>
  <c r="D2887" i="20"/>
  <c r="F2887" i="20" s="1"/>
  <c r="D2632" i="20"/>
  <c r="F2632" i="20" s="1"/>
  <c r="D2836" i="20"/>
  <c r="F2836" i="20" s="1"/>
  <c r="D3193" i="20"/>
  <c r="F3193" i="20" s="1"/>
  <c r="D2785" i="20"/>
  <c r="F2785" i="20" s="1"/>
  <c r="D3142" i="20"/>
  <c r="F3142" i="20" s="1"/>
  <c r="D3091" i="20"/>
  <c r="F3091" i="20" s="1"/>
  <c r="D3040" i="20"/>
  <c r="F3040" i="20" s="1"/>
  <c r="D2734" i="20"/>
  <c r="F2734" i="20" s="1"/>
  <c r="D2683" i="20"/>
  <c r="F2683" i="20" s="1"/>
  <c r="D2530" i="20"/>
  <c r="F2530" i="20" s="1"/>
  <c r="D2581" i="20"/>
  <c r="F2581" i="20" s="1"/>
  <c r="D8053" i="20"/>
  <c r="F8053" i="20" s="1"/>
  <c r="D8257" i="20"/>
  <c r="F8257" i="20" s="1"/>
  <c r="D8202" i="20"/>
  <c r="F8202" i="20" s="1"/>
  <c r="D8052" i="20"/>
  <c r="F8052" i="20" s="1"/>
  <c r="D8201" i="20"/>
  <c r="F8201" i="20" s="1"/>
  <c r="D2326" i="20"/>
  <c r="F2326" i="20" s="1"/>
  <c r="D2275" i="20"/>
  <c r="F2275" i="20" s="1"/>
  <c r="D2428" i="20"/>
  <c r="F2428" i="20" s="1"/>
  <c r="D2377" i="20"/>
  <c r="F2377" i="20" s="1"/>
  <c r="D2070" i="20"/>
  <c r="F2070" i="20" s="1"/>
  <c r="D2121" i="20"/>
  <c r="F2121" i="20" s="1"/>
  <c r="D1815" i="20"/>
  <c r="F1815" i="20" s="1"/>
  <c r="D1917" i="20"/>
  <c r="F1917" i="20" s="1"/>
  <c r="D1866" i="20"/>
  <c r="F1866" i="20" s="1"/>
  <c r="D1968" i="20"/>
  <c r="F1968" i="20" s="1"/>
  <c r="D2019" i="20"/>
  <c r="F2019" i="20" s="1"/>
  <c r="D1764" i="20"/>
  <c r="F1764" i="20" s="1"/>
  <c r="D1406" i="20"/>
  <c r="F1406" i="20" s="1"/>
  <c r="D1713" i="20"/>
  <c r="F1713" i="20" s="1"/>
  <c r="D1661" i="20"/>
  <c r="F1661" i="20" s="1"/>
  <c r="D1610" i="20"/>
  <c r="F1610" i="20" s="1"/>
  <c r="D1559" i="20"/>
  <c r="F1559" i="20" s="1"/>
  <c r="D1508" i="20"/>
  <c r="F1508" i="20" s="1"/>
  <c r="D1457" i="20"/>
  <c r="F1457" i="20" s="1"/>
  <c r="D1304" i="20"/>
  <c r="F1304" i="20" s="1"/>
  <c r="D1202" i="20"/>
  <c r="F1202" i="20" s="1"/>
  <c r="D1355" i="20"/>
  <c r="F1355" i="20" s="1"/>
  <c r="D1253" i="20"/>
  <c r="F1253" i="20" s="1"/>
  <c r="D1045" i="20"/>
  <c r="F1045" i="20" s="1"/>
  <c r="D892" i="20"/>
  <c r="F892" i="20" s="1"/>
  <c r="D943" i="20"/>
  <c r="F943" i="20" s="1"/>
  <c r="D841" i="20"/>
  <c r="F841" i="20" s="1"/>
  <c r="D1151" i="20"/>
  <c r="F1151" i="20" s="1"/>
  <c r="D994" i="20"/>
  <c r="F994" i="20" s="1"/>
  <c r="D1100" i="20"/>
  <c r="F1100" i="20" s="1"/>
  <c r="D4268" i="20"/>
  <c r="F4268" i="20" s="1"/>
  <c r="D482" i="20"/>
  <c r="F482" i="20" s="1"/>
  <c r="D431" i="20"/>
  <c r="F431" i="20" s="1"/>
  <c r="D380" i="20"/>
  <c r="F380" i="20" s="1"/>
  <c r="D329" i="20"/>
  <c r="F329" i="20" s="1"/>
  <c r="D278" i="20"/>
  <c r="F278" i="20" s="1"/>
  <c r="D227" i="20"/>
  <c r="F227" i="20" s="1"/>
  <c r="D176" i="20"/>
  <c r="F176" i="20" s="1"/>
  <c r="D125" i="20"/>
  <c r="F125" i="20" s="1"/>
  <c r="D74" i="20"/>
  <c r="F74" i="20" s="1"/>
  <c r="D22" i="20"/>
  <c r="F22" i="20" s="1"/>
  <c r="E77" i="22"/>
  <c r="F77" i="22" s="1"/>
  <c r="G77" i="22" s="1"/>
  <c r="E76" i="22"/>
  <c r="F76" i="22" s="1"/>
  <c r="G76" i="22" s="1"/>
  <c r="E75" i="22"/>
  <c r="F75" i="22" s="1"/>
  <c r="G75" i="22" s="1"/>
  <c r="E74" i="22"/>
  <c r="F74" i="22" s="1"/>
  <c r="G74" i="22" s="1"/>
  <c r="E73" i="22"/>
  <c r="F73" i="22" s="1"/>
  <c r="G73" i="22" s="1"/>
  <c r="E70" i="22"/>
  <c r="F70" i="22" s="1"/>
  <c r="G70" i="22" s="1"/>
  <c r="E69" i="22"/>
  <c r="F69" i="22" s="1"/>
  <c r="G69" i="22" s="1"/>
  <c r="E68" i="22"/>
  <c r="E71" i="22" s="1"/>
  <c r="F71" i="22" s="1"/>
  <c r="E65" i="22"/>
  <c r="F65" i="22" s="1"/>
  <c r="G65" i="22" s="1"/>
  <c r="E64" i="22"/>
  <c r="F64" i="22" s="1"/>
  <c r="G64" i="22" s="1"/>
  <c r="E63" i="22"/>
  <c r="E60" i="22"/>
  <c r="F60" i="22" s="1"/>
  <c r="G60" i="22" s="1"/>
  <c r="E59" i="22"/>
  <c r="F59" i="22" s="1"/>
  <c r="G59" i="22" s="1"/>
  <c r="E58" i="22"/>
  <c r="E57" i="22"/>
  <c r="F57" i="22" s="1"/>
  <c r="G57" i="22" s="1"/>
  <c r="E54" i="22"/>
  <c r="F54" i="22" s="1"/>
  <c r="G54" i="22" s="1"/>
  <c r="E53" i="22"/>
  <c r="F53" i="22" s="1"/>
  <c r="G53" i="22" s="1"/>
  <c r="E52" i="22"/>
  <c r="E49" i="22"/>
  <c r="F49" i="22" s="1"/>
  <c r="G49" i="22" s="1"/>
  <c r="E48" i="22"/>
  <c r="F48" i="22" s="1"/>
  <c r="G48" i="22" s="1"/>
  <c r="E47" i="22"/>
  <c r="F47" i="22" s="1"/>
  <c r="G47" i="22" s="1"/>
  <c r="E46" i="22"/>
  <c r="F46" i="22" s="1"/>
  <c r="G46" i="22" s="1"/>
  <c r="E45" i="22"/>
  <c r="E42" i="22"/>
  <c r="F42" i="22" s="1"/>
  <c r="G42" i="22" s="1"/>
  <c r="F41" i="22"/>
  <c r="G41" i="22" s="1"/>
  <c r="E41" i="22"/>
  <c r="E40" i="22"/>
  <c r="F40" i="22" s="1"/>
  <c r="G40" i="22" s="1"/>
  <c r="E39" i="22"/>
  <c r="F39" i="22" s="1"/>
  <c r="G39" i="22" s="1"/>
  <c r="E38" i="22"/>
  <c r="F38" i="22" s="1"/>
  <c r="G38" i="22" s="1"/>
  <c r="E35" i="22"/>
  <c r="F35" i="22" s="1"/>
  <c r="G35" i="22" s="1"/>
  <c r="E34" i="22"/>
  <c r="F34" i="22" s="1"/>
  <c r="G34" i="22" s="1"/>
  <c r="E33" i="22"/>
  <c r="F33" i="22" s="1"/>
  <c r="G33" i="22" s="1"/>
  <c r="E32" i="22"/>
  <c r="F32" i="22" s="1"/>
  <c r="G32" i="22" s="1"/>
  <c r="E31" i="22"/>
  <c r="F31" i="22" s="1"/>
  <c r="G31" i="22" s="1"/>
  <c r="E30" i="22"/>
  <c r="F30" i="22" s="1"/>
  <c r="G30" i="22" s="1"/>
  <c r="E29" i="22"/>
  <c r="F29" i="22" s="1"/>
  <c r="G29" i="22" s="1"/>
  <c r="E28" i="22"/>
  <c r="F28" i="22" s="1"/>
  <c r="G28" i="22" s="1"/>
  <c r="E27" i="22"/>
  <c r="F27" i="22" s="1"/>
  <c r="G27" i="22" s="1"/>
  <c r="E26" i="22"/>
  <c r="F26" i="22" s="1"/>
  <c r="G26" i="22" s="1"/>
  <c r="E23" i="22"/>
  <c r="F23" i="22" s="1"/>
  <c r="G23" i="22" s="1"/>
  <c r="E22" i="22"/>
  <c r="F22" i="22" s="1"/>
  <c r="G22" i="22" s="1"/>
  <c r="E21" i="22"/>
  <c r="F21" i="22" s="1"/>
  <c r="G21" i="22" s="1"/>
  <c r="E20" i="22"/>
  <c r="F20" i="22" s="1"/>
  <c r="G20" i="22" s="1"/>
  <c r="E19" i="22"/>
  <c r="F19" i="22" s="1"/>
  <c r="G19" i="22" s="1"/>
  <c r="E18" i="22"/>
  <c r="F18" i="22" s="1"/>
  <c r="G18" i="22" s="1"/>
  <c r="E17" i="22"/>
  <c r="F17" i="22" s="1"/>
  <c r="G17" i="22" s="1"/>
  <c r="E16" i="22"/>
  <c r="B18" i="4" l="1"/>
  <c r="B21" i="4"/>
  <c r="K3640" i="20"/>
  <c r="K3691" i="20"/>
  <c r="K3589" i="20"/>
  <c r="G78" i="22"/>
  <c r="E10" i="22" s="1"/>
  <c r="F10" i="22" s="1"/>
  <c r="E66" i="22"/>
  <c r="E55" i="22"/>
  <c r="F55" i="22" s="1"/>
  <c r="E36" i="22"/>
  <c r="F36" i="22" s="1"/>
  <c r="E43" i="22"/>
  <c r="E50" i="22"/>
  <c r="F50" i="22" s="1"/>
  <c r="E61" i="22"/>
  <c r="F61" i="22" s="1"/>
  <c r="E24" i="22"/>
  <c r="F24" i="22" s="1"/>
  <c r="E78" i="22"/>
  <c r="F43" i="22"/>
  <c r="G43" i="22"/>
  <c r="E4" i="22" s="1"/>
  <c r="G36" i="22"/>
  <c r="E3" i="22" s="1"/>
  <c r="F58" i="22"/>
  <c r="G58" i="22" s="1"/>
  <c r="G61" i="22" s="1"/>
  <c r="E7" i="22" s="1"/>
  <c r="F68" i="22"/>
  <c r="G68" i="22" s="1"/>
  <c r="G71" i="22" s="1"/>
  <c r="E9" i="22" s="1"/>
  <c r="F16" i="22"/>
  <c r="G16" i="22" s="1"/>
  <c r="G24" i="22" s="1"/>
  <c r="F52" i="22"/>
  <c r="G52" i="22" s="1"/>
  <c r="G55" i="22" s="1"/>
  <c r="E6" i="22" s="1"/>
  <c r="F45" i="22"/>
  <c r="G45" i="22" s="1"/>
  <c r="G50" i="22" s="1"/>
  <c r="E5" i="22" s="1"/>
  <c r="F78" i="22"/>
  <c r="F63" i="22"/>
  <c r="D17" i="20"/>
  <c r="D15" i="20"/>
  <c r="B15" i="20"/>
  <c r="B19" i="4" l="1"/>
  <c r="B22" i="4"/>
  <c r="G10" i="22"/>
  <c r="F7" i="22"/>
  <c r="G7" i="22"/>
  <c r="F66" i="22"/>
  <c r="G63" i="22"/>
  <c r="G66" i="22" s="1"/>
  <c r="E8" i="22" s="1"/>
  <c r="F6" i="22"/>
  <c r="G6" i="22"/>
  <c r="F9" i="22"/>
  <c r="G9" i="22"/>
  <c r="G3" i="22"/>
  <c r="F3" i="22"/>
  <c r="G5" i="22"/>
  <c r="F5" i="22"/>
  <c r="G4" i="22"/>
  <c r="F4" i="22"/>
  <c r="E2" i="22"/>
  <c r="G79" i="4"/>
  <c r="B23" i="4" l="1"/>
  <c r="G80" i="22"/>
  <c r="E11" i="22" s="1"/>
  <c r="G2" i="22"/>
  <c r="F2" i="22"/>
  <c r="G8" i="22"/>
  <c r="F8" i="22"/>
  <c r="G78" i="4"/>
  <c r="B24" i="4" l="1"/>
  <c r="F11" i="22"/>
  <c r="G11" i="22"/>
  <c r="G12" i="22" s="1"/>
  <c r="B8" i="22" s="1"/>
  <c r="B25" i="4" l="1"/>
  <c r="M5" i="5"/>
  <c r="M13" i="5"/>
  <c r="M21" i="5"/>
  <c r="M6" i="5"/>
  <c r="M14" i="5"/>
  <c r="M4" i="5"/>
  <c r="M7" i="5"/>
  <c r="M15" i="5"/>
  <c r="M8" i="5"/>
  <c r="M16" i="5"/>
  <c r="M9" i="5"/>
  <c r="M17" i="5"/>
  <c r="M10" i="5"/>
  <c r="M18" i="5"/>
  <c r="M11" i="5"/>
  <c r="M19" i="5"/>
  <c r="M12" i="5"/>
  <c r="M20" i="5"/>
  <c r="G117" i="4"/>
  <c r="G113" i="4"/>
  <c r="G45" i="4"/>
  <c r="G55" i="4"/>
  <c r="D6427" i="20" s="1"/>
  <c r="F6427" i="20" s="1"/>
  <c r="H6441" i="20" s="1"/>
  <c r="B26" i="4" l="1"/>
  <c r="K6415" i="20"/>
  <c r="G118" i="4"/>
  <c r="G119" i="4"/>
  <c r="B27" i="4" l="1"/>
  <c r="D8470" i="20"/>
  <c r="F8470" i="20" s="1"/>
  <c r="D8525" i="20"/>
  <c r="F8525" i="20" s="1"/>
  <c r="D8360" i="20"/>
  <c r="F8360" i="20" s="1"/>
  <c r="D8415" i="20"/>
  <c r="F8415" i="20" s="1"/>
  <c r="D8046" i="20"/>
  <c r="F8046" i="20" s="1"/>
  <c r="D8250" i="20"/>
  <c r="F8250" i="20" s="1"/>
  <c r="D8195" i="20"/>
  <c r="F8195" i="20" s="1"/>
  <c r="G12" i="20"/>
  <c r="G11" i="20"/>
  <c r="B11" i="20"/>
  <c r="B6" i="20"/>
  <c r="G251" i="4"/>
  <c r="G149" i="4"/>
  <c r="D7316" i="20" s="1"/>
  <c r="F7316" i="20" s="1"/>
  <c r="G307" i="4"/>
  <c r="D9268" i="20" s="1"/>
  <c r="F9268" i="20" s="1"/>
  <c r="H9282" i="20" s="1"/>
  <c r="G283" i="4"/>
  <c r="B28" i="4" l="1"/>
  <c r="D9321" i="20"/>
  <c r="F9321" i="20" s="1"/>
  <c r="H9334" i="20" s="1"/>
  <c r="D9373" i="20"/>
  <c r="F9373" i="20" s="1"/>
  <c r="K9256" i="20"/>
  <c r="D8956" i="20"/>
  <c r="F8956" i="20" s="1"/>
  <c r="D9008" i="20"/>
  <c r="F9008" i="20" s="1"/>
  <c r="D9060" i="20"/>
  <c r="F9060" i="20" s="1"/>
  <c r="D1307" i="20"/>
  <c r="F1307" i="20" s="1"/>
  <c r="D1358" i="20"/>
  <c r="F1358" i="20" s="1"/>
  <c r="D1409" i="20"/>
  <c r="F1409" i="20" s="1"/>
  <c r="D5703" i="20"/>
  <c r="F5703" i="20" s="1"/>
  <c r="D5807" i="20"/>
  <c r="F5807" i="20" s="1"/>
  <c r="D5755" i="20"/>
  <c r="F5755" i="20" s="1"/>
  <c r="D434" i="20"/>
  <c r="F434" i="20" s="1"/>
  <c r="D4271" i="20"/>
  <c r="F4271" i="20" s="1"/>
  <c r="D485" i="20"/>
  <c r="F485" i="20" s="1"/>
  <c r="I21" i="20"/>
  <c r="I23" i="20"/>
  <c r="I31" i="20"/>
  <c r="I25" i="20"/>
  <c r="I33" i="20"/>
  <c r="I29" i="20"/>
  <c r="I22" i="20"/>
  <c r="I30" i="20"/>
  <c r="I27" i="20"/>
  <c r="I24" i="20"/>
  <c r="I32" i="20"/>
  <c r="I26" i="20"/>
  <c r="I34" i="20"/>
  <c r="I28" i="20"/>
  <c r="L5" i="5"/>
  <c r="L6" i="5"/>
  <c r="L7" i="5"/>
  <c r="L8" i="5"/>
  <c r="L9" i="5"/>
  <c r="L10" i="5"/>
  <c r="L11" i="5"/>
  <c r="L14" i="5"/>
  <c r="L17" i="5"/>
  <c r="L18" i="5"/>
  <c r="L19" i="5"/>
  <c r="L20" i="5"/>
  <c r="L21" i="5"/>
  <c r="J5" i="5"/>
  <c r="J6" i="5"/>
  <c r="J7" i="5"/>
  <c r="J8" i="5"/>
  <c r="J9" i="5"/>
  <c r="J10" i="5"/>
  <c r="J11" i="5"/>
  <c r="J14" i="5"/>
  <c r="J17" i="5"/>
  <c r="J18" i="5"/>
  <c r="J19" i="5"/>
  <c r="J20" i="5"/>
  <c r="J21" i="5"/>
  <c r="K5" i="5"/>
  <c r="K6" i="5"/>
  <c r="K7" i="5"/>
  <c r="K8" i="5"/>
  <c r="K9" i="5"/>
  <c r="K10" i="5"/>
  <c r="K11" i="5"/>
  <c r="K14" i="5"/>
  <c r="K17" i="5"/>
  <c r="K18" i="5"/>
  <c r="K19" i="5"/>
  <c r="K20" i="5"/>
  <c r="K21" i="5"/>
  <c r="I5" i="5"/>
  <c r="I6" i="5"/>
  <c r="I7" i="5"/>
  <c r="I8" i="5"/>
  <c r="I9" i="5"/>
  <c r="I10" i="5"/>
  <c r="I11" i="5"/>
  <c r="I14" i="5"/>
  <c r="I17" i="5"/>
  <c r="I18" i="5"/>
  <c r="I19" i="5"/>
  <c r="I20" i="5"/>
  <c r="I21" i="5"/>
  <c r="H5" i="5"/>
  <c r="H6" i="5"/>
  <c r="H7" i="5"/>
  <c r="H8" i="5"/>
  <c r="H9" i="5"/>
  <c r="H10" i="5"/>
  <c r="H11" i="5"/>
  <c r="H14" i="5"/>
  <c r="H17" i="5"/>
  <c r="H18" i="5"/>
  <c r="H19" i="5"/>
  <c r="H20" i="5"/>
  <c r="H21" i="5"/>
  <c r="Q4" i="5"/>
  <c r="L4" i="5"/>
  <c r="K4" i="5"/>
  <c r="J4" i="5"/>
  <c r="I4" i="5"/>
  <c r="H4" i="5"/>
  <c r="N4" i="5"/>
  <c r="B29" i="4" l="1"/>
  <c r="K9308" i="20"/>
  <c r="R4" i="5"/>
  <c r="S4" i="5" s="1"/>
  <c r="T4" i="5" s="1"/>
  <c r="B30" i="4" l="1"/>
  <c r="G44" i="4"/>
  <c r="B31" i="4" l="1"/>
  <c r="B34" i="4"/>
  <c r="D6271" i="20"/>
  <c r="F6271" i="20" s="1"/>
  <c r="H6285" i="20" s="1"/>
  <c r="D6219" i="20"/>
  <c r="F6219" i="20" s="1"/>
  <c r="H6233" i="20" s="1"/>
  <c r="G211" i="4"/>
  <c r="B38" i="4" l="1"/>
  <c r="B35" i="4"/>
  <c r="B37" i="4"/>
  <c r="B32" i="4"/>
  <c r="D8371" i="20"/>
  <c r="F8371" i="20" s="1"/>
  <c r="D8426" i="20"/>
  <c r="F8426" i="20" s="1"/>
  <c r="D8261" i="20"/>
  <c r="F8261" i="20" s="1"/>
  <c r="D8206" i="20"/>
  <c r="F8206" i="20" s="1"/>
  <c r="D8057" i="20"/>
  <c r="F8057" i="20" s="1"/>
  <c r="D8101" i="20"/>
  <c r="F8101" i="20" s="1"/>
  <c r="H8110" i="20" s="1"/>
  <c r="K6207" i="20"/>
  <c r="K6259" i="20"/>
  <c r="B17" i="20"/>
  <c r="M210" i="4" s="1"/>
  <c r="E38" i="20"/>
  <c r="F38" i="20" s="1"/>
  <c r="H39" i="20" s="1"/>
  <c r="N10" i="20" s="1"/>
  <c r="B43" i="20"/>
  <c r="B44" i="20"/>
  <c r="B33" i="4" l="1"/>
  <c r="B36" i="4"/>
  <c r="B39" i="4"/>
  <c r="M310" i="4"/>
  <c r="M297" i="4"/>
  <c r="M37" i="4"/>
  <c r="M38" i="4"/>
  <c r="M259" i="4"/>
  <c r="M52" i="4"/>
  <c r="M50" i="4"/>
  <c r="M51" i="4"/>
  <c r="M273" i="4"/>
  <c r="M277" i="4"/>
  <c r="M274" i="4"/>
  <c r="M198" i="4"/>
  <c r="M191" i="4"/>
  <c r="M260" i="4"/>
  <c r="M302" i="4"/>
  <c r="M299" i="4"/>
  <c r="M300" i="4"/>
  <c r="M305" i="4"/>
  <c r="M257" i="4"/>
  <c r="M48" i="4"/>
  <c r="M252" i="4"/>
  <c r="M253" i="4"/>
  <c r="M243" i="4"/>
  <c r="M238" i="4"/>
  <c r="M236" i="4"/>
  <c r="M237" i="4"/>
  <c r="M228" i="4"/>
  <c r="M192" i="4"/>
  <c r="M173" i="4"/>
  <c r="M177" i="4"/>
  <c r="M175" i="4"/>
  <c r="M296" i="4"/>
  <c r="M298" i="4"/>
  <c r="M295" i="4"/>
  <c r="M20" i="4"/>
  <c r="M47" i="4"/>
  <c r="M325" i="4"/>
  <c r="M34" i="4"/>
  <c r="M60" i="4"/>
  <c r="M232" i="4"/>
  <c r="M39" i="4"/>
  <c r="M174" i="4"/>
  <c r="M157" i="4"/>
  <c r="M267" i="4"/>
  <c r="M294" i="4"/>
  <c r="M185" i="4"/>
  <c r="M179" i="4"/>
  <c r="M207" i="4"/>
  <c r="M280" i="4"/>
  <c r="M194" i="4"/>
  <c r="M187" i="4"/>
  <c r="M184" i="4"/>
  <c r="M182" i="4"/>
  <c r="M193" i="4"/>
  <c r="M190" i="4"/>
  <c r="M181" i="4"/>
  <c r="M188" i="4"/>
  <c r="M186" i="4"/>
  <c r="M183" i="4"/>
  <c r="M246" i="4"/>
  <c r="M231" i="4"/>
  <c r="M250" i="4"/>
  <c r="M279" i="4"/>
  <c r="M270" i="4"/>
  <c r="M227" i="4"/>
  <c r="M43" i="4"/>
  <c r="M178" i="4"/>
  <c r="M180" i="4"/>
  <c r="M176" i="4"/>
  <c r="M189" i="4"/>
  <c r="K8089" i="20"/>
  <c r="M21" i="4"/>
  <c r="M169" i="4"/>
  <c r="M201" i="4"/>
  <c r="M202" i="4"/>
  <c r="M265" i="4"/>
  <c r="M266" i="4"/>
  <c r="M268" i="4"/>
  <c r="M264" i="4"/>
  <c r="M269" i="4"/>
  <c r="M122" i="4"/>
  <c r="M317" i="4"/>
  <c r="M318" i="4"/>
  <c r="M123" i="4"/>
  <c r="M301" i="4"/>
  <c r="M58" i="4"/>
  <c r="M314" i="4"/>
  <c r="M230" i="4"/>
  <c r="M35" i="4"/>
  <c r="M226" i="4"/>
  <c r="M229" i="4"/>
  <c r="M158" i="4"/>
  <c r="M161" i="4"/>
  <c r="M165" i="4"/>
  <c r="M160" i="4"/>
  <c r="M152" i="4"/>
  <c r="M162" i="4"/>
  <c r="M195" i="4"/>
  <c r="M167" i="4"/>
  <c r="M164" i="4"/>
  <c r="M159" i="4"/>
  <c r="M166" i="4"/>
  <c r="M170" i="4"/>
  <c r="M153" i="4"/>
  <c r="M154" i="4"/>
  <c r="M172" i="4"/>
  <c r="M156" i="4"/>
  <c r="M155" i="4"/>
  <c r="M163" i="4"/>
  <c r="M171" i="4"/>
  <c r="M168" i="4"/>
  <c r="M330" i="4"/>
  <c r="M335" i="4"/>
  <c r="M333" i="4"/>
  <c r="M331" i="4"/>
  <c r="M332" i="4"/>
  <c r="M334" i="4"/>
  <c r="M36" i="4"/>
  <c r="M309" i="4"/>
  <c r="M329" i="4"/>
  <c r="M328" i="4"/>
  <c r="M303" i="4"/>
  <c r="M327" i="4"/>
  <c r="M225" i="4"/>
  <c r="M244" i="4"/>
  <c r="M324" i="4"/>
  <c r="M326" i="4"/>
  <c r="M281" i="4"/>
  <c r="M245" i="4"/>
  <c r="M284" i="4"/>
  <c r="M282" i="4"/>
  <c r="M64" i="4"/>
  <c r="M22" i="4"/>
  <c r="M73" i="4"/>
  <c r="M233" i="4"/>
  <c r="M320" i="4"/>
  <c r="M79" i="4"/>
  <c r="M113" i="4"/>
  <c r="M119" i="4"/>
  <c r="M118" i="4"/>
  <c r="M149" i="4"/>
  <c r="M251" i="4"/>
  <c r="M283" i="4"/>
  <c r="M307" i="4"/>
  <c r="M339" i="4"/>
  <c r="M343" i="4"/>
  <c r="M347" i="4"/>
  <c r="M351" i="4"/>
  <c r="M355" i="4"/>
  <c r="M359" i="4"/>
  <c r="M363" i="4"/>
  <c r="M367" i="4"/>
  <c r="M371" i="4"/>
  <c r="M375" i="4"/>
  <c r="M379" i="4"/>
  <c r="M383" i="4"/>
  <c r="M387" i="4"/>
  <c r="M391" i="4"/>
  <c r="M395" i="4"/>
  <c r="M88" i="4"/>
  <c r="M77" i="4"/>
  <c r="M336" i="4"/>
  <c r="M340" i="4"/>
  <c r="M344" i="4"/>
  <c r="M348" i="4"/>
  <c r="M352" i="4"/>
  <c r="M356" i="4"/>
  <c r="M360" i="4"/>
  <c r="M364" i="4"/>
  <c r="M337" i="4"/>
  <c r="M341" i="4"/>
  <c r="M345" i="4"/>
  <c r="M349" i="4"/>
  <c r="M353" i="4"/>
  <c r="M357" i="4"/>
  <c r="M361" i="4"/>
  <c r="M365" i="4"/>
  <c r="M369" i="4"/>
  <c r="M373" i="4"/>
  <c r="M377" i="4"/>
  <c r="M381" i="4"/>
  <c r="M385" i="4"/>
  <c r="M41" i="4"/>
  <c r="M338" i="4"/>
  <c r="M342" i="4"/>
  <c r="M346" i="4"/>
  <c r="M350" i="4"/>
  <c r="M354" i="4"/>
  <c r="M358" i="4"/>
  <c r="M362" i="4"/>
  <c r="M366" i="4"/>
  <c r="M370" i="4"/>
  <c r="M374" i="4"/>
  <c r="M378" i="4"/>
  <c r="M382" i="4"/>
  <c r="M386" i="4"/>
  <c r="M390" i="4"/>
  <c r="M394" i="4"/>
  <c r="M368" i="4"/>
  <c r="M384" i="4"/>
  <c r="M393" i="4"/>
  <c r="M3" i="4"/>
  <c r="M9" i="4"/>
  <c r="M13" i="4"/>
  <c r="M17" i="4"/>
  <c r="M24" i="4"/>
  <c r="M28" i="4"/>
  <c r="M32" i="4"/>
  <c r="M44" i="4"/>
  <c r="M53" i="4"/>
  <c r="M59" i="4"/>
  <c r="M63" i="4"/>
  <c r="M68" i="4"/>
  <c r="M72" i="4"/>
  <c r="M83" i="4"/>
  <c r="M84" i="4"/>
  <c r="M89" i="4"/>
  <c r="M93" i="4"/>
  <c r="M95" i="4"/>
  <c r="M101" i="4"/>
  <c r="M105" i="4"/>
  <c r="M109" i="4"/>
  <c r="M114" i="4"/>
  <c r="M120" i="4"/>
  <c r="M126" i="4"/>
  <c r="M129" i="4"/>
  <c r="M134" i="4"/>
  <c r="M145" i="4"/>
  <c r="M203" i="4"/>
  <c r="M200" i="4"/>
  <c r="M148" i="4"/>
  <c r="M196" i="4"/>
  <c r="M218" i="4"/>
  <c r="M235" i="4"/>
  <c r="M213" i="4"/>
  <c r="M221" i="4"/>
  <c r="M241" i="4"/>
  <c r="M254" i="4"/>
  <c r="M262" i="4"/>
  <c r="M275" i="4"/>
  <c r="M285" i="4"/>
  <c r="M289" i="4"/>
  <c r="M308" i="4"/>
  <c r="M306" i="4"/>
  <c r="M313" i="4"/>
  <c r="M323" i="4"/>
  <c r="M372" i="4"/>
  <c r="M388" i="4"/>
  <c r="M396" i="4"/>
  <c r="M7" i="4"/>
  <c r="M6" i="4"/>
  <c r="M14" i="4"/>
  <c r="M18" i="4"/>
  <c r="M25" i="4"/>
  <c r="M29" i="4"/>
  <c r="M33" i="4"/>
  <c r="M45" i="4"/>
  <c r="M54" i="4"/>
  <c r="M61" i="4"/>
  <c r="M65" i="4"/>
  <c r="M69" i="4"/>
  <c r="M74" i="4"/>
  <c r="M82" i="4"/>
  <c r="M85" i="4"/>
  <c r="M90" i="4"/>
  <c r="M94" i="4"/>
  <c r="M98" i="4"/>
  <c r="M102" i="4"/>
  <c r="M106" i="4"/>
  <c r="M110" i="4"/>
  <c r="M115" i="4"/>
  <c r="M121" i="4"/>
  <c r="M136" i="4"/>
  <c r="M128" i="4"/>
  <c r="M133" i="4"/>
  <c r="M146" i="4"/>
  <c r="M208" i="4"/>
  <c r="M197" i="4"/>
  <c r="M147" i="4"/>
  <c r="M212" i="4"/>
  <c r="M220" i="4"/>
  <c r="M240" i="4"/>
  <c r="M215" i="4"/>
  <c r="M223" i="4"/>
  <c r="M247" i="4"/>
  <c r="M256" i="4"/>
  <c r="M263" i="4"/>
  <c r="M276" i="4"/>
  <c r="M286" i="4"/>
  <c r="M290" i="4"/>
  <c r="M293" i="4"/>
  <c r="M315" i="4"/>
  <c r="M321" i="4"/>
  <c r="M376" i="4"/>
  <c r="M389" i="4"/>
  <c r="M10" i="4"/>
  <c r="M11" i="4"/>
  <c r="M15" i="4"/>
  <c r="M19" i="4"/>
  <c r="M26" i="4"/>
  <c r="M30" i="4"/>
  <c r="M40" i="4"/>
  <c r="M46" i="4"/>
  <c r="M55" i="4"/>
  <c r="M62" i="4"/>
  <c r="M66" i="4"/>
  <c r="M70" i="4"/>
  <c r="M75" i="4"/>
  <c r="M81" i="4"/>
  <c r="M86" i="4"/>
  <c r="M92" i="4"/>
  <c r="M96" i="4"/>
  <c r="M99" i="4"/>
  <c r="M103" i="4"/>
  <c r="M107" i="4"/>
  <c r="M111" i="4"/>
  <c r="M116" i="4"/>
  <c r="M124" i="4"/>
  <c r="M132" i="4"/>
  <c r="M127" i="4"/>
  <c r="M131" i="4"/>
  <c r="M211" i="4"/>
  <c r="M205" i="4"/>
  <c r="M199" i="4"/>
  <c r="M150" i="4"/>
  <c r="M214" i="4"/>
  <c r="M222" i="4"/>
  <c r="M242" i="4"/>
  <c r="M217" i="4"/>
  <c r="M234" i="4"/>
  <c r="M249" i="4"/>
  <c r="M258" i="4"/>
  <c r="M271" i="4"/>
  <c r="M278" i="4"/>
  <c r="M287" i="4"/>
  <c r="M291" i="4"/>
  <c r="M311" i="4"/>
  <c r="M316" i="4"/>
  <c r="M322" i="4"/>
  <c r="M380" i="4"/>
  <c r="M392" i="4"/>
  <c r="M8" i="4"/>
  <c r="M12" i="4"/>
  <c r="M16" i="4"/>
  <c r="M23" i="4"/>
  <c r="M27" i="4"/>
  <c r="M31" i="4"/>
  <c r="M42" i="4"/>
  <c r="M49" i="4"/>
  <c r="M57" i="4"/>
  <c r="M56" i="4"/>
  <c r="M67" i="4"/>
  <c r="M71" i="4"/>
  <c r="M76" i="4"/>
  <c r="M80" i="4"/>
  <c r="M87" i="4"/>
  <c r="M91" i="4"/>
  <c r="M97" i="4"/>
  <c r="M100" i="4"/>
  <c r="M104" i="4"/>
  <c r="M108" i="4"/>
  <c r="M112" i="4"/>
  <c r="M117" i="4"/>
  <c r="M125" i="4"/>
  <c r="M130" i="4"/>
  <c r="M135" i="4"/>
  <c r="M144" i="4"/>
  <c r="M206" i="4"/>
  <c r="M204" i="4"/>
  <c r="M209" i="4"/>
  <c r="M151" i="4"/>
  <c r="M216" i="4"/>
  <c r="M224" i="4"/>
  <c r="M248" i="4"/>
  <c r="M219" i="4"/>
  <c r="M239" i="4"/>
  <c r="M261" i="4"/>
  <c r="M272" i="4"/>
  <c r="M288" i="4"/>
  <c r="M292" i="4"/>
  <c r="M304" i="4"/>
  <c r="M312" i="4"/>
  <c r="M319" i="4"/>
  <c r="H9" i="20"/>
  <c r="B40" i="4" l="1"/>
  <c r="S17" i="1"/>
  <c r="B41" i="4" l="1"/>
  <c r="G77" i="4"/>
  <c r="B42" i="4" l="1"/>
  <c r="B43" i="4"/>
  <c r="G13" i="28"/>
  <c r="H13" i="28" s="1"/>
  <c r="I13" i="28" s="1"/>
  <c r="G10" i="28"/>
  <c r="H10" i="28" s="1"/>
  <c r="I10" i="28" s="1"/>
  <c r="G11" i="28"/>
  <c r="H11" i="28" s="1"/>
  <c r="I11" i="28" s="1"/>
  <c r="G12" i="28"/>
  <c r="H12" i="28" s="1"/>
  <c r="I12" i="28" s="1"/>
  <c r="G15" i="28"/>
  <c r="H15" i="28" s="1"/>
  <c r="I15" i="28" s="1"/>
  <c r="G248" i="4"/>
  <c r="D4778" i="20" s="1"/>
  <c r="F4778" i="20" s="1"/>
  <c r="H4792" i="20" s="1"/>
  <c r="G242" i="4"/>
  <c r="G240" i="4"/>
  <c r="G235" i="4"/>
  <c r="D5391" i="20" s="1"/>
  <c r="F5391" i="20" s="1"/>
  <c r="H5405" i="20" s="1"/>
  <c r="G224" i="4"/>
  <c r="G222" i="4"/>
  <c r="G220" i="4"/>
  <c r="G218" i="4"/>
  <c r="G216" i="4"/>
  <c r="G214" i="4"/>
  <c r="D8208" i="20" s="1"/>
  <c r="F8208" i="20" s="1"/>
  <c r="G212" i="4"/>
  <c r="B44" i="4" l="1"/>
  <c r="D8536" i="20"/>
  <c r="F8536" i="20" s="1"/>
  <c r="D8580" i="20"/>
  <c r="F8580" i="20" s="1"/>
  <c r="H8589" i="20" s="1"/>
  <c r="D8472" i="20"/>
  <c r="F8472" i="20" s="1"/>
  <c r="D8527" i="20"/>
  <c r="F8527" i="20" s="1"/>
  <c r="D4114" i="20"/>
  <c r="F4114" i="20" s="1"/>
  <c r="D4165" i="20"/>
  <c r="F4165" i="20" s="1"/>
  <c r="D4216" i="20"/>
  <c r="F4216" i="20" s="1"/>
  <c r="D3910" i="20"/>
  <c r="F3910" i="20" s="1"/>
  <c r="D4063" i="20"/>
  <c r="F4063" i="20" s="1"/>
  <c r="D4012" i="20"/>
  <c r="F4012" i="20" s="1"/>
  <c r="D3961" i="20"/>
  <c r="F3961" i="20" s="1"/>
  <c r="D3859" i="20"/>
  <c r="F3859" i="20" s="1"/>
  <c r="D3808" i="20"/>
  <c r="F3808" i="20" s="1"/>
  <c r="D8148" i="20"/>
  <c r="F8148" i="20" s="1"/>
  <c r="H8157" i="20" s="1"/>
  <c r="K8136" i="20" s="1"/>
  <c r="D8481" i="20"/>
  <c r="F8481" i="20" s="1"/>
  <c r="D8362" i="20"/>
  <c r="F8362" i="20" s="1"/>
  <c r="D8417" i="20"/>
  <c r="F8417" i="20" s="1"/>
  <c r="D3553" i="20"/>
  <c r="F3553" i="20" s="1"/>
  <c r="D3757" i="20"/>
  <c r="F3757" i="20" s="1"/>
  <c r="K5380" i="20"/>
  <c r="D3451" i="20"/>
  <c r="F3451" i="20" s="1"/>
  <c r="D3502" i="20"/>
  <c r="F3502" i="20" s="1"/>
  <c r="D3298" i="20"/>
  <c r="F3298" i="20" s="1"/>
  <c r="D3400" i="20"/>
  <c r="F3400" i="20" s="1"/>
  <c r="D3349" i="20"/>
  <c r="F3349" i="20" s="1"/>
  <c r="D2839" i="20"/>
  <c r="F2839" i="20" s="1"/>
  <c r="D3247" i="20"/>
  <c r="F3247" i="20" s="1"/>
  <c r="D2788" i="20"/>
  <c r="F2788" i="20" s="1"/>
  <c r="D3145" i="20"/>
  <c r="F3145" i="20" s="1"/>
  <c r="D3094" i="20"/>
  <c r="F3094" i="20" s="1"/>
  <c r="D3043" i="20"/>
  <c r="F3043" i="20" s="1"/>
  <c r="D2737" i="20"/>
  <c r="F2737" i="20" s="1"/>
  <c r="D2635" i="20"/>
  <c r="F2635" i="20" s="1"/>
  <c r="D3196" i="20"/>
  <c r="F3196" i="20" s="1"/>
  <c r="D2992" i="20"/>
  <c r="F2992" i="20" s="1"/>
  <c r="D2941" i="20"/>
  <c r="F2941" i="20" s="1"/>
  <c r="D2890" i="20"/>
  <c r="F2890" i="20" s="1"/>
  <c r="D2686" i="20"/>
  <c r="F2686" i="20" s="1"/>
  <c r="D2533" i="20"/>
  <c r="F2533" i="20" s="1"/>
  <c r="D2584" i="20"/>
  <c r="F2584" i="20" s="1"/>
  <c r="K4767" i="20"/>
  <c r="D8048" i="20"/>
  <c r="F8048" i="20" s="1"/>
  <c r="D8252" i="20"/>
  <c r="F8252" i="20" s="1"/>
  <c r="D8197" i="20"/>
  <c r="F8197" i="20" s="1"/>
  <c r="D2380" i="20"/>
  <c r="F2380" i="20" s="1"/>
  <c r="D2278" i="20"/>
  <c r="F2278" i="20" s="1"/>
  <c r="D2431" i="20"/>
  <c r="F2431" i="20" s="1"/>
  <c r="D2329" i="20"/>
  <c r="F2329" i="20" s="1"/>
  <c r="D8961" i="20"/>
  <c r="F8961" i="20" s="1"/>
  <c r="D8906" i="20"/>
  <c r="F8906" i="20" s="1"/>
  <c r="D2073" i="20"/>
  <c r="F2073" i="20" s="1"/>
  <c r="D2124" i="20"/>
  <c r="F2124" i="20" s="1"/>
  <c r="D1818" i="20"/>
  <c r="F1818" i="20" s="1"/>
  <c r="D1920" i="20"/>
  <c r="F1920" i="20" s="1"/>
  <c r="D2022" i="20"/>
  <c r="F2022" i="20" s="1"/>
  <c r="D1971" i="20"/>
  <c r="F1971" i="20" s="1"/>
  <c r="D1869" i="20"/>
  <c r="F1869" i="20" s="1"/>
  <c r="D1716" i="20"/>
  <c r="F1716" i="20" s="1"/>
  <c r="D1664" i="20"/>
  <c r="F1664" i="20" s="1"/>
  <c r="D1613" i="20"/>
  <c r="F1613" i="20" s="1"/>
  <c r="D1562" i="20"/>
  <c r="F1562" i="20" s="1"/>
  <c r="D1511" i="20"/>
  <c r="F1511" i="20" s="1"/>
  <c r="D1460" i="20"/>
  <c r="F1460" i="20" s="1"/>
  <c r="D1205" i="20"/>
  <c r="F1205" i="20" s="1"/>
  <c r="D1767" i="20"/>
  <c r="F1767" i="20" s="1"/>
  <c r="D1256" i="20"/>
  <c r="F1256" i="20" s="1"/>
  <c r="D946" i="20"/>
  <c r="F946" i="20" s="1"/>
  <c r="D844" i="20"/>
  <c r="F844" i="20" s="1"/>
  <c r="D1154" i="20"/>
  <c r="F1154" i="20" s="1"/>
  <c r="D997" i="20"/>
  <c r="F997" i="20" s="1"/>
  <c r="D1103" i="20"/>
  <c r="F1103" i="20" s="1"/>
  <c r="D1048" i="20"/>
  <c r="F1048" i="20" s="1"/>
  <c r="D895" i="20"/>
  <c r="F895" i="20" s="1"/>
  <c r="D8854" i="20"/>
  <c r="F8854" i="20" s="1"/>
  <c r="H8862" i="20" s="1"/>
  <c r="D8059" i="20"/>
  <c r="F8059" i="20" s="1"/>
  <c r="D383" i="20"/>
  <c r="F383" i="20" s="1"/>
  <c r="D332" i="20"/>
  <c r="F332" i="20" s="1"/>
  <c r="D281" i="20"/>
  <c r="F281" i="20" s="1"/>
  <c r="D230" i="20"/>
  <c r="F230" i="20" s="1"/>
  <c r="D179" i="20"/>
  <c r="F179" i="20" s="1"/>
  <c r="D77" i="20"/>
  <c r="F77" i="20" s="1"/>
  <c r="D128" i="20"/>
  <c r="F128" i="20" s="1"/>
  <c r="D25" i="20"/>
  <c r="F25" i="20" s="1"/>
  <c r="J1428" i="13"/>
  <c r="F1428" i="13" s="1"/>
  <c r="J1426" i="13"/>
  <c r="F1426" i="13" s="1"/>
  <c r="J1425" i="13"/>
  <c r="F1425" i="13" s="1"/>
  <c r="J1424" i="13"/>
  <c r="F1424" i="13" s="1"/>
  <c r="J1409" i="13"/>
  <c r="F1409" i="13" s="1"/>
  <c r="J1404" i="13"/>
  <c r="F1404" i="13" s="1"/>
  <c r="J1359" i="13"/>
  <c r="F1359" i="13" s="1"/>
  <c r="G1358" i="13"/>
  <c r="J1358" i="13" s="1"/>
  <c r="F1358" i="13" s="1"/>
  <c r="J1355" i="13"/>
  <c r="F1355" i="13" s="1"/>
  <c r="J1353" i="13"/>
  <c r="J1352" i="13"/>
  <c r="F1352" i="13" s="1"/>
  <c r="J1349" i="13"/>
  <c r="J1347" i="13"/>
  <c r="F1347" i="13" s="1"/>
  <c r="J1346" i="13"/>
  <c r="F1346" i="13" s="1"/>
  <c r="J1338" i="13"/>
  <c r="F1338" i="13" s="1"/>
  <c r="J1337" i="13"/>
  <c r="F1337" i="13" s="1"/>
  <c r="J1336" i="13"/>
  <c r="F1336" i="13" s="1"/>
  <c r="J1335" i="13"/>
  <c r="F1335" i="13" s="1"/>
  <c r="J1334" i="13"/>
  <c r="F1334" i="13" s="1"/>
  <c r="J1333" i="13"/>
  <c r="F1333" i="13" s="1"/>
  <c r="J1332" i="13"/>
  <c r="F1332" i="13" s="1"/>
  <c r="J1331" i="13"/>
  <c r="F1331" i="13" s="1"/>
  <c r="E8575" i="20"/>
  <c r="G8575" i="20" s="1"/>
  <c r="E5696" i="20"/>
  <c r="G5696" i="20" s="1"/>
  <c r="E8732" i="20"/>
  <c r="G8732" i="20" s="1"/>
  <c r="E8678" i="20"/>
  <c r="G8678" i="20" s="1"/>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Q19" i="5"/>
  <c r="C16" i="5"/>
  <c r="G16" i="5" s="1"/>
  <c r="C15" i="5"/>
  <c r="G15" i="5" s="1"/>
  <c r="Q7" i="5"/>
  <c r="Q6" i="5"/>
  <c r="G41" i="4"/>
  <c r="G88" i="4"/>
  <c r="G323" i="4"/>
  <c r="D8311" i="20" s="1"/>
  <c r="F8311" i="20" s="1"/>
  <c r="G322" i="4"/>
  <c r="D8740" i="20" s="1"/>
  <c r="F8740" i="20" s="1"/>
  <c r="G321" i="4"/>
  <c r="G319" i="4"/>
  <c r="G316" i="4"/>
  <c r="D5190" i="20" s="1"/>
  <c r="F5190" i="20" s="1"/>
  <c r="G315" i="4"/>
  <c r="D8955" i="20" s="1"/>
  <c r="F8955" i="20" s="1"/>
  <c r="G313" i="4"/>
  <c r="D9007" i="20" s="1"/>
  <c r="F9007" i="20" s="1"/>
  <c r="H9021" i="20" s="1"/>
  <c r="G312" i="4"/>
  <c r="G311" i="4"/>
  <c r="D9372" i="20" s="1"/>
  <c r="F9372" i="20" s="1"/>
  <c r="H9386" i="20" s="1"/>
  <c r="G306" i="4"/>
  <c r="G304" i="4"/>
  <c r="G298" i="4"/>
  <c r="D8478" i="20" s="1"/>
  <c r="F8478" i="20" s="1"/>
  <c r="G293" i="4"/>
  <c r="G308" i="4"/>
  <c r="D9424" i="20" s="1"/>
  <c r="F9424" i="20" s="1"/>
  <c r="H9438" i="20" s="1"/>
  <c r="G292" i="4"/>
  <c r="G291" i="4"/>
  <c r="G290" i="4"/>
  <c r="G289" i="4"/>
  <c r="G288" i="4"/>
  <c r="G287" i="4"/>
  <c r="G286" i="4"/>
  <c r="G285" i="4"/>
  <c r="G278" i="4"/>
  <c r="D379" i="20" s="1"/>
  <c r="F379" i="20" s="1"/>
  <c r="G276" i="4"/>
  <c r="D2580" i="20" s="1"/>
  <c r="F2580" i="20" s="1"/>
  <c r="G275" i="4"/>
  <c r="G272" i="4"/>
  <c r="D328" i="20" s="1"/>
  <c r="F328" i="20" s="1"/>
  <c r="G271" i="4"/>
  <c r="D277" i="20" s="1"/>
  <c r="F277" i="20" s="1"/>
  <c r="G263" i="4"/>
  <c r="G262" i="4"/>
  <c r="D2484" i="20" s="1"/>
  <c r="F2484" i="20" s="1"/>
  <c r="G261" i="4"/>
  <c r="D5647" i="20" s="1"/>
  <c r="F5647" i="20" s="1"/>
  <c r="H5661" i="20" s="1"/>
  <c r="G258" i="4"/>
  <c r="G256" i="4"/>
  <c r="G254" i="4"/>
  <c r="D5186" i="20" s="1"/>
  <c r="F5186" i="20" s="1"/>
  <c r="G249" i="4"/>
  <c r="G247" i="4"/>
  <c r="D5340" i="20" s="1"/>
  <c r="F5340" i="20" s="1"/>
  <c r="H5354" i="20" s="1"/>
  <c r="G241" i="4"/>
  <c r="G239" i="4"/>
  <c r="D4369" i="20" s="1"/>
  <c r="F4369" i="20" s="1"/>
  <c r="H4383" i="20" s="1"/>
  <c r="G234" i="4"/>
  <c r="G223" i="4"/>
  <c r="G221" i="4"/>
  <c r="G219" i="4"/>
  <c r="D7996" i="20" s="1"/>
  <c r="F7996" i="20" s="1"/>
  <c r="G217" i="4"/>
  <c r="G215" i="4"/>
  <c r="D8538" i="20" s="1"/>
  <c r="F8538" i="20" s="1"/>
  <c r="G213" i="4"/>
  <c r="G196" i="4"/>
  <c r="D2427" i="20" s="1"/>
  <c r="F2427" i="20" s="1"/>
  <c r="G151" i="4"/>
  <c r="D8628" i="20" s="1"/>
  <c r="F8628" i="20" s="1"/>
  <c r="G150" i="4"/>
  <c r="D8908" i="20" s="1"/>
  <c r="F8908" i="20" s="1"/>
  <c r="G148" i="4"/>
  <c r="D8630" i="20" s="1"/>
  <c r="F8630" i="20" s="1"/>
  <c r="G209" i="4"/>
  <c r="D5188" i="20" s="1"/>
  <c r="F5188" i="20" s="1"/>
  <c r="G199" i="4"/>
  <c r="D4059" i="20" s="1"/>
  <c r="F4059" i="20" s="1"/>
  <c r="G197" i="4"/>
  <c r="D3957" i="20" s="1"/>
  <c r="F3957" i="20" s="1"/>
  <c r="G200" i="4"/>
  <c r="G204" i="4"/>
  <c r="D73" i="20" s="1"/>
  <c r="F73" i="20" s="1"/>
  <c r="G205" i="4"/>
  <c r="D124" i="20" s="1"/>
  <c r="F124" i="20" s="1"/>
  <c r="G208" i="4"/>
  <c r="G203" i="4"/>
  <c r="D21" i="20" s="1"/>
  <c r="F21" i="20" s="1"/>
  <c r="G206" i="4"/>
  <c r="D430" i="20" s="1"/>
  <c r="F430" i="20" s="1"/>
  <c r="G131" i="4"/>
  <c r="D5189" i="20" s="1"/>
  <c r="F5189" i="20" s="1"/>
  <c r="G133" i="4"/>
  <c r="G134" i="4"/>
  <c r="G135" i="4"/>
  <c r="G127" i="4"/>
  <c r="G128" i="4"/>
  <c r="G129" i="4"/>
  <c r="G130" i="4"/>
  <c r="G132" i="4"/>
  <c r="G126" i="4"/>
  <c r="G125" i="4"/>
  <c r="G124" i="4"/>
  <c r="G121" i="4"/>
  <c r="D8741" i="20" s="1"/>
  <c r="F8741" i="20" s="1"/>
  <c r="G120" i="4"/>
  <c r="G116" i="4"/>
  <c r="G115" i="4"/>
  <c r="G114" i="4"/>
  <c r="G112" i="4"/>
  <c r="G111" i="4"/>
  <c r="G110" i="4"/>
  <c r="G109" i="4"/>
  <c r="G108" i="4"/>
  <c r="G107" i="4"/>
  <c r="G106" i="4"/>
  <c r="G105" i="4"/>
  <c r="G104" i="4"/>
  <c r="G103" i="4"/>
  <c r="G102" i="4"/>
  <c r="G101" i="4"/>
  <c r="G100" i="4"/>
  <c r="G99" i="4"/>
  <c r="G98" i="4"/>
  <c r="G95" i="4"/>
  <c r="G97" i="4"/>
  <c r="G96" i="4"/>
  <c r="G94" i="4"/>
  <c r="G93" i="4"/>
  <c r="G91" i="4"/>
  <c r="G92" i="4"/>
  <c r="D8305" i="20" s="1"/>
  <c r="F8305" i="20" s="1"/>
  <c r="G90" i="4"/>
  <c r="G89" i="4"/>
  <c r="G87" i="4"/>
  <c r="G86" i="4"/>
  <c r="G85" i="4"/>
  <c r="G84" i="4"/>
  <c r="D126" i="20" s="1"/>
  <c r="F126" i="20" s="1"/>
  <c r="G80" i="4"/>
  <c r="D7315" i="20" s="1"/>
  <c r="F7315" i="20" s="1"/>
  <c r="G81" i="4"/>
  <c r="D8629" i="20" s="1"/>
  <c r="F8629" i="20" s="1"/>
  <c r="G82" i="4"/>
  <c r="D8907" i="20" s="1"/>
  <c r="F8907" i="20" s="1"/>
  <c r="G83" i="4"/>
  <c r="G76" i="4"/>
  <c r="G75" i="4"/>
  <c r="G74" i="4"/>
  <c r="G72" i="4"/>
  <c r="G71" i="4"/>
  <c r="G70" i="4"/>
  <c r="G69" i="4"/>
  <c r="G68" i="4"/>
  <c r="G67" i="4"/>
  <c r="G66" i="4"/>
  <c r="G65" i="4"/>
  <c r="G63" i="4"/>
  <c r="G56" i="4"/>
  <c r="D5908" i="20" s="1"/>
  <c r="F5908" i="20" s="1"/>
  <c r="H5922" i="20" s="1"/>
  <c r="G62" i="4"/>
  <c r="D8528" i="20" s="1"/>
  <c r="F8528" i="20" s="1"/>
  <c r="G61" i="4"/>
  <c r="G59" i="4"/>
  <c r="G57" i="4"/>
  <c r="D5960" i="20" s="1"/>
  <c r="F5960" i="20" s="1"/>
  <c r="H5974" i="20" s="1"/>
  <c r="G54" i="4"/>
  <c r="G53" i="4"/>
  <c r="G49" i="4"/>
  <c r="G46" i="4"/>
  <c r="G42" i="4"/>
  <c r="G40" i="4"/>
  <c r="G33" i="4"/>
  <c r="G32" i="4"/>
  <c r="G31" i="4"/>
  <c r="G30" i="4"/>
  <c r="G29" i="4"/>
  <c r="G28" i="4"/>
  <c r="G27" i="4"/>
  <c r="G26" i="4"/>
  <c r="G25" i="4"/>
  <c r="G24" i="4"/>
  <c r="G23" i="4"/>
  <c r="G19" i="4"/>
  <c r="G18" i="4"/>
  <c r="G17" i="4"/>
  <c r="G16" i="4"/>
  <c r="G15" i="4"/>
  <c r="G14" i="4"/>
  <c r="G13" i="4"/>
  <c r="G12" i="4"/>
  <c r="G11" i="4"/>
  <c r="G6" i="4"/>
  <c r="G9" i="4"/>
  <c r="G8" i="4"/>
  <c r="G10" i="4"/>
  <c r="G7" i="4"/>
  <c r="L3" i="4"/>
  <c r="G3" i="4" s="1"/>
  <c r="G5" i="4"/>
  <c r="G4" i="4"/>
  <c r="D3912" i="20" l="1"/>
  <c r="F3912" i="20" s="1"/>
  <c r="D8307" i="20"/>
  <c r="F8307" i="20" s="1"/>
  <c r="D8308" i="20"/>
  <c r="F8308" i="20" s="1"/>
  <c r="D7995" i="20"/>
  <c r="F7995" i="20" s="1"/>
  <c r="D5191" i="20"/>
  <c r="F5191" i="20" s="1"/>
  <c r="D8306" i="20"/>
  <c r="F8306" i="20" s="1"/>
  <c r="D8529" i="20"/>
  <c r="F8529" i="20" s="1"/>
  <c r="B45" i="4"/>
  <c r="E7935" i="20"/>
  <c r="G7935" i="20" s="1"/>
  <c r="E7831" i="20"/>
  <c r="G7831" i="20" s="1"/>
  <c r="E7727" i="20"/>
  <c r="G7727" i="20" s="1"/>
  <c r="E8573" i="20"/>
  <c r="G8573" i="20" s="1"/>
  <c r="E4155" i="20"/>
  <c r="G4155" i="20" s="1"/>
  <c r="E7518" i="20"/>
  <c r="G7518" i="20" s="1"/>
  <c r="E7987" i="20"/>
  <c r="G7987" i="20" s="1"/>
  <c r="E7779" i="20"/>
  <c r="G7779" i="20" s="1"/>
  <c r="E8518" i="20"/>
  <c r="G8518" i="20" s="1"/>
  <c r="H8522" i="20" s="1"/>
  <c r="M8513" i="20" s="1"/>
  <c r="E7675" i="20"/>
  <c r="G7675" i="20" s="1"/>
  <c r="E7571" i="20"/>
  <c r="G7571" i="20" s="1"/>
  <c r="E5641" i="20"/>
  <c r="G5641" i="20" s="1"/>
  <c r="H5644" i="20" s="1"/>
  <c r="M5636" i="20" s="1"/>
  <c r="E4104" i="20"/>
  <c r="G4104" i="20" s="1"/>
  <c r="E9521" i="20"/>
  <c r="G9521" i="20" s="1"/>
  <c r="E7883" i="20"/>
  <c r="G7883" i="20" s="1"/>
  <c r="E4206" i="20"/>
  <c r="G4206" i="20" s="1"/>
  <c r="E7623" i="20"/>
  <c r="G7623" i="20" s="1"/>
  <c r="E3951" i="20"/>
  <c r="G3951" i="20" s="1"/>
  <c r="E4002" i="20"/>
  <c r="G4002" i="20" s="1"/>
  <c r="E4053" i="20"/>
  <c r="G4053" i="20" s="1"/>
  <c r="E9365" i="20"/>
  <c r="G9365" i="20" s="1"/>
  <c r="E9469" i="20"/>
  <c r="G9469" i="20" s="1"/>
  <c r="E9313" i="20"/>
  <c r="G9313" i="20" s="1"/>
  <c r="E9417" i="20"/>
  <c r="G9417" i="20" s="1"/>
  <c r="E3900" i="20"/>
  <c r="G3900" i="20" s="1"/>
  <c r="E7305" i="20"/>
  <c r="G7305" i="20" s="1"/>
  <c r="E5590" i="20"/>
  <c r="G5590" i="20" s="1"/>
  <c r="H5593" i="20" s="1"/>
  <c r="M5585" i="20" s="1"/>
  <c r="E8731" i="20"/>
  <c r="G8731" i="20" s="1"/>
  <c r="H8735" i="20" s="1"/>
  <c r="M8726" i="20" s="1"/>
  <c r="E3696" i="20"/>
  <c r="G3696" i="20" s="1"/>
  <c r="E3594" i="20"/>
  <c r="G3594" i="20" s="1"/>
  <c r="E7360" i="20"/>
  <c r="G7360" i="20" s="1"/>
  <c r="E7253" i="20"/>
  <c r="G7253" i="20" s="1"/>
  <c r="E7201" i="20"/>
  <c r="G7201" i="20" s="1"/>
  <c r="E7149" i="20"/>
  <c r="G7149" i="20" s="1"/>
  <c r="E7413" i="20"/>
  <c r="G7413" i="20" s="1"/>
  <c r="E8463" i="20"/>
  <c r="G8463" i="20" s="1"/>
  <c r="H8467" i="20" s="1"/>
  <c r="M8458" i="20" s="1"/>
  <c r="E7045" i="20"/>
  <c r="G7045" i="20" s="1"/>
  <c r="E6837" i="20"/>
  <c r="G6837" i="20" s="1"/>
  <c r="E3849" i="20"/>
  <c r="G3849" i="20" s="1"/>
  <c r="E8408" i="20"/>
  <c r="G8408" i="20" s="1"/>
  <c r="H8412" i="20" s="1"/>
  <c r="M8403" i="20" s="1"/>
  <c r="E7097" i="20"/>
  <c r="G7097" i="20" s="1"/>
  <c r="E6993" i="20"/>
  <c r="G6993" i="20" s="1"/>
  <c r="E6941" i="20"/>
  <c r="G6941" i="20" s="1"/>
  <c r="E6889" i="20"/>
  <c r="G6889" i="20" s="1"/>
  <c r="E6785" i="20"/>
  <c r="G6785" i="20" s="1"/>
  <c r="E5488" i="20"/>
  <c r="G5488" i="20" s="1"/>
  <c r="H5491" i="20" s="1"/>
  <c r="M5483" i="20" s="1"/>
  <c r="E7465" i="20"/>
  <c r="G7465" i="20" s="1"/>
  <c r="E6733" i="20"/>
  <c r="G6733" i="20" s="1"/>
  <c r="E5539" i="20"/>
  <c r="G5539" i="20" s="1"/>
  <c r="H5542" i="20" s="1"/>
  <c r="M5534" i="20" s="1"/>
  <c r="E9261" i="20"/>
  <c r="G9261" i="20" s="1"/>
  <c r="E3798" i="20"/>
  <c r="G3798" i="20" s="1"/>
  <c r="E3747" i="20"/>
  <c r="G3747" i="20" s="1"/>
  <c r="E3645" i="20"/>
  <c r="G3645" i="20" s="1"/>
  <c r="E5436" i="20"/>
  <c r="G5436" i="20" s="1"/>
  <c r="H5439" i="20" s="1"/>
  <c r="M5431" i="20" s="1"/>
  <c r="E3390" i="20"/>
  <c r="G3390" i="20" s="1"/>
  <c r="E5385" i="20"/>
  <c r="G5385" i="20" s="1"/>
  <c r="H5388" i="20" s="1"/>
  <c r="M5380" i="20" s="1"/>
  <c r="E3441" i="20"/>
  <c r="G3441" i="20" s="1"/>
  <c r="E3339" i="20"/>
  <c r="G3339" i="20" s="1"/>
  <c r="E3543" i="20"/>
  <c r="G3543" i="20" s="1"/>
  <c r="E3492" i="20"/>
  <c r="G3492" i="20" s="1"/>
  <c r="E8353" i="20"/>
  <c r="G8353" i="20" s="1"/>
  <c r="H8357" i="20" s="1"/>
  <c r="M8348" i="20" s="1"/>
  <c r="E6681" i="20"/>
  <c r="G6681" i="20" s="1"/>
  <c r="E6629" i="20"/>
  <c r="G6629" i="20" s="1"/>
  <c r="H6633" i="20" s="1"/>
  <c r="M6624" i="20" s="1"/>
  <c r="E5334" i="20"/>
  <c r="G5334" i="20" s="1"/>
  <c r="H5337" i="20" s="1"/>
  <c r="M5329" i="20" s="1"/>
  <c r="E5283" i="20"/>
  <c r="G5283" i="20" s="1"/>
  <c r="E9314" i="20"/>
  <c r="G9314" i="20" s="1"/>
  <c r="E9366" i="20"/>
  <c r="G9366" i="20" s="1"/>
  <c r="E9522" i="20"/>
  <c r="G9522" i="20" s="1"/>
  <c r="E9470" i="20"/>
  <c r="G9470" i="20" s="1"/>
  <c r="E9418" i="20"/>
  <c r="G9418" i="20" s="1"/>
  <c r="E9262" i="20"/>
  <c r="G9262" i="20" s="1"/>
  <c r="E7780" i="20"/>
  <c r="G7780" i="20" s="1"/>
  <c r="E7676" i="20"/>
  <c r="G7676" i="20" s="1"/>
  <c r="E7572" i="20"/>
  <c r="G7572" i="20" s="1"/>
  <c r="E7884" i="20"/>
  <c r="G7884" i="20" s="1"/>
  <c r="E4207" i="20"/>
  <c r="G4207" i="20" s="1"/>
  <c r="E4105" i="20"/>
  <c r="G4105" i="20" s="1"/>
  <c r="E7936" i="20"/>
  <c r="G7936" i="20" s="1"/>
  <c r="E7624" i="20"/>
  <c r="G7624" i="20" s="1"/>
  <c r="E7832" i="20"/>
  <c r="G7832" i="20" s="1"/>
  <c r="E7728" i="20"/>
  <c r="G7728" i="20" s="1"/>
  <c r="E8574" i="20"/>
  <c r="G8574" i="20" s="1"/>
  <c r="E7988" i="20"/>
  <c r="G7988" i="20" s="1"/>
  <c r="E4156" i="20"/>
  <c r="G4156" i="20" s="1"/>
  <c r="E7519" i="20"/>
  <c r="G7519" i="20" s="1"/>
  <c r="E4003" i="20"/>
  <c r="G4003" i="20" s="1"/>
  <c r="E4054" i="20"/>
  <c r="G4054" i="20" s="1"/>
  <c r="E3952" i="20"/>
  <c r="G3952" i="20" s="1"/>
  <c r="E3901" i="20"/>
  <c r="G3901" i="20" s="1"/>
  <c r="E7306" i="20"/>
  <c r="G7306" i="20" s="1"/>
  <c r="E6734" i="20"/>
  <c r="G6734" i="20" s="1"/>
  <c r="E7466" i="20"/>
  <c r="G7466" i="20" s="1"/>
  <c r="E3799" i="20"/>
  <c r="G3799" i="20" s="1"/>
  <c r="E3748" i="20"/>
  <c r="G3748" i="20" s="1"/>
  <c r="E3646" i="20"/>
  <c r="G3646" i="20" s="1"/>
  <c r="E7414" i="20"/>
  <c r="G7414" i="20" s="1"/>
  <c r="E3697" i="20"/>
  <c r="G3697" i="20" s="1"/>
  <c r="E3595" i="20"/>
  <c r="G3595" i="20" s="1"/>
  <c r="E7361" i="20"/>
  <c r="G7361" i="20" s="1"/>
  <c r="E7098" i="20"/>
  <c r="G7098" i="20" s="1"/>
  <c r="E7254" i="20"/>
  <c r="G7254" i="20" s="1"/>
  <c r="E7202" i="20"/>
  <c r="G7202" i="20" s="1"/>
  <c r="E7150" i="20"/>
  <c r="G7150" i="20" s="1"/>
  <c r="E7046" i="20"/>
  <c r="G7046" i="20" s="1"/>
  <c r="E6838" i="20"/>
  <c r="G6838" i="20" s="1"/>
  <c r="E6994" i="20"/>
  <c r="G6994" i="20" s="1"/>
  <c r="E6942" i="20"/>
  <c r="G6942" i="20" s="1"/>
  <c r="E6890" i="20"/>
  <c r="G6890" i="20" s="1"/>
  <c r="E6786" i="20"/>
  <c r="G6786" i="20" s="1"/>
  <c r="E3850" i="20"/>
  <c r="G3850" i="20" s="1"/>
  <c r="E3442" i="20"/>
  <c r="G3442" i="20" s="1"/>
  <c r="E3493" i="20"/>
  <c r="G3493" i="20" s="1"/>
  <c r="E3544" i="20"/>
  <c r="G3544" i="20" s="1"/>
  <c r="E3391" i="20"/>
  <c r="G3391" i="20" s="1"/>
  <c r="E3340" i="20"/>
  <c r="G3340" i="20" s="1"/>
  <c r="E6682" i="20"/>
  <c r="G6682" i="20" s="1"/>
  <c r="E5284" i="20"/>
  <c r="G5284" i="20" s="1"/>
  <c r="E4106" i="20"/>
  <c r="G4106" i="20" s="1"/>
  <c r="E4157" i="20"/>
  <c r="G4157" i="20" s="1"/>
  <c r="E4208" i="20"/>
  <c r="G4208" i="20" s="1"/>
  <c r="E4004" i="20"/>
  <c r="G4004" i="20" s="1"/>
  <c r="E3953" i="20"/>
  <c r="G3953" i="20" s="1"/>
  <c r="E4055" i="20"/>
  <c r="G4055" i="20" s="1"/>
  <c r="E3902" i="20"/>
  <c r="G3902" i="20" s="1"/>
  <c r="E3800" i="20"/>
  <c r="G3800" i="20" s="1"/>
  <c r="E3647" i="20"/>
  <c r="G3647" i="20" s="1"/>
  <c r="E3749" i="20"/>
  <c r="G3749" i="20" s="1"/>
  <c r="E3698" i="20"/>
  <c r="G3698" i="20" s="1"/>
  <c r="E3596" i="20"/>
  <c r="G3596" i="20" s="1"/>
  <c r="E3851" i="20"/>
  <c r="G3851" i="20" s="1"/>
  <c r="E3545" i="20"/>
  <c r="G3545" i="20" s="1"/>
  <c r="E3392" i="20"/>
  <c r="G3392" i="20" s="1"/>
  <c r="E3443" i="20"/>
  <c r="G3443" i="20" s="1"/>
  <c r="E3494" i="20"/>
  <c r="G3494" i="20" s="1"/>
  <c r="E3341" i="20"/>
  <c r="G3341" i="20" s="1"/>
  <c r="E9524" i="20"/>
  <c r="G9524" i="20" s="1"/>
  <c r="E9472" i="20"/>
  <c r="G9472" i="20" s="1"/>
  <c r="E9420" i="20"/>
  <c r="G9420" i="20" s="1"/>
  <c r="E9264" i="20"/>
  <c r="G9264" i="20" s="1"/>
  <c r="K8568" i="20"/>
  <c r="D8486" i="20"/>
  <c r="F8486" i="20" s="1"/>
  <c r="D8541" i="20"/>
  <c r="F8541" i="20" s="1"/>
  <c r="D8480" i="20"/>
  <c r="F8480" i="20" s="1"/>
  <c r="D8535" i="20"/>
  <c r="F8535" i="20" s="1"/>
  <c r="D8475" i="20"/>
  <c r="F8475" i="20" s="1"/>
  <c r="D8530" i="20"/>
  <c r="F8530" i="20" s="1"/>
  <c r="D8484" i="20"/>
  <c r="F8484" i="20" s="1"/>
  <c r="D8539" i="20"/>
  <c r="F8539" i="20" s="1"/>
  <c r="D8479" i="20"/>
  <c r="F8479" i="20" s="1"/>
  <c r="D8534" i="20"/>
  <c r="F8534" i="20" s="1"/>
  <c r="D8471" i="20"/>
  <c r="F8471" i="20" s="1"/>
  <c r="D8526" i="20"/>
  <c r="F8526" i="20" s="1"/>
  <c r="D8485" i="20"/>
  <c r="F8485" i="20" s="1"/>
  <c r="D8540" i="20"/>
  <c r="F8540" i="20" s="1"/>
  <c r="D8482" i="20"/>
  <c r="F8482" i="20" s="1"/>
  <c r="D8537" i="20"/>
  <c r="F8537" i="20" s="1"/>
  <c r="D9476" i="20"/>
  <c r="F9476" i="20" s="1"/>
  <c r="H9490" i="20" s="1"/>
  <c r="K9464" i="20" s="1"/>
  <c r="D9528" i="20"/>
  <c r="F9528" i="20" s="1"/>
  <c r="H9542" i="20" s="1"/>
  <c r="D6479" i="20"/>
  <c r="F6479" i="20" s="1"/>
  <c r="H6493" i="20" s="1"/>
  <c r="K6467" i="20" s="1"/>
  <c r="D7994" i="20"/>
  <c r="F7994" i="20" s="1"/>
  <c r="H8008" i="20" s="1"/>
  <c r="D7631" i="20"/>
  <c r="F7631" i="20" s="1"/>
  <c r="D7579" i="20"/>
  <c r="F7579" i="20" s="1"/>
  <c r="D7683" i="20"/>
  <c r="F7683" i="20" s="1"/>
  <c r="D7632" i="20"/>
  <c r="F7632" i="20" s="1"/>
  <c r="D7580" i="20"/>
  <c r="F7580" i="20" s="1"/>
  <c r="D7684" i="20"/>
  <c r="F7684" i="20" s="1"/>
  <c r="D6636" i="20"/>
  <c r="F6636" i="20" s="1"/>
  <c r="H6650" i="20" s="1"/>
  <c r="K6624" i="20" s="1"/>
  <c r="D7840" i="20"/>
  <c r="F7840" i="20" s="1"/>
  <c r="D7788" i="20"/>
  <c r="F7788" i="20" s="1"/>
  <c r="D7892" i="20"/>
  <c r="F7892" i="20" s="1"/>
  <c r="D7786" i="20"/>
  <c r="F7786" i="20" s="1"/>
  <c r="D7734" i="20"/>
  <c r="F7734" i="20" s="1"/>
  <c r="D7891" i="20"/>
  <c r="F7891" i="20" s="1"/>
  <c r="D7735" i="20"/>
  <c r="F7735" i="20" s="1"/>
  <c r="D7787" i="20"/>
  <c r="F7787" i="20" s="1"/>
  <c r="D7839" i="20"/>
  <c r="F7839" i="20" s="1"/>
  <c r="H7852" i="20" s="1"/>
  <c r="D7420" i="20"/>
  <c r="F7420" i="20" s="1"/>
  <c r="D7525" i="20"/>
  <c r="F7525" i="20" s="1"/>
  <c r="D7313" i="20"/>
  <c r="F7313" i="20" s="1"/>
  <c r="D7526" i="20"/>
  <c r="F7526" i="20" s="1"/>
  <c r="D7314" i="20"/>
  <c r="F7314" i="20" s="1"/>
  <c r="D7527" i="20"/>
  <c r="F7527" i="20" s="1"/>
  <c r="D4214" i="20"/>
  <c r="F4214" i="20" s="1"/>
  <c r="D4163" i="20"/>
  <c r="F4163" i="20" s="1"/>
  <c r="D4117" i="20"/>
  <c r="F4117" i="20" s="1"/>
  <c r="D4219" i="20"/>
  <c r="F4219" i="20" s="1"/>
  <c r="D4168" i="20"/>
  <c r="F4168" i="20" s="1"/>
  <c r="D4218" i="20"/>
  <c r="F4218" i="20" s="1"/>
  <c r="D4167" i="20"/>
  <c r="F4167" i="20" s="1"/>
  <c r="D4113" i="20"/>
  <c r="F4113" i="20" s="1"/>
  <c r="D4215" i="20"/>
  <c r="F4215" i="20" s="1"/>
  <c r="D4164" i="20"/>
  <c r="F4164" i="20" s="1"/>
  <c r="K5636" i="20"/>
  <c r="D3449" i="20"/>
  <c r="F3449" i="20" s="1"/>
  <c r="D4112" i="20"/>
  <c r="F4112" i="20" s="1"/>
  <c r="D3453" i="20"/>
  <c r="F3453" i="20" s="1"/>
  <c r="D4116" i="20"/>
  <c r="F4116" i="20" s="1"/>
  <c r="D2281" i="20"/>
  <c r="F2281" i="20" s="1"/>
  <c r="D3963" i="20"/>
  <c r="F3963" i="20" s="1"/>
  <c r="D4065" i="20"/>
  <c r="F4065" i="20" s="1"/>
  <c r="D4014" i="20"/>
  <c r="F4014" i="20" s="1"/>
  <c r="D3908" i="20"/>
  <c r="F3908" i="20" s="1"/>
  <c r="D4061" i="20"/>
  <c r="F4061" i="20" s="1"/>
  <c r="D4010" i="20"/>
  <c r="F4010" i="20" s="1"/>
  <c r="D3959" i="20"/>
  <c r="F3959" i="20" s="1"/>
  <c r="D3909" i="20"/>
  <c r="F3909" i="20" s="1"/>
  <c r="D3960" i="20"/>
  <c r="F3960" i="20" s="1"/>
  <c r="D4062" i="20"/>
  <c r="F4062" i="20" s="1"/>
  <c r="D4011" i="20"/>
  <c r="F4011" i="20" s="1"/>
  <c r="K9360" i="20"/>
  <c r="K9412" i="20"/>
  <c r="D7472" i="20"/>
  <c r="F7472" i="20" s="1"/>
  <c r="D7312" i="20"/>
  <c r="F7312" i="20" s="1"/>
  <c r="D5545" i="20"/>
  <c r="F5545" i="20" s="1"/>
  <c r="H5559" i="20" s="1"/>
  <c r="D5596" i="20"/>
  <c r="F5596" i="20" s="1"/>
  <c r="H5610" i="20" s="1"/>
  <c r="D3857" i="20"/>
  <c r="F3857" i="20" s="1"/>
  <c r="D3806" i="20"/>
  <c r="F3806" i="20" s="1"/>
  <c r="D3807" i="20"/>
  <c r="F3807" i="20" s="1"/>
  <c r="D3858" i="20"/>
  <c r="F3858" i="20" s="1"/>
  <c r="D3861" i="20"/>
  <c r="F3861" i="20" s="1"/>
  <c r="D3810" i="20"/>
  <c r="F3810" i="20" s="1"/>
  <c r="D8473" i="20"/>
  <c r="F8473" i="20" s="1"/>
  <c r="D8739" i="20"/>
  <c r="F8739" i="20" s="1"/>
  <c r="H8755" i="20" s="1"/>
  <c r="D8428" i="20"/>
  <c r="F8428" i="20" s="1"/>
  <c r="D8483" i="20"/>
  <c r="F8483" i="20" s="1"/>
  <c r="D8419" i="20"/>
  <c r="F8419" i="20" s="1"/>
  <c r="D8474" i="20"/>
  <c r="F8474" i="20" s="1"/>
  <c r="D8375" i="20"/>
  <c r="F8375" i="20" s="1"/>
  <c r="D8430" i="20"/>
  <c r="F8430" i="20" s="1"/>
  <c r="D8376" i="20"/>
  <c r="F8376" i="20" s="1"/>
  <c r="D8431" i="20"/>
  <c r="F8431" i="20" s="1"/>
  <c r="D8372" i="20"/>
  <c r="F8372" i="20" s="1"/>
  <c r="D8427" i="20"/>
  <c r="F8427" i="20" s="1"/>
  <c r="D8370" i="20"/>
  <c r="F8370" i="20" s="1"/>
  <c r="D8425" i="20"/>
  <c r="F8425" i="20" s="1"/>
  <c r="D8365" i="20"/>
  <c r="F8365" i="20" s="1"/>
  <c r="D8420" i="20"/>
  <c r="F8420" i="20" s="1"/>
  <c r="D8363" i="20"/>
  <c r="F8363" i="20" s="1"/>
  <c r="D8418" i="20"/>
  <c r="F8418" i="20" s="1"/>
  <c r="D8374" i="20"/>
  <c r="F8374" i="20" s="1"/>
  <c r="D8429" i="20"/>
  <c r="F8429" i="20" s="1"/>
  <c r="D8369" i="20"/>
  <c r="F8369" i="20" s="1"/>
  <c r="D8424" i="20"/>
  <c r="F8424" i="20" s="1"/>
  <c r="D8361" i="20"/>
  <c r="F8361" i="20" s="1"/>
  <c r="D8416" i="20"/>
  <c r="F8416" i="20" s="1"/>
  <c r="D3555" i="20"/>
  <c r="F3555" i="20" s="1"/>
  <c r="D3759" i="20"/>
  <c r="F3759" i="20" s="1"/>
  <c r="D3551" i="20"/>
  <c r="F3551" i="20" s="1"/>
  <c r="D3755" i="20"/>
  <c r="F3755" i="20" s="1"/>
  <c r="D3552" i="20"/>
  <c r="F3552" i="20" s="1"/>
  <c r="D3756" i="20"/>
  <c r="F3756" i="20" s="1"/>
  <c r="D3554" i="20"/>
  <c r="F3554" i="20" s="1"/>
  <c r="D7367" i="20"/>
  <c r="F7367" i="20" s="1"/>
  <c r="H7381" i="20" s="1"/>
  <c r="D7260" i="20"/>
  <c r="F7260" i="20" s="1"/>
  <c r="H7274" i="20" s="1"/>
  <c r="D8364" i="20"/>
  <c r="F8364" i="20" s="1"/>
  <c r="D7052" i="20"/>
  <c r="F7052" i="20" s="1"/>
  <c r="H7066" i="20" s="1"/>
  <c r="D6948" i="20"/>
  <c r="F6948" i="20" s="1"/>
  <c r="H6962" i="20" s="1"/>
  <c r="D7000" i="20"/>
  <c r="F7000" i="20" s="1"/>
  <c r="H7014" i="20" s="1"/>
  <c r="D6688" i="20"/>
  <c r="F6688" i="20" s="1"/>
  <c r="D6740" i="20"/>
  <c r="F6740" i="20" s="1"/>
  <c r="H6754" i="20" s="1"/>
  <c r="D6689" i="20"/>
  <c r="F6689" i="20" s="1"/>
  <c r="D7421" i="20"/>
  <c r="F7421" i="20" s="1"/>
  <c r="D7473" i="20"/>
  <c r="F7473" i="20" s="1"/>
  <c r="D6690" i="20"/>
  <c r="F6690" i="20" s="1"/>
  <c r="D7474" i="20"/>
  <c r="F7474" i="20" s="1"/>
  <c r="D7422" i="20"/>
  <c r="F7422" i="20" s="1"/>
  <c r="D5494" i="20"/>
  <c r="F5494" i="20" s="1"/>
  <c r="H5508" i="20" s="1"/>
  <c r="D5442" i="20"/>
  <c r="F5442" i="20" s="1"/>
  <c r="H5456" i="20" s="1"/>
  <c r="D3450" i="20"/>
  <c r="F3450" i="20" s="1"/>
  <c r="D3501" i="20"/>
  <c r="F3501" i="20" s="1"/>
  <c r="D3351" i="20"/>
  <c r="F3351" i="20" s="1"/>
  <c r="D3504" i="20"/>
  <c r="F3504" i="20" s="1"/>
  <c r="D8258" i="20"/>
  <c r="F8258" i="20" s="1"/>
  <c r="D8368" i="20"/>
  <c r="F8368" i="20" s="1"/>
  <c r="D3452" i="20"/>
  <c r="F3452" i="20" s="1"/>
  <c r="D3503" i="20"/>
  <c r="F3503" i="20" s="1"/>
  <c r="D3347" i="20"/>
  <c r="F3347" i="20" s="1"/>
  <c r="D3500" i="20"/>
  <c r="F3500" i="20" s="1"/>
  <c r="D8263" i="20"/>
  <c r="F8263" i="20" s="1"/>
  <c r="D8373" i="20"/>
  <c r="F8373" i="20" s="1"/>
  <c r="D3403" i="20"/>
  <c r="F3403" i="20" s="1"/>
  <c r="D3454" i="20"/>
  <c r="F3454" i="20" s="1"/>
  <c r="K5329" i="20"/>
  <c r="D3297" i="20"/>
  <c r="F3297" i="20" s="1"/>
  <c r="D3399" i="20"/>
  <c r="F3399" i="20" s="1"/>
  <c r="D3348" i="20"/>
  <c r="F3348" i="20" s="1"/>
  <c r="D3300" i="20"/>
  <c r="F3300" i="20" s="1"/>
  <c r="D3402" i="20"/>
  <c r="F3402" i="20" s="1"/>
  <c r="D3299" i="20"/>
  <c r="F3299" i="20" s="1"/>
  <c r="D3350" i="20"/>
  <c r="F3350" i="20" s="1"/>
  <c r="D3401" i="20"/>
  <c r="F3401" i="20" s="1"/>
  <c r="D3296" i="20"/>
  <c r="F3296" i="20" s="1"/>
  <c r="D3398" i="20"/>
  <c r="F3398" i="20" s="1"/>
  <c r="E3289" i="20"/>
  <c r="G3289" i="20" s="1"/>
  <c r="E3238" i="20"/>
  <c r="G3238" i="20" s="1"/>
  <c r="E2677" i="20"/>
  <c r="G2677" i="20" s="1"/>
  <c r="E3187" i="20"/>
  <c r="G3187" i="20" s="1"/>
  <c r="E3085" i="20"/>
  <c r="G3085" i="20" s="1"/>
  <c r="E2626" i="20"/>
  <c r="G2626" i="20" s="1"/>
  <c r="E2932" i="20"/>
  <c r="G2932" i="20" s="1"/>
  <c r="E2830" i="20"/>
  <c r="G2830" i="20" s="1"/>
  <c r="E3136" i="20"/>
  <c r="G3136" i="20" s="1"/>
  <c r="E3034" i="20"/>
  <c r="G3034" i="20" s="1"/>
  <c r="E2983" i="20"/>
  <c r="G2983" i="20" s="1"/>
  <c r="E2779" i="20"/>
  <c r="G2779" i="20" s="1"/>
  <c r="E2728" i="20"/>
  <c r="G2728" i="20" s="1"/>
  <c r="E2881" i="20"/>
  <c r="G2881" i="20" s="1"/>
  <c r="E5079" i="20"/>
  <c r="G5079" i="20" s="1"/>
  <c r="E2575" i="20"/>
  <c r="G2575" i="20" s="1"/>
  <c r="E2524" i="20"/>
  <c r="G2524" i="20" s="1"/>
  <c r="E8299" i="20"/>
  <c r="G8299" i="20" s="1"/>
  <c r="E6421" i="20"/>
  <c r="G6421" i="20" s="1"/>
  <c r="E6369" i="20"/>
  <c r="G6369" i="20" s="1"/>
  <c r="E8142" i="20"/>
  <c r="G8142" i="20" s="1"/>
  <c r="E8095" i="20"/>
  <c r="G8095" i="20" s="1"/>
  <c r="E1911" i="20"/>
  <c r="G1911" i="20" s="1"/>
  <c r="E8895" i="20"/>
  <c r="G8895" i="20" s="1"/>
  <c r="E1962" i="20"/>
  <c r="G1962" i="20" s="1"/>
  <c r="E4620" i="20"/>
  <c r="G4620" i="20" s="1"/>
  <c r="E2013" i="20"/>
  <c r="G2013" i="20" s="1"/>
  <c r="E2115" i="20"/>
  <c r="G2115" i="20" s="1"/>
  <c r="E2064" i="20"/>
  <c r="G2064" i="20" s="1"/>
  <c r="E1809" i="20"/>
  <c r="G1809" i="20" s="1"/>
  <c r="E1860" i="20"/>
  <c r="G1860" i="20" s="1"/>
  <c r="E4569" i="20"/>
  <c r="G4569" i="20" s="1"/>
  <c r="E1247" i="20"/>
  <c r="G1247" i="20" s="1"/>
  <c r="E1758" i="20"/>
  <c r="G1758" i="20" s="1"/>
  <c r="E1553" i="20"/>
  <c r="G1553" i="20" s="1"/>
  <c r="E1298" i="20"/>
  <c r="G1298" i="20" s="1"/>
  <c r="E1604" i="20"/>
  <c r="G1604" i="20" s="1"/>
  <c r="E1349" i="20"/>
  <c r="G1349" i="20" s="1"/>
  <c r="E1502" i="20"/>
  <c r="G1502" i="20" s="1"/>
  <c r="E1400" i="20"/>
  <c r="G1400" i="20" s="1"/>
  <c r="E1655" i="20"/>
  <c r="G1655" i="20" s="1"/>
  <c r="E1451" i="20"/>
  <c r="G1451" i="20" s="1"/>
  <c r="E1196" i="20"/>
  <c r="G1196" i="20" s="1"/>
  <c r="E1707" i="20"/>
  <c r="G1707" i="20" s="1"/>
  <c r="E1145" i="20"/>
  <c r="G1145" i="20" s="1"/>
  <c r="E886" i="20"/>
  <c r="G886" i="20" s="1"/>
  <c r="E1094" i="20"/>
  <c r="G1094" i="20" s="1"/>
  <c r="E937" i="20"/>
  <c r="G937" i="20" s="1"/>
  <c r="E1039" i="20"/>
  <c r="G1039" i="20" s="1"/>
  <c r="E988" i="20"/>
  <c r="G988" i="20" s="1"/>
  <c r="E835" i="20"/>
  <c r="G835" i="20" s="1"/>
  <c r="E8790" i="20"/>
  <c r="G8790" i="20" s="1"/>
  <c r="E8622" i="20"/>
  <c r="G8622" i="20" s="1"/>
  <c r="E5954" i="20"/>
  <c r="G5954" i="20" s="1"/>
  <c r="E5902" i="20"/>
  <c r="G5902" i="20" s="1"/>
  <c r="E5850" i="20"/>
  <c r="G5850" i="20" s="1"/>
  <c r="E682" i="20"/>
  <c r="G682" i="20" s="1"/>
  <c r="E733" i="20"/>
  <c r="G733" i="20" s="1"/>
  <c r="E4518" i="20"/>
  <c r="G4518" i="20" s="1"/>
  <c r="E272" i="20"/>
  <c r="G272" i="20" s="1"/>
  <c r="E68" i="20"/>
  <c r="G68" i="20" s="1"/>
  <c r="E323" i="20"/>
  <c r="G323" i="20" s="1"/>
  <c r="E119" i="20"/>
  <c r="G119" i="20" s="1"/>
  <c r="E4313" i="20"/>
  <c r="G4313" i="20" s="1"/>
  <c r="E476" i="20"/>
  <c r="G476" i="20" s="1"/>
  <c r="E374" i="20"/>
  <c r="G374" i="20" s="1"/>
  <c r="E170" i="20"/>
  <c r="G170" i="20" s="1"/>
  <c r="E425" i="20"/>
  <c r="G425" i="20" s="1"/>
  <c r="E4262" i="20"/>
  <c r="G4262" i="20" s="1"/>
  <c r="E221" i="20"/>
  <c r="G221" i="20" s="1"/>
  <c r="E16" i="20"/>
  <c r="G16" i="20" s="1"/>
  <c r="E17" i="20"/>
  <c r="G17" i="20" s="1"/>
  <c r="E3290" i="20"/>
  <c r="G3290" i="20" s="1"/>
  <c r="E3137" i="20"/>
  <c r="G3137" i="20" s="1"/>
  <c r="E3035" i="20"/>
  <c r="G3035" i="20" s="1"/>
  <c r="E2984" i="20"/>
  <c r="G2984" i="20" s="1"/>
  <c r="E2780" i="20"/>
  <c r="G2780" i="20" s="1"/>
  <c r="E2933" i="20"/>
  <c r="G2933" i="20" s="1"/>
  <c r="E2729" i="20"/>
  <c r="G2729" i="20" s="1"/>
  <c r="E3239" i="20"/>
  <c r="G3239" i="20" s="1"/>
  <c r="E2882" i="20"/>
  <c r="G2882" i="20" s="1"/>
  <c r="E3188" i="20"/>
  <c r="G3188" i="20" s="1"/>
  <c r="E3086" i="20"/>
  <c r="G3086" i="20" s="1"/>
  <c r="E2627" i="20"/>
  <c r="G2627" i="20" s="1"/>
  <c r="E2831" i="20"/>
  <c r="G2831" i="20" s="1"/>
  <c r="E2678" i="20"/>
  <c r="G2678" i="20" s="1"/>
  <c r="E2576" i="20"/>
  <c r="G2576" i="20" s="1"/>
  <c r="E2525" i="20"/>
  <c r="G2525" i="20" s="1"/>
  <c r="E2473" i="20"/>
  <c r="G2473" i="20" s="1"/>
  <c r="E2269" i="20"/>
  <c r="G2269" i="20" s="1"/>
  <c r="E2422" i="20"/>
  <c r="G2422" i="20" s="1"/>
  <c r="E2371" i="20"/>
  <c r="G2371" i="20" s="1"/>
  <c r="E2320" i="20"/>
  <c r="G2320" i="20" s="1"/>
  <c r="E2116" i="20"/>
  <c r="G2116" i="20" s="1"/>
  <c r="E2065" i="20"/>
  <c r="G2065" i="20" s="1"/>
  <c r="E1810" i="20"/>
  <c r="G1810" i="20" s="1"/>
  <c r="E2166" i="20"/>
  <c r="G2166" i="20" s="1"/>
  <c r="E1861" i="20"/>
  <c r="G1861" i="20" s="1"/>
  <c r="E1912" i="20"/>
  <c r="G1912" i="20" s="1"/>
  <c r="E2218" i="20"/>
  <c r="G2218" i="20" s="1"/>
  <c r="E1963" i="20"/>
  <c r="G1963" i="20" s="1"/>
  <c r="E2014" i="20"/>
  <c r="G2014" i="20" s="1"/>
  <c r="E1605" i="20"/>
  <c r="G1605" i="20" s="1"/>
  <c r="E1350" i="20"/>
  <c r="G1350" i="20" s="1"/>
  <c r="E1401" i="20"/>
  <c r="G1401" i="20" s="1"/>
  <c r="E1299" i="20"/>
  <c r="G1299" i="20" s="1"/>
  <c r="E1656" i="20"/>
  <c r="G1656" i="20" s="1"/>
  <c r="E1452" i="20"/>
  <c r="G1452" i="20" s="1"/>
  <c r="E1197" i="20"/>
  <c r="G1197" i="20" s="1"/>
  <c r="E1708" i="20"/>
  <c r="G1708" i="20" s="1"/>
  <c r="E1503" i="20"/>
  <c r="G1503" i="20" s="1"/>
  <c r="E1248" i="20"/>
  <c r="G1248" i="20" s="1"/>
  <c r="E1759" i="20"/>
  <c r="G1759" i="20" s="1"/>
  <c r="E1554" i="20"/>
  <c r="G1554" i="20" s="1"/>
  <c r="E938" i="20"/>
  <c r="G938" i="20" s="1"/>
  <c r="E989" i="20"/>
  <c r="G989" i="20" s="1"/>
  <c r="E836" i="20"/>
  <c r="G836" i="20" s="1"/>
  <c r="E1040" i="20"/>
  <c r="G1040" i="20" s="1"/>
  <c r="E1095" i="20"/>
  <c r="G1095" i="20" s="1"/>
  <c r="E1146" i="20"/>
  <c r="G1146" i="20" s="1"/>
  <c r="E887" i="20"/>
  <c r="G887" i="20" s="1"/>
  <c r="E783" i="20"/>
  <c r="G783" i="20" s="1"/>
  <c r="E681" i="20"/>
  <c r="G681" i="20" s="1"/>
  <c r="E732" i="20"/>
  <c r="G732" i="20" s="1"/>
  <c r="E579" i="20"/>
  <c r="G579" i="20" s="1"/>
  <c r="E630" i="20"/>
  <c r="G630" i="20" s="1"/>
  <c r="E528" i="20"/>
  <c r="G528" i="20" s="1"/>
  <c r="E324" i="20"/>
  <c r="G324" i="20" s="1"/>
  <c r="E120" i="20"/>
  <c r="G120" i="20" s="1"/>
  <c r="E477" i="20"/>
  <c r="G477" i="20" s="1"/>
  <c r="E375" i="20"/>
  <c r="G375" i="20" s="1"/>
  <c r="E171" i="20"/>
  <c r="G171" i="20" s="1"/>
  <c r="E426" i="20"/>
  <c r="G426" i="20" s="1"/>
  <c r="E222" i="20"/>
  <c r="G222" i="20" s="1"/>
  <c r="E69" i="20"/>
  <c r="G69" i="20" s="1"/>
  <c r="E273" i="20"/>
  <c r="G273" i="20" s="1"/>
  <c r="E2474" i="20"/>
  <c r="G2474" i="20" s="1"/>
  <c r="E2423" i="20"/>
  <c r="G2423" i="20" s="1"/>
  <c r="E2372" i="20"/>
  <c r="G2372" i="20" s="1"/>
  <c r="E2321" i="20"/>
  <c r="G2321" i="20" s="1"/>
  <c r="E2270" i="20"/>
  <c r="G2270" i="20" s="1"/>
  <c r="E9212" i="20"/>
  <c r="G9212" i="20" s="1"/>
  <c r="E9160" i="20"/>
  <c r="G9160" i="20" s="1"/>
  <c r="E9108" i="20"/>
  <c r="G9108" i="20" s="1"/>
  <c r="E2219" i="20"/>
  <c r="G2219" i="20" s="1"/>
  <c r="E784" i="20"/>
  <c r="G784" i="20" s="1"/>
  <c r="E631" i="20"/>
  <c r="G631" i="20" s="1"/>
  <c r="E8096" i="20"/>
  <c r="G8096" i="20" s="1"/>
  <c r="E8143" i="20"/>
  <c r="G8143" i="20" s="1"/>
  <c r="E8894" i="20"/>
  <c r="G8894" i="20" s="1"/>
  <c r="E8842" i="20"/>
  <c r="G8842" i="20" s="1"/>
  <c r="E3288" i="20"/>
  <c r="G3288" i="20" s="1"/>
  <c r="E2982" i="20"/>
  <c r="G2982" i="20" s="1"/>
  <c r="E2778" i="20"/>
  <c r="G2778" i="20" s="1"/>
  <c r="E2931" i="20"/>
  <c r="G2931" i="20" s="1"/>
  <c r="E3186" i="20"/>
  <c r="G3186" i="20" s="1"/>
  <c r="E2727" i="20"/>
  <c r="G2727" i="20" s="1"/>
  <c r="E3237" i="20"/>
  <c r="G3237" i="20" s="1"/>
  <c r="E2880" i="20"/>
  <c r="G2880" i="20" s="1"/>
  <c r="E2676" i="20"/>
  <c r="G2676" i="20" s="1"/>
  <c r="E2625" i="20"/>
  <c r="G2625" i="20" s="1"/>
  <c r="E3084" i="20"/>
  <c r="G3084" i="20" s="1"/>
  <c r="E2829" i="20"/>
  <c r="G2829" i="20" s="1"/>
  <c r="E3135" i="20"/>
  <c r="G3135" i="20" s="1"/>
  <c r="E3033" i="20"/>
  <c r="G3033" i="20" s="1"/>
  <c r="E5129" i="20"/>
  <c r="G5129" i="20" s="1"/>
  <c r="H5132" i="20" s="1"/>
  <c r="E5180" i="20"/>
  <c r="G5180" i="20" s="1"/>
  <c r="H5183" i="20" s="1"/>
  <c r="M5175" i="20" s="1"/>
  <c r="E5078" i="20"/>
  <c r="G5078" i="20" s="1"/>
  <c r="E5231" i="20"/>
  <c r="G5231" i="20" s="1"/>
  <c r="H5234" i="20" s="1"/>
  <c r="E4976" i="20"/>
  <c r="G4976" i="20" s="1"/>
  <c r="H4979" i="20" s="1"/>
  <c r="M4971" i="20" s="1"/>
  <c r="E4925" i="20"/>
  <c r="G4925" i="20" s="1"/>
  <c r="H4928" i="20" s="1"/>
  <c r="E6524" i="20"/>
  <c r="G6524" i="20" s="1"/>
  <c r="H6528" i="20" s="1"/>
  <c r="M6519" i="20" s="1"/>
  <c r="E5027" i="20"/>
  <c r="G5027" i="20" s="1"/>
  <c r="H5030" i="20" s="1"/>
  <c r="M5022" i="20" s="1"/>
  <c r="E6577" i="20"/>
  <c r="G6577" i="20" s="1"/>
  <c r="H6581" i="20" s="1"/>
  <c r="M6572" i="20" s="1"/>
  <c r="E2574" i="20"/>
  <c r="G2574" i="20" s="1"/>
  <c r="E2523" i="20"/>
  <c r="G2523" i="20" s="1"/>
  <c r="E2472" i="20"/>
  <c r="G2472" i="20" s="1"/>
  <c r="H2475" i="20" s="1"/>
  <c r="M2467" i="20" s="1"/>
  <c r="E4874" i="20"/>
  <c r="G4874" i="20" s="1"/>
  <c r="H4877" i="20" s="1"/>
  <c r="M4869" i="20" s="1"/>
  <c r="E8243" i="20"/>
  <c r="G8243" i="20" s="1"/>
  <c r="H8247" i="20" s="1"/>
  <c r="M8238" i="20" s="1"/>
  <c r="E8298" i="20"/>
  <c r="G8298" i="20" s="1"/>
  <c r="E4772" i="20"/>
  <c r="G4772" i="20" s="1"/>
  <c r="H4775" i="20" s="1"/>
  <c r="E2421" i="20"/>
  <c r="G2421" i="20" s="1"/>
  <c r="E2370" i="20"/>
  <c r="G2370" i="20" s="1"/>
  <c r="E2319" i="20"/>
  <c r="G2319" i="20" s="1"/>
  <c r="E2268" i="20"/>
  <c r="G2268" i="20" s="1"/>
  <c r="E8188" i="20"/>
  <c r="G8188" i="20" s="1"/>
  <c r="H8192" i="20" s="1"/>
  <c r="M8183" i="20" s="1"/>
  <c r="E6472" i="20"/>
  <c r="G6472" i="20" s="1"/>
  <c r="H6476" i="20" s="1"/>
  <c r="M6467" i="20" s="1"/>
  <c r="E4823" i="20"/>
  <c r="G4823" i="20" s="1"/>
  <c r="H4826" i="20" s="1"/>
  <c r="M4818" i="20" s="1"/>
  <c r="E6420" i="20"/>
  <c r="G6420" i="20" s="1"/>
  <c r="E6368" i="20"/>
  <c r="G6368" i="20" s="1"/>
  <c r="E4721" i="20"/>
  <c r="G4721" i="20" s="1"/>
  <c r="H4724" i="20" s="1"/>
  <c r="E8141" i="20"/>
  <c r="G8141" i="20" s="1"/>
  <c r="E8094" i="20"/>
  <c r="G8094" i="20" s="1"/>
  <c r="E6316" i="20"/>
  <c r="G6316" i="20" s="1"/>
  <c r="H6320" i="20" s="1"/>
  <c r="M6311" i="20" s="1"/>
  <c r="E2217" i="20"/>
  <c r="G2217" i="20" s="1"/>
  <c r="E8948" i="20"/>
  <c r="G8948" i="20" s="1"/>
  <c r="E6264" i="20"/>
  <c r="G6264" i="20" s="1"/>
  <c r="H6268" i="20" s="1"/>
  <c r="E9052" i="20"/>
  <c r="G9052" i="20" s="1"/>
  <c r="E9000" i="20"/>
  <c r="G9000" i="20" s="1"/>
  <c r="E6212" i="20"/>
  <c r="G6212" i="20" s="1"/>
  <c r="H6216" i="20" s="1"/>
  <c r="E1859" i="20"/>
  <c r="G1859" i="20" s="1"/>
  <c r="E9209" i="20"/>
  <c r="G9209" i="20" s="1"/>
  <c r="E9157" i="20"/>
  <c r="G9157" i="20" s="1"/>
  <c r="E1910" i="20"/>
  <c r="G1910" i="20" s="1"/>
  <c r="E9105" i="20"/>
  <c r="G9105" i="20" s="1"/>
  <c r="E6160" i="20"/>
  <c r="G6160" i="20" s="1"/>
  <c r="H6164" i="20" s="1"/>
  <c r="E6109" i="20"/>
  <c r="G6109" i="20" s="1"/>
  <c r="H6113" i="20" s="1"/>
  <c r="E4670" i="20"/>
  <c r="G4670" i="20" s="1"/>
  <c r="H4673" i="20" s="1"/>
  <c r="E1961" i="20"/>
  <c r="G1961" i="20" s="1"/>
  <c r="E4619" i="20"/>
  <c r="G4619" i="20" s="1"/>
  <c r="H4622" i="20" s="1"/>
  <c r="E4568" i="20"/>
  <c r="G4568" i="20" s="1"/>
  <c r="E2012" i="20"/>
  <c r="G2012" i="20" s="1"/>
  <c r="E2114" i="20"/>
  <c r="G2114" i="20" s="1"/>
  <c r="E2063" i="20"/>
  <c r="G2063" i="20" s="1"/>
  <c r="E8893" i="20"/>
  <c r="G8893" i="20" s="1"/>
  <c r="E2165" i="20"/>
  <c r="G2165" i="20" s="1"/>
  <c r="E1808" i="20"/>
  <c r="G1808" i="20" s="1"/>
  <c r="E1654" i="20"/>
  <c r="G1654" i="20" s="1"/>
  <c r="E1450" i="20"/>
  <c r="G1450" i="20" s="1"/>
  <c r="E1195" i="20"/>
  <c r="G1195" i="20" s="1"/>
  <c r="E1399" i="20"/>
  <c r="G1399" i="20" s="1"/>
  <c r="E1706" i="20"/>
  <c r="G1706" i="20" s="1"/>
  <c r="E1501" i="20"/>
  <c r="G1501" i="20" s="1"/>
  <c r="H1504" i="20" s="1"/>
  <c r="M1496" i="20" s="1"/>
  <c r="E1246" i="20"/>
  <c r="G1246" i="20" s="1"/>
  <c r="E1757" i="20"/>
  <c r="G1757" i="20" s="1"/>
  <c r="E1552" i="20"/>
  <c r="G1552" i="20" s="1"/>
  <c r="E1297" i="20"/>
  <c r="G1297" i="20" s="1"/>
  <c r="E1603" i="20"/>
  <c r="G1603" i="20" s="1"/>
  <c r="E1348" i="20"/>
  <c r="G1348" i="20" s="1"/>
  <c r="E987" i="20"/>
  <c r="G987" i="20" s="1"/>
  <c r="E834" i="20"/>
  <c r="G834" i="20" s="1"/>
  <c r="E1038" i="20"/>
  <c r="G1038" i="20" s="1"/>
  <c r="E1093" i="20"/>
  <c r="G1093" i="20" s="1"/>
  <c r="E1144" i="20"/>
  <c r="G1144" i="20" s="1"/>
  <c r="E885" i="20"/>
  <c r="G885" i="20" s="1"/>
  <c r="E936" i="20"/>
  <c r="G936" i="20" s="1"/>
  <c r="E8789" i="20"/>
  <c r="G8789" i="20" s="1"/>
  <c r="E8676" i="20"/>
  <c r="G8676" i="20" s="1"/>
  <c r="E8841" i="20"/>
  <c r="G8841" i="20" s="1"/>
  <c r="H8845" i="20" s="1"/>
  <c r="M8836" i="20" s="1"/>
  <c r="E8621" i="20"/>
  <c r="G8621" i="20" s="1"/>
  <c r="E8039" i="20"/>
  <c r="G8039" i="20" s="1"/>
  <c r="H8043" i="20" s="1"/>
  <c r="M8034" i="20" s="1"/>
  <c r="E6057" i="20"/>
  <c r="G6057" i="20" s="1"/>
  <c r="H6061" i="20" s="1"/>
  <c r="E6005" i="20"/>
  <c r="G6005" i="20" s="1"/>
  <c r="H6009" i="20" s="1"/>
  <c r="M6000" i="20" s="1"/>
  <c r="E5953" i="20"/>
  <c r="G5953" i="20" s="1"/>
  <c r="E5901" i="20"/>
  <c r="G5901" i="20" s="1"/>
  <c r="E5849" i="20"/>
  <c r="G5849" i="20" s="1"/>
  <c r="E4465" i="20"/>
  <c r="G4465" i="20" s="1"/>
  <c r="H4468" i="20" s="1"/>
  <c r="E5745" i="20"/>
  <c r="G5745" i="20" s="1"/>
  <c r="E4517" i="20"/>
  <c r="G4517" i="20" s="1"/>
  <c r="E782" i="20"/>
  <c r="G782" i="20" s="1"/>
  <c r="H785" i="20" s="1"/>
  <c r="M777" i="20" s="1"/>
  <c r="E680" i="20"/>
  <c r="G680" i="20" s="1"/>
  <c r="E5797" i="20"/>
  <c r="G5797" i="20" s="1"/>
  <c r="E4414" i="20"/>
  <c r="G4414" i="20" s="1"/>
  <c r="H4417" i="20" s="1"/>
  <c r="E731" i="20"/>
  <c r="G731" i="20" s="1"/>
  <c r="E629" i="20"/>
  <c r="G629" i="20" s="1"/>
  <c r="E5693" i="20"/>
  <c r="G5693" i="20" s="1"/>
  <c r="E578" i="20"/>
  <c r="G578" i="20" s="1"/>
  <c r="E527" i="20"/>
  <c r="G527" i="20" s="1"/>
  <c r="E4312" i="20"/>
  <c r="G4312" i="20" s="1"/>
  <c r="E475" i="20"/>
  <c r="G475" i="20" s="1"/>
  <c r="E373" i="20"/>
  <c r="G373" i="20" s="1"/>
  <c r="E169" i="20"/>
  <c r="G169" i="20" s="1"/>
  <c r="E4261" i="20"/>
  <c r="G4261" i="20" s="1"/>
  <c r="E424" i="20"/>
  <c r="G424" i="20" s="1"/>
  <c r="E220" i="20"/>
  <c r="G220" i="20" s="1"/>
  <c r="E4363" i="20"/>
  <c r="G4363" i="20" s="1"/>
  <c r="H4366" i="20" s="1"/>
  <c r="M4358" i="20" s="1"/>
  <c r="E67" i="20"/>
  <c r="G67" i="20" s="1"/>
  <c r="E271" i="20"/>
  <c r="G271" i="20" s="1"/>
  <c r="E322" i="20"/>
  <c r="G322" i="20" s="1"/>
  <c r="E118" i="20"/>
  <c r="G118" i="20" s="1"/>
  <c r="E8949" i="20"/>
  <c r="G8949" i="20" s="1"/>
  <c r="E9053" i="20"/>
  <c r="G9053" i="20" s="1"/>
  <c r="E9001" i="20"/>
  <c r="G9001" i="20" s="1"/>
  <c r="E8677" i="20"/>
  <c r="G8677" i="20" s="1"/>
  <c r="E5694" i="20"/>
  <c r="G5694" i="20" s="1"/>
  <c r="E9106" i="20"/>
  <c r="G9106" i="20" s="1"/>
  <c r="E9210" i="20"/>
  <c r="G9210" i="20" s="1"/>
  <c r="E9158" i="20"/>
  <c r="G9158" i="20" s="1"/>
  <c r="E5748" i="20"/>
  <c r="G5748" i="20" s="1"/>
  <c r="E5800" i="20"/>
  <c r="G5800" i="20" s="1"/>
  <c r="E5798" i="20"/>
  <c r="G5798" i="20" s="1"/>
  <c r="E5746" i="20"/>
  <c r="G5746" i="20" s="1"/>
  <c r="D533" i="20"/>
  <c r="F533" i="20" s="1"/>
  <c r="D3294" i="20"/>
  <c r="F3294" i="20" s="1"/>
  <c r="D3245" i="20"/>
  <c r="F3245" i="20" s="1"/>
  <c r="D3143" i="20"/>
  <c r="F3143" i="20" s="1"/>
  <c r="D3092" i="20"/>
  <c r="F3092" i="20" s="1"/>
  <c r="D3041" i="20"/>
  <c r="F3041" i="20" s="1"/>
  <c r="D2990" i="20"/>
  <c r="F2990" i="20" s="1"/>
  <c r="D2939" i="20"/>
  <c r="F2939" i="20" s="1"/>
  <c r="D2888" i="20"/>
  <c r="F2888" i="20" s="1"/>
  <c r="D2684" i="20"/>
  <c r="F2684" i="20" s="1"/>
  <c r="D2633" i="20"/>
  <c r="F2633" i="20" s="1"/>
  <c r="D3194" i="20"/>
  <c r="F3194" i="20" s="1"/>
  <c r="D2837" i="20"/>
  <c r="F2837" i="20" s="1"/>
  <c r="D2735" i="20"/>
  <c r="F2735" i="20" s="1"/>
  <c r="D2786" i="20"/>
  <c r="F2786" i="20" s="1"/>
  <c r="D3246" i="20"/>
  <c r="F3246" i="20" s="1"/>
  <c r="D2787" i="20"/>
  <c r="F2787" i="20" s="1"/>
  <c r="D3144" i="20"/>
  <c r="F3144" i="20" s="1"/>
  <c r="D3093" i="20"/>
  <c r="F3093" i="20" s="1"/>
  <c r="D3042" i="20"/>
  <c r="F3042" i="20" s="1"/>
  <c r="D2736" i="20"/>
  <c r="F2736" i="20" s="1"/>
  <c r="D3195" i="20"/>
  <c r="F3195" i="20" s="1"/>
  <c r="D2991" i="20"/>
  <c r="F2991" i="20" s="1"/>
  <c r="D2940" i="20"/>
  <c r="F2940" i="20" s="1"/>
  <c r="D2889" i="20"/>
  <c r="F2889" i="20" s="1"/>
  <c r="D2685" i="20"/>
  <c r="F2685" i="20" s="1"/>
  <c r="D2634" i="20"/>
  <c r="F2634" i="20" s="1"/>
  <c r="D2838" i="20"/>
  <c r="F2838" i="20" s="1"/>
  <c r="D2586" i="20"/>
  <c r="F2586" i="20" s="1"/>
  <c r="D3147" i="20"/>
  <c r="F3147" i="20" s="1"/>
  <c r="D3096" i="20"/>
  <c r="F3096" i="20" s="1"/>
  <c r="D3045" i="20"/>
  <c r="F3045" i="20" s="1"/>
  <c r="D2739" i="20"/>
  <c r="F2739" i="20" s="1"/>
  <c r="D3198" i="20"/>
  <c r="F3198" i="20" s="1"/>
  <c r="D2994" i="20"/>
  <c r="F2994" i="20" s="1"/>
  <c r="D2943" i="20"/>
  <c r="F2943" i="20" s="1"/>
  <c r="D2892" i="20"/>
  <c r="F2892" i="20" s="1"/>
  <c r="D2688" i="20"/>
  <c r="F2688" i="20" s="1"/>
  <c r="D2637" i="20"/>
  <c r="F2637" i="20" s="1"/>
  <c r="D3249" i="20"/>
  <c r="F3249" i="20" s="1"/>
  <c r="D2841" i="20"/>
  <c r="F2841" i="20" s="1"/>
  <c r="D2790" i="20"/>
  <c r="F2790" i="20" s="1"/>
  <c r="D2585" i="20"/>
  <c r="F2585" i="20" s="1"/>
  <c r="D3197" i="20"/>
  <c r="F3197" i="20" s="1"/>
  <c r="D2993" i="20"/>
  <c r="F2993" i="20" s="1"/>
  <c r="D2942" i="20"/>
  <c r="F2942" i="20" s="1"/>
  <c r="D2891" i="20"/>
  <c r="F2891" i="20" s="1"/>
  <c r="D2840" i="20"/>
  <c r="F2840" i="20" s="1"/>
  <c r="D2687" i="20"/>
  <c r="F2687" i="20" s="1"/>
  <c r="D3248" i="20"/>
  <c r="F3248" i="20" s="1"/>
  <c r="D2789" i="20"/>
  <c r="F2789" i="20" s="1"/>
  <c r="D2636" i="20"/>
  <c r="F2636" i="20" s="1"/>
  <c r="D3146" i="20"/>
  <c r="F3146" i="20" s="1"/>
  <c r="D3095" i="20"/>
  <c r="F3095" i="20" s="1"/>
  <c r="D3044" i="20"/>
  <c r="F3044" i="20" s="1"/>
  <c r="D2738" i="20"/>
  <c r="F2738" i="20" s="1"/>
  <c r="H5200" i="20"/>
  <c r="K5175" i="20" s="1"/>
  <c r="D6012" i="20"/>
  <c r="F6012" i="20" s="1"/>
  <c r="H6026" i="20" s="1"/>
  <c r="K6000" i="20" s="1"/>
  <c r="D6531" i="20"/>
  <c r="F6531" i="20" s="1"/>
  <c r="H6545" i="20" s="1"/>
  <c r="D5856" i="20"/>
  <c r="F5856" i="20" s="1"/>
  <c r="H5870" i="20" s="1"/>
  <c r="K5844" i="20" s="1"/>
  <c r="D6584" i="20"/>
  <c r="F6584" i="20" s="1"/>
  <c r="H6598" i="20" s="1"/>
  <c r="D2532" i="20"/>
  <c r="F2532" i="20" s="1"/>
  <c r="D2583" i="20"/>
  <c r="F2583" i="20" s="1"/>
  <c r="D2531" i="20"/>
  <c r="F2531" i="20" s="1"/>
  <c r="D2582" i="20"/>
  <c r="F2582" i="20" s="1"/>
  <c r="D4982" i="20"/>
  <c r="F4982" i="20" s="1"/>
  <c r="H4996" i="20" s="1"/>
  <c r="K4971" i="20" s="1"/>
  <c r="D5033" i="20"/>
  <c r="F5033" i="20" s="1"/>
  <c r="H5047" i="20" s="1"/>
  <c r="H8969" i="20"/>
  <c r="K8943" i="20" s="1"/>
  <c r="D2535" i="20"/>
  <c r="F2535" i="20" s="1"/>
  <c r="D2482" i="20"/>
  <c r="F2482" i="20" s="1"/>
  <c r="D2481" i="20"/>
  <c r="F2481" i="20" s="1"/>
  <c r="D2534" i="20"/>
  <c r="F2534" i="20" s="1"/>
  <c r="D4829" i="20"/>
  <c r="F4829" i="20" s="1"/>
  <c r="H4843" i="20" s="1"/>
  <c r="K4818" i="20" s="1"/>
  <c r="D4880" i="20"/>
  <c r="F4880" i="20" s="1"/>
  <c r="H4894" i="20" s="1"/>
  <c r="D8058" i="20"/>
  <c r="F8058" i="20" s="1"/>
  <c r="D8262" i="20"/>
  <c r="F8262" i="20" s="1"/>
  <c r="D8207" i="20"/>
  <c r="F8207" i="20" s="1"/>
  <c r="D8254" i="20"/>
  <c r="F8254" i="20" s="1"/>
  <c r="D8199" i="20"/>
  <c r="F8199" i="20" s="1"/>
  <c r="D8049" i="20"/>
  <c r="F8049" i="20" s="1"/>
  <c r="D8253" i="20"/>
  <c r="F8253" i="20" s="1"/>
  <c r="D8198" i="20"/>
  <c r="F8198" i="20" s="1"/>
  <c r="D8055" i="20"/>
  <c r="F8055" i="20" s="1"/>
  <c r="D8259" i="20"/>
  <c r="F8259" i="20" s="1"/>
  <c r="D8204" i="20"/>
  <c r="F8204" i="20" s="1"/>
  <c r="D8062" i="20"/>
  <c r="F8062" i="20" s="1"/>
  <c r="D8266" i="20"/>
  <c r="F8266" i="20" s="1"/>
  <c r="D8211" i="20"/>
  <c r="F8211" i="20" s="1"/>
  <c r="D8047" i="20"/>
  <c r="F8047" i="20" s="1"/>
  <c r="D8251" i="20"/>
  <c r="F8251" i="20" s="1"/>
  <c r="D8196" i="20"/>
  <c r="F8196" i="20" s="1"/>
  <c r="D8260" i="20"/>
  <c r="F8260" i="20" s="1"/>
  <c r="D8205" i="20"/>
  <c r="F8205" i="20" s="1"/>
  <c r="D8061" i="20"/>
  <c r="F8061" i="20" s="1"/>
  <c r="D8265" i="20"/>
  <c r="F8265" i="20" s="1"/>
  <c r="D8210" i="20"/>
  <c r="F8210" i="20" s="1"/>
  <c r="D8051" i="20"/>
  <c r="F8051" i="20" s="1"/>
  <c r="D8255" i="20"/>
  <c r="F8255" i="20" s="1"/>
  <c r="D8200" i="20"/>
  <c r="F8200" i="20" s="1"/>
  <c r="H8322" i="20"/>
  <c r="D8060" i="20"/>
  <c r="F8060" i="20" s="1"/>
  <c r="D8264" i="20"/>
  <c r="F8264" i="20" s="1"/>
  <c r="D8209" i="20"/>
  <c r="F8209" i="20" s="1"/>
  <c r="D8054" i="20"/>
  <c r="F8054" i="20" s="1"/>
  <c r="D8203" i="20"/>
  <c r="F8203" i="20" s="1"/>
  <c r="D2432" i="20"/>
  <c r="F2432" i="20" s="1"/>
  <c r="D2381" i="20"/>
  <c r="F2381" i="20" s="1"/>
  <c r="D2330" i="20"/>
  <c r="F2330" i="20" s="1"/>
  <c r="D2279" i="20"/>
  <c r="F2279" i="20" s="1"/>
  <c r="D2430" i="20"/>
  <c r="F2430" i="20" s="1"/>
  <c r="D2379" i="20"/>
  <c r="F2379" i="20" s="1"/>
  <c r="D2328" i="20"/>
  <c r="F2328" i="20" s="1"/>
  <c r="D2277" i="20"/>
  <c r="F2277" i="20" s="1"/>
  <c r="D8056" i="20"/>
  <c r="F8056" i="20" s="1"/>
  <c r="D2434" i="20"/>
  <c r="F2434" i="20" s="1"/>
  <c r="D2383" i="20"/>
  <c r="F2383" i="20" s="1"/>
  <c r="D2332" i="20"/>
  <c r="F2332" i="20" s="1"/>
  <c r="D2429" i="20"/>
  <c r="F2429" i="20" s="1"/>
  <c r="D2378" i="20"/>
  <c r="F2378" i="20" s="1"/>
  <c r="D2327" i="20"/>
  <c r="F2327" i="20" s="1"/>
  <c r="D2276" i="20"/>
  <c r="F2276" i="20" s="1"/>
  <c r="D2433" i="20"/>
  <c r="F2433" i="20" s="1"/>
  <c r="D2382" i="20"/>
  <c r="F2382" i="20" s="1"/>
  <c r="D2331" i="20"/>
  <c r="F2331" i="20" s="1"/>
  <c r="D2280" i="20"/>
  <c r="F2280" i="20" s="1"/>
  <c r="H8914" i="20"/>
  <c r="D2071" i="20"/>
  <c r="F2071" i="20" s="1"/>
  <c r="D2122" i="20"/>
  <c r="F2122" i="20" s="1"/>
  <c r="D2075" i="20"/>
  <c r="F2075" i="20" s="1"/>
  <c r="D2175" i="20"/>
  <c r="F2175" i="20" s="1"/>
  <c r="D2126" i="20"/>
  <c r="F2126" i="20" s="1"/>
  <c r="D2227" i="20"/>
  <c r="F2227" i="20" s="1"/>
  <c r="D9059" i="20"/>
  <c r="F9059" i="20" s="1"/>
  <c r="H9073" i="20" s="1"/>
  <c r="K9047" i="20" s="1"/>
  <c r="D2173" i="20"/>
  <c r="F2173" i="20" s="1"/>
  <c r="D2072" i="20"/>
  <c r="F2072" i="20" s="1"/>
  <c r="D2123" i="20"/>
  <c r="F2123" i="20" s="1"/>
  <c r="D2229" i="20"/>
  <c r="F2229" i="20" s="1"/>
  <c r="D2178" i="20"/>
  <c r="F2178" i="20" s="1"/>
  <c r="D2076" i="20"/>
  <c r="F2076" i="20" s="1"/>
  <c r="D2127" i="20"/>
  <c r="F2127" i="20" s="1"/>
  <c r="D2074" i="20"/>
  <c r="F2074" i="20" s="1"/>
  <c r="D2226" i="20"/>
  <c r="F2226" i="20" s="1"/>
  <c r="D2174" i="20"/>
  <c r="F2174" i="20" s="1"/>
  <c r="D2125" i="20"/>
  <c r="F2125" i="20" s="1"/>
  <c r="D1820" i="20"/>
  <c r="F1820" i="20" s="1"/>
  <c r="D2024" i="20"/>
  <c r="F2024" i="20" s="1"/>
  <c r="D1973" i="20"/>
  <c r="F1973" i="20" s="1"/>
  <c r="D1922" i="20"/>
  <c r="F1922" i="20" s="1"/>
  <c r="D1871" i="20"/>
  <c r="F1871" i="20" s="1"/>
  <c r="D1821" i="20"/>
  <c r="F1821" i="20" s="1"/>
  <c r="D2025" i="20"/>
  <c r="F2025" i="20" s="1"/>
  <c r="D1819" i="20"/>
  <c r="F1819" i="20" s="1"/>
  <c r="D1921" i="20"/>
  <c r="F1921" i="20" s="1"/>
  <c r="D1870" i="20"/>
  <c r="F1870" i="20" s="1"/>
  <c r="D1972" i="20"/>
  <c r="F1972" i="20" s="1"/>
  <c r="D2023" i="20"/>
  <c r="F2023" i="20" s="1"/>
  <c r="D1817" i="20"/>
  <c r="F1817" i="20" s="1"/>
  <c r="D2021" i="20"/>
  <c r="F2021" i="20" s="1"/>
  <c r="D1970" i="20"/>
  <c r="F1970" i="20" s="1"/>
  <c r="D1919" i="20"/>
  <c r="F1919" i="20" s="1"/>
  <c r="D1868" i="20"/>
  <c r="F1868" i="20" s="1"/>
  <c r="D1816" i="20"/>
  <c r="F1816" i="20" s="1"/>
  <c r="D1969" i="20"/>
  <c r="F1969" i="20" s="1"/>
  <c r="D2020" i="20"/>
  <c r="F2020" i="20" s="1"/>
  <c r="D1918" i="20"/>
  <c r="F1918" i="20" s="1"/>
  <c r="D1867" i="20"/>
  <c r="F1867" i="20" s="1"/>
  <c r="K8995" i="20"/>
  <c r="D8050" i="20"/>
  <c r="F8050" i="20" s="1"/>
  <c r="D6323" i="20"/>
  <c r="F6323" i="20" s="1"/>
  <c r="H6337" i="20" s="1"/>
  <c r="D1000" i="20"/>
  <c r="F1000" i="20" s="1"/>
  <c r="D1051" i="20"/>
  <c r="F1051" i="20" s="1"/>
  <c r="D898" i="20"/>
  <c r="F898" i="20" s="1"/>
  <c r="D949" i="20"/>
  <c r="F949" i="20" s="1"/>
  <c r="D847" i="20"/>
  <c r="F847" i="20" s="1"/>
  <c r="D1770" i="20"/>
  <c r="F1770" i="20" s="1"/>
  <c r="D1259" i="20"/>
  <c r="F1259" i="20" s="1"/>
  <c r="D1719" i="20"/>
  <c r="F1719" i="20" s="1"/>
  <c r="D1667" i="20"/>
  <c r="F1667" i="20" s="1"/>
  <c r="D1616" i="20"/>
  <c r="F1616" i="20" s="1"/>
  <c r="D1565" i="20"/>
  <c r="F1565" i="20" s="1"/>
  <c r="D1514" i="20"/>
  <c r="F1514" i="20" s="1"/>
  <c r="D1463" i="20"/>
  <c r="F1463" i="20" s="1"/>
  <c r="D1208" i="20"/>
  <c r="F1208" i="20" s="1"/>
  <c r="D1157" i="20"/>
  <c r="F1157" i="20" s="1"/>
  <c r="D1106" i="20"/>
  <c r="F1106" i="20" s="1"/>
  <c r="D1410" i="20"/>
  <c r="F1410" i="20" s="1"/>
  <c r="D1717" i="20"/>
  <c r="F1717" i="20" s="1"/>
  <c r="D1665" i="20"/>
  <c r="F1665" i="20" s="1"/>
  <c r="D1614" i="20"/>
  <c r="F1614" i="20" s="1"/>
  <c r="D1563" i="20"/>
  <c r="F1563" i="20" s="1"/>
  <c r="D1512" i="20"/>
  <c r="F1512" i="20" s="1"/>
  <c r="D1461" i="20"/>
  <c r="F1461" i="20" s="1"/>
  <c r="D1308" i="20"/>
  <c r="F1308" i="20" s="1"/>
  <c r="D1206" i="20"/>
  <c r="F1206" i="20" s="1"/>
  <c r="D1768" i="20"/>
  <c r="F1768" i="20" s="1"/>
  <c r="D1359" i="20"/>
  <c r="F1359" i="20" s="1"/>
  <c r="D1257" i="20"/>
  <c r="F1257" i="20" s="1"/>
  <c r="D1049" i="20"/>
  <c r="F1049" i="20" s="1"/>
  <c r="D896" i="20"/>
  <c r="F896" i="20" s="1"/>
  <c r="D947" i="20"/>
  <c r="F947" i="20" s="1"/>
  <c r="D845" i="20"/>
  <c r="F845" i="20" s="1"/>
  <c r="D1155" i="20"/>
  <c r="F1155" i="20" s="1"/>
  <c r="D998" i="20"/>
  <c r="F998" i="20" s="1"/>
  <c r="D1104" i="20"/>
  <c r="F1104" i="20" s="1"/>
  <c r="D1766" i="20"/>
  <c r="F1766" i="20" s="1"/>
  <c r="D1255" i="20"/>
  <c r="F1255" i="20" s="1"/>
  <c r="D1715" i="20"/>
  <c r="F1715" i="20" s="1"/>
  <c r="D1663" i="20"/>
  <c r="F1663" i="20" s="1"/>
  <c r="D1612" i="20"/>
  <c r="F1612" i="20" s="1"/>
  <c r="D1561" i="20"/>
  <c r="F1561" i="20" s="1"/>
  <c r="D1510" i="20"/>
  <c r="F1510" i="20" s="1"/>
  <c r="D1459" i="20"/>
  <c r="F1459" i="20" s="1"/>
  <c r="D1204" i="20"/>
  <c r="F1204" i="20" s="1"/>
  <c r="D1153" i="20"/>
  <c r="F1153" i="20" s="1"/>
  <c r="D996" i="20"/>
  <c r="F996" i="20" s="1"/>
  <c r="D1102" i="20"/>
  <c r="F1102" i="20" s="1"/>
  <c r="D1047" i="20"/>
  <c r="F1047" i="20" s="1"/>
  <c r="D894" i="20"/>
  <c r="F894" i="20" s="1"/>
  <c r="D945" i="20"/>
  <c r="F945" i="20" s="1"/>
  <c r="D843" i="20"/>
  <c r="F843" i="20" s="1"/>
  <c r="D535" i="20"/>
  <c r="F535" i="20" s="1"/>
  <c r="D1356" i="20"/>
  <c r="F1356" i="20" s="1"/>
  <c r="D1407" i="20"/>
  <c r="F1407" i="20" s="1"/>
  <c r="D1305" i="20"/>
  <c r="F1305" i="20" s="1"/>
  <c r="D1254" i="20"/>
  <c r="F1254" i="20" s="1"/>
  <c r="D1765" i="20"/>
  <c r="F1765" i="20" s="1"/>
  <c r="D1714" i="20"/>
  <c r="F1714" i="20" s="1"/>
  <c r="D1662" i="20"/>
  <c r="F1662" i="20" s="1"/>
  <c r="D1611" i="20"/>
  <c r="F1611" i="20" s="1"/>
  <c r="D1560" i="20"/>
  <c r="F1560" i="20" s="1"/>
  <c r="D1509" i="20"/>
  <c r="F1509" i="20" s="1"/>
  <c r="D1458" i="20"/>
  <c r="F1458" i="20" s="1"/>
  <c r="D1203" i="20"/>
  <c r="F1203" i="20" s="1"/>
  <c r="D1101" i="20"/>
  <c r="F1101" i="20" s="1"/>
  <c r="D1046" i="20"/>
  <c r="F1046" i="20" s="1"/>
  <c r="D893" i="20"/>
  <c r="F893" i="20" s="1"/>
  <c r="D944" i="20"/>
  <c r="F944" i="20" s="1"/>
  <c r="D842" i="20"/>
  <c r="F842" i="20" s="1"/>
  <c r="D1152" i="20"/>
  <c r="F1152" i="20" s="1"/>
  <c r="D995" i="20"/>
  <c r="F995" i="20" s="1"/>
  <c r="D1357" i="20"/>
  <c r="F1357" i="20" s="1"/>
  <c r="D1408" i="20"/>
  <c r="F1408" i="20" s="1"/>
  <c r="D1306" i="20"/>
  <c r="F1306" i="20" s="1"/>
  <c r="D1769" i="20"/>
  <c r="F1769" i="20" s="1"/>
  <c r="D1360" i="20"/>
  <c r="F1360" i="20" s="1"/>
  <c r="D1258" i="20"/>
  <c r="F1258" i="20" s="1"/>
  <c r="D1411" i="20"/>
  <c r="F1411" i="20" s="1"/>
  <c r="D1718" i="20"/>
  <c r="F1718" i="20" s="1"/>
  <c r="D1666" i="20"/>
  <c r="F1666" i="20" s="1"/>
  <c r="D1615" i="20"/>
  <c r="F1615" i="20" s="1"/>
  <c r="D1564" i="20"/>
  <c r="F1564" i="20" s="1"/>
  <c r="D1513" i="20"/>
  <c r="F1513" i="20" s="1"/>
  <c r="D1462" i="20"/>
  <c r="F1462" i="20" s="1"/>
  <c r="D1309" i="20"/>
  <c r="F1309" i="20" s="1"/>
  <c r="D1207" i="20"/>
  <c r="F1207" i="20" s="1"/>
  <c r="D1105" i="20"/>
  <c r="F1105" i="20" s="1"/>
  <c r="D1050" i="20"/>
  <c r="F1050" i="20" s="1"/>
  <c r="D897" i="20"/>
  <c r="F897" i="20" s="1"/>
  <c r="D948" i="20"/>
  <c r="F948" i="20" s="1"/>
  <c r="D846" i="20"/>
  <c r="F846" i="20" s="1"/>
  <c r="D1156" i="20"/>
  <c r="F1156" i="20" s="1"/>
  <c r="D999" i="20"/>
  <c r="F999" i="20" s="1"/>
  <c r="K5896" i="20"/>
  <c r="H8645" i="20"/>
  <c r="K5948" i="20"/>
  <c r="K8836" i="20"/>
  <c r="D5753" i="20"/>
  <c r="F5753" i="20" s="1"/>
  <c r="D5805" i="20"/>
  <c r="F5805" i="20" s="1"/>
  <c r="H5818" i="20" s="1"/>
  <c r="D5701" i="20"/>
  <c r="F5701" i="20" s="1"/>
  <c r="D5752" i="20"/>
  <c r="F5752" i="20" s="1"/>
  <c r="D5700" i="20"/>
  <c r="F5700" i="20" s="1"/>
  <c r="D791" i="20"/>
  <c r="F791" i="20" s="1"/>
  <c r="D740" i="20"/>
  <c r="F740" i="20" s="1"/>
  <c r="D689" i="20"/>
  <c r="F689" i="20" s="1"/>
  <c r="D794" i="20"/>
  <c r="F794" i="20" s="1"/>
  <c r="D743" i="20"/>
  <c r="F743" i="20" s="1"/>
  <c r="D692" i="20"/>
  <c r="F692" i="20" s="1"/>
  <c r="D690" i="20"/>
  <c r="F690" i="20" s="1"/>
  <c r="D792" i="20"/>
  <c r="F792" i="20" s="1"/>
  <c r="D741" i="20"/>
  <c r="F741" i="20" s="1"/>
  <c r="D642" i="20"/>
  <c r="F642" i="20" s="1"/>
  <c r="D591" i="20"/>
  <c r="F591" i="20" s="1"/>
  <c r="D638" i="20"/>
  <c r="F638" i="20" s="1"/>
  <c r="D587" i="20"/>
  <c r="F587" i="20" s="1"/>
  <c r="D584" i="20"/>
  <c r="F584" i="20" s="1"/>
  <c r="D635" i="20"/>
  <c r="F635" i="20" s="1"/>
  <c r="D540" i="20"/>
  <c r="F540" i="20" s="1"/>
  <c r="D590" i="20"/>
  <c r="F590" i="20" s="1"/>
  <c r="D641" i="20"/>
  <c r="F641" i="20" s="1"/>
  <c r="D588" i="20"/>
  <c r="F588" i="20" s="1"/>
  <c r="D639" i="20"/>
  <c r="F639" i="20" s="1"/>
  <c r="D538" i="20"/>
  <c r="F538" i="20" s="1"/>
  <c r="D536" i="20"/>
  <c r="F536" i="20" s="1"/>
  <c r="D537" i="20"/>
  <c r="F537" i="20" s="1"/>
  <c r="D539" i="20"/>
  <c r="F539" i="20" s="1"/>
  <c r="K4358" i="20"/>
  <c r="D80" i="20"/>
  <c r="F80" i="20" s="1"/>
  <c r="D28" i="20"/>
  <c r="F28" i="20" s="1"/>
  <c r="D381" i="20"/>
  <c r="F381" i="20" s="1"/>
  <c r="D330" i="20"/>
  <c r="F330" i="20" s="1"/>
  <c r="D279" i="20"/>
  <c r="F279" i="20" s="1"/>
  <c r="D228" i="20"/>
  <c r="F228" i="20" s="1"/>
  <c r="D177" i="20"/>
  <c r="F177" i="20" s="1"/>
  <c r="D4270" i="20"/>
  <c r="F4270" i="20" s="1"/>
  <c r="D484" i="20"/>
  <c r="F484" i="20" s="1"/>
  <c r="D433" i="20"/>
  <c r="F433" i="20" s="1"/>
  <c r="D4273" i="20"/>
  <c r="F4273" i="20" s="1"/>
  <c r="D487" i="20"/>
  <c r="F487" i="20" s="1"/>
  <c r="D436" i="20"/>
  <c r="F436" i="20" s="1"/>
  <c r="D79" i="20"/>
  <c r="F79" i="20" s="1"/>
  <c r="D385" i="20"/>
  <c r="F385" i="20" s="1"/>
  <c r="D334" i="20"/>
  <c r="F334" i="20" s="1"/>
  <c r="D283" i="20"/>
  <c r="F283" i="20" s="1"/>
  <c r="D232" i="20"/>
  <c r="F232" i="20" s="1"/>
  <c r="D181" i="20"/>
  <c r="F181" i="20" s="1"/>
  <c r="D130" i="20"/>
  <c r="F130" i="20" s="1"/>
  <c r="D27" i="20"/>
  <c r="F27" i="20" s="1"/>
  <c r="D175" i="20"/>
  <c r="F175" i="20" s="1"/>
  <c r="D226" i="20"/>
  <c r="F226" i="20" s="1"/>
  <c r="D4269" i="20"/>
  <c r="F4269" i="20" s="1"/>
  <c r="D483" i="20"/>
  <c r="F483" i="20" s="1"/>
  <c r="D432" i="20"/>
  <c r="F432" i="20" s="1"/>
  <c r="D284" i="20"/>
  <c r="F284" i="20" s="1"/>
  <c r="D386" i="20"/>
  <c r="F386" i="20" s="1"/>
  <c r="D335" i="20"/>
  <c r="F335" i="20" s="1"/>
  <c r="D4267" i="20"/>
  <c r="F4267" i="20" s="1"/>
  <c r="D481" i="20"/>
  <c r="F481" i="20" s="1"/>
  <c r="D233" i="20"/>
  <c r="F233" i="20" s="1"/>
  <c r="D182" i="20"/>
  <c r="F182" i="20" s="1"/>
  <c r="D131" i="20"/>
  <c r="F131" i="20" s="1"/>
  <c r="D435" i="20"/>
  <c r="F435" i="20" s="1"/>
  <c r="D384" i="20"/>
  <c r="F384" i="20" s="1"/>
  <c r="D333" i="20"/>
  <c r="F333" i="20" s="1"/>
  <c r="D282" i="20"/>
  <c r="F282" i="20" s="1"/>
  <c r="D231" i="20"/>
  <c r="F231" i="20" s="1"/>
  <c r="D180" i="20"/>
  <c r="F180" i="20" s="1"/>
  <c r="D129" i="20"/>
  <c r="F129" i="20" s="1"/>
  <c r="D4272" i="20"/>
  <c r="F4272" i="20" s="1"/>
  <c r="D78" i="20"/>
  <c r="F78" i="20" s="1"/>
  <c r="D486" i="20"/>
  <c r="F486" i="20" s="1"/>
  <c r="D26" i="20"/>
  <c r="F26" i="20" s="1"/>
  <c r="D75" i="20"/>
  <c r="F75" i="20" s="1"/>
  <c r="D23" i="20"/>
  <c r="F23" i="20" s="1"/>
  <c r="D280" i="20"/>
  <c r="F280" i="20" s="1"/>
  <c r="D229" i="20"/>
  <c r="F229" i="20" s="1"/>
  <c r="D127" i="20"/>
  <c r="F127" i="20" s="1"/>
  <c r="D76" i="20"/>
  <c r="F76" i="20" s="1"/>
  <c r="D382" i="20"/>
  <c r="F382" i="20" s="1"/>
  <c r="D331" i="20"/>
  <c r="F331" i="20" s="1"/>
  <c r="D178" i="20"/>
  <c r="F178" i="20" s="1"/>
  <c r="D24" i="20"/>
  <c r="F24" i="20" s="1"/>
  <c r="E44" i="20"/>
  <c r="E43" i="20"/>
  <c r="E42" i="20"/>
  <c r="E15" i="20"/>
  <c r="I16" i="5"/>
  <c r="N16" i="5"/>
  <c r="L16" i="5"/>
  <c r="H16" i="5"/>
  <c r="J16" i="5"/>
  <c r="K16" i="5"/>
  <c r="I12" i="5"/>
  <c r="J12" i="5"/>
  <c r="K12" i="5"/>
  <c r="L12" i="5"/>
  <c r="H12" i="5"/>
  <c r="K13" i="5"/>
  <c r="L13" i="5"/>
  <c r="H13" i="5"/>
  <c r="R13" i="5"/>
  <c r="I13" i="5"/>
  <c r="J13" i="5"/>
  <c r="L15" i="5"/>
  <c r="H15" i="5"/>
  <c r="J15" i="5"/>
  <c r="K15" i="5"/>
  <c r="I15" i="5"/>
  <c r="Q15" i="5"/>
  <c r="R17" i="5"/>
  <c r="Q11" i="5"/>
  <c r="R9" i="5"/>
  <c r="Q5" i="5"/>
  <c r="N6" i="5"/>
  <c r="N5" i="5"/>
  <c r="N7" i="5"/>
  <c r="Q8" i="5"/>
  <c r="N9" i="5"/>
  <c r="N11" i="5"/>
  <c r="Q12" i="5"/>
  <c r="N15" i="5"/>
  <c r="Q16" i="5"/>
  <c r="N17" i="5"/>
  <c r="N19" i="5"/>
  <c r="Q20" i="5"/>
  <c r="N21" i="5"/>
  <c r="N8" i="5"/>
  <c r="R8" i="5"/>
  <c r="Q9" i="5"/>
  <c r="Q13" i="5"/>
  <c r="Q17" i="5"/>
  <c r="Q21" i="5"/>
  <c r="Q10" i="5"/>
  <c r="Q14" i="5"/>
  <c r="Q18" i="5"/>
  <c r="R21" i="5"/>
  <c r="N10" i="5"/>
  <c r="R14" i="5"/>
  <c r="R18" i="5"/>
  <c r="H7049" i="20" l="1"/>
  <c r="M7040" i="20" s="1"/>
  <c r="H7153" i="20"/>
  <c r="M7144" i="20" s="1"/>
  <c r="H9369" i="20"/>
  <c r="M9360" i="20" s="1"/>
  <c r="H7835" i="20"/>
  <c r="M7826" i="20" s="1"/>
  <c r="H7627" i="20"/>
  <c r="M7618" i="20" s="1"/>
  <c r="B48" i="4"/>
  <c r="B47" i="4"/>
  <c r="B46" i="4"/>
  <c r="H6737" i="20"/>
  <c r="M6728" i="20" s="1"/>
  <c r="H7257" i="20"/>
  <c r="M7248" i="20" s="1"/>
  <c r="H9421" i="20"/>
  <c r="H4209" i="20"/>
  <c r="M4201" i="20" s="1"/>
  <c r="H7783" i="20"/>
  <c r="M7774" i="20" s="1"/>
  <c r="H3393" i="20"/>
  <c r="M3385" i="20" s="1"/>
  <c r="H7469" i="20"/>
  <c r="M7460" i="20" s="1"/>
  <c r="H3852" i="20"/>
  <c r="M3844" i="20" s="1"/>
  <c r="H7364" i="20"/>
  <c r="M7355" i="20" s="1"/>
  <c r="H9317" i="20"/>
  <c r="H7887" i="20"/>
  <c r="M7878" i="20" s="1"/>
  <c r="H7991" i="20"/>
  <c r="M7982" i="20" s="1"/>
  <c r="H6685" i="20"/>
  <c r="M6676" i="20" s="1"/>
  <c r="H6841" i="20"/>
  <c r="M6832" i="20" s="1"/>
  <c r="H3597" i="20"/>
  <c r="M3589" i="20" s="1"/>
  <c r="H9473" i="20"/>
  <c r="M9464" i="20" s="1"/>
  <c r="H9525" i="20"/>
  <c r="M9516" i="20" s="1"/>
  <c r="H7522" i="20"/>
  <c r="M7513" i="20" s="1"/>
  <c r="H3648" i="20"/>
  <c r="M3640" i="20" s="1"/>
  <c r="H6789" i="20"/>
  <c r="M6780" i="20" s="1"/>
  <c r="H3699" i="20"/>
  <c r="M3691" i="20" s="1"/>
  <c r="H4107" i="20"/>
  <c r="M4099" i="20" s="1"/>
  <c r="H4158" i="20"/>
  <c r="M4150" i="20" s="1"/>
  <c r="H3495" i="20"/>
  <c r="M3487" i="20" s="1"/>
  <c r="H3750" i="20"/>
  <c r="M3742" i="20" s="1"/>
  <c r="H6893" i="20"/>
  <c r="M6884" i="20" s="1"/>
  <c r="H4056" i="20"/>
  <c r="M4048" i="20" s="1"/>
  <c r="H8577" i="20"/>
  <c r="H3546" i="20"/>
  <c r="M3538" i="20" s="1"/>
  <c r="H3801" i="20"/>
  <c r="M3793" i="20" s="1"/>
  <c r="H6945" i="20"/>
  <c r="M6936" i="20" s="1"/>
  <c r="H7417" i="20"/>
  <c r="M7408" i="20" s="1"/>
  <c r="H4005" i="20"/>
  <c r="M3997" i="20" s="1"/>
  <c r="H7575" i="20"/>
  <c r="M7566" i="20" s="1"/>
  <c r="H7731" i="20"/>
  <c r="M7722" i="20" s="1"/>
  <c r="H3342" i="20"/>
  <c r="M3334" i="20" s="1"/>
  <c r="H9265" i="20"/>
  <c r="M9256" i="20" s="1"/>
  <c r="H6997" i="20"/>
  <c r="M6988" i="20" s="1"/>
  <c r="H7309" i="20"/>
  <c r="M7300" i="20" s="1"/>
  <c r="H3954" i="20"/>
  <c r="M3946" i="20" s="1"/>
  <c r="H7679" i="20"/>
  <c r="M7670" i="20" s="1"/>
  <c r="H5286" i="20"/>
  <c r="M5278" i="20" s="1"/>
  <c r="H3444" i="20"/>
  <c r="M3436" i="20" s="1"/>
  <c r="H7101" i="20"/>
  <c r="M7092" i="20" s="1"/>
  <c r="H7205" i="20"/>
  <c r="M7196" i="20" s="1"/>
  <c r="H3903" i="20"/>
  <c r="M3895" i="20" s="1"/>
  <c r="H7939" i="20"/>
  <c r="H8542" i="20"/>
  <c r="K7982" i="20"/>
  <c r="K9516" i="20"/>
  <c r="H7696" i="20"/>
  <c r="H7592" i="20"/>
  <c r="H7800" i="20"/>
  <c r="K7826" i="20"/>
  <c r="H7904" i="20"/>
  <c r="H7748" i="20"/>
  <c r="H7644" i="20"/>
  <c r="H7326" i="20"/>
  <c r="K7300" i="20" s="1"/>
  <c r="H7539" i="20"/>
  <c r="H4175" i="20"/>
  <c r="H4226" i="20"/>
  <c r="H3920" i="20"/>
  <c r="K3895" i="20" s="1"/>
  <c r="H4124" i="20"/>
  <c r="H3971" i="20"/>
  <c r="K3946" i="20" s="1"/>
  <c r="H4022" i="20"/>
  <c r="H4073" i="20"/>
  <c r="K5534" i="20"/>
  <c r="H5905" i="20"/>
  <c r="M5896" i="20" s="1"/>
  <c r="K5585" i="20"/>
  <c r="H3869" i="20"/>
  <c r="K3844" i="20" s="1"/>
  <c r="H3818" i="20"/>
  <c r="H8487" i="20"/>
  <c r="K8458" i="20" s="1"/>
  <c r="K8726" i="20"/>
  <c r="H8432" i="20"/>
  <c r="K8403" i="20" s="1"/>
  <c r="H3767" i="20"/>
  <c r="K3742" i="20" s="1"/>
  <c r="H3563" i="20"/>
  <c r="K7248" i="20"/>
  <c r="K7355" i="20"/>
  <c r="H5957" i="20"/>
  <c r="M5948" i="20" s="1"/>
  <c r="K7040" i="20"/>
  <c r="H4264" i="20"/>
  <c r="M4256" i="20" s="1"/>
  <c r="K6988" i="20"/>
  <c r="K6936" i="20"/>
  <c r="H7486" i="20"/>
  <c r="H7434" i="20"/>
  <c r="H6702" i="20"/>
  <c r="K6676" i="20" s="1"/>
  <c r="K6728" i="20"/>
  <c r="H1300" i="20"/>
  <c r="M1292" i="20" s="1"/>
  <c r="H8793" i="20"/>
  <c r="M8784" i="20" s="1"/>
  <c r="H2117" i="20"/>
  <c r="M2109" i="20" s="1"/>
  <c r="H1760" i="20"/>
  <c r="M1752" i="20" s="1"/>
  <c r="H8302" i="20"/>
  <c r="M8293" i="20" s="1"/>
  <c r="H1709" i="20"/>
  <c r="M1701" i="20" s="1"/>
  <c r="H6372" i="20"/>
  <c r="M6363" i="20" s="1"/>
  <c r="H70" i="20"/>
  <c r="M62" i="20" s="1"/>
  <c r="H2934" i="20"/>
  <c r="M2926" i="20" s="1"/>
  <c r="H8625" i="20"/>
  <c r="M8616" i="20" s="1"/>
  <c r="H5081" i="20"/>
  <c r="M5073" i="20" s="1"/>
  <c r="K5431" i="20"/>
  <c r="K5483" i="20"/>
  <c r="H1453" i="20"/>
  <c r="M1445" i="20" s="1"/>
  <c r="H1249" i="20"/>
  <c r="M1241" i="20" s="1"/>
  <c r="H2526" i="20"/>
  <c r="M2518" i="20" s="1"/>
  <c r="H2883" i="20"/>
  <c r="M2875" i="20" s="1"/>
  <c r="H478" i="20"/>
  <c r="M470" i="20" s="1"/>
  <c r="H3138" i="20"/>
  <c r="M3130" i="20" s="1"/>
  <c r="H3189" i="20"/>
  <c r="M3181" i="20" s="1"/>
  <c r="H683" i="20"/>
  <c r="M675" i="20" s="1"/>
  <c r="H8377" i="20"/>
  <c r="K8348" i="20" s="1"/>
  <c r="H3461" i="20"/>
  <c r="K3436" i="20" s="1"/>
  <c r="H3512" i="20"/>
  <c r="H6424" i="20"/>
  <c r="M6415" i="20" s="1"/>
  <c r="H2015" i="20"/>
  <c r="M2007" i="20" s="1"/>
  <c r="H1555" i="20"/>
  <c r="M1547" i="20" s="1"/>
  <c r="H4520" i="20"/>
  <c r="M4512" i="20" s="1"/>
  <c r="H837" i="20"/>
  <c r="M829" i="20" s="1"/>
  <c r="H3359" i="20"/>
  <c r="K3334" i="20" s="1"/>
  <c r="H888" i="20"/>
  <c r="M880" i="20" s="1"/>
  <c r="H1606" i="20"/>
  <c r="M1598" i="20" s="1"/>
  <c r="H1913" i="20"/>
  <c r="M1905" i="20" s="1"/>
  <c r="H2730" i="20"/>
  <c r="M2722" i="20" s="1"/>
  <c r="H581" i="20"/>
  <c r="M573" i="20" s="1"/>
  <c r="H1096" i="20"/>
  <c r="M1088" i="20" s="1"/>
  <c r="H1964" i="20"/>
  <c r="M1956" i="20" s="1"/>
  <c r="H172" i="20"/>
  <c r="M164" i="20" s="1"/>
  <c r="H734" i="20"/>
  <c r="M726" i="20" s="1"/>
  <c r="H990" i="20"/>
  <c r="M982" i="20" s="1"/>
  <c r="H2066" i="20"/>
  <c r="M2058" i="20" s="1"/>
  <c r="H2424" i="20"/>
  <c r="M2416" i="20" s="1"/>
  <c r="H530" i="20"/>
  <c r="M522" i="20" s="1"/>
  <c r="H1657" i="20"/>
  <c r="M1649" i="20" s="1"/>
  <c r="H3087" i="20"/>
  <c r="M3079" i="20" s="1"/>
  <c r="H2781" i="20"/>
  <c r="M2773" i="20" s="1"/>
  <c r="H3308" i="20"/>
  <c r="K3283" i="20" s="1"/>
  <c r="H3410" i="20"/>
  <c r="H1041" i="20"/>
  <c r="M1033" i="20" s="1"/>
  <c r="H2679" i="20"/>
  <c r="M2671" i="20" s="1"/>
  <c r="H376" i="20"/>
  <c r="M368" i="20" s="1"/>
  <c r="H3036" i="20"/>
  <c r="M3028" i="20" s="1"/>
  <c r="H223" i="20"/>
  <c r="M215" i="20" s="1"/>
  <c r="H1862" i="20"/>
  <c r="M1854" i="20" s="1"/>
  <c r="H8098" i="20"/>
  <c r="M8089" i="20" s="1"/>
  <c r="H2271" i="20"/>
  <c r="M2263" i="20" s="1"/>
  <c r="H2628" i="20"/>
  <c r="M2620" i="20" s="1"/>
  <c r="H2985" i="20"/>
  <c r="M2977" i="20" s="1"/>
  <c r="H427" i="20"/>
  <c r="M419" i="20" s="1"/>
  <c r="H2168" i="20"/>
  <c r="M2160" i="20" s="1"/>
  <c r="H3291" i="20"/>
  <c r="M3283" i="20" s="1"/>
  <c r="H1198" i="20"/>
  <c r="M1190" i="20" s="1"/>
  <c r="H121" i="20"/>
  <c r="M113" i="20" s="1"/>
  <c r="H632" i="20"/>
  <c r="M624" i="20" s="1"/>
  <c r="H2220" i="20"/>
  <c r="M2212" i="20" s="1"/>
  <c r="H5697" i="20"/>
  <c r="M5688" i="20" s="1"/>
  <c r="H5749" i="20"/>
  <c r="M5740" i="20" s="1"/>
  <c r="H8145" i="20"/>
  <c r="M8136" i="20" s="1"/>
  <c r="H2322" i="20"/>
  <c r="M2314" i="20" s="1"/>
  <c r="M6207" i="20"/>
  <c r="M4460" i="20"/>
  <c r="H8897" i="20"/>
  <c r="M8888" i="20" s="1"/>
  <c r="M6104" i="20"/>
  <c r="H9004" i="20"/>
  <c r="M4716" i="20"/>
  <c r="H2373" i="20"/>
  <c r="M2365" i="20" s="1"/>
  <c r="H2577" i="20"/>
  <c r="M2569" i="20" s="1"/>
  <c r="H5853" i="20"/>
  <c r="M5844" i="20" s="1"/>
  <c r="H8680" i="20"/>
  <c r="M6155" i="20"/>
  <c r="H9056" i="20"/>
  <c r="M9047" i="20" s="1"/>
  <c r="M5124" i="20"/>
  <c r="H3240" i="20"/>
  <c r="M3232" i="20" s="1"/>
  <c r="H325" i="20"/>
  <c r="M317" i="20" s="1"/>
  <c r="M4409" i="20"/>
  <c r="H1351" i="20"/>
  <c r="M1343" i="20" s="1"/>
  <c r="H1402" i="20"/>
  <c r="M1394" i="20" s="1"/>
  <c r="H9109" i="20"/>
  <c r="M6259" i="20"/>
  <c r="M4767" i="20"/>
  <c r="M4665" i="20"/>
  <c r="H274" i="20"/>
  <c r="M266" i="20" s="1"/>
  <c r="H5801" i="20"/>
  <c r="M5792" i="20" s="1"/>
  <c r="H939" i="20"/>
  <c r="M931" i="20" s="1"/>
  <c r="H8952" i="20"/>
  <c r="M8943" i="20" s="1"/>
  <c r="H4315" i="20"/>
  <c r="H4571" i="20"/>
  <c r="H9161" i="20"/>
  <c r="M4920" i="20"/>
  <c r="H2832" i="20"/>
  <c r="M2824" i="20" s="1"/>
  <c r="M6052" i="20"/>
  <c r="H1147" i="20"/>
  <c r="M1139" i="20" s="1"/>
  <c r="M4614" i="20"/>
  <c r="H9213" i="20"/>
  <c r="H1811" i="20"/>
  <c r="M1803" i="20" s="1"/>
  <c r="M5226" i="20"/>
  <c r="H2747" i="20"/>
  <c r="H2696" i="20"/>
  <c r="H3053" i="20"/>
  <c r="H2849" i="20"/>
  <c r="H2900" i="20"/>
  <c r="H3104" i="20"/>
  <c r="H3206" i="20"/>
  <c r="H2951" i="20"/>
  <c r="H3155" i="20"/>
  <c r="H2798" i="20"/>
  <c r="H2645" i="20"/>
  <c r="H3002" i="20"/>
  <c r="H3257" i="20"/>
  <c r="H1981" i="20"/>
  <c r="H2594" i="20"/>
  <c r="K2569" i="20" s="1"/>
  <c r="K5022" i="20"/>
  <c r="K6572" i="20"/>
  <c r="K6519" i="20"/>
  <c r="H2543" i="20"/>
  <c r="K2518" i="20" s="1"/>
  <c r="H2492" i="20"/>
  <c r="K4869" i="20"/>
  <c r="H8212" i="20"/>
  <c r="K8183" i="20" s="1"/>
  <c r="K8293" i="20"/>
  <c r="H8267" i="20"/>
  <c r="H8063" i="20"/>
  <c r="K8034" i="20" s="1"/>
  <c r="H2441" i="20"/>
  <c r="K2416" i="20" s="1"/>
  <c r="H2288" i="20"/>
  <c r="H2339" i="20"/>
  <c r="H2390" i="20"/>
  <c r="H2134" i="20"/>
  <c r="K2109" i="20" s="1"/>
  <c r="K8888" i="20"/>
  <c r="H2185" i="20"/>
  <c r="K2160" i="20" s="1"/>
  <c r="H2237" i="20"/>
  <c r="K2212" i="20" s="1"/>
  <c r="H2083" i="20"/>
  <c r="H1930" i="20"/>
  <c r="H1828" i="20"/>
  <c r="K1803" i="20" s="1"/>
  <c r="H1879" i="20"/>
  <c r="H2032" i="20"/>
  <c r="K6311" i="20"/>
  <c r="H956" i="20"/>
  <c r="H1215" i="20"/>
  <c r="H1623" i="20"/>
  <c r="K1598" i="20" s="1"/>
  <c r="H1266" i="20"/>
  <c r="K1241" i="20" s="1"/>
  <c r="H1007" i="20"/>
  <c r="H905" i="20"/>
  <c r="H1470" i="20"/>
  <c r="H1674" i="20"/>
  <c r="H1317" i="20"/>
  <c r="H1164" i="20"/>
  <c r="H1058" i="20"/>
  <c r="H1521" i="20"/>
  <c r="H1726" i="20"/>
  <c r="H1419" i="20"/>
  <c r="H854" i="20"/>
  <c r="H1113" i="20"/>
  <c r="H1572" i="20"/>
  <c r="H1777" i="20"/>
  <c r="H1368" i="20"/>
  <c r="K8616" i="20"/>
  <c r="H5714" i="20"/>
  <c r="H5766" i="20"/>
  <c r="K5740" i="20" s="1"/>
  <c r="K5792" i="20"/>
  <c r="H700" i="20"/>
  <c r="H751" i="20"/>
  <c r="H802" i="20"/>
  <c r="H598" i="20"/>
  <c r="H649" i="20"/>
  <c r="H547" i="20"/>
  <c r="K522" i="20" s="1"/>
  <c r="H393" i="20"/>
  <c r="K368" i="20" s="1"/>
  <c r="H138" i="20"/>
  <c r="H342" i="20"/>
  <c r="H35" i="20"/>
  <c r="K10" i="20" s="1"/>
  <c r="P17" i="1" s="1"/>
  <c r="H87" i="20"/>
  <c r="K62" i="20" s="1"/>
  <c r="H444" i="20"/>
  <c r="K419" i="20" s="1"/>
  <c r="H240" i="20"/>
  <c r="H495" i="20"/>
  <c r="H291" i="20"/>
  <c r="H189" i="20"/>
  <c r="H4281" i="20"/>
  <c r="G15" i="20"/>
  <c r="H18" i="20" s="1"/>
  <c r="M10" i="20" s="1"/>
  <c r="R17" i="1" s="1"/>
  <c r="N13" i="5"/>
  <c r="S13" i="5" s="1"/>
  <c r="T13" i="5" s="1"/>
  <c r="S17" i="5"/>
  <c r="T17" i="5" s="1"/>
  <c r="R7" i="5"/>
  <c r="S7" i="5" s="1"/>
  <c r="T7" i="5" s="1"/>
  <c r="S9" i="5"/>
  <c r="T9" i="5" s="1"/>
  <c r="S21" i="5"/>
  <c r="T21" i="5" s="1"/>
  <c r="R16" i="5"/>
  <c r="S16" i="5" s="1"/>
  <c r="T16" i="5" s="1"/>
  <c r="R15" i="5"/>
  <c r="S15" i="5" s="1"/>
  <c r="T15" i="5" s="1"/>
  <c r="R6" i="5"/>
  <c r="S6" i="5" s="1"/>
  <c r="T6" i="5" s="1"/>
  <c r="R10" i="5"/>
  <c r="S10" i="5" s="1"/>
  <c r="T10" i="5" s="1"/>
  <c r="R5" i="5"/>
  <c r="S5" i="5" s="1"/>
  <c r="T5" i="5" s="1"/>
  <c r="N18" i="5"/>
  <c r="S18" i="5" s="1"/>
  <c r="T18" i="5" s="1"/>
  <c r="N20" i="5"/>
  <c r="N12" i="5"/>
  <c r="R20" i="5"/>
  <c r="N14" i="5"/>
  <c r="S14" i="5" s="1"/>
  <c r="T14" i="5" s="1"/>
  <c r="R12" i="5"/>
  <c r="S8" i="5"/>
  <c r="T8" i="5" s="1"/>
  <c r="R19" i="5"/>
  <c r="S19" i="5" s="1"/>
  <c r="T19" i="5" s="1"/>
  <c r="R11" i="5"/>
  <c r="S11" i="5" s="1"/>
  <c r="T11" i="5" s="1"/>
  <c r="B49" i="4" l="1"/>
  <c r="B50" i="4"/>
  <c r="B51" i="4"/>
  <c r="B52" i="4"/>
  <c r="D9551" i="20"/>
  <c r="F9551" i="20" s="1"/>
  <c r="J9551" i="20" s="1"/>
  <c r="D7965" i="20"/>
  <c r="F7965" i="20" s="1"/>
  <c r="J7965" i="20" s="1"/>
  <c r="D7913" i="20"/>
  <c r="F7913" i="20" s="1"/>
  <c r="J7913" i="20" s="1"/>
  <c r="D8598" i="20"/>
  <c r="F8598" i="20" s="1"/>
  <c r="J8598" i="20" s="1"/>
  <c r="D7653" i="20"/>
  <c r="F7653" i="20" s="1"/>
  <c r="J7653" i="20" s="1"/>
  <c r="D4235" i="20"/>
  <c r="F4235" i="20" s="1"/>
  <c r="J4235" i="20" s="1"/>
  <c r="D7757" i="20"/>
  <c r="F7757" i="20" s="1"/>
  <c r="J7757" i="20" s="1"/>
  <c r="D5670" i="20"/>
  <c r="F5670" i="20" s="1"/>
  <c r="J5670" i="20" s="1"/>
  <c r="D8017" i="20"/>
  <c r="F8017" i="20" s="1"/>
  <c r="J8017" i="20" s="1"/>
  <c r="D7861" i="20"/>
  <c r="F7861" i="20" s="1"/>
  <c r="J7861" i="20" s="1"/>
  <c r="D4133" i="20"/>
  <c r="F4133" i="20" s="1"/>
  <c r="J4133" i="20" s="1"/>
  <c r="D8551" i="20"/>
  <c r="F8551" i="20" s="1"/>
  <c r="J8551" i="20" s="1"/>
  <c r="D7548" i="20"/>
  <c r="F7548" i="20" s="1"/>
  <c r="J7548" i="20" s="1"/>
  <c r="D4184" i="20"/>
  <c r="F4184" i="20" s="1"/>
  <c r="J4184" i="20" s="1"/>
  <c r="D7809" i="20"/>
  <c r="F7809" i="20" s="1"/>
  <c r="J7809" i="20" s="1"/>
  <c r="D7705" i="20"/>
  <c r="F7705" i="20" s="1"/>
  <c r="J7705" i="20" s="1"/>
  <c r="D7601" i="20"/>
  <c r="F7601" i="20" s="1"/>
  <c r="J7601" i="20" s="1"/>
  <c r="D4031" i="20"/>
  <c r="F4031" i="20" s="1"/>
  <c r="J4031" i="20" s="1"/>
  <c r="D3980" i="20"/>
  <c r="F3980" i="20" s="1"/>
  <c r="J3980" i="20" s="1"/>
  <c r="D4082" i="20"/>
  <c r="F4082" i="20" s="1"/>
  <c r="J4082" i="20" s="1"/>
  <c r="D9343" i="20"/>
  <c r="F9343" i="20" s="1"/>
  <c r="J9343" i="20" s="1"/>
  <c r="D9447" i="20"/>
  <c r="F9447" i="20" s="1"/>
  <c r="J9447" i="20" s="1"/>
  <c r="D9395" i="20"/>
  <c r="F9395" i="20" s="1"/>
  <c r="J9395" i="20" s="1"/>
  <c r="D9499" i="20"/>
  <c r="F9499" i="20" s="1"/>
  <c r="J9499" i="20" s="1"/>
  <c r="D8015" i="20"/>
  <c r="F8015" i="20" s="1"/>
  <c r="D7859" i="20"/>
  <c r="F7859" i="20" s="1"/>
  <c r="D8549" i="20"/>
  <c r="F8549" i="20" s="1"/>
  <c r="D7546" i="20"/>
  <c r="F7546" i="20" s="1"/>
  <c r="D7807" i="20"/>
  <c r="F7807" i="20" s="1"/>
  <c r="D7703" i="20"/>
  <c r="F7703" i="20" s="1"/>
  <c r="D4182" i="20"/>
  <c r="F4182" i="20" s="1"/>
  <c r="D7599" i="20"/>
  <c r="F7599" i="20" s="1"/>
  <c r="D9549" i="20"/>
  <c r="F9549" i="20" s="1"/>
  <c r="D7963" i="20"/>
  <c r="F7963" i="20" s="1"/>
  <c r="D4131" i="20"/>
  <c r="F4131" i="20" s="1"/>
  <c r="D7911" i="20"/>
  <c r="F7911" i="20" s="1"/>
  <c r="D4233" i="20"/>
  <c r="F4233" i="20" s="1"/>
  <c r="D8596" i="20"/>
  <c r="F8596" i="20" s="1"/>
  <c r="D7651" i="20"/>
  <c r="F7651" i="20" s="1"/>
  <c r="D7755" i="20"/>
  <c r="F7755" i="20" s="1"/>
  <c r="D5668" i="20"/>
  <c r="F5668" i="20" s="1"/>
  <c r="D4080" i="20"/>
  <c r="F4080" i="20" s="1"/>
  <c r="D3978" i="20"/>
  <c r="F3978" i="20" s="1"/>
  <c r="D4029" i="20"/>
  <c r="F4029" i="20" s="1"/>
  <c r="D9393" i="20"/>
  <c r="F9393" i="20" s="1"/>
  <c r="D9497" i="20"/>
  <c r="F9497" i="20" s="1"/>
  <c r="D9341" i="20"/>
  <c r="F9341" i="20" s="1"/>
  <c r="D9445" i="20"/>
  <c r="F9445" i="20" s="1"/>
  <c r="D7333" i="20"/>
  <c r="F7333" i="20" s="1"/>
  <c r="J7333" i="20" s="1"/>
  <c r="D3927" i="20"/>
  <c r="F3927" i="20" s="1"/>
  <c r="J3927" i="20" s="1"/>
  <c r="D5617" i="20"/>
  <c r="F5617" i="20" s="1"/>
  <c r="J5617" i="20" s="1"/>
  <c r="D8762" i="20"/>
  <c r="F8762" i="20" s="1"/>
  <c r="J8762" i="20" s="1"/>
  <c r="D3876" i="20"/>
  <c r="F3876" i="20" s="1"/>
  <c r="J3876" i="20" s="1"/>
  <c r="D3672" i="20"/>
  <c r="F3672" i="20" s="1"/>
  <c r="J3672" i="20" s="1"/>
  <c r="D7493" i="20"/>
  <c r="F7493" i="20" s="1"/>
  <c r="J7493" i="20" s="1"/>
  <c r="D3723" i="20"/>
  <c r="F3723" i="20" s="1"/>
  <c r="J3723" i="20" s="1"/>
  <c r="D3621" i="20"/>
  <c r="F3621" i="20" s="1"/>
  <c r="J3621" i="20" s="1"/>
  <c r="D7388" i="20"/>
  <c r="F7388" i="20" s="1"/>
  <c r="J7388" i="20" s="1"/>
  <c r="D5515" i="20"/>
  <c r="F5515" i="20" s="1"/>
  <c r="J5515" i="20" s="1"/>
  <c r="D7441" i="20"/>
  <c r="F7441" i="20" s="1"/>
  <c r="J7441" i="20" s="1"/>
  <c r="D7281" i="20"/>
  <c r="F7281" i="20" s="1"/>
  <c r="J7281" i="20" s="1"/>
  <c r="D7229" i="20"/>
  <c r="F7229" i="20" s="1"/>
  <c r="J7229" i="20" s="1"/>
  <c r="D7177" i="20"/>
  <c r="F7177" i="20" s="1"/>
  <c r="J7177" i="20" s="1"/>
  <c r="D7073" i="20"/>
  <c r="F7073" i="20" s="1"/>
  <c r="J7073" i="20" s="1"/>
  <c r="D6865" i="20"/>
  <c r="F6865" i="20" s="1"/>
  <c r="J6865" i="20" s="1"/>
  <c r="D6761" i="20"/>
  <c r="F6761" i="20" s="1"/>
  <c r="J6761" i="20" s="1"/>
  <c r="D3825" i="20"/>
  <c r="F3825" i="20" s="1"/>
  <c r="J3825" i="20" s="1"/>
  <c r="D5566" i="20"/>
  <c r="F5566" i="20" s="1"/>
  <c r="J5566" i="20" s="1"/>
  <c r="D8494" i="20"/>
  <c r="F8494" i="20" s="1"/>
  <c r="J8494" i="20" s="1"/>
  <c r="D9289" i="20"/>
  <c r="F9289" i="20" s="1"/>
  <c r="J9289" i="20" s="1"/>
  <c r="D7125" i="20"/>
  <c r="F7125" i="20" s="1"/>
  <c r="J7125" i="20" s="1"/>
  <c r="D7021" i="20"/>
  <c r="F7021" i="20" s="1"/>
  <c r="J7021" i="20" s="1"/>
  <c r="D6969" i="20"/>
  <c r="F6969" i="20" s="1"/>
  <c r="J6969" i="20" s="1"/>
  <c r="D6917" i="20"/>
  <c r="F6917" i="20" s="1"/>
  <c r="J6917" i="20" s="1"/>
  <c r="D6813" i="20"/>
  <c r="F6813" i="20" s="1"/>
  <c r="J6813" i="20" s="1"/>
  <c r="D8439" i="20"/>
  <c r="F8439" i="20" s="1"/>
  <c r="J8439" i="20" s="1"/>
  <c r="D3774" i="20"/>
  <c r="F3774" i="20" s="1"/>
  <c r="J3774" i="20" s="1"/>
  <c r="D3417" i="20"/>
  <c r="F3417" i="20" s="1"/>
  <c r="J3417" i="20" s="1"/>
  <c r="D5463" i="20"/>
  <c r="F5463" i="20" s="1"/>
  <c r="J5463" i="20" s="1"/>
  <c r="D8384" i="20"/>
  <c r="F8384" i="20" s="1"/>
  <c r="J8384" i="20" s="1"/>
  <c r="D3468" i="20"/>
  <c r="F3468" i="20" s="1"/>
  <c r="J3468" i="20" s="1"/>
  <c r="D5412" i="20"/>
  <c r="F5412" i="20" s="1"/>
  <c r="J5412" i="20" s="1"/>
  <c r="D3570" i="20"/>
  <c r="F3570" i="20" s="1"/>
  <c r="J3570" i="20" s="1"/>
  <c r="D3519" i="20"/>
  <c r="F3519" i="20" s="1"/>
  <c r="J3519" i="20" s="1"/>
  <c r="D3366" i="20"/>
  <c r="F3366" i="20" s="1"/>
  <c r="J3366" i="20" s="1"/>
  <c r="D6709" i="20"/>
  <c r="F6709" i="20" s="1"/>
  <c r="J6709" i="20" s="1"/>
  <c r="D5310" i="20"/>
  <c r="F5310" i="20" s="1"/>
  <c r="J5310" i="20" s="1"/>
  <c r="D6657" i="20"/>
  <c r="F6657" i="20" s="1"/>
  <c r="J6657" i="20" s="1"/>
  <c r="D5361" i="20"/>
  <c r="F5361" i="20" s="1"/>
  <c r="J5361" i="20" s="1"/>
  <c r="D7808" i="20"/>
  <c r="F7808" i="20" s="1"/>
  <c r="J7808" i="20" s="1"/>
  <c r="D7600" i="20"/>
  <c r="F7600" i="20" s="1"/>
  <c r="J7600" i="20" s="1"/>
  <c r="D9550" i="20"/>
  <c r="F9550" i="20" s="1"/>
  <c r="J9550" i="20" s="1"/>
  <c r="D7964" i="20"/>
  <c r="F7964" i="20" s="1"/>
  <c r="J7964" i="20" s="1"/>
  <c r="D7912" i="20"/>
  <c r="F7912" i="20" s="1"/>
  <c r="J7912" i="20" s="1"/>
  <c r="D4183" i="20"/>
  <c r="F4183" i="20" s="1"/>
  <c r="J4183" i="20" s="1"/>
  <c r="D8597" i="20"/>
  <c r="F8597" i="20" s="1"/>
  <c r="J8597" i="20" s="1"/>
  <c r="D7652" i="20"/>
  <c r="F7652" i="20" s="1"/>
  <c r="J7652" i="20" s="1"/>
  <c r="D4234" i="20"/>
  <c r="F4234" i="20" s="1"/>
  <c r="J4234" i="20" s="1"/>
  <c r="D4132" i="20"/>
  <c r="F4132" i="20" s="1"/>
  <c r="J4132" i="20" s="1"/>
  <c r="D7756" i="20"/>
  <c r="F7756" i="20" s="1"/>
  <c r="J7756" i="20" s="1"/>
  <c r="D5669" i="20"/>
  <c r="F5669" i="20" s="1"/>
  <c r="J5669" i="20" s="1"/>
  <c r="D8016" i="20"/>
  <c r="F8016" i="20" s="1"/>
  <c r="J8016" i="20" s="1"/>
  <c r="D7860" i="20"/>
  <c r="F7860" i="20" s="1"/>
  <c r="J7860" i="20" s="1"/>
  <c r="D8550" i="20"/>
  <c r="F8550" i="20" s="1"/>
  <c r="J8550" i="20" s="1"/>
  <c r="D7547" i="20"/>
  <c r="F7547" i="20" s="1"/>
  <c r="J7547" i="20" s="1"/>
  <c r="D7704" i="20"/>
  <c r="F7704" i="20" s="1"/>
  <c r="J7704" i="20" s="1"/>
  <c r="D4081" i="20"/>
  <c r="F4081" i="20" s="1"/>
  <c r="J4081" i="20" s="1"/>
  <c r="D3979" i="20"/>
  <c r="F3979" i="20" s="1"/>
  <c r="J3979" i="20" s="1"/>
  <c r="D4030" i="20"/>
  <c r="F4030" i="20" s="1"/>
  <c r="J4030" i="20" s="1"/>
  <c r="D9498" i="20"/>
  <c r="F9498" i="20" s="1"/>
  <c r="J9498" i="20" s="1"/>
  <c r="D9342" i="20"/>
  <c r="F9342" i="20" s="1"/>
  <c r="J9342" i="20" s="1"/>
  <c r="D9446" i="20"/>
  <c r="F9446" i="20" s="1"/>
  <c r="J9446" i="20" s="1"/>
  <c r="D9394" i="20"/>
  <c r="F9394" i="20" s="1"/>
  <c r="J9394" i="20" s="1"/>
  <c r="M8568" i="20"/>
  <c r="M7930" i="20"/>
  <c r="M9412" i="20"/>
  <c r="M9308" i="20"/>
  <c r="D43" i="20"/>
  <c r="F43" i="20" s="1"/>
  <c r="J43" i="20" s="1"/>
  <c r="K8513" i="20"/>
  <c r="K7566" i="20"/>
  <c r="K7670" i="20"/>
  <c r="K7722" i="20"/>
  <c r="K7878" i="20"/>
  <c r="K7618" i="20"/>
  <c r="K7774" i="20"/>
  <c r="K7513" i="20"/>
  <c r="K4201" i="20"/>
  <c r="K4150" i="20"/>
  <c r="K4099" i="20"/>
  <c r="K4048" i="20"/>
  <c r="K3997" i="20"/>
  <c r="D7334" i="20"/>
  <c r="F7334" i="20" s="1"/>
  <c r="J7334" i="20" s="1"/>
  <c r="D3928" i="20"/>
  <c r="F3928" i="20" s="1"/>
  <c r="J3928" i="20" s="1"/>
  <c r="D5618" i="20"/>
  <c r="F5618" i="20" s="1"/>
  <c r="J5618" i="20" s="1"/>
  <c r="D7282" i="20"/>
  <c r="F7282" i="20" s="1"/>
  <c r="J7282" i="20" s="1"/>
  <c r="D6918" i="20"/>
  <c r="F6918" i="20" s="1"/>
  <c r="J6918" i="20" s="1"/>
  <c r="D6866" i="20"/>
  <c r="F6866" i="20" s="1"/>
  <c r="J6866" i="20" s="1"/>
  <c r="D3877" i="20"/>
  <c r="F3877" i="20" s="1"/>
  <c r="J3877" i="20" s="1"/>
  <c r="D8495" i="20"/>
  <c r="F8495" i="20" s="1"/>
  <c r="J8495" i="20" s="1"/>
  <c r="D8763" i="20"/>
  <c r="F8763" i="20" s="1"/>
  <c r="J8763" i="20" s="1"/>
  <c r="D3724" i="20"/>
  <c r="F3724" i="20" s="1"/>
  <c r="J3724" i="20" s="1"/>
  <c r="D3673" i="20"/>
  <c r="F3673" i="20" s="1"/>
  <c r="J3673" i="20" s="1"/>
  <c r="D7178" i="20"/>
  <c r="F7178" i="20" s="1"/>
  <c r="J7178" i="20" s="1"/>
  <c r="D6814" i="20"/>
  <c r="F6814" i="20" s="1"/>
  <c r="J6814" i="20" s="1"/>
  <c r="D7494" i="20"/>
  <c r="F7494" i="20" s="1"/>
  <c r="J7494" i="20" s="1"/>
  <c r="D5516" i="20"/>
  <c r="F5516" i="20" s="1"/>
  <c r="J5516" i="20" s="1"/>
  <c r="D8440" i="20"/>
  <c r="F8440" i="20" s="1"/>
  <c r="J8440" i="20" s="1"/>
  <c r="D3775" i="20"/>
  <c r="F3775" i="20" s="1"/>
  <c r="J3775" i="20" s="1"/>
  <c r="D3622" i="20"/>
  <c r="F3622" i="20" s="1"/>
  <c r="J3622" i="20" s="1"/>
  <c r="D7126" i="20"/>
  <c r="F7126" i="20" s="1"/>
  <c r="J7126" i="20" s="1"/>
  <c r="D7074" i="20"/>
  <c r="F7074" i="20" s="1"/>
  <c r="J7074" i="20" s="1"/>
  <c r="D6762" i="20"/>
  <c r="F6762" i="20" s="1"/>
  <c r="J6762" i="20" s="1"/>
  <c r="D3826" i="20"/>
  <c r="F3826" i="20" s="1"/>
  <c r="J3826" i="20" s="1"/>
  <c r="D7389" i="20"/>
  <c r="F7389" i="20" s="1"/>
  <c r="J7389" i="20" s="1"/>
  <c r="D7022" i="20"/>
  <c r="F7022" i="20" s="1"/>
  <c r="J7022" i="20" s="1"/>
  <c r="D7230" i="20"/>
  <c r="F7230" i="20" s="1"/>
  <c r="J7230" i="20" s="1"/>
  <c r="D5567" i="20"/>
  <c r="F5567" i="20" s="1"/>
  <c r="J5567" i="20" s="1"/>
  <c r="D9290" i="20"/>
  <c r="F9290" i="20" s="1"/>
  <c r="J9290" i="20" s="1"/>
  <c r="D6970" i="20"/>
  <c r="F6970" i="20" s="1"/>
  <c r="J6970" i="20" s="1"/>
  <c r="D7442" i="20"/>
  <c r="F7442" i="20" s="1"/>
  <c r="J7442" i="20" s="1"/>
  <c r="D3571" i="20"/>
  <c r="F3571" i="20" s="1"/>
  <c r="J3571" i="20" s="1"/>
  <c r="D3520" i="20"/>
  <c r="F3520" i="20" s="1"/>
  <c r="J3520" i="20" s="1"/>
  <c r="D3469" i="20"/>
  <c r="F3469" i="20" s="1"/>
  <c r="J3469" i="20" s="1"/>
  <c r="D5464" i="20"/>
  <c r="F5464" i="20" s="1"/>
  <c r="J5464" i="20" s="1"/>
  <c r="D5413" i="20"/>
  <c r="F5413" i="20" s="1"/>
  <c r="J5413" i="20" s="1"/>
  <c r="D3367" i="20"/>
  <c r="F3367" i="20" s="1"/>
  <c r="J3367" i="20" s="1"/>
  <c r="D8385" i="20"/>
  <c r="F8385" i="20" s="1"/>
  <c r="J8385" i="20" s="1"/>
  <c r="D3418" i="20"/>
  <c r="F3418" i="20" s="1"/>
  <c r="J3418" i="20" s="1"/>
  <c r="D5362" i="20"/>
  <c r="F5362" i="20" s="1"/>
  <c r="J5362" i="20" s="1"/>
  <c r="D5311" i="20"/>
  <c r="F5311" i="20" s="1"/>
  <c r="J5311" i="20" s="1"/>
  <c r="D6658" i="20"/>
  <c r="F6658" i="20" s="1"/>
  <c r="J6658" i="20" s="1"/>
  <c r="D6710" i="20"/>
  <c r="F6710" i="20" s="1"/>
  <c r="J6710" i="20" s="1"/>
  <c r="D3929" i="20"/>
  <c r="F3929" i="20" s="1"/>
  <c r="D7335" i="20"/>
  <c r="F7335" i="20" s="1"/>
  <c r="D5619" i="20"/>
  <c r="F5619" i="20" s="1"/>
  <c r="D3878" i="20"/>
  <c r="F3878" i="20" s="1"/>
  <c r="D5568" i="20"/>
  <c r="F5568" i="20" s="1"/>
  <c r="D3725" i="20"/>
  <c r="F3725" i="20" s="1"/>
  <c r="D9291" i="20"/>
  <c r="F9291" i="20" s="1"/>
  <c r="D7390" i="20"/>
  <c r="F7390" i="20" s="1"/>
  <c r="D6971" i="20"/>
  <c r="F6971" i="20" s="1"/>
  <c r="D3776" i="20"/>
  <c r="F3776" i="20" s="1"/>
  <c r="D3674" i="20"/>
  <c r="F3674" i="20" s="1"/>
  <c r="D7127" i="20"/>
  <c r="F7127" i="20" s="1"/>
  <c r="D6919" i="20"/>
  <c r="F6919" i="20" s="1"/>
  <c r="D7283" i="20"/>
  <c r="F7283" i="20" s="1"/>
  <c r="D7075" i="20"/>
  <c r="F7075" i="20" s="1"/>
  <c r="D6867" i="20"/>
  <c r="F6867" i="20" s="1"/>
  <c r="D3623" i="20"/>
  <c r="F3623" i="20" s="1"/>
  <c r="D5517" i="20"/>
  <c r="F5517" i="20" s="1"/>
  <c r="D8764" i="20"/>
  <c r="F8764" i="20" s="1"/>
  <c r="D8496" i="20"/>
  <c r="F8496" i="20" s="1"/>
  <c r="D7443" i="20"/>
  <c r="F7443" i="20" s="1"/>
  <c r="D7231" i="20"/>
  <c r="F7231" i="20" s="1"/>
  <c r="D3827" i="20"/>
  <c r="F3827" i="20" s="1"/>
  <c r="D7023" i="20"/>
  <c r="F7023" i="20" s="1"/>
  <c r="D6815" i="20"/>
  <c r="F6815" i="20" s="1"/>
  <c r="D8441" i="20"/>
  <c r="F8441" i="20" s="1"/>
  <c r="D7179" i="20"/>
  <c r="F7179" i="20" s="1"/>
  <c r="D7495" i="20"/>
  <c r="F7495" i="20" s="1"/>
  <c r="D6763" i="20"/>
  <c r="F6763" i="20" s="1"/>
  <c r="D5465" i="20"/>
  <c r="F5465" i="20" s="1"/>
  <c r="D3572" i="20"/>
  <c r="F3572" i="20" s="1"/>
  <c r="D8386" i="20"/>
  <c r="F8386" i="20" s="1"/>
  <c r="D3368" i="20"/>
  <c r="F3368" i="20" s="1"/>
  <c r="D5414" i="20"/>
  <c r="F5414" i="20" s="1"/>
  <c r="D3470" i="20"/>
  <c r="F3470" i="20" s="1"/>
  <c r="D3419" i="20"/>
  <c r="F3419" i="20" s="1"/>
  <c r="D3521" i="20"/>
  <c r="F3521" i="20" s="1"/>
  <c r="D5363" i="20"/>
  <c r="F5363" i="20" s="1"/>
  <c r="D6659" i="20"/>
  <c r="F6659" i="20" s="1"/>
  <c r="D6711" i="20"/>
  <c r="F6711" i="20" s="1"/>
  <c r="D5312" i="20"/>
  <c r="F5312" i="20" s="1"/>
  <c r="K3793" i="20"/>
  <c r="K3538" i="20"/>
  <c r="K7408" i="20"/>
  <c r="K7460" i="20"/>
  <c r="K3487" i="20"/>
  <c r="K3385" i="20"/>
  <c r="D42" i="20"/>
  <c r="F42" i="20" s="1"/>
  <c r="J42" i="20" s="1"/>
  <c r="D3315" i="20"/>
  <c r="F3315" i="20" s="1"/>
  <c r="D2907" i="20"/>
  <c r="F2907" i="20" s="1"/>
  <c r="D3264" i="20"/>
  <c r="F3264" i="20" s="1"/>
  <c r="D2703" i="20"/>
  <c r="F2703" i="20" s="1"/>
  <c r="D3213" i="20"/>
  <c r="F3213" i="20" s="1"/>
  <c r="D3111" i="20"/>
  <c r="F3111" i="20" s="1"/>
  <c r="D2856" i="20"/>
  <c r="F2856" i="20" s="1"/>
  <c r="D2652" i="20"/>
  <c r="F2652" i="20" s="1"/>
  <c r="D2805" i="20"/>
  <c r="F2805" i="20" s="1"/>
  <c r="D3162" i="20"/>
  <c r="F3162" i="20" s="1"/>
  <c r="D3060" i="20"/>
  <c r="F3060" i="20" s="1"/>
  <c r="D3009" i="20"/>
  <c r="F3009" i="20" s="1"/>
  <c r="D2958" i="20"/>
  <c r="F2958" i="20" s="1"/>
  <c r="D2754" i="20"/>
  <c r="F2754" i="20" s="1"/>
  <c r="D5156" i="20"/>
  <c r="F5156" i="20" s="1"/>
  <c r="D5105" i="20"/>
  <c r="F5105" i="20" s="1"/>
  <c r="D5207" i="20"/>
  <c r="F5207" i="20" s="1"/>
  <c r="D5258" i="20"/>
  <c r="F5258" i="20" s="1"/>
  <c r="D6552" i="20"/>
  <c r="F6552" i="20" s="1"/>
  <c r="D6605" i="20"/>
  <c r="F6605" i="20" s="1"/>
  <c r="D4952" i="20"/>
  <c r="F4952" i="20" s="1"/>
  <c r="D2601" i="20"/>
  <c r="F2601" i="20" s="1"/>
  <c r="D5003" i="20"/>
  <c r="F5003" i="20" s="1"/>
  <c r="D5054" i="20"/>
  <c r="F5054" i="20" s="1"/>
  <c r="D4901" i="20"/>
  <c r="F4901" i="20" s="1"/>
  <c r="D2550" i="20"/>
  <c r="F2550" i="20" s="1"/>
  <c r="D2499" i="20"/>
  <c r="F2499" i="20" s="1"/>
  <c r="D8329" i="20"/>
  <c r="F8329" i="20" s="1"/>
  <c r="D8274" i="20"/>
  <c r="F8274" i="20" s="1"/>
  <c r="D4748" i="20"/>
  <c r="F4748" i="20" s="1"/>
  <c r="D2448" i="20"/>
  <c r="F2448" i="20" s="1"/>
  <c r="D2397" i="20"/>
  <c r="F2397" i="20" s="1"/>
  <c r="D2346" i="20"/>
  <c r="F2346" i="20" s="1"/>
  <c r="D6500" i="20"/>
  <c r="F6500" i="20" s="1"/>
  <c r="D6448" i="20"/>
  <c r="F6448" i="20" s="1"/>
  <c r="D6396" i="20"/>
  <c r="F6396" i="20" s="1"/>
  <c r="D4799" i="20"/>
  <c r="F4799" i="20" s="1"/>
  <c r="D2295" i="20"/>
  <c r="F2295" i="20" s="1"/>
  <c r="D4850" i="20"/>
  <c r="F4850" i="20" s="1"/>
  <c r="D8219" i="20"/>
  <c r="F8219" i="20" s="1"/>
  <c r="D8117" i="20"/>
  <c r="F8117" i="20" s="1"/>
  <c r="D8164" i="20"/>
  <c r="F8164" i="20" s="1"/>
  <c r="D1886" i="20"/>
  <c r="F1886" i="20" s="1"/>
  <c r="D9080" i="20"/>
  <c r="F9080" i="20" s="1"/>
  <c r="D9028" i="20"/>
  <c r="F9028" i="20" s="1"/>
  <c r="D8976" i="20"/>
  <c r="F8976" i="20" s="1"/>
  <c r="D6188" i="20"/>
  <c r="F6188" i="20" s="1"/>
  <c r="D6137" i="20"/>
  <c r="F6137" i="20" s="1"/>
  <c r="D4697" i="20"/>
  <c r="F4697" i="20" s="1"/>
  <c r="D1937" i="20"/>
  <c r="F1937" i="20" s="1"/>
  <c r="D9185" i="20"/>
  <c r="F9185" i="20" s="1"/>
  <c r="D1988" i="20"/>
  <c r="F1988" i="20" s="1"/>
  <c r="D9133" i="20"/>
  <c r="F9133" i="20" s="1"/>
  <c r="D4595" i="20"/>
  <c r="F4595" i="20" s="1"/>
  <c r="D2141" i="20"/>
  <c r="F2141" i="20" s="1"/>
  <c r="D2039" i="20"/>
  <c r="F2039" i="20" s="1"/>
  <c r="D6292" i="20"/>
  <c r="F6292" i="20" s="1"/>
  <c r="D6240" i="20"/>
  <c r="F6240" i="20" s="1"/>
  <c r="D2090" i="20"/>
  <c r="F2090" i="20" s="1"/>
  <c r="D1835" i="20"/>
  <c r="F1835" i="20" s="1"/>
  <c r="D9237" i="20"/>
  <c r="F9237" i="20" s="1"/>
  <c r="D6344" i="20"/>
  <c r="F6344" i="20" s="1"/>
  <c r="D4646" i="20"/>
  <c r="F4646" i="20" s="1"/>
  <c r="D8921" i="20"/>
  <c r="F8921" i="20" s="1"/>
  <c r="D2244" i="20"/>
  <c r="F2244" i="20" s="1"/>
  <c r="D2192" i="20"/>
  <c r="F2192" i="20" s="1"/>
  <c r="D1681" i="20"/>
  <c r="F1681" i="20" s="1"/>
  <c r="D1477" i="20"/>
  <c r="F1477" i="20" s="1"/>
  <c r="D1222" i="20"/>
  <c r="F1222" i="20" s="1"/>
  <c r="D1733" i="20"/>
  <c r="F1733" i="20" s="1"/>
  <c r="D1528" i="20"/>
  <c r="F1528" i="20" s="1"/>
  <c r="D1273" i="20"/>
  <c r="F1273" i="20" s="1"/>
  <c r="D1784" i="20"/>
  <c r="F1784" i="20" s="1"/>
  <c r="D1579" i="20"/>
  <c r="F1579" i="20" s="1"/>
  <c r="D1324" i="20"/>
  <c r="F1324" i="20" s="1"/>
  <c r="D1375" i="20"/>
  <c r="F1375" i="20" s="1"/>
  <c r="D1630" i="20"/>
  <c r="F1630" i="20" s="1"/>
  <c r="D1426" i="20"/>
  <c r="F1426" i="20" s="1"/>
  <c r="D1014" i="20"/>
  <c r="F1014" i="20" s="1"/>
  <c r="D861" i="20"/>
  <c r="F861" i="20" s="1"/>
  <c r="D1065" i="20"/>
  <c r="F1065" i="20" s="1"/>
  <c r="D1120" i="20"/>
  <c r="F1120" i="20" s="1"/>
  <c r="D1171" i="20"/>
  <c r="F1171" i="20" s="1"/>
  <c r="D912" i="20"/>
  <c r="F912" i="20" s="1"/>
  <c r="D963" i="20"/>
  <c r="F963" i="20" s="1"/>
  <c r="D8817" i="20"/>
  <c r="F8817" i="20" s="1"/>
  <c r="D8652" i="20"/>
  <c r="F8652" i="20" s="1"/>
  <c r="D8869" i="20"/>
  <c r="F8869" i="20" s="1"/>
  <c r="D8707" i="20"/>
  <c r="F8707" i="20" s="1"/>
  <c r="D5877" i="20"/>
  <c r="F5877" i="20" s="1"/>
  <c r="D8070" i="20"/>
  <c r="F8070" i="20" s="1"/>
  <c r="D5929" i="20"/>
  <c r="F5929" i="20" s="1"/>
  <c r="D6085" i="20"/>
  <c r="F6085" i="20" s="1"/>
  <c r="D6033" i="20"/>
  <c r="F6033" i="20" s="1"/>
  <c r="D5981" i="20"/>
  <c r="F5981" i="20" s="1"/>
  <c r="D4492" i="20"/>
  <c r="F4492" i="20" s="1"/>
  <c r="D809" i="20"/>
  <c r="F809" i="20" s="1"/>
  <c r="D758" i="20"/>
  <c r="F758" i="20" s="1"/>
  <c r="D707" i="20"/>
  <c r="F707" i="20" s="1"/>
  <c r="D5721" i="20"/>
  <c r="F5721" i="20" s="1"/>
  <c r="D5773" i="20"/>
  <c r="F5773" i="20" s="1"/>
  <c r="D4544" i="20"/>
  <c r="F4544" i="20" s="1"/>
  <c r="D656" i="20"/>
  <c r="F656" i="20" s="1"/>
  <c r="D5825" i="20"/>
  <c r="F5825" i="20" s="1"/>
  <c r="D4441" i="20"/>
  <c r="F4441" i="20" s="1"/>
  <c r="D605" i="20"/>
  <c r="F605" i="20" s="1"/>
  <c r="D554" i="20"/>
  <c r="F554" i="20" s="1"/>
  <c r="D400" i="20"/>
  <c r="F400" i="20" s="1"/>
  <c r="D196" i="20"/>
  <c r="F196" i="20" s="1"/>
  <c r="D4288" i="20"/>
  <c r="F4288" i="20" s="1"/>
  <c r="D4339" i="20"/>
  <c r="F4339" i="20" s="1"/>
  <c r="D247" i="20"/>
  <c r="F247" i="20" s="1"/>
  <c r="D298" i="20"/>
  <c r="F298" i="20" s="1"/>
  <c r="D94" i="20"/>
  <c r="F94" i="20" s="1"/>
  <c r="D4390" i="20"/>
  <c r="F4390" i="20" s="1"/>
  <c r="D349" i="20"/>
  <c r="F349" i="20" s="1"/>
  <c r="D145" i="20"/>
  <c r="F145" i="20" s="1"/>
  <c r="D502" i="20"/>
  <c r="F502" i="20" s="1"/>
  <c r="D451" i="20"/>
  <c r="F451" i="20" s="1"/>
  <c r="K1956" i="20"/>
  <c r="M4563" i="20"/>
  <c r="M9100" i="20"/>
  <c r="M8671" i="20"/>
  <c r="M4307" i="20"/>
  <c r="D3317" i="20"/>
  <c r="F3317" i="20" s="1"/>
  <c r="J3317" i="20" s="1"/>
  <c r="D3164" i="20"/>
  <c r="F3164" i="20" s="1"/>
  <c r="J3164" i="20" s="1"/>
  <c r="D3062" i="20"/>
  <c r="F3062" i="20" s="1"/>
  <c r="J3062" i="20" s="1"/>
  <c r="D2807" i="20"/>
  <c r="F2807" i="20" s="1"/>
  <c r="J2807" i="20" s="1"/>
  <c r="D3011" i="20"/>
  <c r="F3011" i="20" s="1"/>
  <c r="J3011" i="20" s="1"/>
  <c r="D2960" i="20"/>
  <c r="F2960" i="20" s="1"/>
  <c r="J2960" i="20" s="1"/>
  <c r="D2756" i="20"/>
  <c r="F2756" i="20" s="1"/>
  <c r="J2756" i="20" s="1"/>
  <c r="D2705" i="20"/>
  <c r="F2705" i="20" s="1"/>
  <c r="J2705" i="20" s="1"/>
  <c r="D2909" i="20"/>
  <c r="F2909" i="20" s="1"/>
  <c r="J2909" i="20" s="1"/>
  <c r="D3266" i="20"/>
  <c r="F3266" i="20" s="1"/>
  <c r="J3266" i="20" s="1"/>
  <c r="D3215" i="20"/>
  <c r="F3215" i="20" s="1"/>
  <c r="J3215" i="20" s="1"/>
  <c r="D3113" i="20"/>
  <c r="F3113" i="20" s="1"/>
  <c r="J3113" i="20" s="1"/>
  <c r="D2858" i="20"/>
  <c r="F2858" i="20" s="1"/>
  <c r="J2858" i="20" s="1"/>
  <c r="D2654" i="20"/>
  <c r="F2654" i="20" s="1"/>
  <c r="J2654" i="20" s="1"/>
  <c r="D5209" i="20"/>
  <c r="F5209" i="20" s="1"/>
  <c r="J5209" i="20" s="1"/>
  <c r="D5107" i="20"/>
  <c r="F5107" i="20" s="1"/>
  <c r="J5107" i="20" s="1"/>
  <c r="D5260" i="20"/>
  <c r="F5260" i="20" s="1"/>
  <c r="J5260" i="20" s="1"/>
  <c r="D5158" i="20"/>
  <c r="F5158" i="20" s="1"/>
  <c r="J5158" i="20" s="1"/>
  <c r="D2603" i="20"/>
  <c r="F2603" i="20" s="1"/>
  <c r="J2603" i="20" s="1"/>
  <c r="D5005" i="20"/>
  <c r="F5005" i="20" s="1"/>
  <c r="J5005" i="20" s="1"/>
  <c r="D5056" i="20"/>
  <c r="F5056" i="20" s="1"/>
  <c r="J5056" i="20" s="1"/>
  <c r="D6554" i="20"/>
  <c r="F6554" i="20" s="1"/>
  <c r="J6554" i="20" s="1"/>
  <c r="D6607" i="20"/>
  <c r="F6607" i="20" s="1"/>
  <c r="J6607" i="20" s="1"/>
  <c r="D4954" i="20"/>
  <c r="F4954" i="20" s="1"/>
  <c r="J4954" i="20" s="1"/>
  <c r="D2552" i="20"/>
  <c r="F2552" i="20" s="1"/>
  <c r="J2552" i="20" s="1"/>
  <c r="D2501" i="20"/>
  <c r="F2501" i="20" s="1"/>
  <c r="J2501" i="20" s="1"/>
  <c r="D4903" i="20"/>
  <c r="F4903" i="20" s="1"/>
  <c r="J4903" i="20" s="1"/>
  <c r="D8276" i="20"/>
  <c r="F8276" i="20" s="1"/>
  <c r="J8276" i="20" s="1"/>
  <c r="D8331" i="20"/>
  <c r="F8331" i="20" s="1"/>
  <c r="J8331" i="20" s="1"/>
  <c r="D4852" i="20"/>
  <c r="F4852" i="20" s="1"/>
  <c r="J4852" i="20" s="1"/>
  <c r="D8221" i="20"/>
  <c r="F8221" i="20" s="1"/>
  <c r="J8221" i="20" s="1"/>
  <c r="D2297" i="20"/>
  <c r="F2297" i="20" s="1"/>
  <c r="J2297" i="20" s="1"/>
  <c r="D4750" i="20"/>
  <c r="F4750" i="20" s="1"/>
  <c r="J4750" i="20" s="1"/>
  <c r="D2450" i="20"/>
  <c r="F2450" i="20" s="1"/>
  <c r="J2450" i="20" s="1"/>
  <c r="D2399" i="20"/>
  <c r="F2399" i="20" s="1"/>
  <c r="J2399" i="20" s="1"/>
  <c r="D2348" i="20"/>
  <c r="F2348" i="20" s="1"/>
  <c r="J2348" i="20" s="1"/>
  <c r="D6502" i="20"/>
  <c r="F6502" i="20" s="1"/>
  <c r="J6502" i="20" s="1"/>
  <c r="D6450" i="20"/>
  <c r="F6450" i="20" s="1"/>
  <c r="J6450" i="20" s="1"/>
  <c r="D6398" i="20"/>
  <c r="F6398" i="20" s="1"/>
  <c r="J6398" i="20" s="1"/>
  <c r="D4801" i="20"/>
  <c r="F4801" i="20" s="1"/>
  <c r="J4801" i="20" s="1"/>
  <c r="D8166" i="20"/>
  <c r="F8166" i="20" s="1"/>
  <c r="J8166" i="20" s="1"/>
  <c r="D8119" i="20"/>
  <c r="F8119" i="20" s="1"/>
  <c r="J8119" i="20" s="1"/>
  <c r="D9135" i="20"/>
  <c r="F9135" i="20" s="1"/>
  <c r="J9135" i="20" s="1"/>
  <c r="D2143" i="20"/>
  <c r="F2143" i="20" s="1"/>
  <c r="J2143" i="20" s="1"/>
  <c r="D2041" i="20"/>
  <c r="F2041" i="20" s="1"/>
  <c r="J2041" i="20" s="1"/>
  <c r="D6346" i="20"/>
  <c r="F6346" i="20" s="1"/>
  <c r="J6346" i="20" s="1"/>
  <c r="D2092" i="20"/>
  <c r="F2092" i="20" s="1"/>
  <c r="J2092" i="20" s="1"/>
  <c r="D1837" i="20"/>
  <c r="F1837" i="20" s="1"/>
  <c r="J1837" i="20" s="1"/>
  <c r="D9239" i="20"/>
  <c r="F9239" i="20" s="1"/>
  <c r="J9239" i="20" s="1"/>
  <c r="D8923" i="20"/>
  <c r="F8923" i="20" s="1"/>
  <c r="J8923" i="20" s="1"/>
  <c r="D2246" i="20"/>
  <c r="F2246" i="20" s="1"/>
  <c r="J2246" i="20" s="1"/>
  <c r="D2194" i="20"/>
  <c r="F2194" i="20" s="1"/>
  <c r="J2194" i="20" s="1"/>
  <c r="D6294" i="20"/>
  <c r="F6294" i="20" s="1"/>
  <c r="J6294" i="20" s="1"/>
  <c r="D4648" i="20"/>
  <c r="F4648" i="20" s="1"/>
  <c r="J4648" i="20" s="1"/>
  <c r="D6242" i="20"/>
  <c r="F6242" i="20" s="1"/>
  <c r="J6242" i="20" s="1"/>
  <c r="D4699" i="20"/>
  <c r="F4699" i="20" s="1"/>
  <c r="J4699" i="20" s="1"/>
  <c r="D4597" i="20"/>
  <c r="F4597" i="20" s="1"/>
  <c r="J4597" i="20" s="1"/>
  <c r="D1888" i="20"/>
  <c r="F1888" i="20" s="1"/>
  <c r="J1888" i="20" s="1"/>
  <c r="D9082" i="20"/>
  <c r="F9082" i="20" s="1"/>
  <c r="J9082" i="20" s="1"/>
  <c r="D9030" i="20"/>
  <c r="F9030" i="20" s="1"/>
  <c r="J9030" i="20" s="1"/>
  <c r="D8978" i="20"/>
  <c r="F8978" i="20" s="1"/>
  <c r="J8978" i="20" s="1"/>
  <c r="D6190" i="20"/>
  <c r="F6190" i="20" s="1"/>
  <c r="J6190" i="20" s="1"/>
  <c r="D1939" i="20"/>
  <c r="F1939" i="20" s="1"/>
  <c r="J1939" i="20" s="1"/>
  <c r="D9187" i="20"/>
  <c r="F9187" i="20" s="1"/>
  <c r="J9187" i="20" s="1"/>
  <c r="D6139" i="20"/>
  <c r="F6139" i="20" s="1"/>
  <c r="J6139" i="20" s="1"/>
  <c r="D1990" i="20"/>
  <c r="F1990" i="20" s="1"/>
  <c r="J1990" i="20" s="1"/>
  <c r="D1786" i="20"/>
  <c r="F1786" i="20" s="1"/>
  <c r="J1786" i="20" s="1"/>
  <c r="D1581" i="20"/>
  <c r="F1581" i="20" s="1"/>
  <c r="J1581" i="20" s="1"/>
  <c r="D1326" i="20"/>
  <c r="F1326" i="20" s="1"/>
  <c r="J1326" i="20" s="1"/>
  <c r="D1377" i="20"/>
  <c r="F1377" i="20" s="1"/>
  <c r="J1377" i="20" s="1"/>
  <c r="D1632" i="20"/>
  <c r="F1632" i="20" s="1"/>
  <c r="J1632" i="20" s="1"/>
  <c r="D1428" i="20"/>
  <c r="F1428" i="20" s="1"/>
  <c r="J1428" i="20" s="1"/>
  <c r="D1683" i="20"/>
  <c r="F1683" i="20" s="1"/>
  <c r="J1683" i="20" s="1"/>
  <c r="D1479" i="20"/>
  <c r="F1479" i="20" s="1"/>
  <c r="J1479" i="20" s="1"/>
  <c r="D1224" i="20"/>
  <c r="F1224" i="20" s="1"/>
  <c r="J1224" i="20" s="1"/>
  <c r="D1275" i="20"/>
  <c r="F1275" i="20" s="1"/>
  <c r="J1275" i="20" s="1"/>
  <c r="D1735" i="20"/>
  <c r="F1735" i="20" s="1"/>
  <c r="J1735" i="20" s="1"/>
  <c r="D1530" i="20"/>
  <c r="F1530" i="20" s="1"/>
  <c r="J1530" i="20" s="1"/>
  <c r="D1173" i="20"/>
  <c r="F1173" i="20" s="1"/>
  <c r="J1173" i="20" s="1"/>
  <c r="D914" i="20"/>
  <c r="F914" i="20" s="1"/>
  <c r="J914" i="20" s="1"/>
  <c r="D965" i="20"/>
  <c r="F965" i="20" s="1"/>
  <c r="J965" i="20" s="1"/>
  <c r="D1016" i="20"/>
  <c r="F1016" i="20" s="1"/>
  <c r="J1016" i="20" s="1"/>
  <c r="D863" i="20"/>
  <c r="F863" i="20" s="1"/>
  <c r="J863" i="20" s="1"/>
  <c r="D1067" i="20"/>
  <c r="F1067" i="20" s="1"/>
  <c r="J1067" i="20" s="1"/>
  <c r="D1122" i="20"/>
  <c r="F1122" i="20" s="1"/>
  <c r="J1122" i="20" s="1"/>
  <c r="D8654" i="20"/>
  <c r="F8654" i="20" s="1"/>
  <c r="J8654" i="20" s="1"/>
  <c r="D8709" i="20"/>
  <c r="F8709" i="20" s="1"/>
  <c r="J8709" i="20" s="1"/>
  <c r="D8819" i="20"/>
  <c r="F8819" i="20" s="1"/>
  <c r="J8819" i="20" s="1"/>
  <c r="D8871" i="20"/>
  <c r="F8871" i="20" s="1"/>
  <c r="J8871" i="20" s="1"/>
  <c r="D6087" i="20"/>
  <c r="F6087" i="20" s="1"/>
  <c r="J6087" i="20" s="1"/>
  <c r="D5879" i="20"/>
  <c r="F5879" i="20" s="1"/>
  <c r="J5879" i="20" s="1"/>
  <c r="D6035" i="20"/>
  <c r="F6035" i="20" s="1"/>
  <c r="J6035" i="20" s="1"/>
  <c r="D5983" i="20"/>
  <c r="F5983" i="20" s="1"/>
  <c r="J5983" i="20" s="1"/>
  <c r="D5931" i="20"/>
  <c r="F5931" i="20" s="1"/>
  <c r="J5931" i="20" s="1"/>
  <c r="D8072" i="20"/>
  <c r="F8072" i="20" s="1"/>
  <c r="J8072" i="20" s="1"/>
  <c r="D5775" i="20"/>
  <c r="F5775" i="20" s="1"/>
  <c r="J5775" i="20" s="1"/>
  <c r="D4546" i="20"/>
  <c r="F4546" i="20" s="1"/>
  <c r="J4546" i="20" s="1"/>
  <c r="D658" i="20"/>
  <c r="F658" i="20" s="1"/>
  <c r="J658" i="20" s="1"/>
  <c r="D5827" i="20"/>
  <c r="F5827" i="20" s="1"/>
  <c r="J5827" i="20" s="1"/>
  <c r="D4443" i="20"/>
  <c r="F4443" i="20" s="1"/>
  <c r="J4443" i="20" s="1"/>
  <c r="D607" i="20"/>
  <c r="F607" i="20" s="1"/>
  <c r="J607" i="20" s="1"/>
  <c r="D4494" i="20"/>
  <c r="F4494" i="20" s="1"/>
  <c r="J4494" i="20" s="1"/>
  <c r="D811" i="20"/>
  <c r="F811" i="20" s="1"/>
  <c r="J811" i="20" s="1"/>
  <c r="D760" i="20"/>
  <c r="F760" i="20" s="1"/>
  <c r="J760" i="20" s="1"/>
  <c r="D709" i="20"/>
  <c r="F709" i="20" s="1"/>
  <c r="J709" i="20" s="1"/>
  <c r="D5723" i="20"/>
  <c r="F5723" i="20" s="1"/>
  <c r="J5723" i="20" s="1"/>
  <c r="D556" i="20"/>
  <c r="F556" i="20" s="1"/>
  <c r="J556" i="20" s="1"/>
  <c r="D300" i="20"/>
  <c r="F300" i="20" s="1"/>
  <c r="J300" i="20" s="1"/>
  <c r="D4392" i="20"/>
  <c r="F4392" i="20" s="1"/>
  <c r="J4392" i="20" s="1"/>
  <c r="D351" i="20"/>
  <c r="F351" i="20" s="1"/>
  <c r="J351" i="20" s="1"/>
  <c r="D147" i="20"/>
  <c r="F147" i="20" s="1"/>
  <c r="J147" i="20" s="1"/>
  <c r="D504" i="20"/>
  <c r="F504" i="20" s="1"/>
  <c r="J504" i="20" s="1"/>
  <c r="D453" i="20"/>
  <c r="F453" i="20" s="1"/>
  <c r="J453" i="20" s="1"/>
  <c r="D402" i="20"/>
  <c r="F402" i="20" s="1"/>
  <c r="J402" i="20" s="1"/>
  <c r="D198" i="20"/>
  <c r="F198" i="20" s="1"/>
  <c r="J198" i="20" s="1"/>
  <c r="D4290" i="20"/>
  <c r="F4290" i="20" s="1"/>
  <c r="J4290" i="20" s="1"/>
  <c r="D96" i="20"/>
  <c r="F96" i="20" s="1"/>
  <c r="J96" i="20" s="1"/>
  <c r="D4341" i="20"/>
  <c r="F4341" i="20" s="1"/>
  <c r="J4341" i="20" s="1"/>
  <c r="D249" i="20"/>
  <c r="F249" i="20" s="1"/>
  <c r="J249" i="20" s="1"/>
  <c r="D44" i="20"/>
  <c r="F44" i="20" s="1"/>
  <c r="J44" i="20" s="1"/>
  <c r="D3316" i="20"/>
  <c r="F3316" i="20" s="1"/>
  <c r="J3316" i="20" s="1"/>
  <c r="D3214" i="20"/>
  <c r="F3214" i="20" s="1"/>
  <c r="J3214" i="20" s="1"/>
  <c r="D3112" i="20"/>
  <c r="F3112" i="20" s="1"/>
  <c r="J3112" i="20" s="1"/>
  <c r="D2857" i="20"/>
  <c r="F2857" i="20" s="1"/>
  <c r="J2857" i="20" s="1"/>
  <c r="D2653" i="20"/>
  <c r="F2653" i="20" s="1"/>
  <c r="J2653" i="20" s="1"/>
  <c r="D3163" i="20"/>
  <c r="F3163" i="20" s="1"/>
  <c r="J3163" i="20" s="1"/>
  <c r="D3061" i="20"/>
  <c r="F3061" i="20" s="1"/>
  <c r="J3061" i="20" s="1"/>
  <c r="D2959" i="20"/>
  <c r="F2959" i="20" s="1"/>
  <c r="J2959" i="20" s="1"/>
  <c r="D2806" i="20"/>
  <c r="F2806" i="20" s="1"/>
  <c r="J2806" i="20" s="1"/>
  <c r="D3010" i="20"/>
  <c r="F3010" i="20" s="1"/>
  <c r="J3010" i="20" s="1"/>
  <c r="D2755" i="20"/>
  <c r="F2755" i="20" s="1"/>
  <c r="J2755" i="20" s="1"/>
  <c r="D2908" i="20"/>
  <c r="F2908" i="20" s="1"/>
  <c r="J2908" i="20" s="1"/>
  <c r="D3265" i="20"/>
  <c r="F3265" i="20" s="1"/>
  <c r="J3265" i="20" s="1"/>
  <c r="D2704" i="20"/>
  <c r="F2704" i="20" s="1"/>
  <c r="J2704" i="20" s="1"/>
  <c r="D5106" i="20"/>
  <c r="F5106" i="20" s="1"/>
  <c r="J5106" i="20" s="1"/>
  <c r="D5208" i="20"/>
  <c r="F5208" i="20" s="1"/>
  <c r="J5208" i="20" s="1"/>
  <c r="D5259" i="20"/>
  <c r="F5259" i="20" s="1"/>
  <c r="J5259" i="20" s="1"/>
  <c r="D5157" i="20"/>
  <c r="F5157" i="20" s="1"/>
  <c r="J5157" i="20" s="1"/>
  <c r="D2602" i="20"/>
  <c r="F2602" i="20" s="1"/>
  <c r="J2602" i="20" s="1"/>
  <c r="D5004" i="20"/>
  <c r="F5004" i="20" s="1"/>
  <c r="J5004" i="20" s="1"/>
  <c r="D4953" i="20"/>
  <c r="F4953" i="20" s="1"/>
  <c r="J4953" i="20" s="1"/>
  <c r="D5055" i="20"/>
  <c r="F5055" i="20" s="1"/>
  <c r="J5055" i="20" s="1"/>
  <c r="D6553" i="20"/>
  <c r="F6553" i="20" s="1"/>
  <c r="J6553" i="20" s="1"/>
  <c r="D6606" i="20"/>
  <c r="F6606" i="20" s="1"/>
  <c r="J6606" i="20" s="1"/>
  <c r="D2500" i="20"/>
  <c r="F2500" i="20" s="1"/>
  <c r="J2500" i="20" s="1"/>
  <c r="D2551" i="20"/>
  <c r="F2551" i="20" s="1"/>
  <c r="J2551" i="20" s="1"/>
  <c r="D4902" i="20"/>
  <c r="F4902" i="20" s="1"/>
  <c r="J4902" i="20" s="1"/>
  <c r="D8275" i="20"/>
  <c r="F8275" i="20" s="1"/>
  <c r="J8275" i="20" s="1"/>
  <c r="D8330" i="20"/>
  <c r="F8330" i="20" s="1"/>
  <c r="J8330" i="20" s="1"/>
  <c r="D6449" i="20"/>
  <c r="F6449" i="20" s="1"/>
  <c r="J6449" i="20" s="1"/>
  <c r="D6397" i="20"/>
  <c r="F6397" i="20" s="1"/>
  <c r="J6397" i="20" s="1"/>
  <c r="D4800" i="20"/>
  <c r="F4800" i="20" s="1"/>
  <c r="J4800" i="20" s="1"/>
  <c r="D4851" i="20"/>
  <c r="F4851" i="20" s="1"/>
  <c r="J4851" i="20" s="1"/>
  <c r="D8220" i="20"/>
  <c r="F8220" i="20" s="1"/>
  <c r="J8220" i="20" s="1"/>
  <c r="D2296" i="20"/>
  <c r="F2296" i="20" s="1"/>
  <c r="J2296" i="20" s="1"/>
  <c r="D4749" i="20"/>
  <c r="F4749" i="20" s="1"/>
  <c r="J4749" i="20" s="1"/>
  <c r="D2449" i="20"/>
  <c r="F2449" i="20" s="1"/>
  <c r="J2449" i="20" s="1"/>
  <c r="D2398" i="20"/>
  <c r="F2398" i="20" s="1"/>
  <c r="J2398" i="20" s="1"/>
  <c r="D2347" i="20"/>
  <c r="F2347" i="20" s="1"/>
  <c r="J2347" i="20" s="1"/>
  <c r="D6501" i="20"/>
  <c r="F6501" i="20" s="1"/>
  <c r="J6501" i="20" s="1"/>
  <c r="D8118" i="20"/>
  <c r="F8118" i="20" s="1"/>
  <c r="J8118" i="20" s="1"/>
  <c r="D8165" i="20"/>
  <c r="F8165" i="20" s="1"/>
  <c r="J8165" i="20" s="1"/>
  <c r="D1938" i="20"/>
  <c r="F1938" i="20" s="1"/>
  <c r="J1938" i="20" s="1"/>
  <c r="D9186" i="20"/>
  <c r="F9186" i="20" s="1"/>
  <c r="J9186" i="20" s="1"/>
  <c r="D6189" i="20"/>
  <c r="F6189" i="20" s="1"/>
  <c r="J6189" i="20" s="1"/>
  <c r="D1989" i="20"/>
  <c r="F1989" i="20" s="1"/>
  <c r="J1989" i="20" s="1"/>
  <c r="D9134" i="20"/>
  <c r="F9134" i="20" s="1"/>
  <c r="J9134" i="20" s="1"/>
  <c r="D2142" i="20"/>
  <c r="F2142" i="20" s="1"/>
  <c r="J2142" i="20" s="1"/>
  <c r="D2040" i="20"/>
  <c r="F2040" i="20" s="1"/>
  <c r="J2040" i="20" s="1"/>
  <c r="D8977" i="20"/>
  <c r="F8977" i="20" s="1"/>
  <c r="J8977" i="20" s="1"/>
  <c r="D4596" i="20"/>
  <c r="F4596" i="20" s="1"/>
  <c r="J4596" i="20" s="1"/>
  <c r="D2091" i="20"/>
  <c r="F2091" i="20" s="1"/>
  <c r="J2091" i="20" s="1"/>
  <c r="D1836" i="20"/>
  <c r="F1836" i="20" s="1"/>
  <c r="J1836" i="20" s="1"/>
  <c r="D9238" i="20"/>
  <c r="F9238" i="20" s="1"/>
  <c r="J9238" i="20" s="1"/>
  <c r="D6345" i="20"/>
  <c r="F6345" i="20" s="1"/>
  <c r="J6345" i="20" s="1"/>
  <c r="D6293" i="20"/>
  <c r="F6293" i="20" s="1"/>
  <c r="J6293" i="20" s="1"/>
  <c r="D4647" i="20"/>
  <c r="F4647" i="20" s="1"/>
  <c r="J4647" i="20" s="1"/>
  <c r="D9081" i="20"/>
  <c r="F9081" i="20" s="1"/>
  <c r="J9081" i="20" s="1"/>
  <c r="D8922" i="20"/>
  <c r="F8922" i="20" s="1"/>
  <c r="J8922" i="20" s="1"/>
  <c r="D2245" i="20"/>
  <c r="F2245" i="20" s="1"/>
  <c r="J2245" i="20" s="1"/>
  <c r="D2193" i="20"/>
  <c r="F2193" i="20" s="1"/>
  <c r="J2193" i="20" s="1"/>
  <c r="D6138" i="20"/>
  <c r="F6138" i="20" s="1"/>
  <c r="J6138" i="20" s="1"/>
  <c r="D6241" i="20"/>
  <c r="F6241" i="20" s="1"/>
  <c r="J6241" i="20" s="1"/>
  <c r="D4698" i="20"/>
  <c r="F4698" i="20" s="1"/>
  <c r="J4698" i="20" s="1"/>
  <c r="D1887" i="20"/>
  <c r="F1887" i="20" s="1"/>
  <c r="J1887" i="20" s="1"/>
  <c r="D9029" i="20"/>
  <c r="F9029" i="20" s="1"/>
  <c r="J9029" i="20" s="1"/>
  <c r="D1734" i="20"/>
  <c r="F1734" i="20" s="1"/>
  <c r="J1734" i="20" s="1"/>
  <c r="D1529" i="20"/>
  <c r="F1529" i="20" s="1"/>
  <c r="J1529" i="20" s="1"/>
  <c r="D1223" i="20"/>
  <c r="F1223" i="20" s="1"/>
  <c r="J1223" i="20" s="1"/>
  <c r="D1274" i="20"/>
  <c r="F1274" i="20" s="1"/>
  <c r="J1274" i="20" s="1"/>
  <c r="D1785" i="20"/>
  <c r="F1785" i="20" s="1"/>
  <c r="J1785" i="20" s="1"/>
  <c r="D1580" i="20"/>
  <c r="F1580" i="20" s="1"/>
  <c r="J1580" i="20" s="1"/>
  <c r="D1325" i="20"/>
  <c r="F1325" i="20" s="1"/>
  <c r="J1325" i="20" s="1"/>
  <c r="D1376" i="20"/>
  <c r="F1376" i="20" s="1"/>
  <c r="J1376" i="20" s="1"/>
  <c r="D1631" i="20"/>
  <c r="F1631" i="20" s="1"/>
  <c r="J1631" i="20" s="1"/>
  <c r="D1427" i="20"/>
  <c r="F1427" i="20" s="1"/>
  <c r="J1427" i="20" s="1"/>
  <c r="D1682" i="20"/>
  <c r="F1682" i="20" s="1"/>
  <c r="J1682" i="20" s="1"/>
  <c r="D1478" i="20"/>
  <c r="F1478" i="20" s="1"/>
  <c r="J1478" i="20" s="1"/>
  <c r="D1066" i="20"/>
  <c r="F1066" i="20" s="1"/>
  <c r="J1066" i="20" s="1"/>
  <c r="D1121" i="20"/>
  <c r="F1121" i="20" s="1"/>
  <c r="J1121" i="20" s="1"/>
  <c r="D1172" i="20"/>
  <c r="F1172" i="20" s="1"/>
  <c r="J1172" i="20" s="1"/>
  <c r="D913" i="20"/>
  <c r="F913" i="20" s="1"/>
  <c r="J913" i="20" s="1"/>
  <c r="D964" i="20"/>
  <c r="F964" i="20" s="1"/>
  <c r="J964" i="20" s="1"/>
  <c r="D1015" i="20"/>
  <c r="F1015" i="20" s="1"/>
  <c r="J1015" i="20" s="1"/>
  <c r="D862" i="20"/>
  <c r="F862" i="20" s="1"/>
  <c r="J862" i="20" s="1"/>
  <c r="D8870" i="20"/>
  <c r="F8870" i="20" s="1"/>
  <c r="J8870" i="20" s="1"/>
  <c r="D8708" i="20"/>
  <c r="F8708" i="20" s="1"/>
  <c r="J8708" i="20" s="1"/>
  <c r="D8653" i="20"/>
  <c r="F8653" i="20" s="1"/>
  <c r="J8653" i="20" s="1"/>
  <c r="D8818" i="20"/>
  <c r="F8818" i="20" s="1"/>
  <c r="J8818" i="20" s="1"/>
  <c r="D8071" i="20"/>
  <c r="F8071" i="20" s="1"/>
  <c r="J8071" i="20" s="1"/>
  <c r="D5878" i="20"/>
  <c r="F5878" i="20" s="1"/>
  <c r="J5878" i="20" s="1"/>
  <c r="D6086" i="20"/>
  <c r="F6086" i="20" s="1"/>
  <c r="J6086" i="20" s="1"/>
  <c r="D6034" i="20"/>
  <c r="F6034" i="20" s="1"/>
  <c r="J6034" i="20" s="1"/>
  <c r="D5982" i="20"/>
  <c r="F5982" i="20" s="1"/>
  <c r="J5982" i="20" s="1"/>
  <c r="D5930" i="20"/>
  <c r="F5930" i="20" s="1"/>
  <c r="J5930" i="20" s="1"/>
  <c r="D4493" i="20"/>
  <c r="F4493" i="20" s="1"/>
  <c r="J4493" i="20" s="1"/>
  <c r="D810" i="20"/>
  <c r="F810" i="20" s="1"/>
  <c r="J810" i="20" s="1"/>
  <c r="D759" i="20"/>
  <c r="F759" i="20" s="1"/>
  <c r="J759" i="20" s="1"/>
  <c r="D708" i="20"/>
  <c r="F708" i="20" s="1"/>
  <c r="J708" i="20" s="1"/>
  <c r="D5722" i="20"/>
  <c r="F5722" i="20" s="1"/>
  <c r="J5722" i="20" s="1"/>
  <c r="D5774" i="20"/>
  <c r="F5774" i="20" s="1"/>
  <c r="J5774" i="20" s="1"/>
  <c r="D4545" i="20"/>
  <c r="F4545" i="20" s="1"/>
  <c r="J4545" i="20" s="1"/>
  <c r="D657" i="20"/>
  <c r="F657" i="20" s="1"/>
  <c r="J657" i="20" s="1"/>
  <c r="D5826" i="20"/>
  <c r="F5826" i="20" s="1"/>
  <c r="J5826" i="20" s="1"/>
  <c r="D4442" i="20"/>
  <c r="F4442" i="20" s="1"/>
  <c r="J4442" i="20" s="1"/>
  <c r="D606" i="20"/>
  <c r="F606" i="20" s="1"/>
  <c r="J606" i="20" s="1"/>
  <c r="D555" i="20"/>
  <c r="F555" i="20" s="1"/>
  <c r="J555" i="20" s="1"/>
  <c r="D4340" i="20"/>
  <c r="F4340" i="20" s="1"/>
  <c r="J4340" i="20" s="1"/>
  <c r="D248" i="20"/>
  <c r="F248" i="20" s="1"/>
  <c r="J248" i="20" s="1"/>
  <c r="D299" i="20"/>
  <c r="F299" i="20" s="1"/>
  <c r="J299" i="20" s="1"/>
  <c r="D95" i="20"/>
  <c r="F95" i="20" s="1"/>
  <c r="J95" i="20" s="1"/>
  <c r="D4391" i="20"/>
  <c r="F4391" i="20" s="1"/>
  <c r="J4391" i="20" s="1"/>
  <c r="D350" i="20"/>
  <c r="F350" i="20" s="1"/>
  <c r="J350" i="20" s="1"/>
  <c r="D146" i="20"/>
  <c r="F146" i="20" s="1"/>
  <c r="J146" i="20" s="1"/>
  <c r="D503" i="20"/>
  <c r="F503" i="20" s="1"/>
  <c r="J503" i="20" s="1"/>
  <c r="D452" i="20"/>
  <c r="F452" i="20" s="1"/>
  <c r="J452" i="20" s="1"/>
  <c r="D401" i="20"/>
  <c r="F401" i="20" s="1"/>
  <c r="J401" i="20" s="1"/>
  <c r="D197" i="20"/>
  <c r="F197" i="20" s="1"/>
  <c r="J197" i="20" s="1"/>
  <c r="D4289" i="20"/>
  <c r="F4289" i="20" s="1"/>
  <c r="J4289" i="20" s="1"/>
  <c r="M9204" i="20"/>
  <c r="M8995" i="20"/>
  <c r="M9152" i="20"/>
  <c r="K2977" i="20"/>
  <c r="K2926" i="20"/>
  <c r="K2824" i="20"/>
  <c r="K2620" i="20"/>
  <c r="K3181" i="20"/>
  <c r="K3028" i="20"/>
  <c r="K2773" i="20"/>
  <c r="K3079" i="20"/>
  <c r="K2671" i="20"/>
  <c r="K3232" i="20"/>
  <c r="K3130" i="20"/>
  <c r="K2875" i="20"/>
  <c r="K2722" i="20"/>
  <c r="K2467" i="20"/>
  <c r="K8238" i="20"/>
  <c r="K2314" i="20"/>
  <c r="K2263" i="20"/>
  <c r="K2365" i="20"/>
  <c r="K2058" i="20"/>
  <c r="K1905" i="20"/>
  <c r="K1854" i="20"/>
  <c r="K2007" i="20"/>
  <c r="K931" i="20"/>
  <c r="K1190" i="20"/>
  <c r="K1088" i="20"/>
  <c r="K1496" i="20"/>
  <c r="K1649" i="20"/>
  <c r="K1343" i="20"/>
  <c r="K829" i="20"/>
  <c r="K1033" i="20"/>
  <c r="K1445" i="20"/>
  <c r="K1752" i="20"/>
  <c r="K1394" i="20"/>
  <c r="K1139" i="20"/>
  <c r="K880" i="20"/>
  <c r="K1547" i="20"/>
  <c r="K1701" i="20"/>
  <c r="K1292" i="20"/>
  <c r="K982" i="20"/>
  <c r="K5688" i="20"/>
  <c r="K777" i="20"/>
  <c r="K726" i="20"/>
  <c r="K675" i="20"/>
  <c r="K624" i="20"/>
  <c r="K573" i="20"/>
  <c r="K113" i="20"/>
  <c r="K317" i="20"/>
  <c r="K470" i="20"/>
  <c r="K164" i="20"/>
  <c r="K266" i="20"/>
  <c r="K4256" i="20"/>
  <c r="K215" i="20"/>
  <c r="S20" i="5"/>
  <c r="T20" i="5" s="1"/>
  <c r="S12" i="5"/>
  <c r="T12" i="5" s="1"/>
  <c r="B53" i="4" l="1"/>
  <c r="H9448" i="20"/>
  <c r="J9445" i="20"/>
  <c r="H7758" i="20"/>
  <c r="J7755" i="20"/>
  <c r="H7602" i="20"/>
  <c r="J7599" i="20"/>
  <c r="H9344" i="20"/>
  <c r="J9341" i="20"/>
  <c r="H7654" i="20"/>
  <c r="J7651" i="20"/>
  <c r="H4185" i="20"/>
  <c r="J4182" i="20"/>
  <c r="H9500" i="20"/>
  <c r="J9497" i="20"/>
  <c r="H8599" i="20"/>
  <c r="J8596" i="20"/>
  <c r="H7706" i="20"/>
  <c r="J7703" i="20"/>
  <c r="H9396" i="20"/>
  <c r="J9393" i="20"/>
  <c r="H4236" i="20"/>
  <c r="J4233" i="20"/>
  <c r="H7810" i="20"/>
  <c r="J7807" i="20"/>
  <c r="H4032" i="20"/>
  <c r="J4029" i="20"/>
  <c r="H7914" i="20"/>
  <c r="J7911" i="20"/>
  <c r="H7549" i="20"/>
  <c r="J7546" i="20"/>
  <c r="H3981" i="20"/>
  <c r="J3978" i="20"/>
  <c r="H4134" i="20"/>
  <c r="J4131" i="20"/>
  <c r="H8552" i="20"/>
  <c r="J8549" i="20"/>
  <c r="H4083" i="20"/>
  <c r="J4080" i="20"/>
  <c r="H7966" i="20"/>
  <c r="J7963" i="20"/>
  <c r="H7862" i="20"/>
  <c r="J7859" i="20"/>
  <c r="H5671" i="20"/>
  <c r="J5668" i="20"/>
  <c r="H9552" i="20"/>
  <c r="J9549" i="20"/>
  <c r="H8018" i="20"/>
  <c r="J8015" i="20"/>
  <c r="J7231" i="20"/>
  <c r="H7232" i="20"/>
  <c r="J3521" i="20"/>
  <c r="H3522" i="20"/>
  <c r="J6763" i="20"/>
  <c r="H6764" i="20"/>
  <c r="J7443" i="20"/>
  <c r="H7444" i="20"/>
  <c r="J6919" i="20"/>
  <c r="H6920" i="20"/>
  <c r="J5568" i="20"/>
  <c r="H5569" i="20"/>
  <c r="J7283" i="20"/>
  <c r="H7284" i="20"/>
  <c r="J3419" i="20"/>
  <c r="H3420" i="20"/>
  <c r="J7495" i="20"/>
  <c r="H7496" i="20"/>
  <c r="J8496" i="20"/>
  <c r="H8497" i="20"/>
  <c r="J7127" i="20"/>
  <c r="H7128" i="20"/>
  <c r="H3879" i="20"/>
  <c r="J3878" i="20"/>
  <c r="J3725" i="20"/>
  <c r="H3726" i="20"/>
  <c r="J3470" i="20"/>
  <c r="H3471" i="20"/>
  <c r="J7179" i="20"/>
  <c r="H7180" i="20"/>
  <c r="J8764" i="20"/>
  <c r="H8765" i="20"/>
  <c r="J3674" i="20"/>
  <c r="H3675" i="20"/>
  <c r="J5619" i="20"/>
  <c r="H5620" i="20"/>
  <c r="J5414" i="20"/>
  <c r="H5415" i="20"/>
  <c r="J8441" i="20"/>
  <c r="H8442" i="20"/>
  <c r="J5517" i="20"/>
  <c r="H5518" i="20"/>
  <c r="J3776" i="20"/>
  <c r="H3777" i="20"/>
  <c r="J7335" i="20"/>
  <c r="H7336" i="20"/>
  <c r="J5465" i="20"/>
  <c r="H5466" i="20"/>
  <c r="J5312" i="20"/>
  <c r="H5313" i="20"/>
  <c r="J3368" i="20"/>
  <c r="H3369" i="20"/>
  <c r="J6815" i="20"/>
  <c r="H6816" i="20"/>
  <c r="J3623" i="20"/>
  <c r="H3624" i="20"/>
  <c r="J6971" i="20"/>
  <c r="H6972" i="20"/>
  <c r="J3929" i="20"/>
  <c r="H3930" i="20"/>
  <c r="J6711" i="20"/>
  <c r="H6712" i="20"/>
  <c r="J8386" i="20"/>
  <c r="H8387" i="20"/>
  <c r="J7023" i="20"/>
  <c r="H7024" i="20"/>
  <c r="J6867" i="20"/>
  <c r="H6868" i="20"/>
  <c r="J7390" i="20"/>
  <c r="H7391" i="20"/>
  <c r="J5363" i="20"/>
  <c r="H5364" i="20"/>
  <c r="J6659" i="20"/>
  <c r="H6660" i="20"/>
  <c r="J3572" i="20"/>
  <c r="H3573" i="20"/>
  <c r="J3827" i="20"/>
  <c r="H3828" i="20"/>
  <c r="J7075" i="20"/>
  <c r="H7076" i="20"/>
  <c r="J9291" i="20"/>
  <c r="H9292" i="20"/>
  <c r="H45" i="20"/>
  <c r="L10" i="20" s="1"/>
  <c r="Q17" i="1" s="1"/>
  <c r="H4547" i="20"/>
  <c r="J4544" i="20"/>
  <c r="H1429" i="20"/>
  <c r="J1426" i="20"/>
  <c r="H2298" i="20"/>
  <c r="J2295" i="20"/>
  <c r="H4751" i="20"/>
  <c r="J4748" i="20"/>
  <c r="H148" i="20"/>
  <c r="J145" i="20"/>
  <c r="H199" i="20"/>
  <c r="J196" i="20"/>
  <c r="H5776" i="20"/>
  <c r="J5773" i="20"/>
  <c r="H6088" i="20"/>
  <c r="J6085" i="20"/>
  <c r="H966" i="20"/>
  <c r="J963" i="20"/>
  <c r="H1633" i="20"/>
  <c r="J1630" i="20"/>
  <c r="H1225" i="20"/>
  <c r="J1222" i="20"/>
  <c r="J9237" i="20"/>
  <c r="H9240" i="20"/>
  <c r="H9136" i="20"/>
  <c r="J9133" i="20"/>
  <c r="H9031" i="20"/>
  <c r="J9028" i="20"/>
  <c r="H4802" i="20"/>
  <c r="J4799" i="20"/>
  <c r="H8277" i="20"/>
  <c r="J8274" i="20"/>
  <c r="H4955" i="20"/>
  <c r="J4952" i="20"/>
  <c r="H2961" i="20"/>
  <c r="J2958" i="20"/>
  <c r="H3216" i="20"/>
  <c r="J3213" i="20"/>
  <c r="H505" i="20"/>
  <c r="J502" i="20"/>
  <c r="H8820" i="20"/>
  <c r="J8817" i="20"/>
  <c r="H4598" i="20"/>
  <c r="J4595" i="20"/>
  <c r="H2757" i="20"/>
  <c r="J2754" i="20"/>
  <c r="H352" i="20"/>
  <c r="J349" i="20"/>
  <c r="H403" i="20"/>
  <c r="J400" i="20"/>
  <c r="H5724" i="20"/>
  <c r="J5721" i="20"/>
  <c r="H5932" i="20"/>
  <c r="J5929" i="20"/>
  <c r="H915" i="20"/>
  <c r="J912" i="20"/>
  <c r="H1378" i="20"/>
  <c r="J1375" i="20"/>
  <c r="H1480" i="20"/>
  <c r="J1477" i="20"/>
  <c r="H1838" i="20"/>
  <c r="J1835" i="20"/>
  <c r="H1991" i="20"/>
  <c r="J1988" i="20"/>
  <c r="H9083" i="20"/>
  <c r="J9080" i="20"/>
  <c r="H6399" i="20"/>
  <c r="J6396" i="20"/>
  <c r="H8332" i="20"/>
  <c r="J8329" i="20"/>
  <c r="H6608" i="20"/>
  <c r="J6605" i="20"/>
  <c r="H3012" i="20"/>
  <c r="J3009" i="20"/>
  <c r="H2706" i="20"/>
  <c r="J2703" i="20"/>
  <c r="H6036" i="20"/>
  <c r="J6033" i="20"/>
  <c r="H6347" i="20"/>
  <c r="J6344" i="20"/>
  <c r="H3114" i="20"/>
  <c r="J3111" i="20"/>
  <c r="H4393" i="20"/>
  <c r="J4390" i="20"/>
  <c r="H557" i="20"/>
  <c r="J554" i="20"/>
  <c r="H710" i="20"/>
  <c r="J707" i="20"/>
  <c r="H8073" i="20"/>
  <c r="J8070" i="20"/>
  <c r="H1174" i="20"/>
  <c r="J1171" i="20"/>
  <c r="H1327" i="20"/>
  <c r="J1324" i="20"/>
  <c r="H1684" i="20"/>
  <c r="J1681" i="20"/>
  <c r="H2093" i="20"/>
  <c r="J2090" i="20"/>
  <c r="H9188" i="20"/>
  <c r="J9185" i="20"/>
  <c r="H1889" i="20"/>
  <c r="J1886" i="20"/>
  <c r="H6451" i="20"/>
  <c r="J6448" i="20"/>
  <c r="H2502" i="20"/>
  <c r="J2499" i="20"/>
  <c r="H6555" i="20"/>
  <c r="J6552" i="20"/>
  <c r="H3063" i="20"/>
  <c r="J3060" i="20"/>
  <c r="H3267" i="20"/>
  <c r="J3264" i="20"/>
  <c r="H4291" i="20"/>
  <c r="J4288" i="20"/>
  <c r="H1736" i="20"/>
  <c r="J1733" i="20"/>
  <c r="H8979" i="20"/>
  <c r="J8976" i="20"/>
  <c r="H2604" i="20"/>
  <c r="J2601" i="20"/>
  <c r="H97" i="20"/>
  <c r="J94" i="20"/>
  <c r="H608" i="20"/>
  <c r="J605" i="20"/>
  <c r="H761" i="20"/>
  <c r="J758" i="20"/>
  <c r="H5880" i="20"/>
  <c r="J5877" i="20"/>
  <c r="H1123" i="20"/>
  <c r="J1120" i="20"/>
  <c r="H1582" i="20"/>
  <c r="J1579" i="20"/>
  <c r="J2192" i="20"/>
  <c r="H2195" i="20"/>
  <c r="H6243" i="20"/>
  <c r="J6240" i="20"/>
  <c r="H1940" i="20"/>
  <c r="J1937" i="20"/>
  <c r="H8167" i="20"/>
  <c r="J8164" i="20"/>
  <c r="H6503" i="20"/>
  <c r="J6500" i="20"/>
  <c r="H2553" i="20"/>
  <c r="J2550" i="20"/>
  <c r="H5261" i="20"/>
  <c r="J5258" i="20"/>
  <c r="H3165" i="20"/>
  <c r="J3162" i="20"/>
  <c r="H2910" i="20"/>
  <c r="J2907" i="20"/>
  <c r="H301" i="20"/>
  <c r="J298" i="20"/>
  <c r="H4444" i="20"/>
  <c r="J4441" i="20"/>
  <c r="H812" i="20"/>
  <c r="J809" i="20"/>
  <c r="H8710" i="20"/>
  <c r="J8707" i="20"/>
  <c r="H1068" i="20"/>
  <c r="J1065" i="20"/>
  <c r="H1787" i="20"/>
  <c r="J1784" i="20"/>
  <c r="H2247" i="20"/>
  <c r="J2244" i="20"/>
  <c r="H6295" i="20"/>
  <c r="J6292" i="20"/>
  <c r="H4700" i="20"/>
  <c r="J4697" i="20"/>
  <c r="H8120" i="20"/>
  <c r="J8117" i="20"/>
  <c r="H2349" i="20"/>
  <c r="J2346" i="20"/>
  <c r="H4904" i="20"/>
  <c r="J4901" i="20"/>
  <c r="H5210" i="20"/>
  <c r="J5207" i="20"/>
  <c r="H2808" i="20"/>
  <c r="J2805" i="20"/>
  <c r="H3318" i="20"/>
  <c r="J3315" i="20"/>
  <c r="H250" i="20"/>
  <c r="J247" i="20"/>
  <c r="H5828" i="20"/>
  <c r="J5825" i="20"/>
  <c r="H4495" i="20"/>
  <c r="J4492" i="20"/>
  <c r="H8872" i="20"/>
  <c r="J8869" i="20"/>
  <c r="H864" i="20"/>
  <c r="J861" i="20"/>
  <c r="H1276" i="20"/>
  <c r="J1273" i="20"/>
  <c r="H8924" i="20"/>
  <c r="J8921" i="20"/>
  <c r="H2042" i="20"/>
  <c r="J2039" i="20"/>
  <c r="H6140" i="20"/>
  <c r="J6137" i="20"/>
  <c r="H8222" i="20"/>
  <c r="J8219" i="20"/>
  <c r="H2400" i="20"/>
  <c r="J2397" i="20"/>
  <c r="H5057" i="20"/>
  <c r="J5054" i="20"/>
  <c r="H5108" i="20"/>
  <c r="J5105" i="20"/>
  <c r="H2655" i="20"/>
  <c r="J2652" i="20"/>
  <c r="H454" i="20"/>
  <c r="J451" i="20"/>
  <c r="H4342" i="20"/>
  <c r="J4339" i="20"/>
  <c r="H659" i="20"/>
  <c r="J656" i="20"/>
  <c r="H5984" i="20"/>
  <c r="J5981" i="20"/>
  <c r="H8655" i="20"/>
  <c r="J8652" i="20"/>
  <c r="H1017" i="20"/>
  <c r="J1014" i="20"/>
  <c r="H1531" i="20"/>
  <c r="J1528" i="20"/>
  <c r="H4649" i="20"/>
  <c r="J4646" i="20"/>
  <c r="H2144" i="20"/>
  <c r="J2141" i="20"/>
  <c r="H6191" i="20"/>
  <c r="J6188" i="20"/>
  <c r="H4853" i="20"/>
  <c r="J4850" i="20"/>
  <c r="H2451" i="20"/>
  <c r="J2448" i="20"/>
  <c r="H5006" i="20"/>
  <c r="J5003" i="20"/>
  <c r="H5159" i="20"/>
  <c r="J5156" i="20"/>
  <c r="H2859" i="20"/>
  <c r="J2856" i="20"/>
  <c r="B54" i="4" l="1"/>
  <c r="L7930" i="20"/>
  <c r="H7933" i="20"/>
  <c r="L3946" i="20"/>
  <c r="H3949" i="20"/>
  <c r="L8568" i="20"/>
  <c r="H8571" i="20"/>
  <c r="L9516" i="20"/>
  <c r="H9519" i="20"/>
  <c r="L4048" i="20"/>
  <c r="H4051" i="20"/>
  <c r="L7513" i="20"/>
  <c r="H7516" i="20"/>
  <c r="L4201" i="20"/>
  <c r="H4204" i="20"/>
  <c r="L9464" i="20"/>
  <c r="H9467" i="20"/>
  <c r="L7566" i="20"/>
  <c r="H7569" i="20"/>
  <c r="L9308" i="20"/>
  <c r="H9311" i="20"/>
  <c r="L5636" i="20"/>
  <c r="H5639" i="20"/>
  <c r="L8513" i="20"/>
  <c r="H8516" i="20"/>
  <c r="L7878" i="20"/>
  <c r="H7881" i="20"/>
  <c r="L9360" i="20"/>
  <c r="H9363" i="20"/>
  <c r="L4150" i="20"/>
  <c r="H4153" i="20"/>
  <c r="L7722" i="20"/>
  <c r="H7725" i="20"/>
  <c r="L7982" i="20"/>
  <c r="H7985" i="20"/>
  <c r="L7774" i="20"/>
  <c r="H7777" i="20"/>
  <c r="L7826" i="20"/>
  <c r="H7829" i="20"/>
  <c r="L4099" i="20"/>
  <c r="H4102" i="20"/>
  <c r="L3997" i="20"/>
  <c r="H4000" i="20"/>
  <c r="L7670" i="20"/>
  <c r="H7673" i="20"/>
  <c r="L7618" i="20"/>
  <c r="H7621" i="20"/>
  <c r="L9412" i="20"/>
  <c r="H9415" i="20"/>
  <c r="W17" i="1"/>
  <c r="X17" i="1"/>
  <c r="U17" i="1"/>
  <c r="V17" i="1"/>
  <c r="G9" i="28" s="1"/>
  <c r="L5329" i="20"/>
  <c r="H5332" i="20"/>
  <c r="L3385" i="20"/>
  <c r="H3388" i="20"/>
  <c r="L3844" i="20"/>
  <c r="H3847" i="20"/>
  <c r="L7040" i="20"/>
  <c r="H7043" i="20"/>
  <c r="L8348" i="20"/>
  <c r="H8351" i="20"/>
  <c r="L7408" i="20"/>
  <c r="H7411" i="20"/>
  <c r="L3793" i="20"/>
  <c r="H3796" i="20"/>
  <c r="L7355" i="20"/>
  <c r="H7358" i="20"/>
  <c r="L6676" i="20"/>
  <c r="H6679" i="20"/>
  <c r="L6780" i="20"/>
  <c r="H6783" i="20"/>
  <c r="L7300" i="20"/>
  <c r="H7303" i="20"/>
  <c r="L5380" i="20"/>
  <c r="H5383" i="20"/>
  <c r="L7144" i="20"/>
  <c r="H7147" i="20"/>
  <c r="L7092" i="20"/>
  <c r="H7095" i="20"/>
  <c r="L7248" i="20"/>
  <c r="H7251" i="20"/>
  <c r="L6728" i="20"/>
  <c r="H6731" i="20"/>
  <c r="L5431" i="20"/>
  <c r="H5434" i="20"/>
  <c r="L3589" i="20"/>
  <c r="H3592" i="20"/>
  <c r="L3538" i="20"/>
  <c r="H3541" i="20"/>
  <c r="L6832" i="20"/>
  <c r="H6835" i="20"/>
  <c r="L3895" i="20"/>
  <c r="H3898" i="20"/>
  <c r="L3334" i="20"/>
  <c r="H3337" i="20"/>
  <c r="L3742" i="20"/>
  <c r="H3745" i="20"/>
  <c r="L5585" i="20"/>
  <c r="H5588" i="20"/>
  <c r="L3436" i="20"/>
  <c r="H3439" i="20"/>
  <c r="L8458" i="20"/>
  <c r="H8461" i="20"/>
  <c r="L5534" i="20"/>
  <c r="H5537" i="20"/>
  <c r="L3487" i="20"/>
  <c r="H3490" i="20"/>
  <c r="L8403" i="20"/>
  <c r="H8406" i="20"/>
  <c r="L9256" i="20"/>
  <c r="H9259" i="20"/>
  <c r="L6624" i="20"/>
  <c r="H6627" i="20"/>
  <c r="L6988" i="20"/>
  <c r="H6991" i="20"/>
  <c r="L6936" i="20"/>
  <c r="H6939" i="20"/>
  <c r="L5278" i="20"/>
  <c r="H5281" i="20"/>
  <c r="L5483" i="20"/>
  <c r="H5486" i="20"/>
  <c r="L3640" i="20"/>
  <c r="H3643" i="20"/>
  <c r="L3691" i="20"/>
  <c r="H3694" i="20"/>
  <c r="L7460" i="20"/>
  <c r="H7463" i="20"/>
  <c r="L6884" i="20"/>
  <c r="H6887" i="20"/>
  <c r="L7196" i="20"/>
  <c r="H7199" i="20"/>
  <c r="L8726" i="20"/>
  <c r="H8729" i="20"/>
  <c r="H13" i="20"/>
  <c r="L2416" i="20"/>
  <c r="H2419" i="20"/>
  <c r="L4614" i="20"/>
  <c r="H4617" i="20"/>
  <c r="L5948" i="20"/>
  <c r="H5951" i="20"/>
  <c r="L2620" i="20"/>
  <c r="H2623" i="20"/>
  <c r="L8183" i="20"/>
  <c r="H8186" i="20"/>
  <c r="L1241" i="20"/>
  <c r="H1244" i="20"/>
  <c r="L5792" i="20"/>
  <c r="H5795" i="20"/>
  <c r="L5175" i="20"/>
  <c r="H5178" i="20"/>
  <c r="L4665" i="20"/>
  <c r="H4668" i="20"/>
  <c r="L1033" i="20"/>
  <c r="H1036" i="20"/>
  <c r="L266" i="20"/>
  <c r="H269" i="20"/>
  <c r="L2518" i="20"/>
  <c r="H2521" i="20"/>
  <c r="L6207" i="20"/>
  <c r="H6210" i="20"/>
  <c r="L5844" i="20"/>
  <c r="H5847" i="20"/>
  <c r="L2569" i="20"/>
  <c r="H2572" i="20"/>
  <c r="L3232" i="20"/>
  <c r="H3235" i="20"/>
  <c r="L6415" i="20"/>
  <c r="H6418" i="20"/>
  <c r="L1649" i="20"/>
  <c r="H1652" i="20"/>
  <c r="L675" i="20"/>
  <c r="H678" i="20"/>
  <c r="L6311" i="20"/>
  <c r="H6314" i="20"/>
  <c r="L6572" i="20"/>
  <c r="H6575" i="20"/>
  <c r="L1956" i="20"/>
  <c r="H1959" i="20"/>
  <c r="L880" i="20"/>
  <c r="H883" i="20"/>
  <c r="L317" i="20"/>
  <c r="H320" i="20"/>
  <c r="L470" i="20"/>
  <c r="H473" i="20"/>
  <c r="L8238" i="20"/>
  <c r="H8241" i="20"/>
  <c r="L6052" i="20"/>
  <c r="H6055" i="20"/>
  <c r="L4716" i="20"/>
  <c r="H4719" i="20"/>
  <c r="L2160" i="20"/>
  <c r="H2163" i="20"/>
  <c r="L9204" i="20"/>
  <c r="H9207" i="20"/>
  <c r="L2824" i="20"/>
  <c r="H2827" i="20"/>
  <c r="L4818" i="20"/>
  <c r="H4821" i="20"/>
  <c r="L1496" i="20"/>
  <c r="H1499" i="20"/>
  <c r="L624" i="20"/>
  <c r="H627" i="20"/>
  <c r="L5073" i="20"/>
  <c r="H5076" i="20"/>
  <c r="L6104" i="20"/>
  <c r="H6107" i="20"/>
  <c r="L829" i="20"/>
  <c r="H832" i="20"/>
  <c r="L215" i="20"/>
  <c r="H218" i="20"/>
  <c r="L4869" i="20"/>
  <c r="H4872" i="20"/>
  <c r="L6259" i="20"/>
  <c r="H6262" i="20"/>
  <c r="L8671" i="20"/>
  <c r="H8674" i="20"/>
  <c r="L2875" i="20"/>
  <c r="H2878" i="20"/>
  <c r="L6467" i="20"/>
  <c r="H6470" i="20"/>
  <c r="L726" i="20"/>
  <c r="H729" i="20"/>
  <c r="L8943" i="20"/>
  <c r="H8946" i="20"/>
  <c r="L3028" i="20"/>
  <c r="H3031" i="20"/>
  <c r="L1854" i="20"/>
  <c r="H1857" i="20"/>
  <c r="L1292" i="20"/>
  <c r="H1295" i="20"/>
  <c r="L522" i="20"/>
  <c r="H525" i="20"/>
  <c r="L6000" i="20"/>
  <c r="H6003" i="20"/>
  <c r="L8293" i="20"/>
  <c r="H8296" i="20"/>
  <c r="L1803" i="20"/>
  <c r="H1806" i="20"/>
  <c r="L5896" i="20"/>
  <c r="H5899" i="20"/>
  <c r="L2722" i="20"/>
  <c r="H2725" i="20"/>
  <c r="L3181" i="20"/>
  <c r="H3184" i="20"/>
  <c r="L4767" i="20"/>
  <c r="H4770" i="20"/>
  <c r="L1190" i="20"/>
  <c r="H1193" i="20"/>
  <c r="L5740" i="20"/>
  <c r="H5743" i="20"/>
  <c r="L2263" i="20"/>
  <c r="H2266" i="20"/>
  <c r="L5124" i="20"/>
  <c r="H5127" i="20"/>
  <c r="L6155" i="20"/>
  <c r="H6158" i="20"/>
  <c r="L982" i="20"/>
  <c r="H985" i="20"/>
  <c r="L4307" i="20"/>
  <c r="H4310" i="20"/>
  <c r="L5022" i="20"/>
  <c r="H5025" i="20"/>
  <c r="L2007" i="20"/>
  <c r="H2010" i="20"/>
  <c r="L8836" i="20"/>
  <c r="H8839" i="20"/>
  <c r="L3283" i="20"/>
  <c r="H3286" i="20"/>
  <c r="L2314" i="20"/>
  <c r="H2317" i="20"/>
  <c r="L2212" i="20"/>
  <c r="H2215" i="20"/>
  <c r="L777" i="20"/>
  <c r="H780" i="20"/>
  <c r="L3130" i="20"/>
  <c r="H3133" i="20"/>
  <c r="L8136" i="20"/>
  <c r="H8139" i="20"/>
  <c r="L1547" i="20"/>
  <c r="H1550" i="20"/>
  <c r="L573" i="20"/>
  <c r="H576" i="20"/>
  <c r="L1701" i="20"/>
  <c r="H1704" i="20"/>
  <c r="L6519" i="20"/>
  <c r="H6522" i="20"/>
  <c r="L9152" i="20"/>
  <c r="H9155" i="20"/>
  <c r="L1139" i="20"/>
  <c r="H1142" i="20"/>
  <c r="L4358" i="20"/>
  <c r="H4361" i="20"/>
  <c r="L2671" i="20"/>
  <c r="H2674" i="20"/>
  <c r="L6363" i="20"/>
  <c r="H6366" i="20"/>
  <c r="L1445" i="20"/>
  <c r="H1448" i="20"/>
  <c r="L5688" i="20"/>
  <c r="H5691" i="20"/>
  <c r="L4563" i="20"/>
  <c r="H4566" i="20"/>
  <c r="L2926" i="20"/>
  <c r="H2929" i="20"/>
  <c r="L8995" i="20"/>
  <c r="H8998" i="20"/>
  <c r="L1598" i="20"/>
  <c r="H1601" i="20"/>
  <c r="L164" i="20"/>
  <c r="H167" i="20"/>
  <c r="L1394" i="20"/>
  <c r="H1397" i="20"/>
  <c r="L4971" i="20"/>
  <c r="H4974" i="20"/>
  <c r="L2109" i="20"/>
  <c r="H2112" i="20"/>
  <c r="L8616" i="20"/>
  <c r="H8619" i="20"/>
  <c r="L419" i="20"/>
  <c r="H422" i="20"/>
  <c r="L2365" i="20"/>
  <c r="H2368" i="20"/>
  <c r="L8888" i="20"/>
  <c r="H8891" i="20"/>
  <c r="L4460" i="20"/>
  <c r="H4463" i="20"/>
  <c r="L2773" i="20"/>
  <c r="H2776" i="20"/>
  <c r="L8089" i="20"/>
  <c r="H8092" i="20"/>
  <c r="L1752" i="20"/>
  <c r="H1755" i="20"/>
  <c r="L4409" i="20"/>
  <c r="H4412" i="20"/>
  <c r="L5226" i="20"/>
  <c r="H5229" i="20"/>
  <c r="L1905" i="20"/>
  <c r="H1908" i="20"/>
  <c r="L1088" i="20"/>
  <c r="H1091" i="20"/>
  <c r="L62" i="20"/>
  <c r="H65" i="20"/>
  <c r="L4256" i="20"/>
  <c r="H4259" i="20"/>
  <c r="L2467" i="20"/>
  <c r="H2470" i="20"/>
  <c r="L2058" i="20"/>
  <c r="H2061" i="20"/>
  <c r="L8034" i="20"/>
  <c r="H8037" i="20"/>
  <c r="L3079" i="20"/>
  <c r="H3082" i="20"/>
  <c r="L2977" i="20"/>
  <c r="H2980" i="20"/>
  <c r="L9047" i="20"/>
  <c r="H9050" i="20"/>
  <c r="L1343" i="20"/>
  <c r="H1346" i="20"/>
  <c r="L368" i="20"/>
  <c r="H371" i="20"/>
  <c r="L8784" i="20"/>
  <c r="H8787" i="20"/>
  <c r="L4920" i="20"/>
  <c r="H4923" i="20"/>
  <c r="L9100" i="20"/>
  <c r="H9103" i="20"/>
  <c r="L931" i="20"/>
  <c r="H934" i="20"/>
  <c r="L113" i="20"/>
  <c r="H116" i="20"/>
  <c r="L4512" i="20"/>
  <c r="H4515" i="20"/>
  <c r="B55" i="4" l="1"/>
  <c r="G9453" i="20"/>
  <c r="G9451" i="20"/>
  <c r="G9452" i="20"/>
  <c r="G4137" i="20"/>
  <c r="G4138" i="20"/>
  <c r="G4139" i="20"/>
  <c r="G7763" i="20"/>
  <c r="G7761" i="20"/>
  <c r="G7762" i="20"/>
  <c r="G8556" i="20"/>
  <c r="G8555" i="20"/>
  <c r="G8557" i="20"/>
  <c r="G9505" i="20"/>
  <c r="G9504" i="20"/>
  <c r="G9503" i="20"/>
  <c r="G9555" i="20"/>
  <c r="G9557" i="20"/>
  <c r="G9556" i="20"/>
  <c r="G7658" i="20"/>
  <c r="G7657" i="20"/>
  <c r="G7659" i="20"/>
  <c r="G7867" i="20"/>
  <c r="G7866" i="20"/>
  <c r="G7865" i="20"/>
  <c r="G4189" i="20"/>
  <c r="G4190" i="20"/>
  <c r="G4188" i="20"/>
  <c r="G5676" i="20"/>
  <c r="G5675" i="20"/>
  <c r="G5674" i="20"/>
  <c r="G4241" i="20"/>
  <c r="G4240" i="20"/>
  <c r="G4239" i="20"/>
  <c r="G8603" i="20"/>
  <c r="G8602" i="20"/>
  <c r="G8604" i="20"/>
  <c r="G7709" i="20"/>
  <c r="G7711" i="20"/>
  <c r="G7710" i="20"/>
  <c r="G7815" i="20"/>
  <c r="G7814" i="20"/>
  <c r="G7813" i="20"/>
  <c r="G9401" i="20"/>
  <c r="G9399" i="20"/>
  <c r="G9400" i="20"/>
  <c r="G9349" i="20"/>
  <c r="G9347" i="20"/>
  <c r="G9348" i="20"/>
  <c r="G7552" i="20"/>
  <c r="G7554" i="20"/>
  <c r="G7553" i="20"/>
  <c r="G3986" i="20"/>
  <c r="G3984" i="20"/>
  <c r="G3985" i="20"/>
  <c r="G4035" i="20"/>
  <c r="G4036" i="20"/>
  <c r="G4037" i="20"/>
  <c r="G8023" i="20"/>
  <c r="G8022" i="20"/>
  <c r="G8021" i="20"/>
  <c r="G7919" i="20"/>
  <c r="G7918" i="20"/>
  <c r="G7917" i="20"/>
  <c r="G7605" i="20"/>
  <c r="G7606" i="20"/>
  <c r="G7607" i="20"/>
  <c r="G4088" i="20"/>
  <c r="G4087" i="20"/>
  <c r="G4086" i="20"/>
  <c r="G7970" i="20"/>
  <c r="G7971" i="20"/>
  <c r="G7969" i="20"/>
  <c r="AA17" i="1"/>
  <c r="AC17" i="1" s="1"/>
  <c r="H9" i="28"/>
  <c r="I9" i="28" s="1"/>
  <c r="I19" i="28" s="1"/>
  <c r="F21" i="28" s="1"/>
  <c r="F20" i="28" s="1"/>
  <c r="Y17" i="1"/>
  <c r="Z17" i="1" s="1"/>
  <c r="L17" i="1" s="1"/>
  <c r="G3679" i="20"/>
  <c r="G3678" i="20"/>
  <c r="G3680" i="20"/>
  <c r="G5624" i="20"/>
  <c r="G5625" i="20"/>
  <c r="G5623" i="20"/>
  <c r="G6769" i="20"/>
  <c r="G6768" i="20"/>
  <c r="G6767" i="20"/>
  <c r="G6923" i="20"/>
  <c r="G6925" i="20"/>
  <c r="G6924" i="20"/>
  <c r="G5522" i="20"/>
  <c r="G5521" i="20"/>
  <c r="G5523" i="20"/>
  <c r="G6664" i="20"/>
  <c r="G6665" i="20"/>
  <c r="G6663" i="20"/>
  <c r="G5573" i="20"/>
  <c r="G5574" i="20"/>
  <c r="G5572" i="20"/>
  <c r="G3782" i="20"/>
  <c r="G3781" i="20"/>
  <c r="G3780" i="20"/>
  <c r="G3578" i="20"/>
  <c r="G3576" i="20"/>
  <c r="G3577" i="20"/>
  <c r="G7287" i="20"/>
  <c r="G7288" i="20"/>
  <c r="G7289" i="20"/>
  <c r="G7340" i="20"/>
  <c r="G7339" i="20"/>
  <c r="G7341" i="20"/>
  <c r="G3833" i="20"/>
  <c r="G3832" i="20"/>
  <c r="G3831" i="20"/>
  <c r="G3883" i="20"/>
  <c r="G3884" i="20"/>
  <c r="G3882" i="20"/>
  <c r="G7237" i="20"/>
  <c r="G7235" i="20"/>
  <c r="G7236" i="20"/>
  <c r="G7028" i="20"/>
  <c r="G7029" i="20"/>
  <c r="G7027" i="20"/>
  <c r="G3525" i="20"/>
  <c r="G3527" i="20"/>
  <c r="G3526" i="20"/>
  <c r="G6873" i="20"/>
  <c r="G6872" i="20"/>
  <c r="G6871" i="20"/>
  <c r="G7501" i="20"/>
  <c r="G7499" i="20"/>
  <c r="G7500" i="20"/>
  <c r="G5316" i="20"/>
  <c r="G5317" i="20"/>
  <c r="G5318" i="20"/>
  <c r="G9297" i="20"/>
  <c r="G9296" i="20"/>
  <c r="G9295" i="20"/>
  <c r="G8501" i="20"/>
  <c r="G8502" i="20"/>
  <c r="G8500" i="20"/>
  <c r="G3374" i="20"/>
  <c r="G3373" i="20"/>
  <c r="G3372" i="20"/>
  <c r="G3627" i="20"/>
  <c r="G3629" i="20"/>
  <c r="G3628" i="20"/>
  <c r="G7133" i="20"/>
  <c r="G7132" i="20"/>
  <c r="G7131" i="20"/>
  <c r="G6821" i="20"/>
  <c r="G6819" i="20"/>
  <c r="G6820" i="20"/>
  <c r="G7448" i="20"/>
  <c r="G7447" i="20"/>
  <c r="G7449" i="20"/>
  <c r="G3425" i="20"/>
  <c r="G3424" i="20"/>
  <c r="G3423" i="20"/>
  <c r="G7080" i="20"/>
  <c r="G7081" i="20"/>
  <c r="G7079" i="20"/>
  <c r="G7396" i="20"/>
  <c r="G7395" i="20"/>
  <c r="G7394" i="20"/>
  <c r="G8770" i="20"/>
  <c r="G8768" i="20"/>
  <c r="G8769" i="20"/>
  <c r="G3729" i="20"/>
  <c r="G3730" i="20"/>
  <c r="G3731" i="20"/>
  <c r="G6975" i="20"/>
  <c r="G6977" i="20"/>
  <c r="G6976" i="20"/>
  <c r="G8447" i="20"/>
  <c r="G8445" i="20"/>
  <c r="G8446" i="20"/>
  <c r="G3476" i="20"/>
  <c r="G3474" i="20"/>
  <c r="G3475" i="20"/>
  <c r="G3933" i="20"/>
  <c r="G3935" i="20"/>
  <c r="G3934" i="20"/>
  <c r="G5471" i="20"/>
  <c r="G5470" i="20"/>
  <c r="G5469" i="20"/>
  <c r="G7185" i="20"/>
  <c r="G7183" i="20"/>
  <c r="G7184" i="20"/>
  <c r="G6717" i="20"/>
  <c r="G6715" i="20"/>
  <c r="G6716" i="20"/>
  <c r="G8392" i="20"/>
  <c r="G8391" i="20"/>
  <c r="G8390" i="20"/>
  <c r="G5369" i="20"/>
  <c r="G5368" i="20"/>
  <c r="G5367" i="20"/>
  <c r="G5419" i="20"/>
  <c r="G5420" i="20"/>
  <c r="G5418" i="20"/>
  <c r="G48" i="20"/>
  <c r="G50" i="20"/>
  <c r="G49" i="20"/>
  <c r="G969" i="20"/>
  <c r="G970" i="20"/>
  <c r="G971" i="20"/>
  <c r="G4295" i="20"/>
  <c r="G4294" i="20"/>
  <c r="G4296" i="20"/>
  <c r="G1433" i="20"/>
  <c r="G1432" i="20"/>
  <c r="G1434" i="20"/>
  <c r="G1586" i="20"/>
  <c r="G1587" i="20"/>
  <c r="G1585" i="20"/>
  <c r="G6195" i="20"/>
  <c r="G6194" i="20"/>
  <c r="G6196" i="20"/>
  <c r="G562" i="20"/>
  <c r="G560" i="20"/>
  <c r="G561" i="20"/>
  <c r="G9139" i="20"/>
  <c r="G9141" i="20"/>
  <c r="G9140" i="20"/>
  <c r="G1381" i="20"/>
  <c r="G1383" i="20"/>
  <c r="G1382" i="20"/>
  <c r="G8077" i="20"/>
  <c r="G8078" i="20"/>
  <c r="G8076" i="20"/>
  <c r="G102" i="20"/>
  <c r="G100" i="20"/>
  <c r="G101" i="20"/>
  <c r="G4449" i="20"/>
  <c r="G4448" i="20"/>
  <c r="G4447" i="20"/>
  <c r="G4499" i="20"/>
  <c r="G4498" i="20"/>
  <c r="G4500" i="20"/>
  <c r="G8658" i="20"/>
  <c r="G8660" i="20"/>
  <c r="G8659" i="20"/>
  <c r="G204" i="20"/>
  <c r="G203" i="20"/>
  <c r="G202" i="20"/>
  <c r="G4602" i="20"/>
  <c r="G4601" i="20"/>
  <c r="G4603" i="20"/>
  <c r="G2710" i="20"/>
  <c r="G2709" i="20"/>
  <c r="G2711" i="20"/>
  <c r="G6558" i="20"/>
  <c r="G6559" i="20"/>
  <c r="G6560" i="20"/>
  <c r="G8171" i="20"/>
  <c r="G8172" i="20"/>
  <c r="G8170" i="20"/>
  <c r="G2353" i="20"/>
  <c r="G2352" i="20"/>
  <c r="G2354" i="20"/>
  <c r="G5061" i="20"/>
  <c r="G5062" i="20"/>
  <c r="G5060" i="20"/>
  <c r="G5164" i="20"/>
  <c r="G5162" i="20"/>
  <c r="G5163" i="20"/>
  <c r="G4806" i="20"/>
  <c r="G4805" i="20"/>
  <c r="G4807" i="20"/>
  <c r="G1843" i="20"/>
  <c r="G1842" i="20"/>
  <c r="G1841" i="20"/>
  <c r="G1330" i="20"/>
  <c r="G1332" i="20"/>
  <c r="G1331" i="20"/>
  <c r="G765" i="20"/>
  <c r="G764" i="20"/>
  <c r="G766" i="20"/>
  <c r="G6300" i="20"/>
  <c r="G6298" i="20"/>
  <c r="G6299" i="20"/>
  <c r="G6144" i="20"/>
  <c r="G6143" i="20"/>
  <c r="G6145" i="20"/>
  <c r="G4856" i="20"/>
  <c r="G4858" i="20"/>
  <c r="G4857" i="20"/>
  <c r="G4756" i="20"/>
  <c r="G4755" i="20"/>
  <c r="G4754" i="20"/>
  <c r="G356" i="20"/>
  <c r="G357" i="20"/>
  <c r="G355" i="20"/>
  <c r="G6350" i="20"/>
  <c r="G6352" i="20"/>
  <c r="G6351" i="20"/>
  <c r="G3272" i="20"/>
  <c r="G3271" i="20"/>
  <c r="G3270" i="20"/>
  <c r="G2557" i="20"/>
  <c r="G2556" i="20"/>
  <c r="G2558" i="20"/>
  <c r="G5213" i="20"/>
  <c r="G5214" i="20"/>
  <c r="G5215" i="20"/>
  <c r="G2660" i="20"/>
  <c r="G2659" i="20"/>
  <c r="G2658" i="20"/>
  <c r="G6404" i="20"/>
  <c r="G6403" i="20"/>
  <c r="G6402" i="20"/>
  <c r="G408" i="20"/>
  <c r="G406" i="20"/>
  <c r="G407" i="20"/>
  <c r="G5266" i="20"/>
  <c r="G5265" i="20"/>
  <c r="G5264" i="20"/>
  <c r="G2966" i="20"/>
  <c r="G2965" i="20"/>
  <c r="G2964" i="20"/>
  <c r="G2250" i="20"/>
  <c r="G2251" i="20"/>
  <c r="G2252" i="20"/>
  <c r="G1229" i="20"/>
  <c r="G1228" i="20"/>
  <c r="G1230" i="20"/>
  <c r="G4960" i="20"/>
  <c r="G4959" i="20"/>
  <c r="G4958" i="20"/>
  <c r="G2098" i="20"/>
  <c r="G2097" i="20"/>
  <c r="G2096" i="20"/>
  <c r="G1790" i="20"/>
  <c r="G1792" i="20"/>
  <c r="G1791" i="20"/>
  <c r="G2149" i="20"/>
  <c r="G2148" i="20"/>
  <c r="G2147" i="20"/>
  <c r="G5728" i="20"/>
  <c r="G5729" i="20"/>
  <c r="G5727" i="20"/>
  <c r="G1741" i="20"/>
  <c r="G1740" i="20"/>
  <c r="G1739" i="20"/>
  <c r="G3321" i="20"/>
  <c r="G3323" i="20"/>
  <c r="G3322" i="20"/>
  <c r="G3220" i="20"/>
  <c r="G3219" i="20"/>
  <c r="G3221" i="20"/>
  <c r="G5833" i="20"/>
  <c r="G5831" i="20"/>
  <c r="G5832" i="20"/>
  <c r="G3119" i="20"/>
  <c r="G3117" i="20"/>
  <c r="G3118" i="20"/>
  <c r="G2811" i="20"/>
  <c r="G2812" i="20"/>
  <c r="G2813" i="20"/>
  <c r="G9192" i="20"/>
  <c r="G9193" i="20"/>
  <c r="G9191" i="20"/>
  <c r="G2047" i="20"/>
  <c r="G2046" i="20"/>
  <c r="G2045" i="20"/>
  <c r="G5937" i="20"/>
  <c r="G5936" i="20"/>
  <c r="G5935" i="20"/>
  <c r="G4552" i="20"/>
  <c r="G4550" i="20"/>
  <c r="G4551" i="20"/>
  <c r="G9088" i="20"/>
  <c r="G9087" i="20"/>
  <c r="G9086" i="20"/>
  <c r="G1127" i="20"/>
  <c r="G1128" i="20"/>
  <c r="G1126" i="20"/>
  <c r="G8927" i="20"/>
  <c r="G8928" i="20"/>
  <c r="G8929" i="20"/>
  <c r="G1637" i="20"/>
  <c r="G1638" i="20"/>
  <c r="G1636" i="20"/>
  <c r="G4396" i="20"/>
  <c r="G4397" i="20"/>
  <c r="G4398" i="20"/>
  <c r="G3168" i="20"/>
  <c r="G3170" i="20"/>
  <c r="G3169" i="20"/>
  <c r="G4347" i="20"/>
  <c r="G4346" i="20"/>
  <c r="G4345" i="20"/>
  <c r="G2303" i="20"/>
  <c r="G2302" i="20"/>
  <c r="G2301" i="20"/>
  <c r="G8337" i="20"/>
  <c r="G8336" i="20"/>
  <c r="G8335" i="20"/>
  <c r="G1894" i="20"/>
  <c r="G1893" i="20"/>
  <c r="G1892" i="20"/>
  <c r="G6508" i="20"/>
  <c r="G6507" i="20"/>
  <c r="G6506" i="20"/>
  <c r="G4908" i="20"/>
  <c r="G4909" i="20"/>
  <c r="G4907" i="20"/>
  <c r="G5113" i="20"/>
  <c r="G5112" i="20"/>
  <c r="G5111" i="20"/>
  <c r="G2864" i="20"/>
  <c r="G2863" i="20"/>
  <c r="G2862" i="20"/>
  <c r="G6093" i="20"/>
  <c r="G6092" i="20"/>
  <c r="G6091" i="20"/>
  <c r="G919" i="20"/>
  <c r="G920" i="20"/>
  <c r="G918" i="20"/>
  <c r="G713" i="20"/>
  <c r="G714" i="20"/>
  <c r="G715" i="20"/>
  <c r="G2608" i="20"/>
  <c r="G2607" i="20"/>
  <c r="G2609" i="20"/>
  <c r="G305" i="20"/>
  <c r="G304" i="20"/>
  <c r="G306" i="20"/>
  <c r="G5987" i="20"/>
  <c r="G5989" i="20"/>
  <c r="G5988" i="20"/>
  <c r="G152" i="20"/>
  <c r="G153" i="20"/>
  <c r="G151" i="20"/>
  <c r="G8825" i="20"/>
  <c r="G8823" i="20"/>
  <c r="G8824" i="20"/>
  <c r="G3015" i="20"/>
  <c r="G3017" i="20"/>
  <c r="G3016" i="20"/>
  <c r="G2505" i="20"/>
  <c r="G2507" i="20"/>
  <c r="G2506" i="20"/>
  <c r="G1944" i="20"/>
  <c r="G1945" i="20"/>
  <c r="G1943" i="20"/>
  <c r="G8125" i="20"/>
  <c r="G8123" i="20"/>
  <c r="G8124" i="20"/>
  <c r="G2405" i="20"/>
  <c r="G2403" i="20"/>
  <c r="G2404" i="20"/>
  <c r="G5009" i="20"/>
  <c r="G5010" i="20"/>
  <c r="G5011" i="20"/>
  <c r="G9036" i="20"/>
  <c r="G9035" i="20"/>
  <c r="G9034" i="20"/>
  <c r="G1485" i="20"/>
  <c r="G1484" i="20"/>
  <c r="G1483" i="20"/>
  <c r="G1178" i="20"/>
  <c r="G1177" i="20"/>
  <c r="G1179" i="20"/>
  <c r="G612" i="20"/>
  <c r="G613" i="20"/>
  <c r="G611" i="20"/>
  <c r="G815" i="20"/>
  <c r="G817" i="20"/>
  <c r="G816" i="20"/>
  <c r="G8877" i="20"/>
  <c r="G8876" i="20"/>
  <c r="G8875" i="20"/>
  <c r="G1022" i="20"/>
  <c r="G1020" i="20"/>
  <c r="G1021" i="20"/>
  <c r="G5781" i="20"/>
  <c r="G5780" i="20"/>
  <c r="G5779" i="20"/>
  <c r="G2762" i="20"/>
  <c r="G2761" i="20"/>
  <c r="G2760" i="20"/>
  <c r="G6039" i="20"/>
  <c r="G6041" i="20"/>
  <c r="G6040" i="20"/>
  <c r="G3066" i="20"/>
  <c r="G3067" i="20"/>
  <c r="G3068" i="20"/>
  <c r="G2914" i="20"/>
  <c r="G2915" i="20"/>
  <c r="G2913" i="20"/>
  <c r="G255" i="20"/>
  <c r="G254" i="20"/>
  <c r="G253" i="20"/>
  <c r="G664" i="20"/>
  <c r="G662" i="20"/>
  <c r="G663" i="20"/>
  <c r="G9245" i="20"/>
  <c r="G9244" i="20"/>
  <c r="G9243" i="20"/>
  <c r="G8280" i="20"/>
  <c r="G8282" i="20"/>
  <c r="G8281" i="20"/>
  <c r="G1996" i="20"/>
  <c r="G1994" i="20"/>
  <c r="G1995" i="20"/>
  <c r="G1689" i="20"/>
  <c r="G1688" i="20"/>
  <c r="G1687" i="20"/>
  <c r="G5883" i="20"/>
  <c r="G5884" i="20"/>
  <c r="G5885" i="20"/>
  <c r="G1072" i="20"/>
  <c r="G1071" i="20"/>
  <c r="G1073" i="20"/>
  <c r="G1280" i="20"/>
  <c r="G1281" i="20"/>
  <c r="G1279" i="20"/>
  <c r="G4652" i="20"/>
  <c r="G4653" i="20"/>
  <c r="G4654" i="20"/>
  <c r="G8983" i="20"/>
  <c r="G8984" i="20"/>
  <c r="G8982" i="20"/>
  <c r="G8714" i="20"/>
  <c r="G8713" i="20"/>
  <c r="G8715" i="20"/>
  <c r="G867" i="20"/>
  <c r="G869" i="20"/>
  <c r="G868" i="20"/>
  <c r="G1534" i="20"/>
  <c r="G1536" i="20"/>
  <c r="G1535" i="20"/>
  <c r="G2200" i="20"/>
  <c r="G2199" i="20"/>
  <c r="G2198" i="20"/>
  <c r="G509" i="20"/>
  <c r="G508" i="20"/>
  <c r="G510" i="20"/>
  <c r="G6611" i="20"/>
  <c r="G6613" i="20"/>
  <c r="G6612" i="20"/>
  <c r="G6456" i="20"/>
  <c r="G6454" i="20"/>
  <c r="G6455" i="20"/>
  <c r="G6246" i="20"/>
  <c r="G6248" i="20"/>
  <c r="G6247" i="20"/>
  <c r="G4703" i="20"/>
  <c r="G4705" i="20"/>
  <c r="G4704" i="20"/>
  <c r="G8225" i="20"/>
  <c r="G8227" i="20"/>
  <c r="G8226" i="20"/>
  <c r="G2456" i="20"/>
  <c r="G2455" i="20"/>
  <c r="G2454" i="20"/>
  <c r="G457" i="20"/>
  <c r="G459" i="20"/>
  <c r="G458" i="20"/>
  <c r="B56" i="4" l="1"/>
  <c r="H7869" i="20"/>
  <c r="H7765" i="20"/>
  <c r="H7713" i="20"/>
  <c r="H8606" i="20"/>
  <c r="H4192" i="20"/>
  <c r="H9455" i="20"/>
  <c r="H9507" i="20"/>
  <c r="H7661" i="20"/>
  <c r="H7556" i="20"/>
  <c r="H7817" i="20"/>
  <c r="H4243" i="20"/>
  <c r="H7973" i="20"/>
  <c r="H9351" i="20"/>
  <c r="H8025" i="20"/>
  <c r="H3988" i="20"/>
  <c r="H9403" i="20"/>
  <c r="H5678" i="20"/>
  <c r="H4141" i="20"/>
  <c r="H7609" i="20"/>
  <c r="H9559" i="20"/>
  <c r="H7921" i="20"/>
  <c r="H4090" i="20"/>
  <c r="H4039" i="20"/>
  <c r="H8559" i="20"/>
  <c r="H6667" i="20"/>
  <c r="H6927" i="20"/>
  <c r="H3937" i="20"/>
  <c r="H7451" i="20"/>
  <c r="H5576" i="20"/>
  <c r="H7083" i="20"/>
  <c r="H3733" i="20"/>
  <c r="H3580" i="20"/>
  <c r="H7135" i="20"/>
  <c r="H5525" i="20"/>
  <c r="H7291" i="20"/>
  <c r="H3631" i="20"/>
  <c r="H3478" i="20"/>
  <c r="H3682" i="20"/>
  <c r="H5473" i="20"/>
  <c r="H3784" i="20"/>
  <c r="H3529" i="20"/>
  <c r="H5371" i="20"/>
  <c r="H8772" i="20"/>
  <c r="H9299" i="20"/>
  <c r="H3835" i="20"/>
  <c r="H3376" i="20"/>
  <c r="H6771" i="20"/>
  <c r="H7187" i="20"/>
  <c r="H6979" i="20"/>
  <c r="H7398" i="20"/>
  <c r="H5627" i="20"/>
  <c r="H7503" i="20"/>
  <c r="M17" i="1"/>
  <c r="F9" i="28"/>
  <c r="F19" i="28" s="1"/>
  <c r="F22" i="28" s="1"/>
  <c r="AB17" i="1"/>
  <c r="H7239" i="20"/>
  <c r="H6823" i="20"/>
  <c r="H5422" i="20"/>
  <c r="H7343" i="20"/>
  <c r="H3886" i="20"/>
  <c r="H6875" i="20"/>
  <c r="H7031" i="20"/>
  <c r="H5320" i="20"/>
  <c r="H3427" i="20"/>
  <c r="H6719" i="20"/>
  <c r="H8449" i="20"/>
  <c r="H8394" i="20"/>
  <c r="H8504" i="20"/>
  <c r="H52" i="20"/>
  <c r="H1589" i="20"/>
  <c r="H5939" i="20"/>
  <c r="H1743" i="20"/>
  <c r="H8339" i="20"/>
  <c r="H9090" i="20"/>
  <c r="H4451" i="20"/>
  <c r="H8931" i="20"/>
  <c r="H8879" i="20"/>
  <c r="H8662" i="20"/>
  <c r="H9195" i="20"/>
  <c r="H4758" i="20"/>
  <c r="H564" i="20"/>
  <c r="H4911" i="20"/>
  <c r="H4349" i="20"/>
  <c r="H4962" i="20"/>
  <c r="H8174" i="20"/>
  <c r="H206" i="20"/>
  <c r="H8284" i="20"/>
  <c r="H6615" i="20"/>
  <c r="H1538" i="20"/>
  <c r="H8986" i="20"/>
  <c r="H819" i="20"/>
  <c r="H2866" i="20"/>
  <c r="H2968" i="20"/>
  <c r="H1845" i="20"/>
  <c r="H4707" i="20"/>
  <c r="H410" i="20"/>
  <c r="H6510" i="20"/>
  <c r="H8717" i="20"/>
  <c r="H9038" i="20"/>
  <c r="H155" i="20"/>
  <c r="H922" i="20"/>
  <c r="H4605" i="20"/>
  <c r="H1232" i="20"/>
  <c r="H2662" i="20"/>
  <c r="H359" i="20"/>
  <c r="H768" i="20"/>
  <c r="H8080" i="20"/>
  <c r="H2202" i="20"/>
  <c r="H4400" i="20"/>
  <c r="H1130" i="20"/>
  <c r="H3325" i="20"/>
  <c r="H717" i="20"/>
  <c r="H5835" i="20"/>
  <c r="H5166" i="20"/>
  <c r="H973" i="20"/>
  <c r="H6458" i="20"/>
  <c r="H871" i="20"/>
  <c r="H6302" i="20"/>
  <c r="H4656" i="20"/>
  <c r="H5783" i="20"/>
  <c r="H8127" i="20"/>
  <c r="H5115" i="20"/>
  <c r="H2049" i="20"/>
  <c r="H6406" i="20"/>
  <c r="H5217" i="20"/>
  <c r="H5064" i="20"/>
  <c r="H1436" i="20"/>
  <c r="H6043" i="20"/>
  <c r="H6250" i="20"/>
  <c r="H2254" i="20"/>
  <c r="H1998" i="20"/>
  <c r="H8229" i="20"/>
  <c r="H3172" i="20"/>
  <c r="H461" i="20"/>
  <c r="H5887" i="20"/>
  <c r="H257" i="20"/>
  <c r="H3070" i="20"/>
  <c r="H5013" i="20"/>
  <c r="H1947" i="20"/>
  <c r="H1896" i="20"/>
  <c r="H4554" i="20"/>
  <c r="H3223" i="20"/>
  <c r="H5731" i="20"/>
  <c r="H1794" i="20"/>
  <c r="H5268" i="20"/>
  <c r="H6354" i="20"/>
  <c r="H4860" i="20"/>
  <c r="H6198" i="20"/>
  <c r="H8827" i="20"/>
  <c r="H2611" i="20"/>
  <c r="H3121" i="20"/>
  <c r="H4809" i="20"/>
  <c r="H6562" i="20"/>
  <c r="H2100" i="20"/>
  <c r="H6147" i="20"/>
  <c r="H2356" i="20"/>
  <c r="H4502" i="20"/>
  <c r="H9143" i="20"/>
  <c r="H1024" i="20"/>
  <c r="H6095" i="20"/>
  <c r="H9247" i="20"/>
  <c r="H5991" i="20"/>
  <c r="H1181" i="20"/>
  <c r="H308" i="20"/>
  <c r="H2560" i="20"/>
  <c r="H4298" i="20"/>
  <c r="H1075" i="20"/>
  <c r="H2917" i="20"/>
  <c r="H1487" i="20"/>
  <c r="H2509" i="20"/>
  <c r="H2151" i="20"/>
  <c r="H3274" i="20"/>
  <c r="H1334" i="20"/>
  <c r="H1283" i="20"/>
  <c r="H2764" i="20"/>
  <c r="H615" i="20"/>
  <c r="H1640" i="20"/>
  <c r="H2815" i="20"/>
  <c r="H104" i="20"/>
  <c r="H1385" i="20"/>
  <c r="H512" i="20"/>
  <c r="H666" i="20"/>
  <c r="H3019" i="20"/>
  <c r="H2458" i="20"/>
  <c r="H1691" i="20"/>
  <c r="H2407" i="20"/>
  <c r="H2305" i="20"/>
  <c r="H2713" i="20"/>
  <c r="B57" i="4" l="1"/>
  <c r="B58" i="4"/>
  <c r="Q185" i="1"/>
  <c r="R184" i="1"/>
  <c r="S184" i="1"/>
  <c r="P184" i="1"/>
  <c r="R185" i="1"/>
  <c r="Q184" i="1"/>
  <c r="S185" i="1"/>
  <c r="P185" i="1"/>
  <c r="Q173" i="1"/>
  <c r="P173" i="1"/>
  <c r="S172" i="1"/>
  <c r="Q172" i="1"/>
  <c r="R172" i="1"/>
  <c r="P172" i="1"/>
  <c r="S173" i="1"/>
  <c r="R173" i="1"/>
  <c r="S168" i="1"/>
  <c r="Q168" i="1"/>
  <c r="R170" i="1"/>
  <c r="Q169" i="1"/>
  <c r="P168" i="1"/>
  <c r="S171" i="1"/>
  <c r="P170" i="1"/>
  <c r="Q170" i="1"/>
  <c r="S169" i="1"/>
  <c r="R169" i="1"/>
  <c r="Q171" i="1"/>
  <c r="R171" i="1"/>
  <c r="S170" i="1"/>
  <c r="P171" i="1"/>
  <c r="P169" i="1"/>
  <c r="R168" i="1"/>
  <c r="S167" i="1"/>
  <c r="R166" i="1"/>
  <c r="S165" i="1"/>
  <c r="S164" i="1"/>
  <c r="Q167" i="1"/>
  <c r="P166" i="1"/>
  <c r="Q165" i="1"/>
  <c r="Q164" i="1"/>
  <c r="P167" i="1"/>
  <c r="R167" i="1"/>
  <c r="P165" i="1"/>
  <c r="S166" i="1"/>
  <c r="Q166" i="1"/>
  <c r="P164" i="1"/>
  <c r="R164" i="1"/>
  <c r="R165" i="1"/>
  <c r="P97" i="1"/>
  <c r="R96" i="1"/>
  <c r="S96" i="1"/>
  <c r="Q96" i="1"/>
  <c r="R97" i="1"/>
  <c r="P96" i="1"/>
  <c r="Q97" i="1"/>
  <c r="S97" i="1"/>
  <c r="Q92" i="1"/>
  <c r="P92" i="1"/>
  <c r="S93" i="1"/>
  <c r="R95" i="1"/>
  <c r="P95" i="1"/>
  <c r="Q95" i="1"/>
  <c r="R93" i="1"/>
  <c r="P93" i="1"/>
  <c r="S95" i="1"/>
  <c r="Q93" i="1"/>
  <c r="S92" i="1"/>
  <c r="Q94" i="1"/>
  <c r="R92" i="1"/>
  <c r="S94" i="1"/>
  <c r="R94" i="1"/>
  <c r="P94" i="1"/>
  <c r="S206" i="1"/>
  <c r="P149" i="1"/>
  <c r="R157" i="1"/>
  <c r="S194" i="1"/>
  <c r="S190" i="1"/>
  <c r="R197" i="1"/>
  <c r="R61" i="1"/>
  <c r="Q70" i="1"/>
  <c r="Q68" i="1"/>
  <c r="P199" i="1"/>
  <c r="P103" i="1"/>
  <c r="Q174" i="1"/>
  <c r="P137" i="1"/>
  <c r="S193" i="1"/>
  <c r="S98" i="1"/>
  <c r="R91" i="1"/>
  <c r="R198" i="1"/>
  <c r="Q77" i="1"/>
  <c r="Q20" i="1"/>
  <c r="S174" i="1"/>
  <c r="P143" i="1"/>
  <c r="S40" i="1"/>
  <c r="S106" i="1"/>
  <c r="R105" i="1"/>
  <c r="R21" i="1"/>
  <c r="Q107" i="1"/>
  <c r="Q28" i="1"/>
  <c r="P196" i="1"/>
  <c r="P132" i="1"/>
  <c r="R134" i="1"/>
  <c r="R151" i="1"/>
  <c r="S179" i="1"/>
  <c r="S175" i="1"/>
  <c r="R193" i="1"/>
  <c r="R47" i="1"/>
  <c r="Q19" i="1"/>
  <c r="Q62" i="1"/>
  <c r="P41" i="1"/>
  <c r="R205" i="1"/>
  <c r="R133" i="1"/>
  <c r="Q135" i="1"/>
  <c r="S187" i="1"/>
  <c r="S53" i="1"/>
  <c r="R38" i="1"/>
  <c r="R107" i="1"/>
  <c r="Q63" i="1"/>
  <c r="P205" i="1"/>
  <c r="R135" i="1"/>
  <c r="Q137" i="1"/>
  <c r="S19" i="1"/>
  <c r="S61" i="1"/>
  <c r="R62" i="1"/>
  <c r="R115" i="1"/>
  <c r="R202" i="1"/>
  <c r="R139" i="1"/>
  <c r="Q141" i="1"/>
  <c r="S35" i="1"/>
  <c r="S99" i="1"/>
  <c r="R86" i="1"/>
  <c r="R181" i="1"/>
  <c r="Q193" i="1"/>
  <c r="Q180" i="1"/>
  <c r="P39" i="1"/>
  <c r="Q206" i="1"/>
  <c r="P157" i="1"/>
  <c r="S151" i="1"/>
  <c r="S57" i="1"/>
  <c r="S21" i="1"/>
  <c r="R195" i="1"/>
  <c r="R77" i="1"/>
  <c r="Q124" i="1"/>
  <c r="P206" i="1"/>
  <c r="P159" i="1"/>
  <c r="S161" i="1"/>
  <c r="S81" i="1"/>
  <c r="S29" i="1"/>
  <c r="R67" i="1"/>
  <c r="R85" i="1"/>
  <c r="Q200" i="1"/>
  <c r="Q98" i="1"/>
  <c r="P70" i="1"/>
  <c r="P148" i="1"/>
  <c r="R150" i="1"/>
  <c r="S18" i="1"/>
  <c r="S38" i="1"/>
  <c r="S49" i="1"/>
  <c r="R118" i="1"/>
  <c r="R56" i="1"/>
  <c r="Q83" i="1"/>
  <c r="Q117" i="1"/>
  <c r="P35" i="1"/>
  <c r="Q203" i="1"/>
  <c r="R155" i="1"/>
  <c r="Q151" i="1"/>
  <c r="S75" i="1"/>
  <c r="S86" i="1"/>
  <c r="R39" i="1"/>
  <c r="R54" i="1"/>
  <c r="Q176" i="1"/>
  <c r="R203" i="1"/>
  <c r="R159" i="1"/>
  <c r="Q153" i="1"/>
  <c r="S83" i="1"/>
  <c r="S116" i="1"/>
  <c r="R55" i="1"/>
  <c r="S204" i="1"/>
  <c r="S143" i="1"/>
  <c r="Q157" i="1"/>
  <c r="S105" i="1"/>
  <c r="S39" i="1"/>
  <c r="R79" i="1"/>
  <c r="R116" i="1"/>
  <c r="Q57" i="1"/>
  <c r="Q85" i="1"/>
  <c r="P102" i="1"/>
  <c r="P202" i="1"/>
  <c r="R143" i="1"/>
  <c r="Q145" i="1"/>
  <c r="S51" i="1"/>
  <c r="S191" i="1"/>
  <c r="R124" i="1"/>
  <c r="R199" i="1"/>
  <c r="Q64" i="1"/>
  <c r="S202" i="1"/>
  <c r="R145" i="1"/>
  <c r="Q147" i="1"/>
  <c r="S59" i="1"/>
  <c r="S30" i="1"/>
  <c r="R192" i="1"/>
  <c r="R22" i="1"/>
  <c r="Q88" i="1"/>
  <c r="Q21" i="1"/>
  <c r="P109" i="1"/>
  <c r="P174" i="1"/>
  <c r="R153" i="1"/>
  <c r="S82" i="1"/>
  <c r="S101" i="1"/>
  <c r="R42" i="1"/>
  <c r="R81" i="1"/>
  <c r="R103" i="1"/>
  <c r="Q99" i="1"/>
  <c r="Q186" i="1"/>
  <c r="P105" i="1"/>
  <c r="P134" i="1"/>
  <c r="R136" i="1"/>
  <c r="S135" i="1"/>
  <c r="S189" i="1"/>
  <c r="S201" i="1"/>
  <c r="R24" i="1"/>
  <c r="R63" i="1"/>
  <c r="Q27" i="1"/>
  <c r="P136" i="1"/>
  <c r="R138" i="1"/>
  <c r="S147" i="1"/>
  <c r="S197" i="1"/>
  <c r="S32" i="1"/>
  <c r="R40" i="1"/>
  <c r="P140" i="1"/>
  <c r="R142" i="1"/>
  <c r="R131" i="1"/>
  <c r="S69" i="1"/>
  <c r="S72" i="1"/>
  <c r="R64" i="1"/>
  <c r="R125" i="1"/>
  <c r="Q51" i="1"/>
  <c r="Q23" i="1"/>
  <c r="P177" i="1"/>
  <c r="Q204" i="1"/>
  <c r="S163" i="1"/>
  <c r="Q161" i="1"/>
  <c r="S121" i="1"/>
  <c r="S87" i="1"/>
  <c r="R117" i="1"/>
  <c r="R200" i="1"/>
  <c r="Q111" i="1"/>
  <c r="P204" i="1"/>
  <c r="R132" i="1"/>
  <c r="Q163" i="1"/>
  <c r="S129" i="1"/>
  <c r="S117" i="1"/>
  <c r="R175" i="1"/>
  <c r="R31" i="1"/>
  <c r="Q187" i="1"/>
  <c r="Q38" i="1"/>
  <c r="P207" i="1"/>
  <c r="Q136" i="1"/>
  <c r="S138" i="1"/>
  <c r="S196" i="1"/>
  <c r="S41" i="1"/>
  <c r="R112" i="1"/>
  <c r="R36" i="1"/>
  <c r="Q66" i="1"/>
  <c r="Q55" i="1"/>
  <c r="P26" i="1"/>
  <c r="P107" i="1"/>
  <c r="P150" i="1"/>
  <c r="R152" i="1"/>
  <c r="S26" i="1"/>
  <c r="S54" i="1"/>
  <c r="S73" i="1"/>
  <c r="R176" i="1"/>
  <c r="R80" i="1"/>
  <c r="Q91" i="1"/>
  <c r="P152" i="1"/>
  <c r="R154" i="1"/>
  <c r="S34" i="1"/>
  <c r="S78" i="1"/>
  <c r="S103" i="1"/>
  <c r="P156" i="1"/>
  <c r="R158" i="1"/>
  <c r="S50" i="1"/>
  <c r="S192" i="1"/>
  <c r="S195" i="1"/>
  <c r="R25" i="1"/>
  <c r="R194" i="1"/>
  <c r="Q121" i="1"/>
  <c r="Q56" i="1"/>
  <c r="P67" i="1"/>
  <c r="P144" i="1"/>
  <c r="R146" i="1"/>
  <c r="P131" i="1"/>
  <c r="S107" i="1"/>
  <c r="S126" i="1"/>
  <c r="R88" i="1"/>
  <c r="R201" i="1"/>
  <c r="Q67" i="1"/>
  <c r="P146" i="1"/>
  <c r="R148" i="1"/>
  <c r="Q131" i="1"/>
  <c r="S199" i="1"/>
  <c r="S25" i="1"/>
  <c r="R102" i="1"/>
  <c r="R32" i="1"/>
  <c r="Q75" i="1"/>
  <c r="Q87" i="1"/>
  <c r="P27" i="1"/>
  <c r="Q152" i="1"/>
  <c r="S154" i="1"/>
  <c r="S182" i="1"/>
  <c r="S44" i="1"/>
  <c r="R35" i="1"/>
  <c r="R106" i="1"/>
  <c r="Q178" i="1"/>
  <c r="Q194" i="1"/>
  <c r="P90" i="1"/>
  <c r="P55" i="1"/>
  <c r="R149" i="1"/>
  <c r="R161" i="1"/>
  <c r="S90" i="1"/>
  <c r="S183" i="1"/>
  <c r="R50" i="1"/>
  <c r="R89" i="1"/>
  <c r="R127" i="1"/>
  <c r="Q191" i="1"/>
  <c r="R163" i="1"/>
  <c r="S137" i="1"/>
  <c r="S104" i="1"/>
  <c r="S24" i="1"/>
  <c r="R58" i="1"/>
  <c r="R111" i="1"/>
  <c r="Q18" i="1"/>
  <c r="Q30" i="1"/>
  <c r="Q49" i="1"/>
  <c r="P121" i="1"/>
  <c r="P40" i="1"/>
  <c r="S23" i="1"/>
  <c r="P66" i="1"/>
  <c r="S141" i="1"/>
  <c r="R66" i="1"/>
  <c r="Q102" i="1"/>
  <c r="S128" i="1"/>
  <c r="Q42" i="1"/>
  <c r="P113" i="1"/>
  <c r="S119" i="1"/>
  <c r="Q183" i="1"/>
  <c r="P23" i="1"/>
  <c r="Q48" i="1"/>
  <c r="P61" i="1"/>
  <c r="Q177" i="1"/>
  <c r="P68" i="1"/>
  <c r="S148" i="1"/>
  <c r="R76" i="1"/>
  <c r="Q179" i="1"/>
  <c r="P78" i="1"/>
  <c r="R130" i="1"/>
  <c r="P38" i="1"/>
  <c r="R144" i="1"/>
  <c r="R72" i="1"/>
  <c r="P34" i="1"/>
  <c r="P191" i="1"/>
  <c r="S176" i="1"/>
  <c r="Q46" i="1"/>
  <c r="P59" i="1"/>
  <c r="S149" i="1"/>
  <c r="S153" i="1"/>
  <c r="S120" i="1"/>
  <c r="S80" i="1"/>
  <c r="R74" i="1"/>
  <c r="R177" i="1"/>
  <c r="Q34" i="1"/>
  <c r="Q86" i="1"/>
  <c r="Q103" i="1"/>
  <c r="P179" i="1"/>
  <c r="P160" i="1"/>
  <c r="R162" i="1"/>
  <c r="S66" i="1"/>
  <c r="S47" i="1"/>
  <c r="R26" i="1"/>
  <c r="R49" i="1"/>
  <c r="R57" i="1"/>
  <c r="Q189" i="1"/>
  <c r="P162" i="1"/>
  <c r="R174" i="1"/>
  <c r="S74" i="1"/>
  <c r="S71" i="1"/>
  <c r="R34" i="1"/>
  <c r="R65" i="1"/>
  <c r="R73" i="1"/>
  <c r="Q61" i="1"/>
  <c r="Q126" i="1"/>
  <c r="P91" i="1"/>
  <c r="P135" i="1"/>
  <c r="P147" i="1"/>
  <c r="S64" i="1"/>
  <c r="S114" i="1"/>
  <c r="R113" i="1"/>
  <c r="R29" i="1"/>
  <c r="Q123" i="1"/>
  <c r="Q36" i="1"/>
  <c r="P45" i="1"/>
  <c r="P186" i="1"/>
  <c r="Q138" i="1"/>
  <c r="S140" i="1"/>
  <c r="S123" i="1"/>
  <c r="S65" i="1"/>
  <c r="R120" i="1"/>
  <c r="R44" i="1"/>
  <c r="Q74" i="1"/>
  <c r="W74" i="1" s="1"/>
  <c r="Q101" i="1"/>
  <c r="Q140" i="1"/>
  <c r="S142" i="1"/>
  <c r="S181" i="1"/>
  <c r="S89" i="1"/>
  <c r="R128" i="1"/>
  <c r="R52" i="1"/>
  <c r="Q82" i="1"/>
  <c r="Q125" i="1"/>
  <c r="P42" i="1"/>
  <c r="P181" i="1"/>
  <c r="R206" i="1"/>
  <c r="S198" i="1"/>
  <c r="P22" i="1"/>
  <c r="R137" i="1"/>
  <c r="R78" i="1"/>
  <c r="P25" i="1"/>
  <c r="S43" i="1"/>
  <c r="Q40" i="1"/>
  <c r="P203" i="1"/>
  <c r="S200" i="1"/>
  <c r="Q130" i="1"/>
  <c r="P127" i="1"/>
  <c r="Q47" i="1"/>
  <c r="P47" i="1"/>
  <c r="P79" i="1"/>
  <c r="Q199" i="1"/>
  <c r="Q159" i="1"/>
  <c r="Q112" i="1"/>
  <c r="Q198" i="1"/>
  <c r="P73" i="1"/>
  <c r="Q43" i="1"/>
  <c r="P110" i="1"/>
  <c r="P133" i="1"/>
  <c r="R190" i="1"/>
  <c r="P77" i="1"/>
  <c r="P101" i="1"/>
  <c r="S108" i="1"/>
  <c r="Q113" i="1"/>
  <c r="P123" i="1"/>
  <c r="P176" i="1"/>
  <c r="Q144" i="1"/>
  <c r="S146" i="1"/>
  <c r="S46" i="1"/>
  <c r="S177" i="1"/>
  <c r="R188" i="1"/>
  <c r="R68" i="1"/>
  <c r="Q104" i="1"/>
  <c r="Q24" i="1"/>
  <c r="P58" i="1"/>
  <c r="P46" i="1"/>
  <c r="Q132" i="1"/>
  <c r="S134" i="1"/>
  <c r="S178" i="1"/>
  <c r="S186" i="1"/>
  <c r="R90" i="1"/>
  <c r="R20" i="1"/>
  <c r="Q50" i="1"/>
  <c r="Q192" i="1"/>
  <c r="Q134" i="1"/>
  <c r="S136" i="1"/>
  <c r="S188" i="1"/>
  <c r="S207" i="1"/>
  <c r="R104" i="1"/>
  <c r="R28" i="1"/>
  <c r="Q58" i="1"/>
  <c r="Q31" i="1"/>
  <c r="P18" i="1"/>
  <c r="S205" i="1"/>
  <c r="P163" i="1"/>
  <c r="Q133" i="1"/>
  <c r="S111" i="1"/>
  <c r="S37" i="1"/>
  <c r="R189" i="1"/>
  <c r="R99" i="1"/>
  <c r="Q39" i="1"/>
  <c r="Q106" i="1"/>
  <c r="P100" i="1"/>
  <c r="P36" i="1"/>
  <c r="Q154" i="1"/>
  <c r="S156" i="1"/>
  <c r="S31" i="1"/>
  <c r="S52" i="1"/>
  <c r="R43" i="1"/>
  <c r="R114" i="1"/>
  <c r="Q188" i="1"/>
  <c r="W188" i="1" s="1"/>
  <c r="Q33" i="1"/>
  <c r="Q160" i="1"/>
  <c r="P128" i="1"/>
  <c r="Q120" i="1"/>
  <c r="Q128" i="1"/>
  <c r="R23" i="1"/>
  <c r="S88" i="1"/>
  <c r="S158" i="1"/>
  <c r="R186" i="1"/>
  <c r="Q79" i="1"/>
  <c r="Q108" i="1"/>
  <c r="P125" i="1"/>
  <c r="R160" i="1"/>
  <c r="R33" i="1"/>
  <c r="S145" i="1"/>
  <c r="Q26" i="1"/>
  <c r="S132" i="1"/>
  <c r="Q116" i="1"/>
  <c r="S144" i="1"/>
  <c r="Q90" i="1"/>
  <c r="P98" i="1"/>
  <c r="P195" i="1"/>
  <c r="R109" i="1"/>
  <c r="P86" i="1"/>
  <c r="S20" i="1"/>
  <c r="S68" i="1"/>
  <c r="P64" i="1"/>
  <c r="P130" i="1"/>
  <c r="P142" i="1"/>
  <c r="R183" i="1"/>
  <c r="P69" i="1"/>
  <c r="P161" i="1"/>
  <c r="Q60" i="1"/>
  <c r="P30" i="1"/>
  <c r="P138" i="1"/>
  <c r="S42" i="1"/>
  <c r="Q100" i="1"/>
  <c r="S162" i="1"/>
  <c r="P24" i="1"/>
  <c r="Q72" i="1"/>
  <c r="Q110" i="1"/>
  <c r="R46" i="1"/>
  <c r="S122" i="1"/>
  <c r="P155" i="1"/>
  <c r="R122" i="1"/>
  <c r="Q207" i="1"/>
  <c r="Q201" i="1"/>
  <c r="P49" i="1"/>
  <c r="S139" i="1"/>
  <c r="Q129" i="1"/>
  <c r="Q139" i="1"/>
  <c r="Q109" i="1"/>
  <c r="Q143" i="1"/>
  <c r="Q114" i="1"/>
  <c r="Q155" i="1"/>
  <c r="Q41" i="1"/>
  <c r="P37" i="1"/>
  <c r="P189" i="1"/>
  <c r="Q89" i="1"/>
  <c r="P111" i="1"/>
  <c r="S63" i="1"/>
  <c r="R48" i="1"/>
  <c r="P194" i="1"/>
  <c r="Q162" i="1"/>
  <c r="Q53" i="1"/>
  <c r="P56" i="1"/>
  <c r="Q69" i="1"/>
  <c r="S109" i="1"/>
  <c r="Q148" i="1"/>
  <c r="Q150" i="1"/>
  <c r="P82" i="1"/>
  <c r="Q118" i="1"/>
  <c r="R121" i="1"/>
  <c r="S55" i="1"/>
  <c r="R45" i="1"/>
  <c r="Q35" i="1"/>
  <c r="P112" i="1"/>
  <c r="P52" i="1"/>
  <c r="S58" i="1"/>
  <c r="P198" i="1"/>
  <c r="S112" i="1"/>
  <c r="Q54" i="1"/>
  <c r="S110" i="1"/>
  <c r="Q78" i="1"/>
  <c r="S22" i="1"/>
  <c r="Q182" i="1"/>
  <c r="P31" i="1"/>
  <c r="P87" i="1"/>
  <c r="P183" i="1"/>
  <c r="P108" i="1"/>
  <c r="R196" i="1"/>
  <c r="P188" i="1"/>
  <c r="Q158" i="1"/>
  <c r="P117" i="1"/>
  <c r="S131" i="1"/>
  <c r="Q59" i="1"/>
  <c r="P44" i="1"/>
  <c r="S180" i="1"/>
  <c r="Q32" i="1"/>
  <c r="Q80" i="1"/>
  <c r="S76" i="1"/>
  <c r="S150" i="1"/>
  <c r="S152" i="1"/>
  <c r="S203" i="1"/>
  <c r="Q29" i="1"/>
  <c r="R37" i="1"/>
  <c r="S118" i="1"/>
  <c r="R70" i="1"/>
  <c r="Q105" i="1"/>
  <c r="P99" i="1"/>
  <c r="P122" i="1"/>
  <c r="S33" i="1"/>
  <c r="P54" i="1"/>
  <c r="S27" i="1"/>
  <c r="Q84" i="1"/>
  <c r="S115" i="1"/>
  <c r="Q25" i="1"/>
  <c r="S91" i="1"/>
  <c r="Q73" i="1"/>
  <c r="P88" i="1"/>
  <c r="P114" i="1"/>
  <c r="P85" i="1"/>
  <c r="R204" i="1"/>
  <c r="R101" i="1"/>
  <c r="P197" i="1"/>
  <c r="S159" i="1"/>
  <c r="Q76" i="1"/>
  <c r="S125" i="1"/>
  <c r="Q195" i="1"/>
  <c r="P180" i="1"/>
  <c r="S127" i="1"/>
  <c r="P50" i="1"/>
  <c r="P75" i="1"/>
  <c r="R98" i="1"/>
  <c r="P141" i="1"/>
  <c r="P51" i="1"/>
  <c r="Q205" i="1"/>
  <c r="P63" i="1"/>
  <c r="R140" i="1"/>
  <c r="R83" i="1"/>
  <c r="P60" i="1"/>
  <c r="R75" i="1"/>
  <c r="S100" i="1"/>
  <c r="S124" i="1"/>
  <c r="R147" i="1"/>
  <c r="P193" i="1"/>
  <c r="Q181" i="1"/>
  <c r="S60" i="1"/>
  <c r="R87" i="1"/>
  <c r="Q65" i="1"/>
  <c r="P192" i="1"/>
  <c r="P53" i="1"/>
  <c r="R18" i="1"/>
  <c r="P76" i="1"/>
  <c r="S56" i="1"/>
  <c r="P29" i="1"/>
  <c r="R82" i="1"/>
  <c r="P104" i="1"/>
  <c r="R178" i="1"/>
  <c r="P120" i="1"/>
  <c r="R182" i="1"/>
  <c r="P118" i="1"/>
  <c r="P190" i="1"/>
  <c r="Q146" i="1"/>
  <c r="Q190" i="1"/>
  <c r="P28" i="1"/>
  <c r="S79" i="1"/>
  <c r="P81" i="1"/>
  <c r="S85" i="1"/>
  <c r="Q37" i="1"/>
  <c r="P33" i="1"/>
  <c r="R179" i="1"/>
  <c r="P115" i="1"/>
  <c r="P175" i="1"/>
  <c r="R84" i="1"/>
  <c r="Q22" i="1"/>
  <c r="R69" i="1"/>
  <c r="R191" i="1"/>
  <c r="P129" i="1"/>
  <c r="S113" i="1"/>
  <c r="P84" i="1"/>
  <c r="R126" i="1"/>
  <c r="R180" i="1"/>
  <c r="S28" i="1"/>
  <c r="S36" i="1"/>
  <c r="Q149" i="1"/>
  <c r="P106" i="1"/>
  <c r="Q44" i="1"/>
  <c r="S130" i="1"/>
  <c r="R110" i="1"/>
  <c r="Q52" i="1"/>
  <c r="P48" i="1"/>
  <c r="P182" i="1"/>
  <c r="R30" i="1"/>
  <c r="P116" i="1"/>
  <c r="S77" i="1"/>
  <c r="Q202" i="1"/>
  <c r="R108" i="1"/>
  <c r="P124" i="1"/>
  <c r="R71" i="1"/>
  <c r="P200" i="1"/>
  <c r="Q81" i="1"/>
  <c r="S160" i="1"/>
  <c r="P57" i="1"/>
  <c r="S155" i="1"/>
  <c r="P178" i="1"/>
  <c r="P71" i="1"/>
  <c r="S48" i="1"/>
  <c r="P83" i="1"/>
  <c r="S84" i="1"/>
  <c r="Q175" i="1"/>
  <c r="P154" i="1"/>
  <c r="R207" i="1"/>
  <c r="P72" i="1"/>
  <c r="P21" i="1"/>
  <c r="S62" i="1"/>
  <c r="P151" i="1"/>
  <c r="Q45" i="1"/>
  <c r="R141" i="1"/>
  <c r="S133" i="1"/>
  <c r="R59" i="1"/>
  <c r="P74" i="1"/>
  <c r="P43" i="1"/>
  <c r="Q197" i="1"/>
  <c r="R19" i="1"/>
  <c r="R27" i="1"/>
  <c r="S67" i="1"/>
  <c r="P139" i="1"/>
  <c r="Q156" i="1"/>
  <c r="R51" i="1"/>
  <c r="Q196" i="1"/>
  <c r="Q122" i="1"/>
  <c r="P89" i="1"/>
  <c r="P158" i="1"/>
  <c r="R41" i="1"/>
  <c r="P187" i="1"/>
  <c r="R119" i="1"/>
  <c r="S157" i="1"/>
  <c r="R187" i="1"/>
  <c r="Q142" i="1"/>
  <c r="R60" i="1"/>
  <c r="P119" i="1"/>
  <c r="Q119" i="1"/>
  <c r="S45" i="1"/>
  <c r="Q115" i="1"/>
  <c r="S70" i="1"/>
  <c r="P20" i="1"/>
  <c r="P62" i="1"/>
  <c r="Q71" i="1"/>
  <c r="P201" i="1"/>
  <c r="S102" i="1"/>
  <c r="P32" i="1"/>
  <c r="P145" i="1"/>
  <c r="R53" i="1"/>
  <c r="P80" i="1"/>
  <c r="P65" i="1"/>
  <c r="Q127" i="1"/>
  <c r="R129" i="1"/>
  <c r="P153" i="1"/>
  <c r="R123" i="1"/>
  <c r="R100" i="1"/>
  <c r="P126" i="1"/>
  <c r="P19" i="1"/>
  <c r="R156" i="1"/>
  <c r="B60" i="4" l="1"/>
  <c r="B59" i="4"/>
  <c r="X185" i="1"/>
  <c r="V185" i="1"/>
  <c r="AA185" i="1" s="1"/>
  <c r="AC185" i="1" s="1"/>
  <c r="U185" i="1"/>
  <c r="W184" i="1"/>
  <c r="U184" i="1"/>
  <c r="X184" i="1"/>
  <c r="V184" i="1"/>
  <c r="AA184" i="1" s="1"/>
  <c r="AC184" i="1" s="1"/>
  <c r="W185" i="1"/>
  <c r="W173" i="1"/>
  <c r="U172" i="1"/>
  <c r="V172" i="1"/>
  <c r="AA172" i="1" s="1"/>
  <c r="AC172" i="1" s="1"/>
  <c r="X172" i="1"/>
  <c r="W172" i="1"/>
  <c r="V173" i="1"/>
  <c r="AA173" i="1" s="1"/>
  <c r="AC173" i="1" s="1"/>
  <c r="X173" i="1"/>
  <c r="U173" i="1"/>
  <c r="W171" i="1"/>
  <c r="W170" i="1"/>
  <c r="V169" i="1"/>
  <c r="AA169" i="1" s="1"/>
  <c r="AC169" i="1" s="1"/>
  <c r="U169" i="1"/>
  <c r="X169" i="1"/>
  <c r="U170" i="1"/>
  <c r="V170" i="1"/>
  <c r="AA170" i="1" s="1"/>
  <c r="AC170" i="1" s="1"/>
  <c r="X170" i="1"/>
  <c r="U171" i="1"/>
  <c r="X171" i="1"/>
  <c r="V171" i="1"/>
  <c r="AA171" i="1" s="1"/>
  <c r="AC171" i="1" s="1"/>
  <c r="U168" i="1"/>
  <c r="V168" i="1"/>
  <c r="AA168" i="1" s="1"/>
  <c r="AC168" i="1" s="1"/>
  <c r="X168" i="1"/>
  <c r="W169" i="1"/>
  <c r="W168" i="1"/>
  <c r="W164" i="1"/>
  <c r="W165" i="1"/>
  <c r="U164" i="1"/>
  <c r="X164" i="1"/>
  <c r="V164" i="1"/>
  <c r="AA164" i="1" s="1"/>
  <c r="AC164" i="1" s="1"/>
  <c r="V166" i="1"/>
  <c r="AA166" i="1" s="1"/>
  <c r="AC166" i="1" s="1"/>
  <c r="U166" i="1"/>
  <c r="X166" i="1"/>
  <c r="W166" i="1"/>
  <c r="W167" i="1"/>
  <c r="U165" i="1"/>
  <c r="X165" i="1"/>
  <c r="V165" i="1"/>
  <c r="AA165" i="1" s="1"/>
  <c r="AC165" i="1" s="1"/>
  <c r="U167" i="1"/>
  <c r="X167" i="1"/>
  <c r="V167" i="1"/>
  <c r="AA167" i="1" s="1"/>
  <c r="AC167" i="1" s="1"/>
  <c r="W97" i="1"/>
  <c r="U96" i="1"/>
  <c r="V96" i="1"/>
  <c r="AA96" i="1" s="1"/>
  <c r="AC96" i="1" s="1"/>
  <c r="X96" i="1"/>
  <c r="W96" i="1"/>
  <c r="X97" i="1"/>
  <c r="V97" i="1"/>
  <c r="AA97" i="1" s="1"/>
  <c r="AC97" i="1" s="1"/>
  <c r="U97" i="1"/>
  <c r="W21" i="1"/>
  <c r="W93" i="1"/>
  <c r="X94" i="1"/>
  <c r="V94" i="1"/>
  <c r="AA94" i="1" s="1"/>
  <c r="AC94" i="1" s="1"/>
  <c r="U94" i="1"/>
  <c r="U93" i="1"/>
  <c r="X93" i="1"/>
  <c r="V93" i="1"/>
  <c r="AA93" i="1" s="1"/>
  <c r="AC93" i="1" s="1"/>
  <c r="W95" i="1"/>
  <c r="X95" i="1"/>
  <c r="V95" i="1"/>
  <c r="AA95" i="1" s="1"/>
  <c r="AC95" i="1" s="1"/>
  <c r="U95" i="1"/>
  <c r="W94" i="1"/>
  <c r="X92" i="1"/>
  <c r="V92" i="1"/>
  <c r="AA92" i="1" s="1"/>
  <c r="AC92" i="1" s="1"/>
  <c r="U92" i="1"/>
  <c r="W92" i="1"/>
  <c r="W26" i="1"/>
  <c r="W190" i="1"/>
  <c r="W47" i="1"/>
  <c r="W197" i="1"/>
  <c r="W196" i="1"/>
  <c r="W61" i="1"/>
  <c r="W189" i="1"/>
  <c r="W143" i="1"/>
  <c r="W50" i="1"/>
  <c r="W81" i="1"/>
  <c r="W37" i="1"/>
  <c r="W105" i="1"/>
  <c r="W202" i="1"/>
  <c r="W31" i="1"/>
  <c r="W40" i="1"/>
  <c r="W193" i="1"/>
  <c r="W155" i="1"/>
  <c r="W149" i="1"/>
  <c r="W54" i="1"/>
  <c r="W116" i="1"/>
  <c r="W154" i="1"/>
  <c r="W43" i="1"/>
  <c r="W82" i="1"/>
  <c r="W117" i="1"/>
  <c r="W45" i="1"/>
  <c r="W160" i="1"/>
  <c r="W67" i="1"/>
  <c r="W127" i="1"/>
  <c r="W133" i="1"/>
  <c r="W115" i="1"/>
  <c r="W71" i="1"/>
  <c r="W161" i="1"/>
  <c r="W56" i="1"/>
  <c r="W113" i="1"/>
  <c r="W79" i="1"/>
  <c r="W73" i="1"/>
  <c r="W103" i="1"/>
  <c r="W163" i="1"/>
  <c r="W53" i="1"/>
  <c r="W110" i="1"/>
  <c r="W122" i="1"/>
  <c r="W41" i="1"/>
  <c r="W201" i="1"/>
  <c r="W52" i="1"/>
  <c r="W86" i="1"/>
  <c r="W205" i="1"/>
  <c r="W29" i="1"/>
  <c r="W142" i="1"/>
  <c r="W22" i="1"/>
  <c r="W59" i="1"/>
  <c r="W118" i="1"/>
  <c r="W162" i="1"/>
  <c r="W72" i="1"/>
  <c r="W123" i="1"/>
  <c r="W65" i="1"/>
  <c r="W39" i="1"/>
  <c r="W25" i="1"/>
  <c r="W148" i="1"/>
  <c r="W76" i="1"/>
  <c r="W128" i="1"/>
  <c r="W192" i="1"/>
  <c r="W199" i="1"/>
  <c r="W195" i="1"/>
  <c r="W83" i="1"/>
  <c r="U158" i="1"/>
  <c r="V158" i="1"/>
  <c r="AA158" i="1" s="1"/>
  <c r="AC158" i="1" s="1"/>
  <c r="X158" i="1"/>
  <c r="U85" i="1"/>
  <c r="X85" i="1"/>
  <c r="V85" i="1"/>
  <c r="AA85" i="1" s="1"/>
  <c r="AC85" i="1" s="1"/>
  <c r="U56" i="1"/>
  <c r="X56" i="1"/>
  <c r="V56" i="1"/>
  <c r="AA56" i="1" s="1"/>
  <c r="AC56" i="1" s="1"/>
  <c r="U182" i="1"/>
  <c r="V182" i="1"/>
  <c r="AA182" i="1" s="1"/>
  <c r="AC182" i="1" s="1"/>
  <c r="X182" i="1"/>
  <c r="X120" i="1"/>
  <c r="V120" i="1"/>
  <c r="AA120" i="1" s="1"/>
  <c r="AC120" i="1" s="1"/>
  <c r="U120" i="1"/>
  <c r="U53" i="1"/>
  <c r="V53" i="1"/>
  <c r="AA53" i="1" s="1"/>
  <c r="AC53" i="1" s="1"/>
  <c r="X53" i="1"/>
  <c r="X51" i="1"/>
  <c r="U51" i="1"/>
  <c r="V51" i="1"/>
  <c r="AA51" i="1" s="1"/>
  <c r="AC51" i="1" s="1"/>
  <c r="X88" i="1"/>
  <c r="U88" i="1"/>
  <c r="V88" i="1"/>
  <c r="AA88" i="1" s="1"/>
  <c r="AC88" i="1" s="1"/>
  <c r="U87" i="1"/>
  <c r="X87" i="1"/>
  <c r="V87" i="1"/>
  <c r="AA87" i="1" s="1"/>
  <c r="AC87" i="1" s="1"/>
  <c r="U198" i="1"/>
  <c r="V198" i="1"/>
  <c r="AA198" i="1" s="1"/>
  <c r="AC198" i="1" s="1"/>
  <c r="X198" i="1"/>
  <c r="U49" i="1"/>
  <c r="X49" i="1"/>
  <c r="V49" i="1"/>
  <c r="AA49" i="1" s="1"/>
  <c r="AC49" i="1" s="1"/>
  <c r="U161" i="1"/>
  <c r="V161" i="1"/>
  <c r="AA161" i="1" s="1"/>
  <c r="AC161" i="1" s="1"/>
  <c r="X161" i="1"/>
  <c r="V86" i="1"/>
  <c r="AA86" i="1" s="1"/>
  <c r="AC86" i="1" s="1"/>
  <c r="X86" i="1"/>
  <c r="U86" i="1"/>
  <c r="X100" i="1"/>
  <c r="U100" i="1"/>
  <c r="V100" i="1"/>
  <c r="AA100" i="1" s="1"/>
  <c r="AC100" i="1" s="1"/>
  <c r="U163" i="1"/>
  <c r="V163" i="1"/>
  <c r="AA163" i="1" s="1"/>
  <c r="AC163" i="1" s="1"/>
  <c r="X163" i="1"/>
  <c r="W198" i="1"/>
  <c r="W130" i="1"/>
  <c r="X22" i="1"/>
  <c r="V22" i="1"/>
  <c r="AA22" i="1" s="1"/>
  <c r="AC22" i="1" s="1"/>
  <c r="U22" i="1"/>
  <c r="W126" i="1"/>
  <c r="X162" i="1"/>
  <c r="U162" i="1"/>
  <c r="V162" i="1"/>
  <c r="AA162" i="1" s="1"/>
  <c r="AC162" i="1" s="1"/>
  <c r="U160" i="1"/>
  <c r="V160" i="1"/>
  <c r="AA160" i="1" s="1"/>
  <c r="AC160" i="1" s="1"/>
  <c r="X160" i="1"/>
  <c r="X68" i="1"/>
  <c r="U68" i="1"/>
  <c r="V68" i="1"/>
  <c r="AA68" i="1" s="1"/>
  <c r="AC68" i="1" s="1"/>
  <c r="W42" i="1"/>
  <c r="U121" i="1"/>
  <c r="X121" i="1"/>
  <c r="V121" i="1"/>
  <c r="AA121" i="1" s="1"/>
  <c r="AC121" i="1" s="1"/>
  <c r="W121" i="1"/>
  <c r="W66" i="1"/>
  <c r="W38" i="1"/>
  <c r="U204" i="1"/>
  <c r="X204" i="1"/>
  <c r="V204" i="1"/>
  <c r="AA204" i="1" s="1"/>
  <c r="AC204" i="1" s="1"/>
  <c r="W204" i="1"/>
  <c r="U136" i="1"/>
  <c r="V136" i="1"/>
  <c r="AA136" i="1" s="1"/>
  <c r="AC136" i="1" s="1"/>
  <c r="X136" i="1"/>
  <c r="X134" i="1"/>
  <c r="V134" i="1"/>
  <c r="AA134" i="1" s="1"/>
  <c r="AC134" i="1" s="1"/>
  <c r="U134" i="1"/>
  <c r="W98" i="1"/>
  <c r="X200" i="1"/>
  <c r="V200" i="1"/>
  <c r="AA200" i="1" s="1"/>
  <c r="AC200" i="1" s="1"/>
  <c r="U200" i="1"/>
  <c r="V65" i="1"/>
  <c r="AA65" i="1" s="1"/>
  <c r="AC65" i="1" s="1"/>
  <c r="U65" i="1"/>
  <c r="X65" i="1"/>
  <c r="X20" i="1"/>
  <c r="U20" i="1"/>
  <c r="V20" i="1"/>
  <c r="AA20" i="1" s="1"/>
  <c r="AC20" i="1" s="1"/>
  <c r="X71" i="1"/>
  <c r="U71" i="1"/>
  <c r="V71" i="1"/>
  <c r="AA71" i="1" s="1"/>
  <c r="AC71" i="1" s="1"/>
  <c r="U31" i="1"/>
  <c r="X31" i="1"/>
  <c r="V31" i="1"/>
  <c r="AA31" i="1" s="1"/>
  <c r="AC31" i="1" s="1"/>
  <c r="V82" i="1"/>
  <c r="AA82" i="1" s="1"/>
  <c r="AC82" i="1" s="1"/>
  <c r="X82" i="1"/>
  <c r="U82" i="1"/>
  <c r="X194" i="1"/>
  <c r="U194" i="1"/>
  <c r="V194" i="1"/>
  <c r="AA194" i="1" s="1"/>
  <c r="AC194" i="1" s="1"/>
  <c r="X24" i="1"/>
  <c r="U24" i="1"/>
  <c r="V24" i="1"/>
  <c r="AA24" i="1" s="1"/>
  <c r="AC24" i="1" s="1"/>
  <c r="X69" i="1"/>
  <c r="U69" i="1"/>
  <c r="V69" i="1"/>
  <c r="AA69" i="1" s="1"/>
  <c r="AC69" i="1" s="1"/>
  <c r="W106" i="1"/>
  <c r="U101" i="1"/>
  <c r="V101" i="1"/>
  <c r="AA101" i="1" s="1"/>
  <c r="AC101" i="1" s="1"/>
  <c r="X101" i="1"/>
  <c r="W112" i="1"/>
  <c r="X179" i="1"/>
  <c r="V179" i="1"/>
  <c r="AA179" i="1" s="1"/>
  <c r="AC179" i="1" s="1"/>
  <c r="U179" i="1"/>
  <c r="W177" i="1"/>
  <c r="W49" i="1"/>
  <c r="W187" i="1"/>
  <c r="W111" i="1"/>
  <c r="X177" i="1"/>
  <c r="U177" i="1"/>
  <c r="V177" i="1"/>
  <c r="AA177" i="1" s="1"/>
  <c r="AC177" i="1" s="1"/>
  <c r="W27" i="1"/>
  <c r="X105" i="1"/>
  <c r="U105" i="1"/>
  <c r="V105" i="1"/>
  <c r="AA105" i="1" s="1"/>
  <c r="AC105" i="1" s="1"/>
  <c r="W200" i="1"/>
  <c r="W124" i="1"/>
  <c r="U76" i="1"/>
  <c r="X76" i="1"/>
  <c r="V76" i="1"/>
  <c r="AA76" i="1" s="1"/>
  <c r="AC76" i="1" s="1"/>
  <c r="X108" i="1"/>
  <c r="U108" i="1"/>
  <c r="V108" i="1"/>
  <c r="AA108" i="1" s="1"/>
  <c r="AC108" i="1" s="1"/>
  <c r="V114" i="1"/>
  <c r="AA114" i="1" s="1"/>
  <c r="AC114" i="1" s="1"/>
  <c r="U114" i="1"/>
  <c r="X114" i="1"/>
  <c r="U19" i="1"/>
  <c r="V19" i="1"/>
  <c r="AA19" i="1" s="1"/>
  <c r="AC19" i="1" s="1"/>
  <c r="X19" i="1"/>
  <c r="U43" i="1"/>
  <c r="X43" i="1"/>
  <c r="V43" i="1"/>
  <c r="AA43" i="1" s="1"/>
  <c r="AC43" i="1" s="1"/>
  <c r="U178" i="1"/>
  <c r="V178" i="1"/>
  <c r="AA178" i="1" s="1"/>
  <c r="AC178" i="1" s="1"/>
  <c r="X178" i="1"/>
  <c r="V175" i="1"/>
  <c r="AA175" i="1" s="1"/>
  <c r="AC175" i="1" s="1"/>
  <c r="U175" i="1"/>
  <c r="X175" i="1"/>
  <c r="X99" i="1"/>
  <c r="U99" i="1"/>
  <c r="V99" i="1"/>
  <c r="AA99" i="1" s="1"/>
  <c r="AC99" i="1" s="1"/>
  <c r="U117" i="1"/>
  <c r="V117" i="1"/>
  <c r="AA117" i="1" s="1"/>
  <c r="AC117" i="1" s="1"/>
  <c r="X117" i="1"/>
  <c r="W182" i="1"/>
  <c r="X52" i="1"/>
  <c r="V52" i="1"/>
  <c r="AA52" i="1" s="1"/>
  <c r="AC52" i="1" s="1"/>
  <c r="U52" i="1"/>
  <c r="W150" i="1"/>
  <c r="W114" i="1"/>
  <c r="W207" i="1"/>
  <c r="X195" i="1"/>
  <c r="V195" i="1"/>
  <c r="AA195" i="1" s="1"/>
  <c r="AC195" i="1" s="1"/>
  <c r="U195" i="1"/>
  <c r="X18" i="1"/>
  <c r="U18" i="1"/>
  <c r="V18" i="1"/>
  <c r="AA18" i="1" s="1"/>
  <c r="AC18" i="1" s="1"/>
  <c r="W134" i="1"/>
  <c r="W132" i="1"/>
  <c r="X77" i="1"/>
  <c r="U77" i="1"/>
  <c r="V77" i="1"/>
  <c r="AA77" i="1" s="1"/>
  <c r="AC77" i="1" s="1"/>
  <c r="W159" i="1"/>
  <c r="U203" i="1"/>
  <c r="X203" i="1"/>
  <c r="V203" i="1"/>
  <c r="AA203" i="1" s="1"/>
  <c r="AC203" i="1" s="1"/>
  <c r="X38" i="1"/>
  <c r="U38" i="1"/>
  <c r="V38" i="1"/>
  <c r="AA38" i="1" s="1"/>
  <c r="AC38" i="1" s="1"/>
  <c r="U61" i="1"/>
  <c r="V61" i="1"/>
  <c r="AA61" i="1" s="1"/>
  <c r="AC61" i="1" s="1"/>
  <c r="X61" i="1"/>
  <c r="W102" i="1"/>
  <c r="W30" i="1"/>
  <c r="W191" i="1"/>
  <c r="X180" i="1"/>
  <c r="U180" i="1"/>
  <c r="V180" i="1"/>
  <c r="AA180" i="1" s="1"/>
  <c r="AC180" i="1" s="1"/>
  <c r="X89" i="1"/>
  <c r="U89" i="1"/>
  <c r="V89" i="1"/>
  <c r="AA89" i="1" s="1"/>
  <c r="AC89" i="1" s="1"/>
  <c r="V48" i="1"/>
  <c r="AA48" i="1" s="1"/>
  <c r="AC48" i="1" s="1"/>
  <c r="X48" i="1"/>
  <c r="U48" i="1"/>
  <c r="X80" i="1"/>
  <c r="U80" i="1"/>
  <c r="V80" i="1"/>
  <c r="AA80" i="1" s="1"/>
  <c r="AC80" i="1" s="1"/>
  <c r="U21" i="1"/>
  <c r="X21" i="1"/>
  <c r="V21" i="1"/>
  <c r="AA21" i="1" s="1"/>
  <c r="AC21" i="1" s="1"/>
  <c r="X141" i="1"/>
  <c r="U141" i="1"/>
  <c r="V141" i="1"/>
  <c r="AA141" i="1" s="1"/>
  <c r="AC141" i="1" s="1"/>
  <c r="X74" i="1"/>
  <c r="V74" i="1"/>
  <c r="AA74" i="1" s="1"/>
  <c r="AC74" i="1" s="1"/>
  <c r="U74" i="1"/>
  <c r="U28" i="1"/>
  <c r="V28" i="1"/>
  <c r="AA28" i="1" s="1"/>
  <c r="AC28" i="1" s="1"/>
  <c r="X28" i="1"/>
  <c r="U60" i="1"/>
  <c r="V60" i="1"/>
  <c r="AA60" i="1" s="1"/>
  <c r="AC60" i="1" s="1"/>
  <c r="X60" i="1"/>
  <c r="W158" i="1"/>
  <c r="U181" i="1"/>
  <c r="V181" i="1"/>
  <c r="AA181" i="1" s="1"/>
  <c r="AC181" i="1" s="1"/>
  <c r="X181" i="1"/>
  <c r="U59" i="1"/>
  <c r="V59" i="1"/>
  <c r="AA59" i="1" s="1"/>
  <c r="AC59" i="1" s="1"/>
  <c r="X59" i="1"/>
  <c r="W152" i="1"/>
  <c r="W51" i="1"/>
  <c r="V201" i="1"/>
  <c r="AA201" i="1" s="1"/>
  <c r="AC201" i="1" s="1"/>
  <c r="U201" i="1"/>
  <c r="X201" i="1"/>
  <c r="X63" i="1"/>
  <c r="U63" i="1"/>
  <c r="V63" i="1"/>
  <c r="AA63" i="1" s="1"/>
  <c r="AC63" i="1" s="1"/>
  <c r="V30" i="1"/>
  <c r="AA30" i="1" s="1"/>
  <c r="AC30" i="1" s="1"/>
  <c r="X30" i="1"/>
  <c r="U30" i="1"/>
  <c r="U151" i="1"/>
  <c r="V151" i="1"/>
  <c r="AA151" i="1" s="1"/>
  <c r="AC151" i="1" s="1"/>
  <c r="X151" i="1"/>
  <c r="U54" i="1"/>
  <c r="V54" i="1"/>
  <c r="AA54" i="1" s="1"/>
  <c r="AC54" i="1" s="1"/>
  <c r="X54" i="1"/>
  <c r="X62" i="1"/>
  <c r="V62" i="1"/>
  <c r="AA62" i="1" s="1"/>
  <c r="AC62" i="1" s="1"/>
  <c r="U62" i="1"/>
  <c r="X124" i="1"/>
  <c r="V124" i="1"/>
  <c r="AA124" i="1" s="1"/>
  <c r="AC124" i="1" s="1"/>
  <c r="U124" i="1"/>
  <c r="X122" i="1"/>
  <c r="V122" i="1"/>
  <c r="AA122" i="1" s="1"/>
  <c r="AC122" i="1" s="1"/>
  <c r="U122" i="1"/>
  <c r="U72" i="1"/>
  <c r="V72" i="1"/>
  <c r="AA72" i="1" s="1"/>
  <c r="AC72" i="1" s="1"/>
  <c r="X72" i="1"/>
  <c r="X104" i="1"/>
  <c r="V104" i="1"/>
  <c r="AA104" i="1" s="1"/>
  <c r="AC104" i="1" s="1"/>
  <c r="U104" i="1"/>
  <c r="X145" i="1"/>
  <c r="V145" i="1"/>
  <c r="AA145" i="1" s="1"/>
  <c r="AC145" i="1" s="1"/>
  <c r="U145" i="1"/>
  <c r="X84" i="1"/>
  <c r="U84" i="1"/>
  <c r="V84" i="1"/>
  <c r="AA84" i="1" s="1"/>
  <c r="AC84" i="1" s="1"/>
  <c r="X75" i="1"/>
  <c r="V75" i="1"/>
  <c r="AA75" i="1" s="1"/>
  <c r="AC75" i="1" s="1"/>
  <c r="U75" i="1"/>
  <c r="V112" i="1"/>
  <c r="AA112" i="1" s="1"/>
  <c r="AC112" i="1" s="1"/>
  <c r="U112" i="1"/>
  <c r="X112" i="1"/>
  <c r="U142" i="1"/>
  <c r="V142" i="1"/>
  <c r="AA142" i="1" s="1"/>
  <c r="AC142" i="1" s="1"/>
  <c r="X142" i="1"/>
  <c r="X46" i="1"/>
  <c r="U46" i="1"/>
  <c r="V46" i="1"/>
  <c r="AA46" i="1" s="1"/>
  <c r="AC46" i="1" s="1"/>
  <c r="W18" i="1"/>
  <c r="U90" i="1"/>
  <c r="V90" i="1"/>
  <c r="AA90" i="1" s="1"/>
  <c r="AC90" i="1" s="1"/>
  <c r="X90" i="1"/>
  <c r="X131" i="1"/>
  <c r="V131" i="1"/>
  <c r="AA131" i="1" s="1"/>
  <c r="AC131" i="1" s="1"/>
  <c r="U131" i="1"/>
  <c r="X109" i="1"/>
  <c r="U109" i="1"/>
  <c r="V109" i="1"/>
  <c r="AA109" i="1" s="1"/>
  <c r="AC109" i="1" s="1"/>
  <c r="W203" i="1"/>
  <c r="X119" i="1"/>
  <c r="V119" i="1"/>
  <c r="AA119" i="1" s="1"/>
  <c r="AC119" i="1" s="1"/>
  <c r="U119" i="1"/>
  <c r="V118" i="1"/>
  <c r="AA118" i="1" s="1"/>
  <c r="AC118" i="1" s="1"/>
  <c r="X118" i="1"/>
  <c r="U118" i="1"/>
  <c r="U44" i="1"/>
  <c r="V44" i="1"/>
  <c r="AA44" i="1" s="1"/>
  <c r="AC44" i="1" s="1"/>
  <c r="X44" i="1"/>
  <c r="V81" i="1"/>
  <c r="AA81" i="1" s="1"/>
  <c r="AC81" i="1" s="1"/>
  <c r="X81" i="1"/>
  <c r="U81" i="1"/>
  <c r="X192" i="1"/>
  <c r="U192" i="1"/>
  <c r="V192" i="1"/>
  <c r="AA192" i="1" s="1"/>
  <c r="AC192" i="1" s="1"/>
  <c r="V126" i="1"/>
  <c r="AA126" i="1" s="1"/>
  <c r="AC126" i="1" s="1"/>
  <c r="X126" i="1"/>
  <c r="U126" i="1"/>
  <c r="W156" i="1"/>
  <c r="X115" i="1"/>
  <c r="U115" i="1"/>
  <c r="V115" i="1"/>
  <c r="AA115" i="1" s="1"/>
  <c r="AC115" i="1" s="1"/>
  <c r="X197" i="1"/>
  <c r="U197" i="1"/>
  <c r="V197" i="1"/>
  <c r="AA197" i="1" s="1"/>
  <c r="AC197" i="1" s="1"/>
  <c r="W100" i="1"/>
  <c r="X98" i="1"/>
  <c r="U98" i="1"/>
  <c r="V98" i="1"/>
  <c r="AA98" i="1" s="1"/>
  <c r="AC98" i="1" s="1"/>
  <c r="W48" i="1"/>
  <c r="W131" i="1"/>
  <c r="W99" i="1"/>
  <c r="U193" i="1"/>
  <c r="X193" i="1"/>
  <c r="V193" i="1"/>
  <c r="AA193" i="1" s="1"/>
  <c r="AC193" i="1" s="1"/>
  <c r="U189" i="1"/>
  <c r="X189" i="1"/>
  <c r="V189" i="1"/>
  <c r="AA189" i="1" s="1"/>
  <c r="AC189" i="1" s="1"/>
  <c r="W104" i="1"/>
  <c r="V123" i="1"/>
  <c r="AA123" i="1" s="1"/>
  <c r="AC123" i="1" s="1"/>
  <c r="X123" i="1"/>
  <c r="U123" i="1"/>
  <c r="X45" i="1"/>
  <c r="U45" i="1"/>
  <c r="V45" i="1"/>
  <c r="AA45" i="1" s="1"/>
  <c r="AC45" i="1" s="1"/>
  <c r="U135" i="1"/>
  <c r="V135" i="1"/>
  <c r="AA135" i="1" s="1"/>
  <c r="AC135" i="1" s="1"/>
  <c r="X135" i="1"/>
  <c r="V191" i="1"/>
  <c r="AA191" i="1" s="1"/>
  <c r="AC191" i="1" s="1"/>
  <c r="U191" i="1"/>
  <c r="X191" i="1"/>
  <c r="W75" i="1"/>
  <c r="X67" i="1"/>
  <c r="U67" i="1"/>
  <c r="V67" i="1"/>
  <c r="AA67" i="1" s="1"/>
  <c r="AC67" i="1" s="1"/>
  <c r="V26" i="1"/>
  <c r="AA26" i="1" s="1"/>
  <c r="AC26" i="1" s="1"/>
  <c r="U26" i="1"/>
  <c r="X26" i="1"/>
  <c r="W136" i="1"/>
  <c r="W85" i="1"/>
  <c r="U148" i="1"/>
  <c r="X148" i="1"/>
  <c r="V148" i="1"/>
  <c r="AA148" i="1" s="1"/>
  <c r="AC148" i="1" s="1"/>
  <c r="W129" i="1"/>
  <c r="X83" i="1"/>
  <c r="U83" i="1"/>
  <c r="V83" i="1"/>
  <c r="AA83" i="1" s="1"/>
  <c r="AC83" i="1" s="1"/>
  <c r="V183" i="1"/>
  <c r="AA183" i="1" s="1"/>
  <c r="AC183" i="1" s="1"/>
  <c r="X183" i="1"/>
  <c r="U183" i="1"/>
  <c r="U37" i="1"/>
  <c r="X37" i="1"/>
  <c r="V37" i="1"/>
  <c r="AA37" i="1" s="1"/>
  <c r="AC37" i="1" s="1"/>
  <c r="W60" i="1"/>
  <c r="W33" i="1"/>
  <c r="U36" i="1"/>
  <c r="V36" i="1"/>
  <c r="AA36" i="1" s="1"/>
  <c r="AC36" i="1" s="1"/>
  <c r="X36" i="1"/>
  <c r="V73" i="1"/>
  <c r="AA73" i="1" s="1"/>
  <c r="AC73" i="1" s="1"/>
  <c r="X73" i="1"/>
  <c r="U73" i="1"/>
  <c r="X127" i="1"/>
  <c r="U127" i="1"/>
  <c r="V127" i="1"/>
  <c r="AA127" i="1" s="1"/>
  <c r="AC127" i="1" s="1"/>
  <c r="W36" i="1"/>
  <c r="X91" i="1"/>
  <c r="V91" i="1"/>
  <c r="AA91" i="1" s="1"/>
  <c r="AC91" i="1" s="1"/>
  <c r="U91" i="1"/>
  <c r="U34" i="1"/>
  <c r="X34" i="1"/>
  <c r="V34" i="1"/>
  <c r="AA34" i="1" s="1"/>
  <c r="AC34" i="1" s="1"/>
  <c r="U113" i="1"/>
  <c r="X113" i="1"/>
  <c r="V113" i="1"/>
  <c r="AA113" i="1" s="1"/>
  <c r="AC113" i="1" s="1"/>
  <c r="X40" i="1"/>
  <c r="V40" i="1"/>
  <c r="AA40" i="1" s="1"/>
  <c r="AC40" i="1" s="1"/>
  <c r="U40" i="1"/>
  <c r="V156" i="1"/>
  <c r="AA156" i="1" s="1"/>
  <c r="AC156" i="1" s="1"/>
  <c r="U156" i="1"/>
  <c r="X156" i="1"/>
  <c r="W55" i="1"/>
  <c r="V207" i="1"/>
  <c r="AA207" i="1" s="1"/>
  <c r="AC207" i="1" s="1"/>
  <c r="U207" i="1"/>
  <c r="X207" i="1"/>
  <c r="W57" i="1"/>
  <c r="X70" i="1"/>
  <c r="V70" i="1"/>
  <c r="AA70" i="1" s="1"/>
  <c r="AC70" i="1" s="1"/>
  <c r="U70" i="1"/>
  <c r="U159" i="1"/>
  <c r="X159" i="1"/>
  <c r="V159" i="1"/>
  <c r="AA159" i="1" s="1"/>
  <c r="AC159" i="1" s="1"/>
  <c r="U206" i="1"/>
  <c r="X206" i="1"/>
  <c r="V206" i="1"/>
  <c r="AA206" i="1" s="1"/>
  <c r="AC206" i="1" s="1"/>
  <c r="W206" i="1"/>
  <c r="W141" i="1"/>
  <c r="W70" i="1"/>
  <c r="U39" i="1"/>
  <c r="V39" i="1"/>
  <c r="AA39" i="1" s="1"/>
  <c r="AC39" i="1" s="1"/>
  <c r="X39" i="1"/>
  <c r="U205" i="1"/>
  <c r="X205" i="1"/>
  <c r="V205" i="1"/>
  <c r="AA205" i="1" s="1"/>
  <c r="AC205" i="1" s="1"/>
  <c r="V55" i="1"/>
  <c r="AA55" i="1" s="1"/>
  <c r="AC55" i="1" s="1"/>
  <c r="U55" i="1"/>
  <c r="X55" i="1"/>
  <c r="W23" i="1"/>
  <c r="X140" i="1"/>
  <c r="U140" i="1"/>
  <c r="V140" i="1"/>
  <c r="AA140" i="1" s="1"/>
  <c r="AC140" i="1" s="1"/>
  <c r="W186" i="1"/>
  <c r="V174" i="1"/>
  <c r="AA174" i="1" s="1"/>
  <c r="AC174" i="1" s="1"/>
  <c r="U174" i="1"/>
  <c r="X174" i="1"/>
  <c r="W147" i="1"/>
  <c r="W145" i="1"/>
  <c r="W153" i="1"/>
  <c r="W151" i="1"/>
  <c r="W180" i="1"/>
  <c r="W63" i="1"/>
  <c r="X41" i="1"/>
  <c r="V41" i="1"/>
  <c r="AA41" i="1" s="1"/>
  <c r="AC41" i="1" s="1"/>
  <c r="U41" i="1"/>
  <c r="W62" i="1"/>
  <c r="X132" i="1"/>
  <c r="V132" i="1"/>
  <c r="AA132" i="1" s="1"/>
  <c r="AC132" i="1" s="1"/>
  <c r="U132" i="1"/>
  <c r="U143" i="1"/>
  <c r="V143" i="1"/>
  <c r="AA143" i="1" s="1"/>
  <c r="AC143" i="1" s="1"/>
  <c r="X143" i="1"/>
  <c r="X137" i="1"/>
  <c r="U137" i="1"/>
  <c r="V137" i="1"/>
  <c r="AA137" i="1" s="1"/>
  <c r="AC137" i="1" s="1"/>
  <c r="W19" i="1"/>
  <c r="U196" i="1"/>
  <c r="V196" i="1"/>
  <c r="AA196" i="1" s="1"/>
  <c r="AC196" i="1" s="1"/>
  <c r="X196" i="1"/>
  <c r="W174" i="1"/>
  <c r="X32" i="1"/>
  <c r="V32" i="1"/>
  <c r="AA32" i="1" s="1"/>
  <c r="AC32" i="1" s="1"/>
  <c r="U32" i="1"/>
  <c r="X187" i="1"/>
  <c r="U187" i="1"/>
  <c r="V187" i="1"/>
  <c r="AA187" i="1" s="1"/>
  <c r="AC187" i="1" s="1"/>
  <c r="V139" i="1"/>
  <c r="AA139" i="1" s="1"/>
  <c r="AC139" i="1" s="1"/>
  <c r="X139" i="1"/>
  <c r="U139" i="1"/>
  <c r="X154" i="1"/>
  <c r="U154" i="1"/>
  <c r="V154" i="1"/>
  <c r="AA154" i="1" s="1"/>
  <c r="AC154" i="1" s="1"/>
  <c r="X57" i="1"/>
  <c r="V57" i="1"/>
  <c r="AA57" i="1" s="1"/>
  <c r="AC57" i="1" s="1"/>
  <c r="U57" i="1"/>
  <c r="W44" i="1"/>
  <c r="W146" i="1"/>
  <c r="X29" i="1"/>
  <c r="V29" i="1"/>
  <c r="AA29" i="1" s="1"/>
  <c r="AC29" i="1" s="1"/>
  <c r="U29" i="1"/>
  <c r="X50" i="1"/>
  <c r="V50" i="1"/>
  <c r="AA50" i="1" s="1"/>
  <c r="AC50" i="1" s="1"/>
  <c r="U50" i="1"/>
  <c r="W80" i="1"/>
  <c r="V188" i="1"/>
  <c r="AA188" i="1" s="1"/>
  <c r="AC188" i="1" s="1"/>
  <c r="U188" i="1"/>
  <c r="X188" i="1"/>
  <c r="W78" i="1"/>
  <c r="W35" i="1"/>
  <c r="X111" i="1"/>
  <c r="U111" i="1"/>
  <c r="V111" i="1"/>
  <c r="AA111" i="1" s="1"/>
  <c r="AC111" i="1" s="1"/>
  <c r="W109" i="1"/>
  <c r="U155" i="1"/>
  <c r="V155" i="1"/>
  <c r="AA155" i="1" s="1"/>
  <c r="AC155" i="1" s="1"/>
  <c r="X155" i="1"/>
  <c r="X130" i="1"/>
  <c r="U130" i="1"/>
  <c r="V130" i="1"/>
  <c r="AA130" i="1" s="1"/>
  <c r="AC130" i="1" s="1"/>
  <c r="W90" i="1"/>
  <c r="U125" i="1"/>
  <c r="X125" i="1"/>
  <c r="V125" i="1"/>
  <c r="AA125" i="1" s="1"/>
  <c r="AC125" i="1" s="1"/>
  <c r="W120" i="1"/>
  <c r="W58" i="1"/>
  <c r="U58" i="1"/>
  <c r="X58" i="1"/>
  <c r="V58" i="1"/>
  <c r="AA58" i="1" s="1"/>
  <c r="AC58" i="1" s="1"/>
  <c r="W144" i="1"/>
  <c r="U133" i="1"/>
  <c r="V133" i="1"/>
  <c r="AA133" i="1" s="1"/>
  <c r="AC133" i="1" s="1"/>
  <c r="X133" i="1"/>
  <c r="X79" i="1"/>
  <c r="U79" i="1"/>
  <c r="V79" i="1"/>
  <c r="AA79" i="1" s="1"/>
  <c r="AC79" i="1" s="1"/>
  <c r="U42" i="1"/>
  <c r="X42" i="1"/>
  <c r="V42" i="1"/>
  <c r="AA42" i="1" s="1"/>
  <c r="AC42" i="1" s="1"/>
  <c r="W140" i="1"/>
  <c r="W138" i="1"/>
  <c r="W34" i="1"/>
  <c r="W46" i="1"/>
  <c r="U78" i="1"/>
  <c r="V78" i="1"/>
  <c r="AA78" i="1" s="1"/>
  <c r="AC78" i="1" s="1"/>
  <c r="X78" i="1"/>
  <c r="U23" i="1"/>
  <c r="V23" i="1"/>
  <c r="AA23" i="1" s="1"/>
  <c r="AC23" i="1" s="1"/>
  <c r="X23" i="1"/>
  <c r="W194" i="1"/>
  <c r="X27" i="1"/>
  <c r="V27" i="1"/>
  <c r="AA27" i="1" s="1"/>
  <c r="AC27" i="1" s="1"/>
  <c r="U27" i="1"/>
  <c r="U152" i="1"/>
  <c r="V152" i="1"/>
  <c r="AA152" i="1" s="1"/>
  <c r="AC152" i="1" s="1"/>
  <c r="X152" i="1"/>
  <c r="X150" i="1"/>
  <c r="V150" i="1"/>
  <c r="AA150" i="1" s="1"/>
  <c r="AC150" i="1" s="1"/>
  <c r="U150" i="1"/>
  <c r="V202" i="1"/>
  <c r="AA202" i="1" s="1"/>
  <c r="AC202" i="1" s="1"/>
  <c r="U202" i="1"/>
  <c r="X202" i="1"/>
  <c r="W157" i="1"/>
  <c r="X153" i="1"/>
  <c r="U153" i="1"/>
  <c r="V153" i="1"/>
  <c r="AA153" i="1" s="1"/>
  <c r="AC153" i="1" s="1"/>
  <c r="W119" i="1"/>
  <c r="W175" i="1"/>
  <c r="V116" i="1"/>
  <c r="AA116" i="1" s="1"/>
  <c r="AC116" i="1" s="1"/>
  <c r="X116" i="1"/>
  <c r="U116" i="1"/>
  <c r="X106" i="1"/>
  <c r="U106" i="1"/>
  <c r="V106" i="1"/>
  <c r="AA106" i="1" s="1"/>
  <c r="AC106" i="1" s="1"/>
  <c r="U129" i="1"/>
  <c r="V129" i="1"/>
  <c r="AA129" i="1" s="1"/>
  <c r="AC129" i="1" s="1"/>
  <c r="X129" i="1"/>
  <c r="X33" i="1"/>
  <c r="U33" i="1"/>
  <c r="V33" i="1"/>
  <c r="AA33" i="1" s="1"/>
  <c r="AC33" i="1" s="1"/>
  <c r="V190" i="1"/>
  <c r="AA190" i="1" s="1"/>
  <c r="AC190" i="1" s="1"/>
  <c r="U190" i="1"/>
  <c r="X190" i="1"/>
  <c r="W181" i="1"/>
  <c r="W84" i="1"/>
  <c r="W32" i="1"/>
  <c r="W69" i="1"/>
  <c r="W89" i="1"/>
  <c r="W139" i="1"/>
  <c r="U138" i="1"/>
  <c r="X138" i="1"/>
  <c r="V138" i="1"/>
  <c r="AA138" i="1" s="1"/>
  <c r="AC138" i="1" s="1"/>
  <c r="U64" i="1"/>
  <c r="X64" i="1"/>
  <c r="V64" i="1"/>
  <c r="AA64" i="1" s="1"/>
  <c r="AC64" i="1" s="1"/>
  <c r="W108" i="1"/>
  <c r="U128" i="1"/>
  <c r="X128" i="1"/>
  <c r="V128" i="1"/>
  <c r="AA128" i="1" s="1"/>
  <c r="AC128" i="1" s="1"/>
  <c r="W24" i="1"/>
  <c r="X176" i="1"/>
  <c r="U176" i="1"/>
  <c r="V176" i="1"/>
  <c r="AA176" i="1" s="1"/>
  <c r="AC176" i="1" s="1"/>
  <c r="X110" i="1"/>
  <c r="V110" i="1"/>
  <c r="AA110" i="1" s="1"/>
  <c r="AC110" i="1" s="1"/>
  <c r="U110" i="1"/>
  <c r="V47" i="1"/>
  <c r="AA47" i="1" s="1"/>
  <c r="AC47" i="1" s="1"/>
  <c r="U47" i="1"/>
  <c r="X47" i="1"/>
  <c r="U25" i="1"/>
  <c r="V25" i="1"/>
  <c r="AA25" i="1" s="1"/>
  <c r="AC25" i="1" s="1"/>
  <c r="X25" i="1"/>
  <c r="W125" i="1"/>
  <c r="W101" i="1"/>
  <c r="X186" i="1"/>
  <c r="U186" i="1"/>
  <c r="V186" i="1"/>
  <c r="AA186" i="1" s="1"/>
  <c r="AC186" i="1" s="1"/>
  <c r="U147" i="1"/>
  <c r="V147" i="1"/>
  <c r="AA147" i="1" s="1"/>
  <c r="AC147" i="1" s="1"/>
  <c r="X147" i="1"/>
  <c r="W179" i="1"/>
  <c r="W183" i="1"/>
  <c r="U66" i="1"/>
  <c r="X66" i="1"/>
  <c r="V66" i="1"/>
  <c r="AA66" i="1" s="1"/>
  <c r="AC66" i="1" s="1"/>
  <c r="W178" i="1"/>
  <c r="W87" i="1"/>
  <c r="X146" i="1"/>
  <c r="U146" i="1"/>
  <c r="V146" i="1"/>
  <c r="AA146" i="1" s="1"/>
  <c r="AC146" i="1" s="1"/>
  <c r="X144" i="1"/>
  <c r="U144" i="1"/>
  <c r="V144" i="1"/>
  <c r="AA144" i="1" s="1"/>
  <c r="AC144" i="1" s="1"/>
  <c r="W91" i="1"/>
  <c r="X107" i="1"/>
  <c r="U107" i="1"/>
  <c r="V107" i="1"/>
  <c r="AA107" i="1" s="1"/>
  <c r="AC107" i="1" s="1"/>
  <c r="W88" i="1"/>
  <c r="W64" i="1"/>
  <c r="X102" i="1"/>
  <c r="U102" i="1"/>
  <c r="V102" i="1"/>
  <c r="AA102" i="1" s="1"/>
  <c r="AC102" i="1" s="1"/>
  <c r="W176" i="1"/>
  <c r="X35" i="1"/>
  <c r="U35" i="1"/>
  <c r="V35" i="1"/>
  <c r="AA35" i="1" s="1"/>
  <c r="AC35" i="1" s="1"/>
  <c r="W28" i="1"/>
  <c r="W20" i="1"/>
  <c r="X103" i="1"/>
  <c r="U103" i="1"/>
  <c r="V103" i="1"/>
  <c r="AA103" i="1" s="1"/>
  <c r="AC103" i="1" s="1"/>
  <c r="W107" i="1"/>
  <c r="W77" i="1"/>
  <c r="V199" i="1"/>
  <c r="AA199" i="1" s="1"/>
  <c r="AC199" i="1" s="1"/>
  <c r="X199" i="1"/>
  <c r="U199" i="1"/>
  <c r="V149" i="1"/>
  <c r="AA149" i="1" s="1"/>
  <c r="AC149" i="1" s="1"/>
  <c r="X149" i="1"/>
  <c r="U149" i="1"/>
  <c r="X157" i="1"/>
  <c r="V157" i="1"/>
  <c r="AA157" i="1" s="1"/>
  <c r="AC157" i="1" s="1"/>
  <c r="U157" i="1"/>
  <c r="W137" i="1"/>
  <c r="W135" i="1"/>
  <c r="W68" i="1"/>
  <c r="B61" i="4" l="1"/>
  <c r="Y184" i="1"/>
  <c r="Z184" i="1" s="1"/>
  <c r="L184" i="1" s="1"/>
  <c r="M184" i="1" s="1"/>
  <c r="Y185" i="1"/>
  <c r="Z185" i="1" s="1"/>
  <c r="Y173" i="1"/>
  <c r="Z173" i="1" s="1"/>
  <c r="AB173" i="1" s="1"/>
  <c r="Y172" i="1"/>
  <c r="Z172" i="1" s="1"/>
  <c r="L172" i="1" s="1"/>
  <c r="M172" i="1" s="1"/>
  <c r="Y169" i="1"/>
  <c r="Z169" i="1" s="1"/>
  <c r="AB169" i="1" s="1"/>
  <c r="Y168" i="1"/>
  <c r="Z168" i="1" s="1"/>
  <c r="AB168" i="1" s="1"/>
  <c r="Y170" i="1"/>
  <c r="Z170" i="1" s="1"/>
  <c r="AB170" i="1" s="1"/>
  <c r="Y171" i="1"/>
  <c r="Z171" i="1" s="1"/>
  <c r="AB171" i="1" s="1"/>
  <c r="Y167" i="1"/>
  <c r="Z167" i="1" s="1"/>
  <c r="L167" i="1" s="1"/>
  <c r="M167" i="1" s="1"/>
  <c r="Y165" i="1"/>
  <c r="Z165" i="1" s="1"/>
  <c r="L165" i="1" s="1"/>
  <c r="M165" i="1" s="1"/>
  <c r="Y164" i="1"/>
  <c r="Z164" i="1" s="1"/>
  <c r="AB164" i="1" s="1"/>
  <c r="Y166" i="1"/>
  <c r="Z166" i="1" s="1"/>
  <c r="Y97" i="1"/>
  <c r="Z97" i="1" s="1"/>
  <c r="AB97" i="1" s="1"/>
  <c r="Y96" i="1"/>
  <c r="Z96" i="1" s="1"/>
  <c r="L96" i="1" s="1"/>
  <c r="M96" i="1" s="1"/>
  <c r="Y95" i="1"/>
  <c r="Z95" i="1" s="1"/>
  <c r="AB95" i="1" s="1"/>
  <c r="Y92" i="1"/>
  <c r="Z92" i="1" s="1"/>
  <c r="AB92" i="1" s="1"/>
  <c r="Y93" i="1"/>
  <c r="Z93" i="1" s="1"/>
  <c r="Y94" i="1"/>
  <c r="Z94" i="1" s="1"/>
  <c r="Y68" i="1"/>
  <c r="Z68" i="1" s="1"/>
  <c r="AB68" i="1" s="1"/>
  <c r="Y162" i="1"/>
  <c r="Z162" i="1" s="1"/>
  <c r="L162" i="1" s="1"/>
  <c r="M162" i="1" s="1"/>
  <c r="Y127" i="1"/>
  <c r="Z127" i="1" s="1"/>
  <c r="L127" i="1" s="1"/>
  <c r="M127" i="1" s="1"/>
  <c r="Y30" i="1"/>
  <c r="Z30" i="1" s="1"/>
  <c r="AB30" i="1" s="1"/>
  <c r="Y74" i="1"/>
  <c r="Z74" i="1" s="1"/>
  <c r="AB74" i="1" s="1"/>
  <c r="Y63" i="1"/>
  <c r="Z63" i="1" s="1"/>
  <c r="AB63" i="1" s="1"/>
  <c r="Y55" i="1"/>
  <c r="Z55" i="1" s="1"/>
  <c r="AB55" i="1" s="1"/>
  <c r="Y39" i="1"/>
  <c r="Z39" i="1" s="1"/>
  <c r="L39" i="1" s="1"/>
  <c r="M39" i="1" s="1"/>
  <c r="Y67" i="1"/>
  <c r="Z67" i="1" s="1"/>
  <c r="AB67" i="1" s="1"/>
  <c r="Y107" i="1"/>
  <c r="Z107" i="1" s="1"/>
  <c r="L107" i="1" s="1"/>
  <c r="M107" i="1" s="1"/>
  <c r="Y205" i="1"/>
  <c r="Z205" i="1" s="1"/>
  <c r="AB205" i="1" s="1"/>
  <c r="Y191" i="1"/>
  <c r="Z191" i="1" s="1"/>
  <c r="AB191" i="1" s="1"/>
  <c r="Y54" i="1"/>
  <c r="Z54" i="1" s="1"/>
  <c r="AB54" i="1" s="1"/>
  <c r="Y144" i="1"/>
  <c r="Z144" i="1" s="1"/>
  <c r="L144" i="1" s="1"/>
  <c r="M144" i="1" s="1"/>
  <c r="Y41" i="1"/>
  <c r="Z41" i="1" s="1"/>
  <c r="L41" i="1" s="1"/>
  <c r="M41" i="1" s="1"/>
  <c r="Y62" i="1"/>
  <c r="Z62" i="1" s="1"/>
  <c r="L62" i="1" s="1"/>
  <c r="M62" i="1" s="1"/>
  <c r="Y151" i="1"/>
  <c r="Z151" i="1" s="1"/>
  <c r="AB151" i="1" s="1"/>
  <c r="Y86" i="1"/>
  <c r="Z86" i="1" s="1"/>
  <c r="AB86" i="1" s="1"/>
  <c r="Y183" i="1"/>
  <c r="Z183" i="1" s="1"/>
  <c r="AB183" i="1" s="1"/>
  <c r="Y66" i="1"/>
  <c r="Z66" i="1" s="1"/>
  <c r="L66" i="1" s="1"/>
  <c r="M66" i="1" s="1"/>
  <c r="Y129" i="1"/>
  <c r="Z129" i="1" s="1"/>
  <c r="L129" i="1" s="1"/>
  <c r="M129" i="1" s="1"/>
  <c r="Y79" i="1"/>
  <c r="Z79" i="1" s="1"/>
  <c r="AB79" i="1" s="1"/>
  <c r="Y58" i="1"/>
  <c r="Z58" i="1" s="1"/>
  <c r="AB58" i="1" s="1"/>
  <c r="Y45" i="1"/>
  <c r="Z45" i="1" s="1"/>
  <c r="AB45" i="1" s="1"/>
  <c r="Y195" i="1"/>
  <c r="Z195" i="1" s="1"/>
  <c r="AB195" i="1" s="1"/>
  <c r="Y186" i="1"/>
  <c r="Z186" i="1" s="1"/>
  <c r="AB186" i="1" s="1"/>
  <c r="Y123" i="1"/>
  <c r="Z123" i="1" s="1"/>
  <c r="AB123" i="1" s="1"/>
  <c r="Y24" i="1"/>
  <c r="Z24" i="1" s="1"/>
  <c r="L24" i="1" s="1"/>
  <c r="M24" i="1" s="1"/>
  <c r="Y78" i="1"/>
  <c r="Z78" i="1" s="1"/>
  <c r="AB78" i="1" s="1"/>
  <c r="Y111" i="1"/>
  <c r="Z111" i="1" s="1"/>
  <c r="AB111" i="1" s="1"/>
  <c r="Y50" i="1"/>
  <c r="Z50" i="1" s="1"/>
  <c r="L50" i="1" s="1"/>
  <c r="M50" i="1" s="1"/>
  <c r="Y207" i="1"/>
  <c r="Z207" i="1" s="1"/>
  <c r="AB207" i="1" s="1"/>
  <c r="Y124" i="1"/>
  <c r="Z124" i="1" s="1"/>
  <c r="L124" i="1" s="1"/>
  <c r="M124" i="1" s="1"/>
  <c r="Y163" i="1"/>
  <c r="Z163" i="1" s="1"/>
  <c r="AB163" i="1" s="1"/>
  <c r="Y110" i="1"/>
  <c r="Z110" i="1" s="1"/>
  <c r="AB110" i="1" s="1"/>
  <c r="Y132" i="1"/>
  <c r="Z132" i="1" s="1"/>
  <c r="AB132" i="1" s="1"/>
  <c r="Y104" i="1"/>
  <c r="Z104" i="1" s="1"/>
  <c r="AB104" i="1" s="1"/>
  <c r="Y113" i="1"/>
  <c r="Z113" i="1" s="1"/>
  <c r="AB113" i="1" s="1"/>
  <c r="Y36" i="1"/>
  <c r="Z36" i="1" s="1"/>
  <c r="L36" i="1" s="1"/>
  <c r="M36" i="1" s="1"/>
  <c r="Y112" i="1"/>
  <c r="Z112" i="1" s="1"/>
  <c r="AB112" i="1" s="1"/>
  <c r="Y72" i="1"/>
  <c r="Z72" i="1" s="1"/>
  <c r="L72" i="1" s="1"/>
  <c r="M72" i="1" s="1"/>
  <c r="Y160" i="1"/>
  <c r="Z160" i="1" s="1"/>
  <c r="L160" i="1" s="1"/>
  <c r="M160" i="1" s="1"/>
  <c r="Y161" i="1"/>
  <c r="Z161" i="1" s="1"/>
  <c r="AB161" i="1" s="1"/>
  <c r="Y182" i="1"/>
  <c r="Z182" i="1" s="1"/>
  <c r="AB182" i="1" s="1"/>
  <c r="Y108" i="1"/>
  <c r="Z108" i="1" s="1"/>
  <c r="L108" i="1" s="1"/>
  <c r="M108" i="1" s="1"/>
  <c r="Y122" i="1"/>
  <c r="Z122" i="1" s="1"/>
  <c r="AB122" i="1" s="1"/>
  <c r="Y69" i="1"/>
  <c r="Z69" i="1" s="1"/>
  <c r="AB69" i="1" s="1"/>
  <c r="Y136" i="1"/>
  <c r="Z136" i="1" s="1"/>
  <c r="AB136" i="1" s="1"/>
  <c r="Y103" i="1"/>
  <c r="Z103" i="1" s="1"/>
  <c r="L103" i="1" s="1"/>
  <c r="M103" i="1" s="1"/>
  <c r="Y116" i="1"/>
  <c r="Z116" i="1" s="1"/>
  <c r="AB116" i="1" s="1"/>
  <c r="Y83" i="1"/>
  <c r="Z83" i="1" s="1"/>
  <c r="AB83" i="1" s="1"/>
  <c r="Y98" i="1"/>
  <c r="Z98" i="1" s="1"/>
  <c r="AB98" i="1" s="1"/>
  <c r="Y115" i="1"/>
  <c r="Z115" i="1" s="1"/>
  <c r="AB115" i="1" s="1"/>
  <c r="Y46" i="1"/>
  <c r="Z46" i="1" s="1"/>
  <c r="AB46" i="1" s="1"/>
  <c r="Y75" i="1"/>
  <c r="Z75" i="1" s="1"/>
  <c r="L75" i="1" s="1"/>
  <c r="M75" i="1" s="1"/>
  <c r="Y201" i="1"/>
  <c r="Z201" i="1" s="1"/>
  <c r="L201" i="1" s="1"/>
  <c r="M201" i="1" s="1"/>
  <c r="Y28" i="1"/>
  <c r="Z28" i="1" s="1"/>
  <c r="AB28" i="1" s="1"/>
  <c r="Y52" i="1"/>
  <c r="Z52" i="1" s="1"/>
  <c r="L52" i="1" s="1"/>
  <c r="M52" i="1" s="1"/>
  <c r="Y134" i="1"/>
  <c r="Z134" i="1" s="1"/>
  <c r="L134" i="1" s="1"/>
  <c r="M134" i="1" s="1"/>
  <c r="Y49" i="1"/>
  <c r="Z49" i="1" s="1"/>
  <c r="AB49" i="1" s="1"/>
  <c r="Y120" i="1"/>
  <c r="Z120" i="1" s="1"/>
  <c r="L120" i="1" s="1"/>
  <c r="M120" i="1" s="1"/>
  <c r="Y102" i="1"/>
  <c r="Z102" i="1" s="1"/>
  <c r="AB102" i="1" s="1"/>
  <c r="Y178" i="1"/>
  <c r="Z178" i="1" s="1"/>
  <c r="AB178" i="1" s="1"/>
  <c r="Y25" i="1"/>
  <c r="Z25" i="1" s="1"/>
  <c r="AB25" i="1" s="1"/>
  <c r="Y33" i="1"/>
  <c r="Z33" i="1" s="1"/>
  <c r="L33" i="1" s="1"/>
  <c r="M33" i="1" s="1"/>
  <c r="Y23" i="1"/>
  <c r="Z23" i="1" s="1"/>
  <c r="AB23" i="1" s="1"/>
  <c r="Y133" i="1"/>
  <c r="Z133" i="1" s="1"/>
  <c r="AB133" i="1" s="1"/>
  <c r="Y19" i="1"/>
  <c r="Z19" i="1" s="1"/>
  <c r="L19" i="1" s="1"/>
  <c r="M19" i="1" s="1"/>
  <c r="Y40" i="1"/>
  <c r="Z40" i="1" s="1"/>
  <c r="AB40" i="1" s="1"/>
  <c r="Y197" i="1"/>
  <c r="Z197" i="1" s="1"/>
  <c r="AB197" i="1" s="1"/>
  <c r="Y44" i="1"/>
  <c r="Z44" i="1" s="1"/>
  <c r="L44" i="1" s="1"/>
  <c r="M44" i="1" s="1"/>
  <c r="Y90" i="1"/>
  <c r="Z90" i="1" s="1"/>
  <c r="AB90" i="1" s="1"/>
  <c r="Y180" i="1"/>
  <c r="Z180" i="1" s="1"/>
  <c r="AB180" i="1" s="1"/>
  <c r="Y77" i="1"/>
  <c r="Z77" i="1" s="1"/>
  <c r="AB77" i="1" s="1"/>
  <c r="Y32" i="1"/>
  <c r="Z32" i="1" s="1"/>
  <c r="AB32" i="1" s="1"/>
  <c r="Y152" i="1"/>
  <c r="Z152" i="1" s="1"/>
  <c r="L152" i="1" s="1"/>
  <c r="M152" i="1" s="1"/>
  <c r="Y155" i="1"/>
  <c r="Z155" i="1" s="1"/>
  <c r="AB155" i="1" s="1"/>
  <c r="Y159" i="1"/>
  <c r="Z159" i="1" s="1"/>
  <c r="AB159" i="1" s="1"/>
  <c r="Y26" i="1"/>
  <c r="Z26" i="1" s="1"/>
  <c r="AB26" i="1" s="1"/>
  <c r="Y192" i="1"/>
  <c r="Z192" i="1" s="1"/>
  <c r="L192" i="1" s="1"/>
  <c r="M192" i="1" s="1"/>
  <c r="Y109" i="1"/>
  <c r="Z109" i="1" s="1"/>
  <c r="AB109" i="1" s="1"/>
  <c r="Y60" i="1"/>
  <c r="Z60" i="1" s="1"/>
  <c r="AB60" i="1" s="1"/>
  <c r="Y141" i="1"/>
  <c r="Z141" i="1" s="1"/>
  <c r="L141" i="1" s="1"/>
  <c r="M141" i="1" s="1"/>
  <c r="Y48" i="1"/>
  <c r="Z48" i="1" s="1"/>
  <c r="L48" i="1" s="1"/>
  <c r="M48" i="1" s="1"/>
  <c r="Y38" i="1"/>
  <c r="Z38" i="1" s="1"/>
  <c r="AB38" i="1" s="1"/>
  <c r="Y43" i="1"/>
  <c r="Z43" i="1" s="1"/>
  <c r="AB43" i="1" s="1"/>
  <c r="Y105" i="1"/>
  <c r="Z105" i="1" s="1"/>
  <c r="L105" i="1" s="1"/>
  <c r="M105" i="1" s="1"/>
  <c r="Y101" i="1"/>
  <c r="Z101" i="1" s="1"/>
  <c r="AB101" i="1" s="1"/>
  <c r="Y31" i="1"/>
  <c r="Z31" i="1" s="1"/>
  <c r="L31" i="1" s="1"/>
  <c r="M31" i="1" s="1"/>
  <c r="Y65" i="1"/>
  <c r="Z65" i="1" s="1"/>
  <c r="AB65" i="1" s="1"/>
  <c r="Y57" i="1"/>
  <c r="Z57" i="1" s="1"/>
  <c r="AB57" i="1" s="1"/>
  <c r="Y61" i="1"/>
  <c r="Z61" i="1" s="1"/>
  <c r="AB61" i="1" s="1"/>
  <c r="Y121" i="1"/>
  <c r="Z121" i="1" s="1"/>
  <c r="AB121" i="1" s="1"/>
  <c r="Y88" i="1"/>
  <c r="Z88" i="1" s="1"/>
  <c r="L88" i="1" s="1"/>
  <c r="M88" i="1" s="1"/>
  <c r="Y56" i="1"/>
  <c r="Z56" i="1" s="1"/>
  <c r="AB56" i="1" s="1"/>
  <c r="Y91" i="1"/>
  <c r="Z91" i="1" s="1"/>
  <c r="AB91" i="1" s="1"/>
  <c r="Y147" i="1"/>
  <c r="Z147" i="1" s="1"/>
  <c r="L147" i="1" s="1"/>
  <c r="M147" i="1" s="1"/>
  <c r="Y176" i="1"/>
  <c r="Z176" i="1" s="1"/>
  <c r="AB176" i="1" s="1"/>
  <c r="Y29" i="1"/>
  <c r="Z29" i="1" s="1"/>
  <c r="AB29" i="1" s="1"/>
  <c r="Y187" i="1"/>
  <c r="Z187" i="1" s="1"/>
  <c r="AB187" i="1" s="1"/>
  <c r="Y47" i="1"/>
  <c r="Z47" i="1" s="1"/>
  <c r="AB47" i="1" s="1"/>
  <c r="Y64" i="1"/>
  <c r="Z64" i="1" s="1"/>
  <c r="L64" i="1" s="1"/>
  <c r="M64" i="1" s="1"/>
  <c r="Y84" i="1"/>
  <c r="Z84" i="1" s="1"/>
  <c r="AB84" i="1" s="1"/>
  <c r="Y202" i="1"/>
  <c r="Z202" i="1" s="1"/>
  <c r="AB202" i="1" s="1"/>
  <c r="Y42" i="1"/>
  <c r="Z42" i="1" s="1"/>
  <c r="L42" i="1" s="1"/>
  <c r="M42" i="1" s="1"/>
  <c r="Y125" i="1"/>
  <c r="Z125" i="1" s="1"/>
  <c r="L125" i="1" s="1"/>
  <c r="M125" i="1" s="1"/>
  <c r="Y188" i="1"/>
  <c r="Z188" i="1" s="1"/>
  <c r="AB188" i="1" s="1"/>
  <c r="Y154" i="1"/>
  <c r="Z154" i="1" s="1"/>
  <c r="AB154" i="1" s="1"/>
  <c r="Y137" i="1"/>
  <c r="Z137" i="1" s="1"/>
  <c r="AB137" i="1" s="1"/>
  <c r="Y140" i="1"/>
  <c r="Z140" i="1" s="1"/>
  <c r="L140" i="1" s="1"/>
  <c r="M140" i="1" s="1"/>
  <c r="Y70" i="1"/>
  <c r="Z70" i="1" s="1"/>
  <c r="AB70" i="1" s="1"/>
  <c r="Y189" i="1"/>
  <c r="Z189" i="1" s="1"/>
  <c r="AB189" i="1" s="1"/>
  <c r="Y59" i="1"/>
  <c r="Z59" i="1" s="1"/>
  <c r="L59" i="1" s="1"/>
  <c r="M59" i="1" s="1"/>
  <c r="Y194" i="1"/>
  <c r="Z194" i="1" s="1"/>
  <c r="L194" i="1" s="1"/>
  <c r="M194" i="1" s="1"/>
  <c r="Y198" i="1"/>
  <c r="Z198" i="1" s="1"/>
  <c r="AB198" i="1" s="1"/>
  <c r="Y51" i="1"/>
  <c r="Z51" i="1" s="1"/>
  <c r="AB51" i="1" s="1"/>
  <c r="Y85" i="1"/>
  <c r="Z85" i="1" s="1"/>
  <c r="AB85" i="1" s="1"/>
  <c r="Y157" i="1"/>
  <c r="Z157" i="1" s="1"/>
  <c r="L157" i="1" s="1"/>
  <c r="M157" i="1" s="1"/>
  <c r="Y138" i="1"/>
  <c r="Z138" i="1" s="1"/>
  <c r="AB138" i="1" s="1"/>
  <c r="Y193" i="1"/>
  <c r="Z193" i="1" s="1"/>
  <c r="AB193" i="1" s="1"/>
  <c r="Y80" i="1"/>
  <c r="Z80" i="1" s="1"/>
  <c r="AB80" i="1" s="1"/>
  <c r="Y128" i="1"/>
  <c r="Z128" i="1" s="1"/>
  <c r="AB128" i="1" s="1"/>
  <c r="Y145" i="1"/>
  <c r="Z145" i="1" s="1"/>
  <c r="L145" i="1" s="1"/>
  <c r="M145" i="1" s="1"/>
  <c r="Y135" i="1"/>
  <c r="Z135" i="1" s="1"/>
  <c r="AB135" i="1" s="1"/>
  <c r="Y131" i="1"/>
  <c r="Z131" i="1" s="1"/>
  <c r="AB131" i="1" s="1"/>
  <c r="Y179" i="1"/>
  <c r="Z179" i="1" s="1"/>
  <c r="AB179" i="1" s="1"/>
  <c r="Y71" i="1"/>
  <c r="Z71" i="1" s="1"/>
  <c r="AB71" i="1" s="1"/>
  <c r="Y148" i="1"/>
  <c r="Z148" i="1" s="1"/>
  <c r="AB148" i="1" s="1"/>
  <c r="Y181" i="1"/>
  <c r="Z181" i="1" s="1"/>
  <c r="AB181" i="1" s="1"/>
  <c r="Y21" i="1"/>
  <c r="Z21" i="1" s="1"/>
  <c r="L21" i="1" s="1"/>
  <c r="M21" i="1" s="1"/>
  <c r="Y117" i="1"/>
  <c r="Z117" i="1" s="1"/>
  <c r="L117" i="1" s="1"/>
  <c r="M117" i="1" s="1"/>
  <c r="Y89" i="1"/>
  <c r="Z89" i="1" s="1"/>
  <c r="AB89" i="1" s="1"/>
  <c r="Y203" i="1"/>
  <c r="Z203" i="1" s="1"/>
  <c r="L203" i="1" s="1"/>
  <c r="M203" i="1" s="1"/>
  <c r="Y76" i="1"/>
  <c r="Z76" i="1" s="1"/>
  <c r="L76" i="1" s="1"/>
  <c r="M76" i="1" s="1"/>
  <c r="Y100" i="1"/>
  <c r="Z100" i="1" s="1"/>
  <c r="AB100" i="1" s="1"/>
  <c r="Y87" i="1"/>
  <c r="Z87" i="1" s="1"/>
  <c r="AB87" i="1" s="1"/>
  <c r="Y158" i="1"/>
  <c r="Z158" i="1" s="1"/>
  <c r="AB158" i="1" s="1"/>
  <c r="Y146" i="1"/>
  <c r="Z146" i="1" s="1"/>
  <c r="L146" i="1" s="1"/>
  <c r="M146" i="1" s="1"/>
  <c r="Y106" i="1"/>
  <c r="Z106" i="1" s="1"/>
  <c r="L106" i="1" s="1"/>
  <c r="M106" i="1" s="1"/>
  <c r="Y143" i="1"/>
  <c r="Z143" i="1" s="1"/>
  <c r="AB143" i="1" s="1"/>
  <c r="Y174" i="1"/>
  <c r="Z174" i="1" s="1"/>
  <c r="AB174" i="1" s="1"/>
  <c r="Y206" i="1"/>
  <c r="Z206" i="1" s="1"/>
  <c r="L206" i="1" s="1"/>
  <c r="M206" i="1" s="1"/>
  <c r="Y34" i="1"/>
  <c r="Z34" i="1" s="1"/>
  <c r="AB34" i="1" s="1"/>
  <c r="Y37" i="1"/>
  <c r="Z37" i="1" s="1"/>
  <c r="AB37" i="1" s="1"/>
  <c r="Y99" i="1"/>
  <c r="Z99" i="1" s="1"/>
  <c r="AB99" i="1" s="1"/>
  <c r="Y142" i="1"/>
  <c r="Z142" i="1" s="1"/>
  <c r="AB142" i="1" s="1"/>
  <c r="Y18" i="1"/>
  <c r="Z18" i="1" s="1"/>
  <c r="L18" i="1" s="1"/>
  <c r="M18" i="1" s="1"/>
  <c r="Y20" i="1"/>
  <c r="Z20" i="1" s="1"/>
  <c r="AB20" i="1" s="1"/>
  <c r="Y204" i="1"/>
  <c r="Z204" i="1" s="1"/>
  <c r="AB204" i="1" s="1"/>
  <c r="Y22" i="1"/>
  <c r="Z22" i="1" s="1"/>
  <c r="L22" i="1" s="1"/>
  <c r="M22" i="1" s="1"/>
  <c r="Y53" i="1"/>
  <c r="Z53" i="1" s="1"/>
  <c r="AB53" i="1" s="1"/>
  <c r="Y190" i="1"/>
  <c r="Z190" i="1" s="1"/>
  <c r="AB190" i="1" s="1"/>
  <c r="Y35" i="1"/>
  <c r="Z35" i="1" s="1"/>
  <c r="L35" i="1" s="1"/>
  <c r="M35" i="1" s="1"/>
  <c r="Y130" i="1"/>
  <c r="Z130" i="1" s="1"/>
  <c r="AB130" i="1" s="1"/>
  <c r="Y153" i="1"/>
  <c r="Z153" i="1" s="1"/>
  <c r="AB153" i="1" s="1"/>
  <c r="Y196" i="1"/>
  <c r="Z196" i="1" s="1"/>
  <c r="L196" i="1" s="1"/>
  <c r="M196" i="1" s="1"/>
  <c r="Y156" i="1"/>
  <c r="Z156" i="1" s="1"/>
  <c r="Y73" i="1"/>
  <c r="Z73" i="1" s="1"/>
  <c r="Y126" i="1"/>
  <c r="Z126" i="1" s="1"/>
  <c r="Y81" i="1"/>
  <c r="Z81" i="1" s="1"/>
  <c r="Y200" i="1"/>
  <c r="Z200" i="1" s="1"/>
  <c r="Y175" i="1"/>
  <c r="Z175" i="1" s="1"/>
  <c r="AB175" i="1" s="1"/>
  <c r="Y114" i="1"/>
  <c r="Z114" i="1" s="1"/>
  <c r="Y199" i="1"/>
  <c r="Z199" i="1" s="1"/>
  <c r="Y139" i="1"/>
  <c r="Z139" i="1" s="1"/>
  <c r="Y27" i="1"/>
  <c r="Z27" i="1" s="1"/>
  <c r="Y119" i="1"/>
  <c r="Z119" i="1" s="1"/>
  <c r="Y150" i="1"/>
  <c r="Z150" i="1" s="1"/>
  <c r="M210" i="1"/>
  <c r="Y82" i="1"/>
  <c r="Z82" i="1" s="1"/>
  <c r="Y177" i="1"/>
  <c r="Z177" i="1" s="1"/>
  <c r="Y149" i="1"/>
  <c r="Z149" i="1" s="1"/>
  <c r="Y118" i="1"/>
  <c r="Z118" i="1" s="1"/>
  <c r="L78" i="1" l="1"/>
  <c r="M78" i="1" s="1"/>
  <c r="B62" i="4"/>
  <c r="AB184" i="1"/>
  <c r="AB185" i="1"/>
  <c r="L185" i="1"/>
  <c r="M185" i="1" s="1"/>
  <c r="AB172" i="1"/>
  <c r="L173" i="1"/>
  <c r="M173" i="1" s="1"/>
  <c r="L169" i="1"/>
  <c r="M169" i="1" s="1"/>
  <c r="L168" i="1"/>
  <c r="M168" i="1" s="1"/>
  <c r="L170" i="1"/>
  <c r="M170" i="1" s="1"/>
  <c r="L171" i="1"/>
  <c r="M171" i="1" s="1"/>
  <c r="AB165" i="1"/>
  <c r="AB167" i="1"/>
  <c r="L164" i="1"/>
  <c r="M164" i="1" s="1"/>
  <c r="AB166" i="1"/>
  <c r="L166" i="1"/>
  <c r="M166" i="1" s="1"/>
  <c r="L97" i="1"/>
  <c r="M97" i="1" s="1"/>
  <c r="AB96" i="1"/>
  <c r="L95" i="1"/>
  <c r="M95" i="1" s="1"/>
  <c r="L92" i="1"/>
  <c r="M92" i="1" s="1"/>
  <c r="AB94" i="1"/>
  <c r="L94" i="1"/>
  <c r="M94" i="1" s="1"/>
  <c r="AB93" i="1"/>
  <c r="L93" i="1"/>
  <c r="M93" i="1" s="1"/>
  <c r="L45" i="1"/>
  <c r="M45" i="1" s="1"/>
  <c r="AB129" i="1"/>
  <c r="L54" i="1"/>
  <c r="M54" i="1" s="1"/>
  <c r="L104" i="1"/>
  <c r="M104" i="1" s="1"/>
  <c r="L74" i="1"/>
  <c r="M74" i="1" s="1"/>
  <c r="L28" i="1"/>
  <c r="M28" i="1" s="1"/>
  <c r="AB42" i="1"/>
  <c r="L180" i="1"/>
  <c r="M180" i="1" s="1"/>
  <c r="L30" i="1"/>
  <c r="M30" i="1" s="1"/>
  <c r="AB66" i="1"/>
  <c r="AB24" i="1"/>
  <c r="AB144" i="1"/>
  <c r="AB33" i="1"/>
  <c r="L122" i="1"/>
  <c r="M122" i="1" s="1"/>
  <c r="L23" i="1"/>
  <c r="M23" i="1" s="1"/>
  <c r="AB103" i="1"/>
  <c r="AB162" i="1"/>
  <c r="L137" i="1"/>
  <c r="M137" i="1" s="1"/>
  <c r="AB72" i="1"/>
  <c r="AB31" i="1"/>
  <c r="AB160" i="1"/>
  <c r="L86" i="1"/>
  <c r="M86" i="1" s="1"/>
  <c r="L186" i="1"/>
  <c r="M186" i="1" s="1"/>
  <c r="L109" i="1"/>
  <c r="M109" i="1" s="1"/>
  <c r="AB21" i="1"/>
  <c r="AB52" i="1"/>
  <c r="L63" i="1"/>
  <c r="M63" i="1" s="1"/>
  <c r="L151" i="1"/>
  <c r="M151" i="1" s="1"/>
  <c r="L85" i="1"/>
  <c r="M85" i="1" s="1"/>
  <c r="L79" i="1"/>
  <c r="M79" i="1" s="1"/>
  <c r="L136" i="1"/>
  <c r="M136" i="1" s="1"/>
  <c r="L202" i="1"/>
  <c r="M202" i="1" s="1"/>
  <c r="AB62" i="1"/>
  <c r="L101" i="1"/>
  <c r="M101" i="1" s="1"/>
  <c r="AB201" i="1"/>
  <c r="L112" i="1"/>
  <c r="M112" i="1" s="1"/>
  <c r="AB39" i="1"/>
  <c r="AB192" i="1"/>
  <c r="L111" i="1"/>
  <c r="M111" i="1" s="1"/>
  <c r="AB64" i="1"/>
  <c r="L26" i="1"/>
  <c r="M26" i="1" s="1"/>
  <c r="L46" i="1"/>
  <c r="M46" i="1" s="1"/>
  <c r="L47" i="1"/>
  <c r="M47" i="1" s="1"/>
  <c r="L77" i="1"/>
  <c r="M77" i="1" s="1"/>
  <c r="AB88" i="1"/>
  <c r="L67" i="1"/>
  <c r="M67" i="1" s="1"/>
  <c r="AB105" i="1"/>
  <c r="L163" i="1"/>
  <c r="M163" i="1" s="1"/>
  <c r="AB107" i="1"/>
  <c r="AB125" i="1"/>
  <c r="L38" i="1"/>
  <c r="M38" i="1" s="1"/>
  <c r="L68" i="1"/>
  <c r="M68" i="1" s="1"/>
  <c r="AB194" i="1"/>
  <c r="AB59" i="1"/>
  <c r="AB44" i="1"/>
  <c r="AB108" i="1"/>
  <c r="AB206" i="1"/>
  <c r="L55" i="1"/>
  <c r="M55" i="1" s="1"/>
  <c r="AB146" i="1"/>
  <c r="L115" i="1"/>
  <c r="M115" i="1" s="1"/>
  <c r="L58" i="1"/>
  <c r="M58" i="1" s="1"/>
  <c r="AB127" i="1"/>
  <c r="AB41" i="1"/>
  <c r="AB157" i="1"/>
  <c r="L142" i="1"/>
  <c r="M142" i="1" s="1"/>
  <c r="AB140" i="1"/>
  <c r="AB120" i="1"/>
  <c r="AB50" i="1"/>
  <c r="L131" i="1"/>
  <c r="M131" i="1" s="1"/>
  <c r="L128" i="1"/>
  <c r="M128" i="1" s="1"/>
  <c r="AB36" i="1"/>
  <c r="L116" i="1"/>
  <c r="M116" i="1" s="1"/>
  <c r="L100" i="1"/>
  <c r="M100" i="1" s="1"/>
  <c r="L113" i="1"/>
  <c r="M113" i="1" s="1"/>
  <c r="AB124" i="1"/>
  <c r="AB76" i="1"/>
  <c r="AB75" i="1"/>
  <c r="L207" i="1"/>
  <c r="M207" i="1" s="1"/>
  <c r="L98" i="1"/>
  <c r="M98" i="1" s="1"/>
  <c r="L83" i="1"/>
  <c r="M83" i="1" s="1"/>
  <c r="L189" i="1"/>
  <c r="M189" i="1" s="1"/>
  <c r="AB152" i="1"/>
  <c r="L25" i="1"/>
  <c r="M25" i="1" s="1"/>
  <c r="L193" i="1"/>
  <c r="M193" i="1" s="1"/>
  <c r="L183" i="1"/>
  <c r="M183" i="1" s="1"/>
  <c r="L178" i="1"/>
  <c r="M178" i="1" s="1"/>
  <c r="L87" i="1"/>
  <c r="M87" i="1" s="1"/>
  <c r="L69" i="1"/>
  <c r="M69" i="1" s="1"/>
  <c r="L56" i="1"/>
  <c r="M56" i="1" s="1"/>
  <c r="L71" i="1"/>
  <c r="M71" i="1" s="1"/>
  <c r="L53" i="1"/>
  <c r="M53" i="1" s="1"/>
  <c r="AB22" i="1"/>
  <c r="AB117" i="1"/>
  <c r="L138" i="1"/>
  <c r="M138" i="1" s="1"/>
  <c r="AB35" i="1"/>
  <c r="L34" i="1"/>
  <c r="M34" i="1" s="1"/>
  <c r="L123" i="1"/>
  <c r="M123" i="1" s="1"/>
  <c r="L153" i="1"/>
  <c r="M153" i="1" s="1"/>
  <c r="AB141" i="1"/>
  <c r="AB18" i="1"/>
  <c r="AB106" i="1"/>
  <c r="L205" i="1"/>
  <c r="M205" i="1" s="1"/>
  <c r="AB134" i="1"/>
  <c r="L161" i="1"/>
  <c r="M161" i="1" s="1"/>
  <c r="L188" i="1"/>
  <c r="M188" i="1" s="1"/>
  <c r="L29" i="1"/>
  <c r="M29" i="1" s="1"/>
  <c r="L110" i="1"/>
  <c r="M110" i="1" s="1"/>
  <c r="L198" i="1"/>
  <c r="M198" i="1" s="1"/>
  <c r="L32" i="1"/>
  <c r="M32" i="1" s="1"/>
  <c r="AB145" i="1"/>
  <c r="L57" i="1"/>
  <c r="M57" i="1" s="1"/>
  <c r="L133" i="1"/>
  <c r="M133" i="1" s="1"/>
  <c r="L174" i="1"/>
  <c r="M174" i="1" s="1"/>
  <c r="L80" i="1"/>
  <c r="M80" i="1" s="1"/>
  <c r="L204" i="1"/>
  <c r="M204" i="1" s="1"/>
  <c r="L37" i="1"/>
  <c r="M37" i="1" s="1"/>
  <c r="L40" i="1"/>
  <c r="M40" i="1" s="1"/>
  <c r="L132" i="1"/>
  <c r="M132" i="1" s="1"/>
  <c r="L49" i="1"/>
  <c r="M49" i="1" s="1"/>
  <c r="L158" i="1"/>
  <c r="M158" i="1" s="1"/>
  <c r="L89" i="1"/>
  <c r="M89" i="1" s="1"/>
  <c r="L148" i="1"/>
  <c r="M148" i="1" s="1"/>
  <c r="L182" i="1"/>
  <c r="M182" i="1" s="1"/>
  <c r="L154" i="1"/>
  <c r="M154" i="1" s="1"/>
  <c r="L84" i="1"/>
  <c r="M84" i="1" s="1"/>
  <c r="AB19" i="1"/>
  <c r="AB196" i="1"/>
  <c r="AB48" i="1"/>
  <c r="L135" i="1"/>
  <c r="M135" i="1" s="1"/>
  <c r="L90" i="1"/>
  <c r="M90" i="1" s="1"/>
  <c r="L91" i="1"/>
  <c r="M91" i="1" s="1"/>
  <c r="L121" i="1"/>
  <c r="M121" i="1" s="1"/>
  <c r="L20" i="1"/>
  <c r="M20" i="1" s="1"/>
  <c r="L143" i="1"/>
  <c r="M143" i="1" s="1"/>
  <c r="L190" i="1"/>
  <c r="M190" i="1" s="1"/>
  <c r="L51" i="1"/>
  <c r="M51" i="1" s="1"/>
  <c r="L70" i="1"/>
  <c r="M70" i="1" s="1"/>
  <c r="L155" i="1"/>
  <c r="M155" i="1" s="1"/>
  <c r="AB147" i="1"/>
  <c r="L61" i="1"/>
  <c r="M61" i="1" s="1"/>
  <c r="L181" i="1"/>
  <c r="M181" i="1" s="1"/>
  <c r="L65" i="1"/>
  <c r="M65" i="1" s="1"/>
  <c r="L43" i="1"/>
  <c r="M43" i="1" s="1"/>
  <c r="L60" i="1"/>
  <c r="M60" i="1" s="1"/>
  <c r="L159" i="1"/>
  <c r="M159" i="1" s="1"/>
  <c r="L197" i="1"/>
  <c r="M197" i="1" s="1"/>
  <c r="L176" i="1"/>
  <c r="M176" i="1" s="1"/>
  <c r="L102" i="1"/>
  <c r="M102" i="1" s="1"/>
  <c r="L179" i="1"/>
  <c r="M179" i="1" s="1"/>
  <c r="AB203" i="1"/>
  <c r="AB177" i="1"/>
  <c r="L177" i="1"/>
  <c r="M177" i="1" s="1"/>
  <c r="AB200" i="1"/>
  <c r="L200" i="1"/>
  <c r="M200" i="1" s="1"/>
  <c r="AB114" i="1"/>
  <c r="L114" i="1"/>
  <c r="M114" i="1" s="1"/>
  <c r="AB156" i="1"/>
  <c r="L156" i="1"/>
  <c r="M156" i="1" s="1"/>
  <c r="AB118" i="1"/>
  <c r="L118" i="1"/>
  <c r="M118" i="1" s="1"/>
  <c r="AB119" i="1"/>
  <c r="L119" i="1"/>
  <c r="M119" i="1" s="1"/>
  <c r="AB149" i="1"/>
  <c r="L149" i="1"/>
  <c r="M149" i="1" s="1"/>
  <c r="AB82" i="1"/>
  <c r="L82" i="1"/>
  <c r="M82" i="1" s="1"/>
  <c r="AB27" i="1"/>
  <c r="L27" i="1"/>
  <c r="M27" i="1" s="1"/>
  <c r="AB81" i="1"/>
  <c r="L81" i="1"/>
  <c r="M81" i="1" s="1"/>
  <c r="AB139" i="1"/>
  <c r="L139" i="1"/>
  <c r="M139" i="1" s="1"/>
  <c r="AB126" i="1"/>
  <c r="L126" i="1"/>
  <c r="M126" i="1" s="1"/>
  <c r="AB150" i="1"/>
  <c r="L150" i="1"/>
  <c r="M150" i="1" s="1"/>
  <c r="L199" i="1"/>
  <c r="M199" i="1" s="1"/>
  <c r="AB199" i="1"/>
  <c r="AB73" i="1"/>
  <c r="L73" i="1"/>
  <c r="M73" i="1" s="1"/>
  <c r="M209" i="1"/>
  <c r="B63" i="4" l="1"/>
  <c r="B64" i="4"/>
  <c r="M208" i="1"/>
  <c r="M211" i="1" s="1"/>
  <c r="B65" i="4" l="1"/>
  <c r="B66" i="4" l="1"/>
  <c r="B67" i="4" l="1"/>
  <c r="B68" i="4" l="1"/>
  <c r="B69" i="4" l="1"/>
  <c r="B70" i="4" l="1"/>
  <c r="B71" i="4" l="1"/>
  <c r="B72" i="4" l="1"/>
  <c r="B73" i="4"/>
  <c r="B74" i="4" l="1"/>
  <c r="B75" i="4" l="1"/>
  <c r="B76" i="4" l="1"/>
  <c r="B77" i="4" l="1"/>
  <c r="B78" i="4" l="1"/>
  <c r="B79" i="4" l="1"/>
  <c r="B80" i="4" l="1"/>
  <c r="B81" i="4" l="1"/>
  <c r="B82" i="4" l="1"/>
  <c r="B83" i="4" l="1"/>
  <c r="B84" i="4" l="1"/>
  <c r="B85" i="4" l="1"/>
  <c r="B86" i="4" l="1"/>
  <c r="B87" i="4" l="1"/>
  <c r="B88" i="4" l="1"/>
  <c r="B89" i="4" l="1"/>
  <c r="B90" i="4" l="1"/>
  <c r="B91" i="4" l="1"/>
  <c r="B92" i="4" l="1"/>
  <c r="B93" i="4" l="1"/>
  <c r="B94" i="4" l="1"/>
  <c r="B95" i="4" l="1"/>
  <c r="B96" i="4" l="1"/>
  <c r="B97" i="4" l="1"/>
  <c r="B98" i="4" l="1"/>
  <c r="B99" i="4" l="1"/>
  <c r="B100" i="4" l="1"/>
  <c r="B101" i="4" l="1"/>
  <c r="B102" i="4" l="1"/>
  <c r="B103" i="4" l="1"/>
  <c r="B104" i="4" l="1"/>
  <c r="B105" i="4" l="1"/>
  <c r="B106" i="4" l="1"/>
  <c r="B107" i="4" l="1"/>
  <c r="B108" i="4" l="1"/>
  <c r="B109" i="4" l="1"/>
  <c r="B110" i="4" l="1"/>
  <c r="B111" i="4" l="1"/>
  <c r="B112" i="4" l="1"/>
  <c r="B113" i="4" l="1"/>
  <c r="B114" i="4" l="1"/>
  <c r="B115" i="4" l="1"/>
  <c r="B116" i="4" l="1"/>
  <c r="B117" i="4" l="1"/>
  <c r="B118" i="4" l="1"/>
  <c r="B119" i="4" l="1"/>
  <c r="B122" i="4" l="1"/>
  <c r="B120" i="4"/>
  <c r="B121" i="4" l="1"/>
  <c r="B123" i="4"/>
  <c r="B124" i="4" l="1"/>
  <c r="B125" i="4" l="1"/>
  <c r="B126" i="4" l="1"/>
  <c r="B127" i="4" l="1"/>
  <c r="B128" i="4" l="1"/>
  <c r="B129" i="4" l="1"/>
  <c r="B130" i="4" l="1"/>
  <c r="B131" i="4" l="1"/>
  <c r="B132" i="4" l="1"/>
  <c r="B152" i="4" l="1"/>
  <c r="B133" i="4"/>
  <c r="B153" i="4" l="1"/>
  <c r="B134" i="4"/>
  <c r="B154" i="4" l="1"/>
  <c r="B135" i="4"/>
  <c r="B155" i="4" l="1"/>
  <c r="B136" i="4"/>
  <c r="B157" i="4" l="1"/>
  <c r="B156" i="4"/>
  <c r="B137" i="4"/>
  <c r="B158" i="4" l="1"/>
  <c r="B138" i="4"/>
  <c r="B182" i="4" l="1"/>
  <c r="B139" i="4"/>
  <c r="B159" i="4"/>
  <c r="B183" i="4" l="1"/>
  <c r="B160" i="4"/>
  <c r="B140" i="4"/>
  <c r="B142" i="4" l="1"/>
  <c r="B181" i="4"/>
  <c r="B184" i="4"/>
  <c r="B141" i="4"/>
  <c r="B161" i="4"/>
  <c r="B143" i="4" l="1"/>
  <c r="B162" i="4"/>
  <c r="B186" i="4" l="1"/>
  <c r="B163" i="4"/>
  <c r="B144" i="4"/>
  <c r="B187" i="4" l="1"/>
  <c r="B145" i="4"/>
  <c r="B173" i="4"/>
  <c r="B164" i="4"/>
  <c r="B165" i="4" l="1"/>
  <c r="B185" i="4"/>
  <c r="B175" i="4"/>
  <c r="B174" i="4"/>
  <c r="B146" i="4"/>
  <c r="B188" i="4"/>
  <c r="B147" i="4" l="1"/>
  <c r="B176" i="4"/>
  <c r="B169" i="4"/>
  <c r="B166" i="4"/>
  <c r="B191" i="4"/>
  <c r="B177" i="4"/>
  <c r="B167" i="4" l="1"/>
  <c r="B148" i="4"/>
  <c r="B179" i="4"/>
  <c r="B170" i="4"/>
  <c r="B192" i="4"/>
  <c r="B190" i="4"/>
  <c r="B178" i="4"/>
  <c r="B171" i="4" l="1"/>
  <c r="B168" i="4"/>
  <c r="B149" i="4"/>
  <c r="B180" i="4"/>
  <c r="B193" i="4"/>
  <c r="B172" i="4" l="1"/>
  <c r="B189" i="4"/>
  <c r="B150" i="4"/>
  <c r="B194" i="4"/>
  <c r="B195" i="4" l="1"/>
  <c r="B151" i="4"/>
  <c r="B196" i="4" l="1"/>
  <c r="B197" i="4" l="1"/>
  <c r="B198" i="4"/>
  <c r="B199" i="4" l="1"/>
  <c r="B201" i="4"/>
  <c r="B200" i="4" l="1"/>
  <c r="B202" i="4"/>
  <c r="B203" i="4" l="1"/>
  <c r="B204" i="4" l="1"/>
  <c r="B205" i="4" l="1"/>
  <c r="B207" i="4" l="1"/>
  <c r="B206" i="4"/>
  <c r="B208" i="4" l="1"/>
  <c r="B209" i="4" l="1"/>
  <c r="B210" i="4"/>
  <c r="B211" i="4" l="1"/>
  <c r="B212" i="4" l="1"/>
  <c r="B213" i="4" l="1"/>
  <c r="B214" i="4" l="1"/>
  <c r="B215" i="4" l="1"/>
  <c r="B216" i="4" l="1"/>
  <c r="B217" i="4" l="1"/>
  <c r="B218" i="4" l="1"/>
  <c r="B219" i="4" l="1"/>
  <c r="B220" i="4" l="1"/>
  <c r="B221" i="4" l="1"/>
  <c r="B222" i="4" l="1"/>
  <c r="B227" i="4"/>
  <c r="B228" i="4"/>
  <c r="B226" i="4" l="1"/>
  <c r="B229" i="4"/>
  <c r="B223" i="4"/>
  <c r="B230" i="4"/>
  <c r="B232" i="4"/>
  <c r="B231" i="4"/>
  <c r="B225" i="4"/>
  <c r="B224" i="4" l="1"/>
  <c r="B233" i="4"/>
  <c r="B236" i="4" l="1"/>
  <c r="B234" i="4"/>
  <c r="B238" i="4" l="1"/>
  <c r="B235" i="4"/>
  <c r="B237" i="4"/>
  <c r="B239" i="4" l="1"/>
  <c r="B240" i="4" l="1"/>
  <c r="B243" i="4"/>
  <c r="B244" i="4" l="1"/>
  <c r="B241" i="4"/>
  <c r="B246" i="4" l="1"/>
  <c r="B245" i="4"/>
  <c r="B242" i="4"/>
  <c r="B247" i="4" l="1"/>
  <c r="B248" i="4" l="1"/>
  <c r="B249" i="4" l="1"/>
  <c r="B250" i="4"/>
  <c r="B253" i="4" l="1"/>
  <c r="B251" i="4"/>
  <c r="B252" i="4"/>
  <c r="B254" i="4" l="1"/>
  <c r="B255" i="4" l="1"/>
  <c r="B257" i="4" l="1"/>
  <c r="B264" i="4"/>
  <c r="B259" i="4"/>
  <c r="B256" i="4"/>
  <c r="B260" i="4" l="1"/>
  <c r="B258" i="4"/>
  <c r="B265" i="4"/>
  <c r="B266" i="4" l="1"/>
  <c r="B267" i="4"/>
  <c r="B261" i="4"/>
  <c r="B262" i="4" l="1"/>
  <c r="B268" i="4"/>
  <c r="B269" i="4" l="1"/>
  <c r="B270" i="4"/>
  <c r="B263" i="4"/>
  <c r="B271" i="4" l="1"/>
  <c r="B273" i="4"/>
  <c r="B272" i="4" l="1"/>
  <c r="B274" i="4"/>
  <c r="B280" i="4" l="1"/>
  <c r="B279" i="4"/>
  <c r="B275" i="4"/>
  <c r="B277" i="4" l="1"/>
  <c r="B276" i="4"/>
  <c r="B281" i="4"/>
  <c r="B278" i="4" l="1"/>
  <c r="B282" i="4"/>
  <c r="B284" i="4" l="1"/>
  <c r="B283" i="4"/>
  <c r="B285" i="4" l="1"/>
  <c r="B286" i="4" l="1"/>
  <c r="B287" i="4" l="1"/>
  <c r="B288" i="4" l="1"/>
  <c r="B289" i="4" l="1"/>
  <c r="B290" i="4" l="1"/>
  <c r="B291" i="4" l="1"/>
  <c r="B299" i="4"/>
  <c r="B300" i="4" l="1"/>
  <c r="B292" i="4"/>
  <c r="B297" i="4" l="1"/>
  <c r="B301" i="4"/>
  <c r="B294" i="4"/>
  <c r="B296" i="4"/>
  <c r="B295" i="4"/>
  <c r="B293" i="4"/>
  <c r="B302" i="4"/>
  <c r="B298" i="4" l="1"/>
  <c r="B303" i="4"/>
  <c r="B305" i="4" l="1"/>
  <c r="B304" i="4"/>
  <c r="B306" i="4" l="1"/>
  <c r="B307" i="4" l="1"/>
  <c r="B310" i="4" l="1"/>
  <c r="B308" i="4"/>
  <c r="B309" i="4"/>
  <c r="B311" i="4" l="1"/>
  <c r="B312" i="4" l="1"/>
  <c r="B314" i="4" l="1"/>
  <c r="B313" i="4"/>
  <c r="B315" i="4" l="1"/>
  <c r="B317" i="4"/>
  <c r="B318" i="4" l="1"/>
  <c r="B316" i="4"/>
  <c r="B319" i="4" l="1"/>
  <c r="B320" i="4" l="1"/>
  <c r="B321" i="4" l="1"/>
  <c r="B322" i="4" l="1"/>
  <c r="B323" i="4" l="1"/>
  <c r="B325" i="4" l="1"/>
  <c r="B324" i="4"/>
  <c r="B326" i="4" l="1"/>
  <c r="B327" i="4" l="1"/>
  <c r="B328" i="4" l="1"/>
  <c r="B329" i="4" l="1"/>
  <c r="B330" i="4" l="1"/>
  <c r="B331" i="4" l="1"/>
  <c r="B332" i="4" l="1"/>
  <c r="B333" i="4" l="1"/>
  <c r="B334" i="4" l="1"/>
  <c r="B335" i="4" l="1"/>
  <c r="B336" i="4" s="1"/>
  <c r="B337" i="4" s="1"/>
  <c r="B338" i="4" s="1"/>
  <c r="B339" i="4" s="1"/>
  <c r="B340" i="4" s="1"/>
  <c r="B341" i="4" s="1"/>
  <c r="B342" i="4" s="1"/>
  <c r="B343" i="4" s="1"/>
  <c r="B344" i="4" s="1"/>
  <c r="B345" i="4" s="1"/>
  <c r="B346" i="4" s="1"/>
  <c r="B347" i="4" s="1"/>
  <c r="B348" i="4" s="1"/>
  <c r="B349" i="4" s="1"/>
  <c r="B350" i="4" s="1"/>
  <c r="B351" i="4" s="1"/>
  <c r="B352" i="4" s="1"/>
  <c r="B353" i="4" s="1"/>
  <c r="B354" i="4" s="1"/>
  <c r="B355" i="4" s="1"/>
  <c r="B356" i="4" s="1"/>
  <c r="B357" i="4" s="1"/>
  <c r="B358" i="4" s="1"/>
  <c r="B359" i="4" s="1"/>
  <c r="B360" i="4" s="1"/>
  <c r="B361" i="4" s="1"/>
  <c r="B362" i="4" s="1"/>
  <c r="B363" i="4" s="1"/>
  <c r="B364" i="4" s="1"/>
  <c r="B365" i="4" s="1"/>
  <c r="B366" i="4" s="1"/>
  <c r="B367" i="4" s="1"/>
  <c r="B368" i="4" s="1"/>
  <c r="B369" i="4" s="1"/>
  <c r="B370" i="4" s="1"/>
  <c r="B371" i="4" s="1"/>
  <c r="B372" i="4" s="1"/>
  <c r="B373" i="4" s="1"/>
  <c r="B374" i="4" s="1"/>
  <c r="B375" i="4" s="1"/>
  <c r="B376" i="4" s="1"/>
  <c r="B377" i="4" s="1"/>
  <c r="B378" i="4" s="1"/>
  <c r="B379" i="4" s="1"/>
  <c r="B380" i="4" s="1"/>
  <c r="B381" i="4" s="1"/>
  <c r="B382" i="4" s="1"/>
  <c r="B383" i="4" s="1"/>
  <c r="B384" i="4" s="1"/>
  <c r="B385" i="4" s="1"/>
  <c r="B386" i="4" s="1"/>
  <c r="B387" i="4" s="1"/>
  <c r="B388" i="4" s="1"/>
  <c r="B389" i="4" s="1"/>
  <c r="B390" i="4" s="1"/>
  <c r="B391" i="4" s="1"/>
  <c r="B392" i="4" s="1"/>
  <c r="B393" i="4" s="1"/>
  <c r="B394" i="4" s="1"/>
  <c r="B395" i="4" s="1"/>
  <c r="B396" i="4" s="1"/>
</calcChain>
</file>

<file path=xl/sharedStrings.xml><?xml version="1.0" encoding="utf-8"?>
<sst xmlns="http://schemas.openxmlformats.org/spreadsheetml/2006/main" count="21437" uniqueCount="5031">
  <si>
    <t>UNIDAD</t>
  </si>
  <si>
    <t>CANTIDAD</t>
  </si>
  <si>
    <t>VALOR UNITARIO</t>
  </si>
  <si>
    <t>UN</t>
  </si>
  <si>
    <t>UTILIDAD</t>
  </si>
  <si>
    <t>COSTO TOTAL</t>
  </si>
  <si>
    <t>CODIGO</t>
  </si>
  <si>
    <t>DESCRIPCION</t>
  </si>
  <si>
    <t>-</t>
  </si>
  <si>
    <t>MGDM1</t>
  </si>
  <si>
    <t>Abrazadera de 6-7</t>
  </si>
  <si>
    <t>MSGDM1</t>
  </si>
  <si>
    <t>Un</t>
  </si>
  <si>
    <t>MGDM2</t>
  </si>
  <si>
    <t>Abrazadera de 7-8</t>
  </si>
  <si>
    <t>MSGDM2</t>
  </si>
  <si>
    <t>MGDM3</t>
  </si>
  <si>
    <t>Abrazadera de 8-9</t>
  </si>
  <si>
    <t>MSGDM3</t>
  </si>
  <si>
    <t>MGDM4</t>
  </si>
  <si>
    <t>Abrazadera Doble Ala</t>
  </si>
  <si>
    <t>MSGDM4</t>
  </si>
  <si>
    <t>MGDM5</t>
  </si>
  <si>
    <t>Accesorios De Fijación</t>
  </si>
  <si>
    <t>MSGDM5</t>
  </si>
  <si>
    <t>MGDM6</t>
  </si>
  <si>
    <t>Acero De Refuerzo</t>
  </si>
  <si>
    <t>MSGDM6</t>
  </si>
  <si>
    <t>MGDM7</t>
  </si>
  <si>
    <t>Acople de explosión 1 1/2"</t>
  </si>
  <si>
    <t>MSGDM7</t>
  </si>
  <si>
    <t>MGDM8</t>
  </si>
  <si>
    <t>Acople de explosión 1"</t>
  </si>
  <si>
    <t>MSGDM8</t>
  </si>
  <si>
    <t>MGDM9</t>
  </si>
  <si>
    <t>Acople de explosión 1/2"</t>
  </si>
  <si>
    <t>MSGDM9</t>
  </si>
  <si>
    <t>MGDM10</t>
  </si>
  <si>
    <t>Acople de explosión 2"</t>
  </si>
  <si>
    <t>MSGDM10</t>
  </si>
  <si>
    <t>MGDM11</t>
  </si>
  <si>
    <t>Acople de explosión 3/4"</t>
  </si>
  <si>
    <t>MSGDM11</t>
  </si>
  <si>
    <t>MGDM12</t>
  </si>
  <si>
    <t>Acrílico</t>
  </si>
  <si>
    <t>MSGDM12</t>
  </si>
  <si>
    <t>M2</t>
  </si>
  <si>
    <t>MGDM13</t>
  </si>
  <si>
    <t>Adaptador Hembra PVC 1 1/2"</t>
  </si>
  <si>
    <t>MSGDM13</t>
  </si>
  <si>
    <t>MGDM14</t>
  </si>
  <si>
    <t>Adaptador Hembra PVC 1 1/4"</t>
  </si>
  <si>
    <t>MSGDM14</t>
  </si>
  <si>
    <t>MGDM15</t>
  </si>
  <si>
    <t>Adaptador Hembra PVC 1"</t>
  </si>
  <si>
    <t>MSGDM15</t>
  </si>
  <si>
    <t>MGDM16</t>
  </si>
  <si>
    <t>Adaptador Hembra PVC 2"</t>
  </si>
  <si>
    <t>MSGDM16</t>
  </si>
  <si>
    <t>MGDM17</t>
  </si>
  <si>
    <t>Adaptador Hembra PVC 3"</t>
  </si>
  <si>
    <t>MSGDM17</t>
  </si>
  <si>
    <t>MGDM18</t>
  </si>
  <si>
    <t>Adaptador Hembra PVC 3/4"</t>
  </si>
  <si>
    <t>MSGDM18</t>
  </si>
  <si>
    <t>MGDM19</t>
  </si>
  <si>
    <t>Adaptador Hembra PVC1/2"</t>
  </si>
  <si>
    <t>MSGDM19</t>
  </si>
  <si>
    <t>MGDM20</t>
  </si>
  <si>
    <t>Adaptador Hembra PVC4"</t>
  </si>
  <si>
    <t>MSGDM20</t>
  </si>
  <si>
    <t>MGDM21</t>
  </si>
  <si>
    <t>Adaptador Terminal PVC 1 1/2"</t>
  </si>
  <si>
    <t>MSGDM21</t>
  </si>
  <si>
    <t>MGDM22</t>
  </si>
  <si>
    <t>Adaptador Terminal PVC 1 1/4"</t>
  </si>
  <si>
    <t>MSGDM22</t>
  </si>
  <si>
    <t>MGDM23</t>
  </si>
  <si>
    <t>Adaptador Terminal PVC 1"</t>
  </si>
  <si>
    <t>MSGDM23</t>
  </si>
  <si>
    <t>MGDM24</t>
  </si>
  <si>
    <t>Adaptador Terminal PVC 1/2"</t>
  </si>
  <si>
    <t>MSGDM24</t>
  </si>
  <si>
    <t>MGDM25</t>
  </si>
  <si>
    <t>Adaptador Terminal PVC 2"</t>
  </si>
  <si>
    <t>MSGDM25</t>
  </si>
  <si>
    <t>MGDM26</t>
  </si>
  <si>
    <t>Adaptador Terminal PVC 3"</t>
  </si>
  <si>
    <t>MSGDM26</t>
  </si>
  <si>
    <t>MGDM27</t>
  </si>
  <si>
    <t>Adaptador Terminal PVC 3/4"</t>
  </si>
  <si>
    <t>MSGDM27</t>
  </si>
  <si>
    <t>MGDM28</t>
  </si>
  <si>
    <t>Adaptador Terminal PVC 4"</t>
  </si>
  <si>
    <t>MSGDM28</t>
  </si>
  <si>
    <t>MGDM29</t>
  </si>
  <si>
    <t>Agua</t>
  </si>
  <si>
    <t>MSGDM29</t>
  </si>
  <si>
    <t>Lt</t>
  </si>
  <si>
    <t>MGDM30</t>
  </si>
  <si>
    <t>Aislador Para Barraje</t>
  </si>
  <si>
    <t>MSGDM30</t>
  </si>
  <si>
    <t>MGDM31</t>
  </si>
  <si>
    <t>Aislador Polimérico 13.2 kv</t>
  </si>
  <si>
    <t>MSGDM31</t>
  </si>
  <si>
    <t>MGDM32</t>
  </si>
  <si>
    <t>Aislador Polimérico 7.2 kv</t>
  </si>
  <si>
    <t>MSGDM32</t>
  </si>
  <si>
    <t>MGDM33</t>
  </si>
  <si>
    <t>Aislador Polimérico De Retención para 13.2kv.</t>
  </si>
  <si>
    <t>MSGDM33</t>
  </si>
  <si>
    <t>MGDM34</t>
  </si>
  <si>
    <t>Aislador Polimérico De Retención para 24kv.</t>
  </si>
  <si>
    <t>MSGDM34</t>
  </si>
  <si>
    <t>MGDM35</t>
  </si>
  <si>
    <t>Aislador Polimérico para 4160v</t>
  </si>
  <si>
    <t>MSGDM35</t>
  </si>
  <si>
    <t>MGDM36</t>
  </si>
  <si>
    <t>Aislador Post-Line para 13,2kv</t>
  </si>
  <si>
    <t>MSGDM36</t>
  </si>
  <si>
    <t>MGDM37</t>
  </si>
  <si>
    <t>Aislador Post-Line para 24kv</t>
  </si>
  <si>
    <t>MSGDM37</t>
  </si>
  <si>
    <t>MGDM38</t>
  </si>
  <si>
    <t>Aislador Post-Line para 34kv</t>
  </si>
  <si>
    <t>MSGDM38</t>
  </si>
  <si>
    <t>MGDM39</t>
  </si>
  <si>
    <t>Aislador Post-Line para 4160kv</t>
  </si>
  <si>
    <t>MSGDM39</t>
  </si>
  <si>
    <t>MGDM40</t>
  </si>
  <si>
    <t>Aisladores para barraje 25mm</t>
  </si>
  <si>
    <t>MSGDM40</t>
  </si>
  <si>
    <t>MGDM41</t>
  </si>
  <si>
    <t>Aisladores para barraje 30 mm</t>
  </si>
  <si>
    <t>MSGDM41</t>
  </si>
  <si>
    <t>MGDM42</t>
  </si>
  <si>
    <t>Aisladores para barraje 35 mm</t>
  </si>
  <si>
    <t>MSGDM42</t>
  </si>
  <si>
    <t>MGDM43</t>
  </si>
  <si>
    <t>Aisladores para barraje 51 mm</t>
  </si>
  <si>
    <t>MSGDM43</t>
  </si>
  <si>
    <t>MGDM44</t>
  </si>
  <si>
    <t>Aislador Tensor 3"</t>
  </si>
  <si>
    <t>MSGDM44</t>
  </si>
  <si>
    <t>MGDM45</t>
  </si>
  <si>
    <t>Aislador Tensor 4"</t>
  </si>
  <si>
    <t>MSGDM45</t>
  </si>
  <si>
    <t>MGDM46</t>
  </si>
  <si>
    <t>Aisladores De Disco 10"</t>
  </si>
  <si>
    <t>MSGDM46</t>
  </si>
  <si>
    <t>MGDM47</t>
  </si>
  <si>
    <t>Aisladores Multipart (line post)</t>
  </si>
  <si>
    <t>MSGDM47</t>
  </si>
  <si>
    <t>MGDM48</t>
  </si>
  <si>
    <t>Aisladores Tipo Carrete 3 3/8"</t>
  </si>
  <si>
    <t>MSGDM48</t>
  </si>
  <si>
    <t>MGDM49</t>
  </si>
  <si>
    <t>Ajustador PINTUCO ref. 121.135</t>
  </si>
  <si>
    <t>MSGDM49</t>
  </si>
  <si>
    <t>Kg</t>
  </si>
  <si>
    <t>MGDM50</t>
  </si>
  <si>
    <t>Alambre cobre desnudo # 10</t>
  </si>
  <si>
    <t>MSGDM50</t>
  </si>
  <si>
    <t>MTS</t>
  </si>
  <si>
    <t>MGDM51</t>
  </si>
  <si>
    <t>Alambre cobre desnudo # 12</t>
  </si>
  <si>
    <t>MSGDM51</t>
  </si>
  <si>
    <t>MGDM52</t>
  </si>
  <si>
    <t>Alambre De Cobre Desnudo #10 AWG</t>
  </si>
  <si>
    <t>MSGDM52</t>
  </si>
  <si>
    <t>Ml</t>
  </si>
  <si>
    <t>MGDM53</t>
  </si>
  <si>
    <t>Alambre De Cobre Desnudo #12 AWG</t>
  </si>
  <si>
    <t>MSGDM53</t>
  </si>
  <si>
    <t>MGDM54</t>
  </si>
  <si>
    <t>Alambre forrado THWN # 10</t>
  </si>
  <si>
    <t>MSGDM54</t>
  </si>
  <si>
    <t>MGDM55</t>
  </si>
  <si>
    <t>Alambre forrado THWN # 12</t>
  </si>
  <si>
    <t>MSGDM55</t>
  </si>
  <si>
    <t>MGDM56</t>
  </si>
  <si>
    <t>Alambre forrado THWN # 14</t>
  </si>
  <si>
    <t>MSGDM56</t>
  </si>
  <si>
    <t>MGDM57</t>
  </si>
  <si>
    <t>Alambre Negro No.18</t>
  </si>
  <si>
    <t>MSGDM57</t>
  </si>
  <si>
    <t>MGDM58</t>
  </si>
  <si>
    <t>Alambre No 10 THHN Amarillo</t>
  </si>
  <si>
    <t>MSGDM58</t>
  </si>
  <si>
    <t>MGDM59</t>
  </si>
  <si>
    <t>Alambre No 10 THHN Azul</t>
  </si>
  <si>
    <t>MSGDM59</t>
  </si>
  <si>
    <t>MGDM60</t>
  </si>
  <si>
    <t>Alambre No 10 THHN Blanco</t>
  </si>
  <si>
    <t>MSGDM60</t>
  </si>
  <si>
    <t>MGDM61</t>
  </si>
  <si>
    <t>Alambre No 10 THHN Negro</t>
  </si>
  <si>
    <t>MSGDM61</t>
  </si>
  <si>
    <t>MGDM62</t>
  </si>
  <si>
    <t>Alambre No 10 THHN Rojo</t>
  </si>
  <si>
    <t>MSGDM62</t>
  </si>
  <si>
    <t>MGDM63</t>
  </si>
  <si>
    <t>Alambre No 12 THHN Amarillo</t>
  </si>
  <si>
    <t>MSGDM63</t>
  </si>
  <si>
    <t>MGDM64</t>
  </si>
  <si>
    <t>Alambre No 12 THHN Azul</t>
  </si>
  <si>
    <t>MSGDM64</t>
  </si>
  <si>
    <t>MGDM65</t>
  </si>
  <si>
    <t>Alambre No 12 THHN Blanco</t>
  </si>
  <si>
    <t>MSGDM65</t>
  </si>
  <si>
    <t>MGDM66</t>
  </si>
  <si>
    <t>Alambre No 12 THHN Negro</t>
  </si>
  <si>
    <t>MSGDM66</t>
  </si>
  <si>
    <t>MGDM67</t>
  </si>
  <si>
    <t>Alambre No 12 THHN Rojo</t>
  </si>
  <si>
    <t>MSGDM67</t>
  </si>
  <si>
    <t>MGDM68</t>
  </si>
  <si>
    <t>Alambre No 12 THHN verde</t>
  </si>
  <si>
    <t>MSGDM68</t>
  </si>
  <si>
    <t>MGDM69</t>
  </si>
  <si>
    <t>Alambre No 14 THHN</t>
  </si>
  <si>
    <t>MSGDM69</t>
  </si>
  <si>
    <t>MGDM70</t>
  </si>
  <si>
    <t>Alambre No 8 THHN</t>
  </si>
  <si>
    <t>MSGDM70</t>
  </si>
  <si>
    <t>MGDM71</t>
  </si>
  <si>
    <t>Alambre Verde</t>
  </si>
  <si>
    <t>MSGDM71</t>
  </si>
  <si>
    <t>MGDM72</t>
  </si>
  <si>
    <t>Amarra plastica 10"</t>
  </si>
  <si>
    <t>MSGDM72</t>
  </si>
  <si>
    <t>MGDM73</t>
  </si>
  <si>
    <t>Amarra plastica 4"</t>
  </si>
  <si>
    <t>MSGDM73</t>
  </si>
  <si>
    <t>MGDM74</t>
  </si>
  <si>
    <t>Amarra plastica 8"</t>
  </si>
  <si>
    <t>MSGDM74</t>
  </si>
  <si>
    <t>MGDM75</t>
  </si>
  <si>
    <t>Amarras Plásticas</t>
  </si>
  <si>
    <t>MSGDM75</t>
  </si>
  <si>
    <t>MGDM76</t>
  </si>
  <si>
    <t>Amortiguador Para Cable De Guarda</t>
  </si>
  <si>
    <t>MSGDM76</t>
  </si>
  <si>
    <t>MGDM77</t>
  </si>
  <si>
    <t>Amortiguador Para Línea De 69kv Para Cable AAAC de 556.5mcm</t>
  </si>
  <si>
    <t>MSGDM77</t>
  </si>
  <si>
    <t>MGDM78</t>
  </si>
  <si>
    <t>Anclaje de 3/8 x 3"</t>
  </si>
  <si>
    <t>MSGDM78</t>
  </si>
  <si>
    <t>MGDM79</t>
  </si>
  <si>
    <t>Anclaje hilti HD4</t>
  </si>
  <si>
    <t>MSGDM79</t>
  </si>
  <si>
    <t>MGDM80</t>
  </si>
  <si>
    <t>Anclaje plastico 1/4"</t>
  </si>
  <si>
    <t>MSGDM80</t>
  </si>
  <si>
    <t>MGDM81</t>
  </si>
  <si>
    <t xml:space="preserve">Angulo acero inoxidable 3/16 x 1 1/2" </t>
  </si>
  <si>
    <t>MSGDM81</t>
  </si>
  <si>
    <t>MGDM82</t>
  </si>
  <si>
    <t xml:space="preserve">Angulo acero inoxidable 3/16 x 2" </t>
  </si>
  <si>
    <t>MSGDM82</t>
  </si>
  <si>
    <t>MGDM83</t>
  </si>
  <si>
    <t>Angulo de 1/4"x2"x2" x 1250</t>
  </si>
  <si>
    <t>MSGDM83</t>
  </si>
  <si>
    <t>MGDM84</t>
  </si>
  <si>
    <t>Angulo de 1/4"x2"x2" x 950</t>
  </si>
  <si>
    <t>MSGDM84</t>
  </si>
  <si>
    <t>MGDM85</t>
  </si>
  <si>
    <t>Angulo de 3/16x1x6mts</t>
  </si>
  <si>
    <t>MSGDM85</t>
  </si>
  <si>
    <t>MGDM86</t>
  </si>
  <si>
    <t>Angulo perforado para techo</t>
  </si>
  <si>
    <t>MSGDM86</t>
  </si>
  <si>
    <t>MGDM87</t>
  </si>
  <si>
    <t>Arandela 1/2; 5/8; 11/16; 3/4</t>
  </si>
  <si>
    <t>MSGDM87</t>
  </si>
  <si>
    <t>MGDM88</t>
  </si>
  <si>
    <t>Arandela Cuadrada 11/16"</t>
  </si>
  <si>
    <t>MSGDM88</t>
  </si>
  <si>
    <t>MGDM89</t>
  </si>
  <si>
    <t>Arandela Cuadrada 9/16"</t>
  </si>
  <si>
    <t>MSGDM89</t>
  </si>
  <si>
    <t>MGDM90</t>
  </si>
  <si>
    <t>Arandela De 2x2  de 5/8</t>
  </si>
  <si>
    <t>MSGDM90</t>
  </si>
  <si>
    <t>MGDM91</t>
  </si>
  <si>
    <t>Arandela De presion</t>
  </si>
  <si>
    <t>MSGDM91</t>
  </si>
  <si>
    <t>MGDM92</t>
  </si>
  <si>
    <t>Arandela plana redonda 5/8</t>
  </si>
  <si>
    <t>MSGDM92</t>
  </si>
  <si>
    <t>MGDM93</t>
  </si>
  <si>
    <t>Arena</t>
  </si>
  <si>
    <t>MSGDM93</t>
  </si>
  <si>
    <t>MGDM94</t>
  </si>
  <si>
    <t>Arnés de seguridad (1)</t>
  </si>
  <si>
    <t>MSGDM94</t>
  </si>
  <si>
    <t>MGDM95</t>
  </si>
  <si>
    <t>Arrancador GV2DM103</t>
  </si>
  <si>
    <t>MSGDM95</t>
  </si>
  <si>
    <t>MGDM96</t>
  </si>
  <si>
    <t>Arrancador GV2DM104</t>
  </si>
  <si>
    <t>MSGDM96</t>
  </si>
  <si>
    <t>MGDM97</t>
  </si>
  <si>
    <t>Arrancador GV2DM105</t>
  </si>
  <si>
    <t>MSGDM97</t>
  </si>
  <si>
    <t>MGDM98</t>
  </si>
  <si>
    <t>Arrancador GV2DM106</t>
  </si>
  <si>
    <t>MSGDM98</t>
  </si>
  <si>
    <t>MGDM99</t>
  </si>
  <si>
    <t>Arrancador GV2DM107</t>
  </si>
  <si>
    <t>MSGDM99</t>
  </si>
  <si>
    <t>MGDM100</t>
  </si>
  <si>
    <t>Arrancador GV2DM108</t>
  </si>
  <si>
    <t>MSGDM100</t>
  </si>
  <si>
    <t>MGDM101</t>
  </si>
  <si>
    <t>Arrancador GV2DM110</t>
  </si>
  <si>
    <t>MSGDM101</t>
  </si>
  <si>
    <t>MGDM102</t>
  </si>
  <si>
    <t>Arrancador GV2DM114</t>
  </si>
  <si>
    <t>MSGDM102</t>
  </si>
  <si>
    <t>MGDM103</t>
  </si>
  <si>
    <t>Arrancador GV2DM116</t>
  </si>
  <si>
    <t>MSGDM103</t>
  </si>
  <si>
    <t>MGDM104</t>
  </si>
  <si>
    <t>Arrancador GV2DM120</t>
  </si>
  <si>
    <t>MSGDM104</t>
  </si>
  <si>
    <t>MGDM105</t>
  </si>
  <si>
    <t>Arrancador GV2DM121</t>
  </si>
  <si>
    <t>MSGDM105</t>
  </si>
  <si>
    <t>MGDM106</t>
  </si>
  <si>
    <t>Arrancador GV2DM122</t>
  </si>
  <si>
    <t>MSGDM106</t>
  </si>
  <si>
    <t>MGDM107</t>
  </si>
  <si>
    <t>Arrancador GV2DM132</t>
  </si>
  <si>
    <t>MSGDM107</t>
  </si>
  <si>
    <t>MGDM108</t>
  </si>
  <si>
    <t>Arrancador luminaria MH 250W</t>
  </si>
  <si>
    <t>MSGDM108</t>
  </si>
  <si>
    <t>MGDM109</t>
  </si>
  <si>
    <t>Avisos En Acrílico y Vinilo Reflectivo  0.3 x 0.4 m</t>
  </si>
  <si>
    <t>MSGDM109</t>
  </si>
  <si>
    <t>MGDM110</t>
  </si>
  <si>
    <t xml:space="preserve">Balasto de 175 a 400 W MH  CWA  </t>
  </si>
  <si>
    <t>MSGDM110</t>
  </si>
  <si>
    <t>MGDM111</t>
  </si>
  <si>
    <t xml:space="preserve">Balasto de 250 a 400 W sodio  CWA </t>
  </si>
  <si>
    <t>MSGDM111</t>
  </si>
  <si>
    <t>MGDM112</t>
  </si>
  <si>
    <t>Balasto de 250 W MH  220 V</t>
  </si>
  <si>
    <t>MSGDM112</t>
  </si>
  <si>
    <t>MGDM113</t>
  </si>
  <si>
    <t>Balasto de 4x32 electronico 120V T8</t>
  </si>
  <si>
    <t>MSGDM113</t>
  </si>
  <si>
    <t>MGDM114</t>
  </si>
  <si>
    <t xml:space="preserve">Balasto de 70 a 150 W sodio  CWA </t>
  </si>
  <si>
    <t>MSGDM114</t>
  </si>
  <si>
    <t>MGDM115</t>
  </si>
  <si>
    <t>Balasto Electronico 4 x 17w</t>
  </si>
  <si>
    <t>MSGDM115</t>
  </si>
  <si>
    <t>MGDM116</t>
  </si>
  <si>
    <t>BALASTO ELECTRONICO DE 2 x 32 W. T-8 PHILLLIPS</t>
  </si>
  <si>
    <t>MSGDM116</t>
  </si>
  <si>
    <t>MGDM117</t>
  </si>
  <si>
    <t>BALASTO SLIN LINE DE 2 X 48" 39W.</t>
  </si>
  <si>
    <t>MSGDM117</t>
  </si>
  <si>
    <t>MGDM118</t>
  </si>
  <si>
    <t>Balasto reactor de 250 W MH  220 V</t>
  </si>
  <si>
    <t>MSGDM118</t>
  </si>
  <si>
    <t>MGDM119</t>
  </si>
  <si>
    <t>Baldosa Granito</t>
  </si>
  <si>
    <t>MSGDM119</t>
  </si>
  <si>
    <t>MGDM120</t>
  </si>
  <si>
    <t>Banda galvanizada de 6-7</t>
  </si>
  <si>
    <t>MSGDM120</t>
  </si>
  <si>
    <t>MGDM121</t>
  </si>
  <si>
    <t>Banda soporte de 1/2"</t>
  </si>
  <si>
    <t>MSGDM121</t>
  </si>
  <si>
    <t>MGDM122</t>
  </si>
  <si>
    <t>Bandeja Portacables Galv. 10 x 8cm</t>
  </si>
  <si>
    <t>MSGDM122</t>
  </si>
  <si>
    <t>MGDM123</t>
  </si>
  <si>
    <t>Bandeja Portacables Galv. 20 liv</t>
  </si>
  <si>
    <t>MSGDM123</t>
  </si>
  <si>
    <t>MGDM124</t>
  </si>
  <si>
    <t>Bandeja Portacables Galv. 20 x 8cm</t>
  </si>
  <si>
    <t>MSGDM124</t>
  </si>
  <si>
    <t>MGDM125</t>
  </si>
  <si>
    <t>Bandeja Portacables Galv. 30 x 8cm</t>
  </si>
  <si>
    <t>MSGDM125</t>
  </si>
  <si>
    <t>MGDM126</t>
  </si>
  <si>
    <t>Bandeja Portacables Galv. 40 x 8cm</t>
  </si>
  <si>
    <t>MSGDM126</t>
  </si>
  <si>
    <t>MGDM127</t>
  </si>
  <si>
    <t>Barraje De 316*2*0.33 m</t>
  </si>
  <si>
    <t>MSGDM127</t>
  </si>
  <si>
    <t>MGDM128</t>
  </si>
  <si>
    <t>Barraje de cobre De  1/4 x 1 1/2”</t>
  </si>
  <si>
    <t>MSGDM128</t>
  </si>
  <si>
    <t>MGDM129</t>
  </si>
  <si>
    <t>Barraje de cobre De  1/4 x 1” -</t>
  </si>
  <si>
    <t>MSGDM129</t>
  </si>
  <si>
    <t>MGDM130</t>
  </si>
  <si>
    <t>Barraje de cobre De  1/4 x 2” -</t>
  </si>
  <si>
    <t>MSGDM130</t>
  </si>
  <si>
    <t>MGDM131</t>
  </si>
  <si>
    <t>Barraje de cobre De  1/8 x 1/2” -</t>
  </si>
  <si>
    <t>MSGDM131</t>
  </si>
  <si>
    <t>MGDM132</t>
  </si>
  <si>
    <t xml:space="preserve">Barraje de cobre De  1/8 x3/4” </t>
  </si>
  <si>
    <t>MSGDM132</t>
  </si>
  <si>
    <t>MGDM133</t>
  </si>
  <si>
    <t>Barraje de cobre De  3/16 x 3/4”</t>
  </si>
  <si>
    <t>MSGDM133</t>
  </si>
  <si>
    <t>MGDM134</t>
  </si>
  <si>
    <t>Barraje de cobre De  3/8 x 2” -</t>
  </si>
  <si>
    <t>MSGDM134</t>
  </si>
  <si>
    <t>MGDM135</t>
  </si>
  <si>
    <t xml:space="preserve">Barraje de cobre De  3/8 x 3” </t>
  </si>
  <si>
    <t>MSGDM135</t>
  </si>
  <si>
    <t>MGDM136</t>
  </si>
  <si>
    <t>Barraje de cobre De  5/16 x 2” -</t>
  </si>
  <si>
    <t>MSGDM136</t>
  </si>
  <si>
    <t>MGDM137</t>
  </si>
  <si>
    <t>Barraje de cobre De  5/16 x 3”</t>
  </si>
  <si>
    <t>MSGDM137</t>
  </si>
  <si>
    <t>MGDM138</t>
  </si>
  <si>
    <t>Base autoadhesiva 21x21</t>
  </si>
  <si>
    <t>MSGDM138</t>
  </si>
  <si>
    <t>MGDM139</t>
  </si>
  <si>
    <t>Base autoadhesiva 25x25</t>
  </si>
  <si>
    <t>MSGDM139</t>
  </si>
  <si>
    <t>MGDM140</t>
  </si>
  <si>
    <t>Base de bronce</t>
  </si>
  <si>
    <t>MSGDM140</t>
  </si>
  <si>
    <t>MGDM141</t>
  </si>
  <si>
    <t>Base Fotocelda</t>
  </si>
  <si>
    <t>MSGDM141</t>
  </si>
  <si>
    <t>MGDM142</t>
  </si>
  <si>
    <t>Base rele 11 pines</t>
  </si>
  <si>
    <t>MSGDM142</t>
  </si>
  <si>
    <t>MGDM143</t>
  </si>
  <si>
    <t>Bayoneta Doble 1/4 x 2 1/2 x 1 m</t>
  </si>
  <si>
    <t>MSGDM143</t>
  </si>
  <si>
    <t>MGDM144</t>
  </si>
  <si>
    <t>Bayoneta Sencilla 1/4 x 2 1/2 x 1 m</t>
  </si>
  <si>
    <t>MSGDM144</t>
  </si>
  <si>
    <t>MGDM145</t>
  </si>
  <si>
    <t>Bombilla de MH  1000 W</t>
  </si>
  <si>
    <t>MSGDM145</t>
  </si>
  <si>
    <t>MGDM146</t>
  </si>
  <si>
    <t>Bombilla de MH  150 - 250 W</t>
  </si>
  <si>
    <t>MSGDM146</t>
  </si>
  <si>
    <t>MGDM147</t>
  </si>
  <si>
    <t>Bombilla de MH  400 W</t>
  </si>
  <si>
    <t>MSGDM147</t>
  </si>
  <si>
    <t>MGDM148</t>
  </si>
  <si>
    <t>Bombilla de neon o tipo bayoneta piloto o pulsadores luminosos</t>
  </si>
  <si>
    <t>MSGDM148</t>
  </si>
  <si>
    <t>MGDM149</t>
  </si>
  <si>
    <t>Bombilla de sodio 1000  W</t>
  </si>
  <si>
    <t>MSGDM149</t>
  </si>
  <si>
    <t>MGDM150</t>
  </si>
  <si>
    <t>Bombilla de sodio 70 -400  W</t>
  </si>
  <si>
    <t>MSGDM150</t>
  </si>
  <si>
    <t>MGDM151</t>
  </si>
  <si>
    <t>Bombilla incandescente de 100 W</t>
  </si>
  <si>
    <t>MSGDM151</t>
  </si>
  <si>
    <t>MGDM152</t>
  </si>
  <si>
    <t>Bombilla luz mixta 160 W  110V</t>
  </si>
  <si>
    <t>MSGDM152</t>
  </si>
  <si>
    <t>MGDM153</t>
  </si>
  <si>
    <t>Bombillo ahorrador de 11- 23 W</t>
  </si>
  <si>
    <t>MSGDM153</t>
  </si>
  <si>
    <t>MGDM154</t>
  </si>
  <si>
    <t>Bonder Alambre No. 4 Cobre Desnudo</t>
  </si>
  <si>
    <t>MSGDM154</t>
  </si>
  <si>
    <t>MGDM155</t>
  </si>
  <si>
    <t>Boquilla 1 1/2"  aislada</t>
  </si>
  <si>
    <t>MSGDM155</t>
  </si>
  <si>
    <t>MGDM156</t>
  </si>
  <si>
    <t>Boquilla 1"   aislada</t>
  </si>
  <si>
    <t>MSGDM156</t>
  </si>
  <si>
    <t>MGDM157</t>
  </si>
  <si>
    <t>Boquilla 1/2"  aislada</t>
  </si>
  <si>
    <t>MSGDM157</t>
  </si>
  <si>
    <t>MGDM158</t>
  </si>
  <si>
    <t>Boquilla 2"  aislada</t>
  </si>
  <si>
    <t>MSGDM158</t>
  </si>
  <si>
    <t>MGDM159</t>
  </si>
  <si>
    <t>Boquilla 3"  aislada</t>
  </si>
  <si>
    <t>MSGDM159</t>
  </si>
  <si>
    <t>MGDM160</t>
  </si>
  <si>
    <t>Boquilla 3/4"  aislada</t>
  </si>
  <si>
    <t>MSGDM160</t>
  </si>
  <si>
    <t>MGDM161</t>
  </si>
  <si>
    <t>Boquilla 4"  aislada</t>
  </si>
  <si>
    <t>MSGDM161</t>
  </si>
  <si>
    <t>MGDM162</t>
  </si>
  <si>
    <t>Borna de conexión 24 amps</t>
  </si>
  <si>
    <t>MSGDM162</t>
  </si>
  <si>
    <t>MGDM163</t>
  </si>
  <si>
    <t>Borna de conexión cable 10  47 amps</t>
  </si>
  <si>
    <t>MSGDM163</t>
  </si>
  <si>
    <t>MGDM164</t>
  </si>
  <si>
    <t>Bota pre moldeada termo contráctil  de 4” para cable  XenLPE hasta el 4/0</t>
  </si>
  <si>
    <t>MSGDM164</t>
  </si>
  <si>
    <t>MGDM165</t>
  </si>
  <si>
    <t>BOTON SELECTOR 2 POSICIONES X B4BD33</t>
  </si>
  <si>
    <t>MSGDM165</t>
  </si>
  <si>
    <t>MGDM166</t>
  </si>
  <si>
    <t>Brazo para luminaria Calima</t>
  </si>
  <si>
    <t>MSGDM166</t>
  </si>
  <si>
    <t>MGDM167</t>
  </si>
  <si>
    <t>Brazo pa iluminacion galv. 1 1/4 x 2mts</t>
  </si>
  <si>
    <t>MSGDM167</t>
  </si>
  <si>
    <t>MGDM168</t>
  </si>
  <si>
    <t xml:space="preserve">Breaker 3x20 tipo riel </t>
  </si>
  <si>
    <t>MSGDM168</t>
  </si>
  <si>
    <t>MGDM169</t>
  </si>
  <si>
    <t xml:space="preserve">Breaker 3x40 tipo riel </t>
  </si>
  <si>
    <t>MSGDM169</t>
  </si>
  <si>
    <t>MGDM170</t>
  </si>
  <si>
    <t>Breaker con unidad magnetica MA 100 
ref 430835 NSX 160H</t>
  </si>
  <si>
    <t>MSGDM170</t>
  </si>
  <si>
    <t>MGDM171</t>
  </si>
  <si>
    <t>Breaker enchufable 1x20 amps</t>
  </si>
  <si>
    <t>MSGDM171</t>
  </si>
  <si>
    <t>MGDM172</t>
  </si>
  <si>
    <t>Breaker enchufable 2x20 amps</t>
  </si>
  <si>
    <t>MSGDM172</t>
  </si>
  <si>
    <t>MGDM173</t>
  </si>
  <si>
    <t>Breaker enchufable 2x30 amps</t>
  </si>
  <si>
    <t>MSGDM173</t>
  </si>
  <si>
    <t>MGDM174</t>
  </si>
  <si>
    <t>Breaker enchufable 2x40 amps</t>
  </si>
  <si>
    <t>MSGDM174</t>
  </si>
  <si>
    <t>MGDM175</t>
  </si>
  <si>
    <t>Breaker enchufable 3x20 amps</t>
  </si>
  <si>
    <t>MSGDM175</t>
  </si>
  <si>
    <t>MGDM176</t>
  </si>
  <si>
    <t>Breaker enchufable 3x30 amps</t>
  </si>
  <si>
    <t>MSGDM176</t>
  </si>
  <si>
    <t>MGDM177</t>
  </si>
  <si>
    <t>Breaker enchufable 3x40 amps</t>
  </si>
  <si>
    <t>MSGDM177</t>
  </si>
  <si>
    <t>MGDM178</t>
  </si>
  <si>
    <t>Breaker enchufable HOM GFI 1x20 amps</t>
  </si>
  <si>
    <t>MSGDM178</t>
  </si>
  <si>
    <t>MGDM179</t>
  </si>
  <si>
    <t>Breaker Industrial 3f En Caja Moldeable Ajustable De 100-125 Amp, 250v 85ka</t>
  </si>
  <si>
    <t>MSGDM179</t>
  </si>
  <si>
    <t>MGDM180</t>
  </si>
  <si>
    <t>Breaker Industrial 3f En Caja Moldeable Ajustable De 128-160 Amp, 250v 85ka</t>
  </si>
  <si>
    <t>MSGDM180</t>
  </si>
  <si>
    <t>MGDM181</t>
  </si>
  <si>
    <t>Breaker Industrial 3f En Caja Moldeable Ajustable De 160-200 Amp, 250v 85ka</t>
  </si>
  <si>
    <t>MSGDM181</t>
  </si>
  <si>
    <t>MGDM182</t>
  </si>
  <si>
    <t>Breaker Industrial 3f En Caja Moldeable Ajustable De 160-400 Amp, 250v 40ka ref LV540306</t>
  </si>
  <si>
    <t>MSGDM182</t>
  </si>
  <si>
    <t>MGDM183</t>
  </si>
  <si>
    <t>Breaker Industrial 3f En Caja Moldeable Ajustable De 200-250 Amp, 250v 85ka</t>
  </si>
  <si>
    <t>MSGDM183</t>
  </si>
  <si>
    <t>MGDM184</t>
  </si>
  <si>
    <t>Breaker Industrial 3f En Caja Moldeable Ajustable De 224-320 Amp, 250v 40 ka ref LV540305</t>
  </si>
  <si>
    <t>MSGDM184</t>
  </si>
  <si>
    <t>MGDM185</t>
  </si>
  <si>
    <t>Breaker Industrial 3f En Caja Moldeable Ajustable De 32-40 Amp, 250v 40ka</t>
  </si>
  <si>
    <t>MSGDM185</t>
  </si>
  <si>
    <t>MGDM186</t>
  </si>
  <si>
    <t>Breaker Industrial 3f En Caja Moldeable Ajustable De 50.4-63 Amp,  250v 40ka</t>
  </si>
  <si>
    <t>MSGDM186</t>
  </si>
  <si>
    <t>MGDM187</t>
  </si>
  <si>
    <t>Breaker Industrial 3f En Caja Moldeable Ajustable De 64-80 Amp,  250v 40ka</t>
  </si>
  <si>
    <t>MSGDM187</t>
  </si>
  <si>
    <t>MGDM188</t>
  </si>
  <si>
    <t xml:space="preserve">Breaker Industrial 3f En Caja Moldeable Ajustable De 80-100 Amp ,250v 40ka, </t>
  </si>
  <si>
    <t>MSGDM188</t>
  </si>
  <si>
    <t>MGDM189</t>
  </si>
  <si>
    <t>Breaker Industrial 3f En Caja Moldeable De 15 Amp, Para Montaje En Riel Omega, 250v 10ka</t>
  </si>
  <si>
    <t>MSGDM189</t>
  </si>
  <si>
    <t>MGDM190</t>
  </si>
  <si>
    <t>Breaker Industrial 3f En Caja Moldeable De 20 Amp, 250v 10ka</t>
  </si>
  <si>
    <t>MSGDM190</t>
  </si>
  <si>
    <t>MGDM191</t>
  </si>
  <si>
    <t>Breaker Industrial 3f En Caja Moldeable De 30 Amp, 250v 10ka</t>
  </si>
  <si>
    <t>MSGDM191</t>
  </si>
  <si>
    <t>MGDM192</t>
  </si>
  <si>
    <t>Breaker Industrial 3f En Caja Moldeable
Ajustable De 160-400 amp, 250v 85ka.</t>
  </si>
  <si>
    <t>MSGDM192</t>
  </si>
  <si>
    <t>MGDM193</t>
  </si>
  <si>
    <t>Breaker Industrial de 800 A</t>
  </si>
  <si>
    <t>MSGDM193</t>
  </si>
  <si>
    <t>MGDM194</t>
  </si>
  <si>
    <t>Breaker industrial EZC100N 100 A</t>
  </si>
  <si>
    <t>MSGDM194</t>
  </si>
  <si>
    <t>MGDM195</t>
  </si>
  <si>
    <t>MSGDM195</t>
  </si>
  <si>
    <t>MGDM196</t>
  </si>
  <si>
    <t>MSGDM196</t>
  </si>
  <si>
    <t>MGDM197</t>
  </si>
  <si>
    <t>MSGDM197</t>
  </si>
  <si>
    <t>MGDM198</t>
  </si>
  <si>
    <t>MSGDM198</t>
  </si>
  <si>
    <t>MGDM199</t>
  </si>
  <si>
    <t>MSGDM199</t>
  </si>
  <si>
    <t>MGDM200</t>
  </si>
  <si>
    <t>Breaker industrial EZC100N 80 A</t>
  </si>
  <si>
    <t>MSGDM200</t>
  </si>
  <si>
    <t>MGDM201</t>
  </si>
  <si>
    <t>MSGDM201</t>
  </si>
  <si>
    <t>MGDM202</t>
  </si>
  <si>
    <t>MSGDM202</t>
  </si>
  <si>
    <t>MGDM203</t>
  </si>
  <si>
    <t>MSGDM203</t>
  </si>
  <si>
    <t>MGDM204</t>
  </si>
  <si>
    <t>MSGDM204</t>
  </si>
  <si>
    <t>MGDM205</t>
  </si>
  <si>
    <t>BREAKER INDUSTRIAL EZC 3X100AMP</t>
  </si>
  <si>
    <t>MSGDM205</t>
  </si>
  <si>
    <t>MGDM206</t>
  </si>
  <si>
    <t>BREAKER INDUSTRIAL  EZC 3X125AMP</t>
  </si>
  <si>
    <t>MSGDM206</t>
  </si>
  <si>
    <t>MGDM207</t>
  </si>
  <si>
    <t>BREAKER INDUSTRIAL  EZC 3X15 AMP</t>
  </si>
  <si>
    <t>MSGDM207</t>
  </si>
  <si>
    <t>MGDM208</t>
  </si>
  <si>
    <t>BREAKER INDUSTRIAL  EZC 3X20 AMP</t>
  </si>
  <si>
    <t>MSGDM208</t>
  </si>
  <si>
    <t>MGDM209</t>
  </si>
  <si>
    <t>BREAKER INDUSTRIAL  EZC 3X225AMP</t>
  </si>
  <si>
    <t>MSGDM209</t>
  </si>
  <si>
    <t>MGDM210</t>
  </si>
  <si>
    <t>BREAKER INDUSTRIAL  EZC 3X30 AMP</t>
  </si>
  <si>
    <t>MSGDM210</t>
  </si>
  <si>
    <t>MGDM211</t>
  </si>
  <si>
    <t>BREAKER INDUSTRIAL  EZC 3X40 AMP</t>
  </si>
  <si>
    <t>MSGDM211</t>
  </si>
  <si>
    <t>MGDM212</t>
  </si>
  <si>
    <t>BREAKER INDUSTRIAL  EZC 3X50 AMP</t>
  </si>
  <si>
    <t>MSGDM212</t>
  </si>
  <si>
    <t>MGDM213</t>
  </si>
  <si>
    <t>BREAKER INDUSTRIAL  EZC 3X60AMP</t>
  </si>
  <si>
    <t>MSGDM213</t>
  </si>
  <si>
    <t>MGDM214</t>
  </si>
  <si>
    <t>BREAKER INDUSTRIAL  EZC 3X80 AMP</t>
  </si>
  <si>
    <t>MSGDM214</t>
  </si>
  <si>
    <t>MGDM215</t>
  </si>
  <si>
    <t>Breaker industrial EZC250N 80 a 100 A</t>
  </si>
  <si>
    <t>MSGDM215</t>
  </si>
  <si>
    <t>MGDM216</t>
  </si>
  <si>
    <t xml:space="preserve">Breaker K60 monopolar 1x40/50/60 A </t>
  </si>
  <si>
    <t>MSGDM216</t>
  </si>
  <si>
    <t>MGDM217</t>
  </si>
  <si>
    <t>Breaker multi 9 C60N 3x1 amp</t>
  </si>
  <si>
    <t>MSGDM217</t>
  </si>
  <si>
    <t>MGDM218</t>
  </si>
  <si>
    <t>Breaker multi 9 C60N 3x2 amp</t>
  </si>
  <si>
    <t>MSGDM218</t>
  </si>
  <si>
    <t>MGDM219</t>
  </si>
  <si>
    <t>Breaker multi 9 C60N bipolar 2x1 amp</t>
  </si>
  <si>
    <t>MSGDM219</t>
  </si>
  <si>
    <t>MGDM220</t>
  </si>
  <si>
    <t>Breaker multi 9 C60N monopolar 10 a 32 amps</t>
  </si>
  <si>
    <t>MSGDM220</t>
  </si>
  <si>
    <t>MGDM221</t>
  </si>
  <si>
    <t>Breaker multi 9 C60N monopolar 1x2 amp</t>
  </si>
  <si>
    <t>MSGDM221</t>
  </si>
  <si>
    <t>MGDM222</t>
  </si>
  <si>
    <t>Breaker multi 9 C60N monopolar 40 a 63 amps</t>
  </si>
  <si>
    <t>MSGDM222</t>
  </si>
  <si>
    <t>MGDM223</t>
  </si>
  <si>
    <t>BREAKER MULTINUEVE DOMAE 1X20</t>
  </si>
  <si>
    <t>MSGDM223</t>
  </si>
  <si>
    <t>MGDM224</t>
  </si>
  <si>
    <t>BREAKER MULTINUEVE DOMAE 1X25</t>
  </si>
  <si>
    <t>MSGDM224</t>
  </si>
  <si>
    <t>MGDM225</t>
  </si>
  <si>
    <t>BREAKER MULTINUEVE DOMAE 1X32</t>
  </si>
  <si>
    <t>MSGDM225</t>
  </si>
  <si>
    <t>MGDM226</t>
  </si>
  <si>
    <t>BREAKER MULTINUEVE DOMAE 1x40</t>
  </si>
  <si>
    <t>MSGDM226</t>
  </si>
  <si>
    <t>MGDM227</t>
  </si>
  <si>
    <t>BREAKER MULTINUEVE DOMAE 2X10</t>
  </si>
  <si>
    <t>MSGDM227</t>
  </si>
  <si>
    <t>MGDM228</t>
  </si>
  <si>
    <t>BREAKER MULTINUEVE DOMAE 2X16</t>
  </si>
  <si>
    <t>MSGDM228</t>
  </si>
  <si>
    <t>MGDM229</t>
  </si>
  <si>
    <t>BREAKER MULTINUEVE DOMAE 2X20</t>
  </si>
  <si>
    <t>MSGDM229</t>
  </si>
  <si>
    <t>MGDM230</t>
  </si>
  <si>
    <t>BREAKER MULTINUEVE DOMAE 2X25</t>
  </si>
  <si>
    <t>MSGDM230</t>
  </si>
  <si>
    <t>MGDM231</t>
  </si>
  <si>
    <t>BREAKER MULTINUEVE DOMAE 2X32</t>
  </si>
  <si>
    <t>MSGDM231</t>
  </si>
  <si>
    <t>MGDM232</t>
  </si>
  <si>
    <t>BREAKER MULTINUEVE DOMAE 2X40</t>
  </si>
  <si>
    <t>MSGDM232</t>
  </si>
  <si>
    <t>MGDM233</t>
  </si>
  <si>
    <t>BREAKER MULTINUEVE DOMAE 2X50</t>
  </si>
  <si>
    <t>MSGDM233</t>
  </si>
  <si>
    <t>MGDM234</t>
  </si>
  <si>
    <t>BREAKER MULTINUEVE DOMAE 2X6</t>
  </si>
  <si>
    <t>MSGDM234</t>
  </si>
  <si>
    <t>MGDM235</t>
  </si>
  <si>
    <t>BREAKER MULTINUEVE DOMAE 3x16</t>
  </si>
  <si>
    <t>MSGDM235</t>
  </si>
  <si>
    <t>MGDM236</t>
  </si>
  <si>
    <t>BREAKER MULTINUEVE DOMAE 3X20</t>
  </si>
  <si>
    <t>MSGDM236</t>
  </si>
  <si>
    <t>MGDM237</t>
  </si>
  <si>
    <t>BREAKER MULTINUEVE DOMAE 3X32</t>
  </si>
  <si>
    <t>MSGDM237</t>
  </si>
  <si>
    <t>MGDM238</t>
  </si>
  <si>
    <t>BREAKER MULTINUEVE K60 1X10</t>
  </si>
  <si>
    <t>MSGDM238</t>
  </si>
  <si>
    <t>MGDM239</t>
  </si>
  <si>
    <t>BREAKER MULTINUEVE K60 1X6</t>
  </si>
  <si>
    <t>MSGDM239</t>
  </si>
  <si>
    <t>MGDM240</t>
  </si>
  <si>
    <t>BREAKER MULTINUEVE K60 1x63</t>
  </si>
  <si>
    <t>MSGDM240</t>
  </si>
  <si>
    <t>MGDM241</t>
  </si>
  <si>
    <t>BREAKER MULTINUEVE K60 2X16</t>
  </si>
  <si>
    <t>MSGDM241</t>
  </si>
  <si>
    <t>MGDM242</t>
  </si>
  <si>
    <t>BREAKER MULTINUEVE K60 2X63</t>
  </si>
  <si>
    <t>MSGDM242</t>
  </si>
  <si>
    <t>MGDM243</t>
  </si>
  <si>
    <t>BREAKER MULTINUEVE K60 3X10</t>
  </si>
  <si>
    <t>MSGDM243</t>
  </si>
  <si>
    <t>MGDM244</t>
  </si>
  <si>
    <t>BREAKER NSX100F/TM DE 28/40AMP LV 429634</t>
  </si>
  <si>
    <t>MSGDM244</t>
  </si>
  <si>
    <t>MGDM245</t>
  </si>
  <si>
    <t>BREAKER NSX100F/TM DE 44/63AMP LV29632</t>
  </si>
  <si>
    <t>MSGDM245</t>
  </si>
  <si>
    <t>MGDM246</t>
  </si>
  <si>
    <t>BREAKER NSX100F/TM DE 56/80AMP LV 429631</t>
  </si>
  <si>
    <t>MSGDM246</t>
  </si>
  <si>
    <t>MGDM247</t>
  </si>
  <si>
    <t xml:space="preserve">BREAKER NSX100F/TM DE 70/100AMP LV 429630 </t>
  </si>
  <si>
    <t>MSGDM247</t>
  </si>
  <si>
    <t>MGDM248</t>
  </si>
  <si>
    <t>BREAKER SENCILLO THQL SIEMEN</t>
  </si>
  <si>
    <t>MSGDM248</t>
  </si>
  <si>
    <t>MGDM249</t>
  </si>
  <si>
    <t xml:space="preserve">BREAKER SQUAR-D FAL 36330 30AMP </t>
  </si>
  <si>
    <t>MSGDM249</t>
  </si>
  <si>
    <t>MGDM250</t>
  </si>
  <si>
    <t xml:space="preserve">BREAKER SQUAR-D KAL 31625 125AMP </t>
  </si>
  <si>
    <t>MSGDM250</t>
  </si>
  <si>
    <t>MGDM251</t>
  </si>
  <si>
    <t>BREAKER TM 125 DE 88/125AMP LV 430631</t>
  </si>
  <si>
    <t>MSGDM251</t>
  </si>
  <si>
    <t>MGDM252</t>
  </si>
  <si>
    <t>BREAKER TM 250 DE 175/250AMP LV.431630</t>
  </si>
  <si>
    <t>MSGDM252</t>
  </si>
  <si>
    <t>MGDM253</t>
  </si>
  <si>
    <t>Cable 2 × 10 AWG</t>
  </si>
  <si>
    <t>MSGDM253</t>
  </si>
  <si>
    <t>MGDM254</t>
  </si>
  <si>
    <t>Cable 2 × 12 AWG</t>
  </si>
  <si>
    <t>MSGDM254</t>
  </si>
  <si>
    <t>MGDM255</t>
  </si>
  <si>
    <t>Cable 2 × 14 AWG</t>
  </si>
  <si>
    <t>MSGDM255</t>
  </si>
  <si>
    <t>MGDM256</t>
  </si>
  <si>
    <t>Cable 2 × 16 AWG</t>
  </si>
  <si>
    <t>MSGDM256</t>
  </si>
  <si>
    <t>MGDM257</t>
  </si>
  <si>
    <t>Cable 2 × 6 AWG</t>
  </si>
  <si>
    <t>MSGDM257</t>
  </si>
  <si>
    <t>MGDM258</t>
  </si>
  <si>
    <t>Cable 2 × 8 AWG</t>
  </si>
  <si>
    <t>MSGDM258</t>
  </si>
  <si>
    <t>MGDM259</t>
  </si>
  <si>
    <t>Cable 3 × 10 AWG</t>
  </si>
  <si>
    <t>MSGDM259</t>
  </si>
  <si>
    <t>MGDM260</t>
  </si>
  <si>
    <t>Cable 3 × 14 AWG</t>
  </si>
  <si>
    <t>MSGDM260</t>
  </si>
  <si>
    <t>MGDM261</t>
  </si>
  <si>
    <t>Cable 3 × 16 AWG</t>
  </si>
  <si>
    <t>MSGDM261</t>
  </si>
  <si>
    <t>MGDM262</t>
  </si>
  <si>
    <t>Cable 3 × 18 AWG</t>
  </si>
  <si>
    <t>MSGDM262</t>
  </si>
  <si>
    <t>MGDM263</t>
  </si>
  <si>
    <t>Cable 3 × 6 AWG</t>
  </si>
  <si>
    <t>MSGDM263</t>
  </si>
  <si>
    <t>MGDM264</t>
  </si>
  <si>
    <t>Cable 3 × 8 AWG</t>
  </si>
  <si>
    <t>MSGDM264</t>
  </si>
  <si>
    <t>MGDM265</t>
  </si>
  <si>
    <t>Cable 4 × 10 AWG</t>
  </si>
  <si>
    <t>MSGDM265</t>
  </si>
  <si>
    <t>MGDM266</t>
  </si>
  <si>
    <t>Cable 4 × 12 AWG</t>
  </si>
  <si>
    <t>MSGDM266</t>
  </si>
  <si>
    <t>MGDM267</t>
  </si>
  <si>
    <t>Cable 4 × 14 AWG</t>
  </si>
  <si>
    <t>MSGDM267</t>
  </si>
  <si>
    <t>MGDM268</t>
  </si>
  <si>
    <t>Cable 4 × 16 AWG</t>
  </si>
  <si>
    <t>MSGDM268</t>
  </si>
  <si>
    <t>MGDM269</t>
  </si>
  <si>
    <t>Cable 4 × 18 AWG</t>
  </si>
  <si>
    <t>MSGDM269</t>
  </si>
  <si>
    <t>MGDM270</t>
  </si>
  <si>
    <t>Cable 4 × 6 AWG</t>
  </si>
  <si>
    <t>MSGDM270</t>
  </si>
  <si>
    <t>MGDM271</t>
  </si>
  <si>
    <t>Cable 4 × 8 AWG</t>
  </si>
  <si>
    <t>MSGDM271</t>
  </si>
  <si>
    <t>MGDM272</t>
  </si>
  <si>
    <t>CABLE 4PR UTP CAT 6 GRIS CM 305m</t>
  </si>
  <si>
    <t>MSGDM272</t>
  </si>
  <si>
    <t>MGDM273</t>
  </si>
  <si>
    <t>Cable ACSR No 1/0</t>
  </si>
  <si>
    <t>MSGDM273</t>
  </si>
  <si>
    <t>MGDM274</t>
  </si>
  <si>
    <t>Cable ACSR No 2</t>
  </si>
  <si>
    <t>MSGDM274</t>
  </si>
  <si>
    <t>MGDM275</t>
  </si>
  <si>
    <t>Cable ACSR No 2/0</t>
  </si>
  <si>
    <t>MSGDM275</t>
  </si>
  <si>
    <t>MGDM276</t>
  </si>
  <si>
    <t>Cable ACSR No 4</t>
  </si>
  <si>
    <t>MSGDM276</t>
  </si>
  <si>
    <t>MGDM277</t>
  </si>
  <si>
    <t>Cable Alumoweld 7 no. 10</t>
  </si>
  <si>
    <t>MSGDM277</t>
  </si>
  <si>
    <t>MGDM278</t>
  </si>
  <si>
    <t>Cable Alumoweld 7 no. 8</t>
  </si>
  <si>
    <t>MSGDM278</t>
  </si>
  <si>
    <t>MGDM279</t>
  </si>
  <si>
    <t>Cable concentrico 2 x 8 + 8</t>
  </si>
  <si>
    <t>MSGDM279</t>
  </si>
  <si>
    <t>MGDM280</t>
  </si>
  <si>
    <t>Cable Concentrico ARE Cu 75oC 3X6+6 AWG 600V (PE/PVC)</t>
  </si>
  <si>
    <t>MSGDM280</t>
  </si>
  <si>
    <t>MGDM281</t>
  </si>
  <si>
    <t>Cable De 3/8" Para Retenida</t>
  </si>
  <si>
    <t>MSGDM281</t>
  </si>
  <si>
    <t>MGDM282</t>
  </si>
  <si>
    <t>Cable De Acero Galvanizado De 1/4 SUPERGX</t>
  </si>
  <si>
    <t>MSGDM282</t>
  </si>
  <si>
    <t>MGDM283</t>
  </si>
  <si>
    <t>Cable De Cobre Desnudo #1/0 AWG</t>
  </si>
  <si>
    <t>MSGDM283</t>
  </si>
  <si>
    <t>MGDM284</t>
  </si>
  <si>
    <t>Cable De Cobre Desnudo #10 AWG</t>
  </si>
  <si>
    <t>MSGDM284</t>
  </si>
  <si>
    <t>MGDM285</t>
  </si>
  <si>
    <t>Cable De Cobre Desnudo #12 AWG</t>
  </si>
  <si>
    <t>MSGDM285</t>
  </si>
  <si>
    <t>MGDM286</t>
  </si>
  <si>
    <t>Cable De Cobre Desnudo #2 AWG</t>
  </si>
  <si>
    <t>MSGDM286</t>
  </si>
  <si>
    <t>MGDM287</t>
  </si>
  <si>
    <t>Cable De Cobre Desnudo #2/0 AWG</t>
  </si>
  <si>
    <t>MSGDM287</t>
  </si>
  <si>
    <t>MGDM288</t>
  </si>
  <si>
    <t>Cable De Cobre Desnudo #4 AWG</t>
  </si>
  <si>
    <t>MSGDM288</t>
  </si>
  <si>
    <t>MGDM289</t>
  </si>
  <si>
    <t>Cable De Cobre Desnudo #4/0 AWG</t>
  </si>
  <si>
    <t>MSGDM289</t>
  </si>
  <si>
    <t>MGDM290</t>
  </si>
  <si>
    <t>Cable De Cobre Desnudo #6 AWG</t>
  </si>
  <si>
    <t>MSGDM290</t>
  </si>
  <si>
    <t>MGDM291</t>
  </si>
  <si>
    <t>Cable De Cobre Desnudo #8 AWG</t>
  </si>
  <si>
    <t>MSGDM291</t>
  </si>
  <si>
    <t>MGDM292</t>
  </si>
  <si>
    <t>Cable De Cobre Desnudo 350MCM</t>
  </si>
  <si>
    <t>MSGDM292</t>
  </si>
  <si>
    <t>MGDM293</t>
  </si>
  <si>
    <t>Cable duplex plano 2x14</t>
  </si>
  <si>
    <t>MSGDM293</t>
  </si>
  <si>
    <t>MGDM294</t>
  </si>
  <si>
    <t>Cable encauchetado 2 × 18 AWG</t>
  </si>
  <si>
    <t>MSGDM294</t>
  </si>
  <si>
    <t>MGDM295</t>
  </si>
  <si>
    <t>Cable Encauchetado 3x12</t>
  </si>
  <si>
    <t>MSGDM295</t>
  </si>
  <si>
    <t>MGDM296</t>
  </si>
  <si>
    <t>Cable Encauchetado 3x10</t>
  </si>
  <si>
    <t>MSGDM296</t>
  </si>
  <si>
    <t>MGDM297</t>
  </si>
  <si>
    <t>Cable encauchetado 3x8</t>
  </si>
  <si>
    <t>MSGDM297</t>
  </si>
  <si>
    <t>MGDM298</t>
  </si>
  <si>
    <t>MSGDM298</t>
  </si>
  <si>
    <t>MGDM299</t>
  </si>
  <si>
    <t>MSGDM299</t>
  </si>
  <si>
    <t>MGDM300</t>
  </si>
  <si>
    <t>MSGDM300</t>
  </si>
  <si>
    <t>MGDM301</t>
  </si>
  <si>
    <t>Cable Encauchetado 4x4 potencia</t>
  </si>
  <si>
    <t>MSGDM301</t>
  </si>
  <si>
    <t>MGDM302</t>
  </si>
  <si>
    <t>Cable encauchetado 7×12 + 20 AWG</t>
  </si>
  <si>
    <t>MSGDM302</t>
  </si>
  <si>
    <t>MGDM303</t>
  </si>
  <si>
    <t>Cable encauchetado 7×14 +20  AWG</t>
  </si>
  <si>
    <t>MSGDM303</t>
  </si>
  <si>
    <t>MGDM304</t>
  </si>
  <si>
    <t>Cable encauchetado pltc 24×14 + 20 AWG</t>
  </si>
  <si>
    <t>MSGDM304</t>
  </si>
  <si>
    <t>MGDM305</t>
  </si>
  <si>
    <t>Cable encauchetado pltc 4×18 + 20 AWG</t>
  </si>
  <si>
    <t>MSGDM305</t>
  </si>
  <si>
    <t>MGDM306</t>
  </si>
  <si>
    <t>Cable instrumentacion 18x18+20 apant</t>
  </si>
  <si>
    <t>MSGDM306</t>
  </si>
  <si>
    <t>MGDM307</t>
  </si>
  <si>
    <t>Cable instrumentacion 2x16+20 apant</t>
  </si>
  <si>
    <t>MSGDM307</t>
  </si>
  <si>
    <t>MGDM308</t>
  </si>
  <si>
    <t>Cable instrumentacion 4x16+20 apant</t>
  </si>
  <si>
    <t>MSGDM308</t>
  </si>
  <si>
    <t>MGDM309</t>
  </si>
  <si>
    <t>Cable instrumentacion 9x18+20 apant</t>
  </si>
  <si>
    <t>MSGDM309</t>
  </si>
  <si>
    <t>MGDM310</t>
  </si>
  <si>
    <t>Cable mensajero 1/4"</t>
  </si>
  <si>
    <t>MSGDM310</t>
  </si>
  <si>
    <t>MGDM311</t>
  </si>
  <si>
    <t>Cable No 1/0 THW</t>
  </si>
  <si>
    <t>MSGDM311</t>
  </si>
  <si>
    <t>MGDM312</t>
  </si>
  <si>
    <t>Cable No 10 AWG - THW Amarillo</t>
  </si>
  <si>
    <t>MSGDM312</t>
  </si>
  <si>
    <t>MGDM313</t>
  </si>
  <si>
    <t>Cable No 10 AWG - THW Azul</t>
  </si>
  <si>
    <t>MSGDM313</t>
  </si>
  <si>
    <t>MGDM314</t>
  </si>
  <si>
    <t>Cable No 10 AWG - THW Blanco</t>
  </si>
  <si>
    <t>MSGDM314</t>
  </si>
  <si>
    <t>MGDM315</t>
  </si>
  <si>
    <t>Cable No 10 AWG - THW Negro</t>
  </si>
  <si>
    <t>MSGDM315</t>
  </si>
  <si>
    <t>MGDM316</t>
  </si>
  <si>
    <t>Cable No 10 AWG - THW Rojo</t>
  </si>
  <si>
    <t>MSGDM316</t>
  </si>
  <si>
    <t>MGDM317</t>
  </si>
  <si>
    <t>Cable No 10 AWG - THW Verde</t>
  </si>
  <si>
    <t>MSGDM317</t>
  </si>
  <si>
    <t>MGDM318</t>
  </si>
  <si>
    <t>Cable No 12 AWG - THW Amarillo</t>
  </si>
  <si>
    <t>MSGDM318</t>
  </si>
  <si>
    <t>MGDM319</t>
  </si>
  <si>
    <t>Cable No 12 AWG - THW Azul</t>
  </si>
  <si>
    <t>MSGDM319</t>
  </si>
  <si>
    <t>MGDM320</t>
  </si>
  <si>
    <t>Cable No 12 AWG - THW Blanco</t>
  </si>
  <si>
    <t>MSGDM320</t>
  </si>
  <si>
    <t>MGDM321</t>
  </si>
  <si>
    <t>Cable No 12 AWG - THW Negro</t>
  </si>
  <si>
    <t>MSGDM321</t>
  </si>
  <si>
    <t>MGDM322</t>
  </si>
  <si>
    <t>Cable No 12 AWG - THW Rojo</t>
  </si>
  <si>
    <t>MSGDM322</t>
  </si>
  <si>
    <t>MGDM323</t>
  </si>
  <si>
    <t>Cable No 12 AWG - THW Verde</t>
  </si>
  <si>
    <t>MSGDM323</t>
  </si>
  <si>
    <t>MGDM324</t>
  </si>
  <si>
    <t>Cable No 14 AWG - THW</t>
  </si>
  <si>
    <t>MSGDM324</t>
  </si>
  <si>
    <t>MGDM325</t>
  </si>
  <si>
    <t>Cable No 2 AWG - THW</t>
  </si>
  <si>
    <t>MSGDM325</t>
  </si>
  <si>
    <t>MGDM326</t>
  </si>
  <si>
    <t>Cable No 4 AWG - THW</t>
  </si>
  <si>
    <t>MSGDM326</t>
  </si>
  <si>
    <t>MGDM327</t>
  </si>
  <si>
    <t>Cable No 6 AWG - THW</t>
  </si>
  <si>
    <t>MSGDM327</t>
  </si>
  <si>
    <t>MGDM328</t>
  </si>
  <si>
    <t>Cable No 8 AWG - THW</t>
  </si>
  <si>
    <t>MSGDM328</t>
  </si>
  <si>
    <t>MGDM329</t>
  </si>
  <si>
    <t>Cable No. 2/0 THW</t>
  </si>
  <si>
    <t>MSGDM329</t>
  </si>
  <si>
    <t>MGDM330</t>
  </si>
  <si>
    <t>Cable No. 250 MCM THHN</t>
  </si>
  <si>
    <t>MSGDM330</t>
  </si>
  <si>
    <t>MGDM331</t>
  </si>
  <si>
    <t>Cable No. 3/0 THW</t>
  </si>
  <si>
    <t>MSGDM331</t>
  </si>
  <si>
    <t>MGDM332</t>
  </si>
  <si>
    <t>Cable No. 300 MCM THHN</t>
  </si>
  <si>
    <t>MSGDM332</t>
  </si>
  <si>
    <t>MGDM333</t>
  </si>
  <si>
    <t>Cable No. 350 MCM THHN</t>
  </si>
  <si>
    <t>MSGDM333</t>
  </si>
  <si>
    <t>MGDM334</t>
  </si>
  <si>
    <t>Cable No. 4/0 THW</t>
  </si>
  <si>
    <t>MSGDM334</t>
  </si>
  <si>
    <t>MGDM335</t>
  </si>
  <si>
    <t>Cable No. 400 MCM THHN</t>
  </si>
  <si>
    <t>MSGDM335</t>
  </si>
  <si>
    <t>MGDM336</t>
  </si>
  <si>
    <t>Cable No. 500 MCM THHN</t>
  </si>
  <si>
    <t>MSGDM336</t>
  </si>
  <si>
    <t>MGDM337</t>
  </si>
  <si>
    <t>Cable RG 6 U</t>
  </si>
  <si>
    <t>MSGDM337</t>
  </si>
  <si>
    <t>MGDM338</t>
  </si>
  <si>
    <t>Cable telefonico de 10 pares</t>
  </si>
  <si>
    <t>MSGDM338</t>
  </si>
  <si>
    <t>MGDM339</t>
  </si>
  <si>
    <t>Cable TFF No 16</t>
  </si>
  <si>
    <t>MSGDM339</t>
  </si>
  <si>
    <t>MGDM340</t>
  </si>
  <si>
    <t>Cable THW 1/0 AL  Serie 8000 135 A</t>
  </si>
  <si>
    <t>MSGDM340</t>
  </si>
  <si>
    <t>MGDM341</t>
  </si>
  <si>
    <t>Cable THW 2 AL  Serie 8000 100 A</t>
  </si>
  <si>
    <t>MSGDM341</t>
  </si>
  <si>
    <t>MGDM342</t>
  </si>
  <si>
    <t>Cable THW 4 AL  Serie 8000 100 A</t>
  </si>
  <si>
    <t>MSGDM342</t>
  </si>
  <si>
    <t>MGDM343</t>
  </si>
  <si>
    <t>Cable THW 4/0 AL  Serie 8000 135 A</t>
  </si>
  <si>
    <t>MSGDM343</t>
  </si>
  <si>
    <t>MGDM344</t>
  </si>
  <si>
    <t>Cable Trenzado 4 x 1/0</t>
  </si>
  <si>
    <t>MSGDM344</t>
  </si>
  <si>
    <t>MGDM345</t>
  </si>
  <si>
    <t>Cable Trenzado 4 x 2</t>
  </si>
  <si>
    <t>MSGDM345</t>
  </si>
  <si>
    <t>MGDM346</t>
  </si>
  <si>
    <t>Cable Trenzado 4 x 4</t>
  </si>
  <si>
    <t>MSGDM346</t>
  </si>
  <si>
    <t>MGDM347</t>
  </si>
  <si>
    <t>Cable Trenzado 4 x 6</t>
  </si>
  <si>
    <t>MSGDM347</t>
  </si>
  <si>
    <t>MGDM348</t>
  </si>
  <si>
    <t>Cable UTP 4x2x24  amp cat 6  200 MHz</t>
  </si>
  <si>
    <t>MSGDM348</t>
  </si>
  <si>
    <t>MGDM349</t>
  </si>
  <si>
    <t>Cable XLPE No 1/0 100 %</t>
  </si>
  <si>
    <t>MSGDM349</t>
  </si>
  <si>
    <t>MGDM350</t>
  </si>
  <si>
    <t>Cable XLPE No 2  100 %</t>
  </si>
  <si>
    <t>MSGDM350</t>
  </si>
  <si>
    <t>MGDM351</t>
  </si>
  <si>
    <t>Cable XLPE No 2  133 %</t>
  </si>
  <si>
    <t>MSGDM351</t>
  </si>
  <si>
    <t>MGDM352</t>
  </si>
  <si>
    <t>Cable XLPE No 2/0 100 %</t>
  </si>
  <si>
    <t>MSGDM352</t>
  </si>
  <si>
    <t>MGDM353</t>
  </si>
  <si>
    <t>Caja De Distribución Eléctrica De 6x6x4" - Nema 12 cal 18</t>
  </si>
  <si>
    <t>MSGDM353</t>
  </si>
  <si>
    <t>MGDM354</t>
  </si>
  <si>
    <t>Caja De Distribución Eléctrica De 8x8x4"  - Nema 12 cal 18</t>
  </si>
  <si>
    <t>MSGDM354</t>
  </si>
  <si>
    <t>MGDM355</t>
  </si>
  <si>
    <t>Caja de empalme 8x8x6</t>
  </si>
  <si>
    <t>MSGDM355</t>
  </si>
  <si>
    <t>MGDM356</t>
  </si>
  <si>
    <t>Caja de empalme 15x15x10</t>
  </si>
  <si>
    <t>MSGDM356</t>
  </si>
  <si>
    <t>MGDM357</t>
  </si>
  <si>
    <t>Caja de empalme 20x20x15</t>
  </si>
  <si>
    <t>MSGDM357</t>
  </si>
  <si>
    <t>MGDM358</t>
  </si>
  <si>
    <t>Caja de empalme 50x50x20</t>
  </si>
  <si>
    <t>MSGDM358</t>
  </si>
  <si>
    <t>MGDM359</t>
  </si>
  <si>
    <t>Caja Doble ( 4x4" ) (Fundida Para Sobreponer)</t>
  </si>
  <si>
    <t>MSGDM359</t>
  </si>
  <si>
    <t>MGDM360</t>
  </si>
  <si>
    <t>Caja Doble ( 4x4" ) (Lámina PVC  Para Empotrar)</t>
  </si>
  <si>
    <t>MSGDM360</t>
  </si>
  <si>
    <t>MGDM361</t>
  </si>
  <si>
    <t>Caja doble (4x4")  (Fundida Para Sobreponer)</t>
  </si>
  <si>
    <t>MSGDM361</t>
  </si>
  <si>
    <t>MGDM362</t>
  </si>
  <si>
    <t>Caja doble (4x4")  PVC o galv incrustar</t>
  </si>
  <si>
    <t>MSGDM362</t>
  </si>
  <si>
    <t>MGDM363</t>
  </si>
  <si>
    <t>Caja IP 65 30x20x16</t>
  </si>
  <si>
    <t>MSGDM363</t>
  </si>
  <si>
    <t>MGDM364</t>
  </si>
  <si>
    <t>Caja metalica distribucion metálica CDM12</t>
  </si>
  <si>
    <t>MSGDM364</t>
  </si>
  <si>
    <t>MGDM365</t>
  </si>
  <si>
    <t>Caja metalica distribucion metálica CDM4</t>
  </si>
  <si>
    <t>MSGDM365</t>
  </si>
  <si>
    <t>MGDM366</t>
  </si>
  <si>
    <t>Caja metalica distribucion metálica CDM6</t>
  </si>
  <si>
    <t>MSGDM366</t>
  </si>
  <si>
    <t>MGDM367</t>
  </si>
  <si>
    <t>Caja metalica distribucion metálica CDM9</t>
  </si>
  <si>
    <t>MSGDM367</t>
  </si>
  <si>
    <t>MGDM368</t>
  </si>
  <si>
    <t>Caja minipragma opaca 6 pasos sobreponer multi 9</t>
  </si>
  <si>
    <t>MSGDM368</t>
  </si>
  <si>
    <t>MGDM369</t>
  </si>
  <si>
    <t>Caja minipragma transparente 10 pasos incrustar multi 9</t>
  </si>
  <si>
    <t>MSGDM369</t>
  </si>
  <si>
    <t>MGDM370</t>
  </si>
  <si>
    <t>Caja minipragma transparente 16 pasos incrustar multi 9</t>
  </si>
  <si>
    <t>MSGDM370</t>
  </si>
  <si>
    <t>MGDM371</t>
  </si>
  <si>
    <t>Caja Octagonal (Fundida Para Sobreponer)</t>
  </si>
  <si>
    <t>MSGDM371</t>
  </si>
  <si>
    <t>MGDM372</t>
  </si>
  <si>
    <t>Caja Octagonal (Lámina Para Empotrar)</t>
  </si>
  <si>
    <t>MSGDM372</t>
  </si>
  <si>
    <t>MGDM373</t>
  </si>
  <si>
    <t>Caja Octagonal PVC</t>
  </si>
  <si>
    <t>MSGDM373</t>
  </si>
  <si>
    <t>MGDM374</t>
  </si>
  <si>
    <t>CAJAS PRIMARIAS 15 KV</t>
  </si>
  <si>
    <t>MSGDM374</t>
  </si>
  <si>
    <t>MGDM375</t>
  </si>
  <si>
    <t>Caja para Medidor Tipo C</t>
  </si>
  <si>
    <t>MSGDM375</t>
  </si>
  <si>
    <t>MGDM376</t>
  </si>
  <si>
    <t>Caja PVC 2x4 Para Empotrar</t>
  </si>
  <si>
    <t>MSGDM376</t>
  </si>
  <si>
    <t>MGDM377</t>
  </si>
  <si>
    <t>Caja PVC 4x4</t>
  </si>
  <si>
    <t>MSGDM377</t>
  </si>
  <si>
    <t>un</t>
  </si>
  <si>
    <t>MGDM378</t>
  </si>
  <si>
    <t>Caja Plástica Dexson 2x4 Para Sobreponer, Utilizadas Con Canaleta</t>
  </si>
  <si>
    <t>MSGDM378</t>
  </si>
  <si>
    <t>MGDM379</t>
  </si>
  <si>
    <t>CAJA RAWELT GALVANIZADA OCTAGONAL 4 SALIDAS 3/4</t>
  </si>
  <si>
    <t>MSGDM379</t>
  </si>
  <si>
    <t>MGDM380</t>
  </si>
  <si>
    <t>Cajas Radwelt 2 x 4</t>
  </si>
  <si>
    <t>MSGDM380</t>
  </si>
  <si>
    <t>MGDM381</t>
  </si>
  <si>
    <t>Cajas Radwelt 2 x 4 salida 3/4</t>
  </si>
  <si>
    <t>MSGDM381</t>
  </si>
  <si>
    <t>MGDM382</t>
  </si>
  <si>
    <t>Cajas Radwelt 4 x 4 salida 3/4</t>
  </si>
  <si>
    <t>MSGDM382</t>
  </si>
  <si>
    <t>MGDM383</t>
  </si>
  <si>
    <t>Cajas Radwelt 4 x 4</t>
  </si>
  <si>
    <t>MSGDM383</t>
  </si>
  <si>
    <t>MGDM384</t>
  </si>
  <si>
    <t>Caja Sencilla (2x4")  (Fundida Para Sobreponer)</t>
  </si>
  <si>
    <t>MSGDM384</t>
  </si>
  <si>
    <t>MGDM385</t>
  </si>
  <si>
    <t>Caja Sencilla (2x4") (Lámina Para Empotrar)</t>
  </si>
  <si>
    <t>MSGDM385</t>
  </si>
  <si>
    <t>MGDM386</t>
  </si>
  <si>
    <t>Canaleta c/division de 11x5 c/tapa</t>
  </si>
  <si>
    <t>MSGDM386</t>
  </si>
  <si>
    <t>MGDM387</t>
  </si>
  <si>
    <t>Canaleta DLP</t>
  </si>
  <si>
    <t>MSGDM387</t>
  </si>
  <si>
    <t>MGDM388</t>
  </si>
  <si>
    <t>Canaleta Metálica De 10 x 12.5mm</t>
  </si>
  <si>
    <t>MSGDM388</t>
  </si>
  <si>
    <t>MGDM389</t>
  </si>
  <si>
    <t xml:space="preserve">Canaleta Metálica De 10 x 8 cm  C 22 TA  </t>
  </si>
  <si>
    <t>MSGDM389</t>
  </si>
  <si>
    <t>MGDM390</t>
  </si>
  <si>
    <t>Canaleta Metálica De 20 x 12.5mm</t>
  </si>
  <si>
    <t>MSGDM390</t>
  </si>
  <si>
    <t>MGDM391</t>
  </si>
  <si>
    <t>Canaleta Metálica De 20 x 8 cm  C 22 TA</t>
  </si>
  <si>
    <t>MSGDM391</t>
  </si>
  <si>
    <t>MGDM392</t>
  </si>
  <si>
    <t>Canaleta Metálica De 30 x 8 cm  C 22 TA</t>
  </si>
  <si>
    <t>MSGDM392</t>
  </si>
  <si>
    <t>MGDM393</t>
  </si>
  <si>
    <t>Canaleta Metálica De 32 x 12.5mm</t>
  </si>
  <si>
    <t>MSGDM393</t>
  </si>
  <si>
    <t>MGDM394</t>
  </si>
  <si>
    <t>Canaleta Metálica De 40 x 12,5 mm</t>
  </si>
  <si>
    <t>MSGDM394</t>
  </si>
  <si>
    <t>MGDM395</t>
  </si>
  <si>
    <t>Canaleta Plástica 10x12,5</t>
  </si>
  <si>
    <t>MSGDM395</t>
  </si>
  <si>
    <t>MGDM396</t>
  </si>
  <si>
    <t>Canaleta Plástica 20x12,5</t>
  </si>
  <si>
    <t>MSGDM396</t>
  </si>
  <si>
    <t>MGDM397</t>
  </si>
  <si>
    <t>Canaleta Plástica 32x12,5</t>
  </si>
  <si>
    <t>MSGDM397</t>
  </si>
  <si>
    <t>MGDM398</t>
  </si>
  <si>
    <t>Canaleta ranurada 60x40</t>
  </si>
  <si>
    <t>MSGDM398</t>
  </si>
  <si>
    <t>MGDM399</t>
  </si>
  <si>
    <t>Canaleta soporte colgante</t>
  </si>
  <si>
    <t>MSGDM399</t>
  </si>
  <si>
    <t>MGDM400</t>
  </si>
  <si>
    <t>Candado Master</t>
  </si>
  <si>
    <t>MSGDM400</t>
  </si>
  <si>
    <t>MGDM401</t>
  </si>
  <si>
    <t>MSGDM401</t>
  </si>
  <si>
    <t>MGDM402</t>
  </si>
  <si>
    <t>MSGDM402</t>
  </si>
  <si>
    <t>MGDM403</t>
  </si>
  <si>
    <t>MSGDM403</t>
  </si>
  <si>
    <t>MGDM404</t>
  </si>
  <si>
    <t>MSGDM404</t>
  </si>
  <si>
    <t>MGDM405</t>
  </si>
  <si>
    <t>Celda con seccionador y fusibles HH 630 amps</t>
  </si>
  <si>
    <t>MSGDM405</t>
  </si>
  <si>
    <t>MGDM406</t>
  </si>
  <si>
    <t xml:space="preserve">Celda de Proteccion con seccionador de Operación Bajo Carga Base Portafusibles </t>
  </si>
  <si>
    <t>MSGDM406</t>
  </si>
  <si>
    <t>MGDM407</t>
  </si>
  <si>
    <t>Celda de Remonte de Cables Sin Barraje GAM-0</t>
  </si>
  <si>
    <t>MSGDM407</t>
  </si>
  <si>
    <t>MGDM408</t>
  </si>
  <si>
    <t>Celda para transformador de 225 KVA</t>
  </si>
  <si>
    <t>MSGDM408</t>
  </si>
  <si>
    <t>MGDM409</t>
  </si>
  <si>
    <t>Cemento Gris</t>
  </si>
  <si>
    <t>MSGDM409</t>
  </si>
  <si>
    <t>KG</t>
  </si>
  <si>
    <t>MGDM410</t>
  </si>
  <si>
    <t>Certificacion RETIE</t>
  </si>
  <si>
    <t>MSGDM410</t>
  </si>
  <si>
    <t>MGDM411</t>
  </si>
  <si>
    <t>Channel alto</t>
  </si>
  <si>
    <t>MSGDM411</t>
  </si>
  <si>
    <t>MGDM412</t>
  </si>
  <si>
    <t>Channel bajo</t>
  </si>
  <si>
    <t>MSGDM412</t>
  </si>
  <si>
    <t>MGDM413</t>
  </si>
  <si>
    <t>Channel acero inoxidable</t>
  </si>
  <si>
    <t>MSGDM413</t>
  </si>
  <si>
    <t>MGDM414</t>
  </si>
  <si>
    <t>Chazos</t>
  </si>
  <si>
    <t>MSGDM414</t>
  </si>
  <si>
    <t>MGDM415</t>
  </si>
  <si>
    <t>Chico</t>
  </si>
  <si>
    <t>MSGDM415</t>
  </si>
  <si>
    <t>MGDM416</t>
  </si>
  <si>
    <t>Cinta bandit</t>
  </si>
  <si>
    <t>MSGDM416</t>
  </si>
  <si>
    <t>Rollo</t>
  </si>
  <si>
    <t>MGDM417</t>
  </si>
  <si>
    <t>Cinta Demarcacion</t>
  </si>
  <si>
    <t>MSGDM417</t>
  </si>
  <si>
    <t>MGDM418</t>
  </si>
  <si>
    <t>MSGDM418</t>
  </si>
  <si>
    <t>MGDM419</t>
  </si>
  <si>
    <t>CINTA SCOTH #23</t>
  </si>
  <si>
    <t>MSGDM419</t>
  </si>
  <si>
    <t>MGDM420</t>
  </si>
  <si>
    <t>CINTA SCOTH #50</t>
  </si>
  <si>
    <t>MSGDM420</t>
  </si>
  <si>
    <t>MGDM421</t>
  </si>
  <si>
    <t>Cinta tenflex 1700 x 10 mts</t>
  </si>
  <si>
    <t>MSGDM421</t>
  </si>
  <si>
    <t>MGDM422</t>
  </si>
  <si>
    <t>Cinta tenflex 1700 x 20 mts</t>
  </si>
  <si>
    <t>MSGDM422</t>
  </si>
  <si>
    <t>MGDM423</t>
  </si>
  <si>
    <t>Clavija 20A Twis Lock Uso Industrial Leviton O Similar 110v</t>
  </si>
  <si>
    <t>MSGDM423</t>
  </si>
  <si>
    <t>MGDM424</t>
  </si>
  <si>
    <t>Clavija 30A Twis Lock Uso Industrial Leviton O Similar ref 2621</t>
  </si>
  <si>
    <t>MSGDM424</t>
  </si>
  <si>
    <t>MGDM425</t>
  </si>
  <si>
    <t>Clavija 30A Twis Lock Uso Industrial Leviton O Similar ref 2721</t>
  </si>
  <si>
    <t>MSGDM425</t>
  </si>
  <si>
    <t>MGDM426</t>
  </si>
  <si>
    <t>Clavija 30A Twis Lock Uso Industrial Leviton O Similar ref 2811</t>
  </si>
  <si>
    <t>MSGDM426</t>
  </si>
  <si>
    <t>MGDM427</t>
  </si>
  <si>
    <t xml:space="preserve">Clavija Con Polo A Tierra De 20 Amp. A 120v. </t>
  </si>
  <si>
    <t>MSGDM427</t>
  </si>
  <si>
    <t>MGDM428</t>
  </si>
  <si>
    <t xml:space="preserve">Clavija de caucho con polo a tierra 15 amp 110 V </t>
  </si>
  <si>
    <t>MSGDM428</t>
  </si>
  <si>
    <t>MGDM429</t>
  </si>
  <si>
    <t>CLAVIJAS NEMA L16-20 AMP</t>
  </si>
  <si>
    <t>MSGDM429</t>
  </si>
  <si>
    <t>MGDM430</t>
  </si>
  <si>
    <t>CLAVIJAS NEMA L15-30 AMP</t>
  </si>
  <si>
    <t>MSGDM430</t>
  </si>
  <si>
    <t>MGDM431</t>
  </si>
  <si>
    <t>CLAVIJAS NEMA L5-20 AMP</t>
  </si>
  <si>
    <t>MSGDM431</t>
  </si>
  <si>
    <t>MGDM432</t>
  </si>
  <si>
    <t>CLAVIJAS NEMA L6-30 AMP</t>
  </si>
  <si>
    <t>MSGDM432</t>
  </si>
  <si>
    <t>MGDM433</t>
  </si>
  <si>
    <t>Clavija Trifásica Tripolar De 20 Amp - 250v, 4 hilos leviton</t>
  </si>
  <si>
    <t>MSGDM433</t>
  </si>
  <si>
    <t>MGDM434</t>
  </si>
  <si>
    <t>Clavija Trifásica Tripolar De 30 Amp - 250v, 4 hilos leviton</t>
  </si>
  <si>
    <t>MSGDM434</t>
  </si>
  <si>
    <t>MGDM435</t>
  </si>
  <si>
    <t>Clavija Trifásica Tripolar De 50 Amp - 250v, 4 hilos leviton o similar</t>
  </si>
  <si>
    <t>MSGDM435</t>
  </si>
  <si>
    <t>MGDM436</t>
  </si>
  <si>
    <t>Clavo de 2" (puntilla)</t>
  </si>
  <si>
    <t>MSGDM436</t>
  </si>
  <si>
    <t>MGDM437</t>
  </si>
  <si>
    <t>Clevis 10"</t>
  </si>
  <si>
    <t>MSGDM437</t>
  </si>
  <si>
    <t>MGDM438</t>
  </si>
  <si>
    <t>Clevis 6"</t>
  </si>
  <si>
    <t>MSGDM438</t>
  </si>
  <si>
    <t>MGDM439</t>
  </si>
  <si>
    <t>Codo 1" sch 40</t>
  </si>
  <si>
    <t>MSGDM439</t>
  </si>
  <si>
    <t>MGDM440</t>
  </si>
  <si>
    <t>Codo 1/2" sch 40</t>
  </si>
  <si>
    <t>MSGDM440</t>
  </si>
  <si>
    <t>MGDM441</t>
  </si>
  <si>
    <t>Codo 3/4" sch 40</t>
  </si>
  <si>
    <t>MSGDM441</t>
  </si>
  <si>
    <t>MGDM442</t>
  </si>
  <si>
    <t>Cofre De 30x20x15</t>
  </si>
  <si>
    <t>MSGDM442</t>
  </si>
  <si>
    <t>MGDM443</t>
  </si>
  <si>
    <t>Cofre De 40x30x20</t>
  </si>
  <si>
    <t>MSGDM443</t>
  </si>
  <si>
    <t>MGDM444</t>
  </si>
  <si>
    <t>Cofre De 50x30x20</t>
  </si>
  <si>
    <t>MSGDM444</t>
  </si>
  <si>
    <t>MGDM445</t>
  </si>
  <si>
    <t>Cofre De 50x40x20</t>
  </si>
  <si>
    <t>MSGDM445</t>
  </si>
  <si>
    <t>MGDM446</t>
  </si>
  <si>
    <t>Cofre De 60x40x25</t>
  </si>
  <si>
    <t>MSGDM446</t>
  </si>
  <si>
    <t>MGDM447</t>
  </si>
  <si>
    <t>Cofre Lamina Galv  100x80x30</t>
  </si>
  <si>
    <t>MSGDM447</t>
  </si>
  <si>
    <t>MGDM448</t>
  </si>
  <si>
    <t>Cofre Lamina Galv  90x70x30</t>
  </si>
  <si>
    <t>MSGDM448</t>
  </si>
  <si>
    <t>MGDM449</t>
  </si>
  <si>
    <t>Cofre Lamina Galv 120x80x40</t>
  </si>
  <si>
    <t>MSGDM449</t>
  </si>
  <si>
    <t>MGDM450</t>
  </si>
  <si>
    <t>Cofre Lamina Galv 150x80x40</t>
  </si>
  <si>
    <t>MSGDM450</t>
  </si>
  <si>
    <t>MGDM451</t>
  </si>
  <si>
    <t>Cofre Lamina Galv 200x120x100</t>
  </si>
  <si>
    <t>MSGDM451</t>
  </si>
  <si>
    <t>MGDM452</t>
  </si>
  <si>
    <t>Cofre Lamina Galv 200x120x100 sin barraje</t>
  </si>
  <si>
    <t>MSGDM452</t>
  </si>
  <si>
    <t>MGDM453</t>
  </si>
  <si>
    <t>Cofre Lamina Galv 70x50x25</t>
  </si>
  <si>
    <t>MSGDM453</t>
  </si>
  <si>
    <t>MGDM454</t>
  </si>
  <si>
    <t>Cofre Plástico Transparente IP65 de 16 cm de profundidad</t>
  </si>
  <si>
    <t>MSGDM454</t>
  </si>
  <si>
    <t>MGDM455</t>
  </si>
  <si>
    <t>Collarín De Doble Derivación De 6-7 pulg.</t>
  </si>
  <si>
    <t>MSGDM455</t>
  </si>
  <si>
    <t>MGDM456</t>
  </si>
  <si>
    <t>Collarín De Doble Derivación De 7-8 pulg.</t>
  </si>
  <si>
    <t>MSGDM456</t>
  </si>
  <si>
    <t>MGDM457</t>
  </si>
  <si>
    <t>Collarín De Doble Derivación De 8-9 pulg.</t>
  </si>
  <si>
    <t>MSGDM457</t>
  </si>
  <si>
    <t>MGDM458</t>
  </si>
  <si>
    <t>Combustible</t>
  </si>
  <si>
    <t>MSGDM458</t>
  </si>
  <si>
    <t>Gl</t>
  </si>
  <si>
    <t>MGDM459</t>
  </si>
  <si>
    <t>Concreto fc=2000 psi</t>
  </si>
  <si>
    <t>MSGDM459</t>
  </si>
  <si>
    <t>M3</t>
  </si>
  <si>
    <t>MGDM460</t>
  </si>
  <si>
    <t>Concreto fc=2500 psi</t>
  </si>
  <si>
    <t>MSGDM460</t>
  </si>
  <si>
    <t>MGDM461</t>
  </si>
  <si>
    <t>Concreto fc=3000 psi</t>
  </si>
  <si>
    <t>MSGDM461</t>
  </si>
  <si>
    <t>MGDM462</t>
  </si>
  <si>
    <t>Concreto fc=4000 psi</t>
  </si>
  <si>
    <t>MSGDM462</t>
  </si>
  <si>
    <t>MGDM463</t>
  </si>
  <si>
    <t>Condensador de 12 kvar 240V</t>
  </si>
  <si>
    <t>MSGDM463</t>
  </si>
  <si>
    <t>MGDM464</t>
  </si>
  <si>
    <t>Condensador de 30 uf 220V</t>
  </si>
  <si>
    <t>MSGDM464</t>
  </si>
  <si>
    <t>MGDM465</t>
  </si>
  <si>
    <t>Condensador de 6 kvar 240V</t>
  </si>
  <si>
    <t>MSGDM465</t>
  </si>
  <si>
    <t>MGDM466</t>
  </si>
  <si>
    <t>Conductor ACSR 1/0</t>
  </si>
  <si>
    <t>MSGDM466</t>
  </si>
  <si>
    <t>ML</t>
  </si>
  <si>
    <t>MGDM467</t>
  </si>
  <si>
    <t>Conductor ACSR 2</t>
  </si>
  <si>
    <t>MSGDM467</t>
  </si>
  <si>
    <t>MGDM468</t>
  </si>
  <si>
    <t>Conductor ACSR 2/0</t>
  </si>
  <si>
    <t>MSGDM468</t>
  </si>
  <si>
    <t>MGDM469</t>
  </si>
  <si>
    <t>Conductor ACSR 4</t>
  </si>
  <si>
    <t>MSGDM469</t>
  </si>
  <si>
    <t>MGDM470</t>
  </si>
  <si>
    <t>Conductor ACSR 4/0</t>
  </si>
  <si>
    <t>MSGDM470</t>
  </si>
  <si>
    <t>MGDM471</t>
  </si>
  <si>
    <t>Conductor XLPE Para 15kv, 1/0</t>
  </si>
  <si>
    <t>MSGDM471</t>
  </si>
  <si>
    <t>MGDM472</t>
  </si>
  <si>
    <t>Conductor XLPE Para 15kv, 2</t>
  </si>
  <si>
    <t>MSGDM472</t>
  </si>
  <si>
    <t>MGDM473</t>
  </si>
  <si>
    <t>Conductor XLPE Para 15kv, 2/0</t>
  </si>
  <si>
    <t>MSGDM473</t>
  </si>
  <si>
    <t>MGDM474</t>
  </si>
  <si>
    <t>Conductor XLPE Para 15kv, 250mcm</t>
  </si>
  <si>
    <t>MSGDM474</t>
  </si>
  <si>
    <t>MGDM475</t>
  </si>
  <si>
    <t>Conductor XLPE Para 15kv, 3/0</t>
  </si>
  <si>
    <t>MSGDM475</t>
  </si>
  <si>
    <t>MGDM476</t>
  </si>
  <si>
    <t>Conductor XLPE Para 15kv, 4/0</t>
  </si>
  <si>
    <t>MSGDM476</t>
  </si>
  <si>
    <t>MGDM477</t>
  </si>
  <si>
    <t>Conduleta PVC LB 1/2</t>
  </si>
  <si>
    <t>MSGDM477</t>
  </si>
  <si>
    <t>MGDM478</t>
  </si>
  <si>
    <t>Conduleta PVC LB 3/4</t>
  </si>
  <si>
    <t>MSGDM478</t>
  </si>
  <si>
    <t>MGDM479</t>
  </si>
  <si>
    <t>Conduleta PVC  LB 1</t>
  </si>
  <si>
    <t>MSGDM479</t>
  </si>
  <si>
    <t>MGDM480</t>
  </si>
  <si>
    <t>Conduleta PVC LB  1 1/2</t>
  </si>
  <si>
    <t>MSGDM480</t>
  </si>
  <si>
    <t>MGDM481</t>
  </si>
  <si>
    <t>Conduleta PVC LB 2</t>
  </si>
  <si>
    <t>MSGDM481</t>
  </si>
  <si>
    <t>MGDM482</t>
  </si>
  <si>
    <t>Conduleta PVC LR 1/2</t>
  </si>
  <si>
    <t>MSGDM482</t>
  </si>
  <si>
    <t>MGDM483</t>
  </si>
  <si>
    <t>ConduletaPVC  LR 3/4</t>
  </si>
  <si>
    <t>MSGDM483</t>
  </si>
  <si>
    <t>MGDM484</t>
  </si>
  <si>
    <t>Conduleta PVC LR 1</t>
  </si>
  <si>
    <t>MSGDM484</t>
  </si>
  <si>
    <t>MGDM485</t>
  </si>
  <si>
    <t>Conduleta PVC LR  1 1/2</t>
  </si>
  <si>
    <t>MSGDM485</t>
  </si>
  <si>
    <t>MGDM486</t>
  </si>
  <si>
    <t>Conduleta PVC LR 2</t>
  </si>
  <si>
    <t>MSGDM486</t>
  </si>
  <si>
    <t>MGDM487</t>
  </si>
  <si>
    <t>ConduletaPVC  LL 1/2</t>
  </si>
  <si>
    <t>MSGDM487</t>
  </si>
  <si>
    <t>MGDM488</t>
  </si>
  <si>
    <t>ConduletaPVC LL 3/4</t>
  </si>
  <si>
    <t>MSGDM488</t>
  </si>
  <si>
    <t>MGDM489</t>
  </si>
  <si>
    <t>Conduleta PVC LL 1</t>
  </si>
  <si>
    <t>MSGDM489</t>
  </si>
  <si>
    <t>MGDM490</t>
  </si>
  <si>
    <t>Conduleta PVC LL  1 1/2</t>
  </si>
  <si>
    <t>MSGDM490</t>
  </si>
  <si>
    <t>MGDM491</t>
  </si>
  <si>
    <t>Conduleta PVC LL 2</t>
  </si>
  <si>
    <t>MSGDM491</t>
  </si>
  <si>
    <t>MGDM492</t>
  </si>
  <si>
    <t>Conduleta PVC LT 1/2</t>
  </si>
  <si>
    <t>MSGDM492</t>
  </si>
  <si>
    <t>MGDM493</t>
  </si>
  <si>
    <t>Conduleta PVC LT 3/4</t>
  </si>
  <si>
    <t>MSGDM493</t>
  </si>
  <si>
    <t>MGDM494</t>
  </si>
  <si>
    <t>Conduleta PVC LT 1</t>
  </si>
  <si>
    <t>MSGDM494</t>
  </si>
  <si>
    <t>MGDM495</t>
  </si>
  <si>
    <t>Conduleta PVC LT 1 1/2</t>
  </si>
  <si>
    <t>MSGDM495</t>
  </si>
  <si>
    <t>MGDM496</t>
  </si>
  <si>
    <t>ConduletaPVC  LT 2</t>
  </si>
  <si>
    <t>MSGDM496</t>
  </si>
  <si>
    <t>MGDM497</t>
  </si>
  <si>
    <t>Conduleta LB 1/2</t>
  </si>
  <si>
    <t>MSGDM497</t>
  </si>
  <si>
    <t>MGDM498</t>
  </si>
  <si>
    <t>Conduleta LB 3/4</t>
  </si>
  <si>
    <t>MSGDM498</t>
  </si>
  <si>
    <t>MGDM499</t>
  </si>
  <si>
    <t>Conduleta LB 1</t>
  </si>
  <si>
    <t>MSGDM499</t>
  </si>
  <si>
    <t>MGDM500</t>
  </si>
  <si>
    <t>Conduleta LB  1 1/2</t>
  </si>
  <si>
    <t>MSGDM500</t>
  </si>
  <si>
    <t>MGDM501</t>
  </si>
  <si>
    <t>Conduleta LB 2</t>
  </si>
  <si>
    <t>MSGDM501</t>
  </si>
  <si>
    <t>MGDM502</t>
  </si>
  <si>
    <t>Conduleta LR 1/2</t>
  </si>
  <si>
    <t>MSGDM502</t>
  </si>
  <si>
    <t>MGDM503</t>
  </si>
  <si>
    <t>Conduleta LR 3/4</t>
  </si>
  <si>
    <t>MSGDM503</t>
  </si>
  <si>
    <t>MGDM504</t>
  </si>
  <si>
    <t>Conduleta LR 1</t>
  </si>
  <si>
    <t>MSGDM504</t>
  </si>
  <si>
    <t>MGDM505</t>
  </si>
  <si>
    <t>Conduleta LR  1 1/2</t>
  </si>
  <si>
    <t>MSGDM505</t>
  </si>
  <si>
    <t>MGDM506</t>
  </si>
  <si>
    <t>Conduleta LR 2</t>
  </si>
  <si>
    <t>MSGDM506</t>
  </si>
  <si>
    <t>MGDM507</t>
  </si>
  <si>
    <t>Conduleta LL 1/2</t>
  </si>
  <si>
    <t>MSGDM507</t>
  </si>
  <si>
    <t>MGDM508</t>
  </si>
  <si>
    <t>Conduleta LL 3/4</t>
  </si>
  <si>
    <t>MSGDM508</t>
  </si>
  <si>
    <t>MGDM509</t>
  </si>
  <si>
    <t>Conduleta LL 1</t>
  </si>
  <si>
    <t>MSGDM509</t>
  </si>
  <si>
    <t>MGDM510</t>
  </si>
  <si>
    <t>Conduleta LL  1 1/2</t>
  </si>
  <si>
    <t>MSGDM510</t>
  </si>
  <si>
    <t>MGDM511</t>
  </si>
  <si>
    <t>Conduleta LL 2</t>
  </si>
  <si>
    <t>MSGDM511</t>
  </si>
  <si>
    <t>MGDM512</t>
  </si>
  <si>
    <t>Conduleta LT 1/2</t>
  </si>
  <si>
    <t>MSGDM512</t>
  </si>
  <si>
    <t>MGDM513</t>
  </si>
  <si>
    <t>Conduleta LT 3/4</t>
  </si>
  <si>
    <t>MSGDM513</t>
  </si>
  <si>
    <t>MGDM514</t>
  </si>
  <si>
    <t>Conduleta LT 1</t>
  </si>
  <si>
    <t>MSGDM514</t>
  </si>
  <si>
    <t>MGDM515</t>
  </si>
  <si>
    <t>Conduleta LT 1 1/2</t>
  </si>
  <si>
    <t>MSGDM515</t>
  </si>
  <si>
    <t>MGDM516</t>
  </si>
  <si>
    <t>Conduleta LT 2</t>
  </si>
  <si>
    <t>MSGDM516</t>
  </si>
  <si>
    <t>MGDM517</t>
  </si>
  <si>
    <t>Conduleta EMT de 1 1/4" liviana</t>
  </si>
  <si>
    <t>MSGDM517</t>
  </si>
  <si>
    <t>MGDM518</t>
  </si>
  <si>
    <t>Conduleta EMT de 1 liviana</t>
  </si>
  <si>
    <t>MSGDM518</t>
  </si>
  <si>
    <t>MGDM519</t>
  </si>
  <si>
    <t>Conduleta EMT de 1/2 liviana</t>
  </si>
  <si>
    <t>MSGDM519</t>
  </si>
  <si>
    <t>MGDM520</t>
  </si>
  <si>
    <t>Conduleta EMT de 1-1/2 liviana</t>
  </si>
  <si>
    <t>MSGDM520</t>
  </si>
  <si>
    <t>MGDM521</t>
  </si>
  <si>
    <t>Conduleta EMT de 2 liviana</t>
  </si>
  <si>
    <t>MSGDM521</t>
  </si>
  <si>
    <t>MGDM522</t>
  </si>
  <si>
    <t>Conduleta EMT de 3 liviana</t>
  </si>
  <si>
    <t>MSGDM522</t>
  </si>
  <si>
    <t>MGDM523</t>
  </si>
  <si>
    <t>Conduleta EMT de 3/4 liviana</t>
  </si>
  <si>
    <t>MSGDM523</t>
  </si>
  <si>
    <t>MGDM524</t>
  </si>
  <si>
    <t>Conduleta GUAB o GUAL  16 1/2"</t>
  </si>
  <si>
    <t>MSGDM524</t>
  </si>
  <si>
    <t>MGDM525</t>
  </si>
  <si>
    <t>Conduleta GUAB o GUAL  26 3/4"</t>
  </si>
  <si>
    <t>MSGDM525</t>
  </si>
  <si>
    <t>MGDM526</t>
  </si>
  <si>
    <t>Conduleta GUAB o GUAL  36 1"</t>
  </si>
  <si>
    <t>MSGDM526</t>
  </si>
  <si>
    <t>MGDM527</t>
  </si>
  <si>
    <t>Conduleta GUAB o GUAL  56 1 1/2"</t>
  </si>
  <si>
    <t>MSGDM527</t>
  </si>
  <si>
    <t>MGDM528</t>
  </si>
  <si>
    <t>Conduleta GUAB o GUAL  66 2"</t>
  </si>
  <si>
    <t>MSGDM528</t>
  </si>
  <si>
    <t>MGDM529</t>
  </si>
  <si>
    <t>Conduleta pesada   1 1/2"</t>
  </si>
  <si>
    <t>MSGDM529</t>
  </si>
  <si>
    <t>MGDM530</t>
  </si>
  <si>
    <t>Conduleta pesada   1 1/4"</t>
  </si>
  <si>
    <t>MSGDM530</t>
  </si>
  <si>
    <t>MGDM531</t>
  </si>
  <si>
    <t>Conduleta pesada   1"</t>
  </si>
  <si>
    <t>MSGDM531</t>
  </si>
  <si>
    <t>MGDM532</t>
  </si>
  <si>
    <t>Conduleta pesada   1/2"</t>
  </si>
  <si>
    <t>MSGDM532</t>
  </si>
  <si>
    <t>MGDM533</t>
  </si>
  <si>
    <t>Conduleta pesada   2"</t>
  </si>
  <si>
    <t>MSGDM533</t>
  </si>
  <si>
    <t>MGDM534</t>
  </si>
  <si>
    <t>Conduleta pesada   3"</t>
  </si>
  <si>
    <t>MSGDM534</t>
  </si>
  <si>
    <t>MGDM535</t>
  </si>
  <si>
    <t>Conduleta pesada   3/4"</t>
  </si>
  <si>
    <t>MSGDM535</t>
  </si>
  <si>
    <t>MGDM536</t>
  </si>
  <si>
    <t>Conduleta pesada   4"</t>
  </si>
  <si>
    <t>MSGDM536</t>
  </si>
  <si>
    <t>MGDM537</t>
  </si>
  <si>
    <t>Conduleta PVC Tipo C De 1 1/4"</t>
  </si>
  <si>
    <t>MSGDM537</t>
  </si>
  <si>
    <t>MGDM538</t>
  </si>
  <si>
    <t>Conduleta PVC Tipo C De 1"</t>
  </si>
  <si>
    <t>MSGDM538</t>
  </si>
  <si>
    <t>MGDM539</t>
  </si>
  <si>
    <t>Conduleta PVC Tipo C De 1/2"</t>
  </si>
  <si>
    <t>MSGDM539</t>
  </si>
  <si>
    <t>MGDM540</t>
  </si>
  <si>
    <t>Conduleta PVC Tipo C De 1-1/2"</t>
  </si>
  <si>
    <t>MSGDM540</t>
  </si>
  <si>
    <t>MGDM541</t>
  </si>
  <si>
    <t>Conduleta PVC Tipo C De 2"</t>
  </si>
  <si>
    <t>MSGDM541</t>
  </si>
  <si>
    <t>MGDM542</t>
  </si>
  <si>
    <t>Conduleta PVC Tipo C De 3"</t>
  </si>
  <si>
    <t>MSGDM542</t>
  </si>
  <si>
    <t>MGDM543</t>
  </si>
  <si>
    <t>Conduleta PVC Tipo C De 3/4"</t>
  </si>
  <si>
    <t>MSGDM543</t>
  </si>
  <si>
    <t>MGDM544</t>
  </si>
  <si>
    <t>Conduleta PVC Tipo C De 4"</t>
  </si>
  <si>
    <t>MSGDM544</t>
  </si>
  <si>
    <t>MGDM545</t>
  </si>
  <si>
    <t>Conector Ampact</t>
  </si>
  <si>
    <t>MSGDM545</t>
  </si>
  <si>
    <t>MGDM546</t>
  </si>
  <si>
    <t xml:space="preserve">Conector ampact aislado 2 al 3/0  </t>
  </si>
  <si>
    <t>MSGDM546</t>
  </si>
  <si>
    <t>MGDM547</t>
  </si>
  <si>
    <t>Conector ampact aislado  4/0 al 300 MCM</t>
  </si>
  <si>
    <t>MSGDM547</t>
  </si>
  <si>
    <t>MGDM548</t>
  </si>
  <si>
    <t xml:space="preserve">Conector ampact tipo aluminio cuña 2 al 4/0 </t>
  </si>
  <si>
    <t>MSGDM548</t>
  </si>
  <si>
    <t>MGDM549</t>
  </si>
  <si>
    <t>Conector autodesf XA 3m 80610052765</t>
  </si>
  <si>
    <t>MSGDM549</t>
  </si>
  <si>
    <t>MGDM550</t>
  </si>
  <si>
    <t>Conector curvo de 2" no metalico</t>
  </si>
  <si>
    <t>MSGDM550</t>
  </si>
  <si>
    <t>MGDM551</t>
  </si>
  <si>
    <t>Conector de tierra Burndy Catalog Number: GC4C4C</t>
  </si>
  <si>
    <t>MSGDM551</t>
  </si>
  <si>
    <t>MGDM552</t>
  </si>
  <si>
    <t>Conector EMT 1 1/4"</t>
  </si>
  <si>
    <t>MSGDM552</t>
  </si>
  <si>
    <t>MGDM553</t>
  </si>
  <si>
    <t>Conector EMT 1"</t>
  </si>
  <si>
    <t>MSGDM553</t>
  </si>
  <si>
    <t>MGDM554</t>
  </si>
  <si>
    <t>Conector EMT 1/2"</t>
  </si>
  <si>
    <t>MSGDM554</t>
  </si>
  <si>
    <t>MGDM555</t>
  </si>
  <si>
    <t>Conector EMT 1-1/2"</t>
  </si>
  <si>
    <t>MSGDM555</t>
  </si>
  <si>
    <t>MGDM556</t>
  </si>
  <si>
    <t>Conector EMT 2"</t>
  </si>
  <si>
    <t>MSGDM556</t>
  </si>
  <si>
    <t>MGDM557</t>
  </si>
  <si>
    <t>Conector EMT 3/4"</t>
  </si>
  <si>
    <t>MSGDM557</t>
  </si>
  <si>
    <t>MGDM558</t>
  </si>
  <si>
    <t>Conector EMT  3"</t>
  </si>
  <si>
    <t>MSGDM558</t>
  </si>
  <si>
    <t>MGDM559</t>
  </si>
  <si>
    <t>Conector EMT  4"</t>
  </si>
  <si>
    <t>MSGDM559</t>
  </si>
  <si>
    <t>MGDM560</t>
  </si>
  <si>
    <t>Conector GAR 2"</t>
  </si>
  <si>
    <t>MSGDM560</t>
  </si>
  <si>
    <t>MGDM561</t>
  </si>
  <si>
    <t>Conector GAR 3"</t>
  </si>
  <si>
    <t>MSGDM561</t>
  </si>
  <si>
    <t>MGDM562</t>
  </si>
  <si>
    <t>Conector hub 1/2</t>
  </si>
  <si>
    <t>MSGDM562</t>
  </si>
  <si>
    <t>MGDM563</t>
  </si>
  <si>
    <t>Conector hub 3/4</t>
  </si>
  <si>
    <t>MSGDM563</t>
  </si>
  <si>
    <t>MGDM564</t>
  </si>
  <si>
    <t>Conector hub 1</t>
  </si>
  <si>
    <t>MSGDM564</t>
  </si>
  <si>
    <t>MGDM565</t>
  </si>
  <si>
    <t>Conector hub 2</t>
  </si>
  <si>
    <t>MSGDM565</t>
  </si>
  <si>
    <t>MGDM566</t>
  </si>
  <si>
    <t xml:space="preserve">Conector Liquid Tight De 1 1/2" </t>
  </si>
  <si>
    <t>MSGDM566</t>
  </si>
  <si>
    <t>MGDM567</t>
  </si>
  <si>
    <t xml:space="preserve">Conector Liquid Tight De 1 1/4" </t>
  </si>
  <si>
    <t>MSGDM567</t>
  </si>
  <si>
    <t>MGDM568</t>
  </si>
  <si>
    <t xml:space="preserve">Conector Liquid Tight De 1" </t>
  </si>
  <si>
    <t>MSGDM568</t>
  </si>
  <si>
    <t>MGDM569</t>
  </si>
  <si>
    <t xml:space="preserve">Conector Liquid Tight De 1/2" </t>
  </si>
  <si>
    <t>MSGDM569</t>
  </si>
  <si>
    <t>MGDM570</t>
  </si>
  <si>
    <t xml:space="preserve">Conector Liquid Tight De 2" </t>
  </si>
  <si>
    <t>MSGDM570</t>
  </si>
  <si>
    <t>MGDM571</t>
  </si>
  <si>
    <t>Conector Liquid Tight De 3"</t>
  </si>
  <si>
    <t>MSGDM571</t>
  </si>
  <si>
    <t>MGDM572</t>
  </si>
  <si>
    <t xml:space="preserve">Conector Liquid Tight De 3/4" </t>
  </si>
  <si>
    <t>MSGDM572</t>
  </si>
  <si>
    <t>MGDM573</t>
  </si>
  <si>
    <t>Conector Pvc 1/2</t>
  </si>
  <si>
    <t>MSGDM573</t>
  </si>
  <si>
    <t>MGDM574</t>
  </si>
  <si>
    <t>Conector Pvc 3/4</t>
  </si>
  <si>
    <t>MSGDM574</t>
  </si>
  <si>
    <t>MGDM575</t>
  </si>
  <si>
    <t>Conector Pvc 1</t>
  </si>
  <si>
    <t>MSGDM575</t>
  </si>
  <si>
    <t>MGDM576</t>
  </si>
  <si>
    <t>Conector Pvc 1 1/2</t>
  </si>
  <si>
    <t>MSGDM576</t>
  </si>
  <si>
    <t>MGDM577</t>
  </si>
  <si>
    <t>Conector Pvc 1 1/4</t>
  </si>
  <si>
    <t>MSGDM577</t>
  </si>
  <si>
    <t>MGDM578</t>
  </si>
  <si>
    <t>Conector Pvc 2</t>
  </si>
  <si>
    <t>MSGDM578</t>
  </si>
  <si>
    <t>MGDM579</t>
  </si>
  <si>
    <t>Conector Pvc hembra 1/2</t>
  </si>
  <si>
    <t>MSGDM579</t>
  </si>
  <si>
    <t>MGDM580</t>
  </si>
  <si>
    <t>Conector Pvc hembra 3/4</t>
  </si>
  <si>
    <t>MSGDM580</t>
  </si>
  <si>
    <t>MGDM581</t>
  </si>
  <si>
    <t>Conector Pvc  hembra 1</t>
  </si>
  <si>
    <t>MSGDM581</t>
  </si>
  <si>
    <t>MGDM582</t>
  </si>
  <si>
    <t>Conector Pvc hembra 1 1/2</t>
  </si>
  <si>
    <t>MSGDM582</t>
  </si>
  <si>
    <t>MGDM583</t>
  </si>
  <si>
    <t>Conector Pvc hembra 1 1/4</t>
  </si>
  <si>
    <t>MSGDM583</t>
  </si>
  <si>
    <t>MGDM584</t>
  </si>
  <si>
    <t>Conector Pvc hembra  2</t>
  </si>
  <si>
    <t>MSGDM584</t>
  </si>
  <si>
    <t>MGDM585</t>
  </si>
  <si>
    <t>Conector recto hubbell no metalico 2"</t>
  </si>
  <si>
    <t>MSGDM585</t>
  </si>
  <si>
    <t>MGDM586</t>
  </si>
  <si>
    <t>Conector resortado</t>
  </si>
  <si>
    <t>MSGDM586</t>
  </si>
  <si>
    <t>MGDM587</t>
  </si>
  <si>
    <t>Conector Tipo Cuña 1/0 al 2</t>
  </si>
  <si>
    <t>MSGDM587</t>
  </si>
  <si>
    <t>MGDM588</t>
  </si>
  <si>
    <t>Conector Tipo Cuña 2 al 2/0</t>
  </si>
  <si>
    <t>MSGDM588</t>
  </si>
  <si>
    <t>MGDM589</t>
  </si>
  <si>
    <t>Conector Tubular 1/0 AWG</t>
  </si>
  <si>
    <t>MSGDM589</t>
  </si>
  <si>
    <t>MGDM590</t>
  </si>
  <si>
    <t>Conector Tubular 2 AWG</t>
  </si>
  <si>
    <t>MSGDM590</t>
  </si>
  <si>
    <t>MGDM591</t>
  </si>
  <si>
    <t>Conector Tubular 2/0 AWG</t>
  </si>
  <si>
    <t>MSGDM591</t>
  </si>
  <si>
    <t>MGDM592</t>
  </si>
  <si>
    <t>Conector Tubular 250 MCM</t>
  </si>
  <si>
    <t>MSGDM592</t>
  </si>
  <si>
    <t>GL</t>
  </si>
  <si>
    <t>MGDM593</t>
  </si>
  <si>
    <t>Conector Tubular 300 MCM</t>
  </si>
  <si>
    <t>MSGDM593</t>
  </si>
  <si>
    <t>MGDM594</t>
  </si>
  <si>
    <t>Conector Tubular 350 MCM</t>
  </si>
  <si>
    <t>MSGDM594</t>
  </si>
  <si>
    <t>MGDM595</t>
  </si>
  <si>
    <t>Conector Tubular 4 AWG</t>
  </si>
  <si>
    <t>MSGDM595</t>
  </si>
  <si>
    <t>MGDM596</t>
  </si>
  <si>
    <t>Conector Tubular 4/0 AWG</t>
  </si>
  <si>
    <t>MSGDM596</t>
  </si>
  <si>
    <t>MGDM597</t>
  </si>
  <si>
    <t>Conector Tubular 500 MCM</t>
  </si>
  <si>
    <t>MSGDM597</t>
  </si>
  <si>
    <t>MGDM598</t>
  </si>
  <si>
    <t>Conector Tubular 6 AWG</t>
  </si>
  <si>
    <t>MSGDM598</t>
  </si>
  <si>
    <t>MGDM599</t>
  </si>
  <si>
    <t>Conector Tubular bimetalico 1/0</t>
  </si>
  <si>
    <t>MSGDM599</t>
  </si>
  <si>
    <t>MGDM600</t>
  </si>
  <si>
    <t>Conector Tubular bimetalico 2</t>
  </si>
  <si>
    <t>MSGDM600</t>
  </si>
  <si>
    <t>MGDM601</t>
  </si>
  <si>
    <t>Conector Tubular bimetalico 2/0</t>
  </si>
  <si>
    <t>MSGDM601</t>
  </si>
  <si>
    <t>MGDM602</t>
  </si>
  <si>
    <t>Conector Tubular bimetalico 3/0</t>
  </si>
  <si>
    <t>MSGDM602</t>
  </si>
  <si>
    <t>MGDM603</t>
  </si>
  <si>
    <t>Conector Tubular bimetalico 300 MCM</t>
  </si>
  <si>
    <t>MSGDM603</t>
  </si>
  <si>
    <t>MGDM604</t>
  </si>
  <si>
    <t>Conector Tubular bimetalico 350 MCM</t>
  </si>
  <si>
    <t>MSGDM604</t>
  </si>
  <si>
    <t>MGDM605</t>
  </si>
  <si>
    <t>Conector Tubular bimetalico 4/0</t>
  </si>
  <si>
    <t>MSGDM605</t>
  </si>
  <si>
    <t>MGDM606</t>
  </si>
  <si>
    <t>Conmutador selector lovato 2 pos fijas  lov0378</t>
  </si>
  <si>
    <t>MSGDM606</t>
  </si>
  <si>
    <t>MGDM607</t>
  </si>
  <si>
    <t>Conmutador seta rojo 9001KR9RH2 P.E.c/enclavamiento 40mm</t>
  </si>
  <si>
    <t>MSGDM607</t>
  </si>
  <si>
    <t>MGDM608</t>
  </si>
  <si>
    <t>Conmutador tres posiciones fijas negro 9001KS43FBH13 30mm</t>
  </si>
  <si>
    <t>MSGDM608</t>
  </si>
  <si>
    <t>MGDM609</t>
  </si>
  <si>
    <t>Consumibles</t>
  </si>
  <si>
    <t>MSGDM609</t>
  </si>
  <si>
    <t>MGDM610</t>
  </si>
  <si>
    <t>Contactor LC1D09</t>
  </si>
  <si>
    <t>MSGDM610</t>
  </si>
  <si>
    <t>MGDM611</t>
  </si>
  <si>
    <t>Contactor LC1D115</t>
  </si>
  <si>
    <t>MSGDM611</t>
  </si>
  <si>
    <t>MGDM612</t>
  </si>
  <si>
    <t>Contactor LC1D12</t>
  </si>
  <si>
    <t>MSGDM612</t>
  </si>
  <si>
    <t>MGDM613</t>
  </si>
  <si>
    <t>Contactor LC1D150</t>
  </si>
  <si>
    <t>MSGDM613</t>
  </si>
  <si>
    <t>MGDM614</t>
  </si>
  <si>
    <t>Contactor LC1D18</t>
  </si>
  <si>
    <t>MSGDM614</t>
  </si>
  <si>
    <t>MGDM615</t>
  </si>
  <si>
    <t>Contactor LC1D25</t>
  </si>
  <si>
    <t>MSGDM615</t>
  </si>
  <si>
    <t>MGDM616</t>
  </si>
  <si>
    <t>Contactor LC1D32</t>
  </si>
  <si>
    <t>MSGDM616</t>
  </si>
  <si>
    <t>MGDM617</t>
  </si>
  <si>
    <t>Contactor LC1D38</t>
  </si>
  <si>
    <t>MSGDM617</t>
  </si>
  <si>
    <t>MGDM618</t>
  </si>
  <si>
    <t>Contactor LC1D40</t>
  </si>
  <si>
    <t>MSGDM618</t>
  </si>
  <si>
    <t>MGDM619</t>
  </si>
  <si>
    <t>Contactor LC1D50</t>
  </si>
  <si>
    <t>MSGDM619</t>
  </si>
  <si>
    <t>MGDM620</t>
  </si>
  <si>
    <t>Contactor LC1D65</t>
  </si>
  <si>
    <t>MSGDM620</t>
  </si>
  <si>
    <t>MGDM621</t>
  </si>
  <si>
    <t>Contactor LC1D80</t>
  </si>
  <si>
    <t>MSGDM621</t>
  </si>
  <si>
    <t>MGDM622</t>
  </si>
  <si>
    <t>Contactor LC1D95</t>
  </si>
  <si>
    <t>MSGDM622</t>
  </si>
  <si>
    <t>MGDM623</t>
  </si>
  <si>
    <t>Contactor LC1F330F7</t>
  </si>
  <si>
    <t>MSGDM623</t>
  </si>
  <si>
    <t>MGDM624</t>
  </si>
  <si>
    <t>Contactor MOL 0139 c/resistencia /condensad</t>
  </si>
  <si>
    <t>MSGDM624</t>
  </si>
  <si>
    <t>MGDM625</t>
  </si>
  <si>
    <t>Contactor MOL 0145 c/resistencia /condensad</t>
  </si>
  <si>
    <t>MSGDM625</t>
  </si>
  <si>
    <t>MGDM626</t>
  </si>
  <si>
    <t>Contactor serie K 20 A  K0910</t>
  </si>
  <si>
    <t>MSGDM626</t>
  </si>
  <si>
    <t>MGDM627</t>
  </si>
  <si>
    <t>Contador</t>
  </si>
  <si>
    <t>MSGDM627</t>
  </si>
  <si>
    <t>MGDM628</t>
  </si>
  <si>
    <t>Cortacircuito 100 A</t>
  </si>
  <si>
    <t>MSGDM628</t>
  </si>
  <si>
    <t>MGDM629</t>
  </si>
  <si>
    <t>Cortacircuito 100 A en acero inoxidable</t>
  </si>
  <si>
    <t>MSGDM629</t>
  </si>
  <si>
    <t>MGDM630</t>
  </si>
  <si>
    <t>Cortacircuito 200 A</t>
  </si>
  <si>
    <t>MSGDM630</t>
  </si>
  <si>
    <t>MGDM631</t>
  </si>
  <si>
    <t>Cortacircuito 200 A en acero inoxidable</t>
  </si>
  <si>
    <t>MSGDM631</t>
  </si>
  <si>
    <t>MGDM632</t>
  </si>
  <si>
    <t>Cruce Para Bandeja x 10</t>
  </si>
  <si>
    <t>MSGDM632</t>
  </si>
  <si>
    <t>MGDM633</t>
  </si>
  <si>
    <t>Cruce Para Bandeja x 20</t>
  </si>
  <si>
    <t>MSGDM633</t>
  </si>
  <si>
    <t>MGDM634</t>
  </si>
  <si>
    <t>Cruce Para Bandeja x 30</t>
  </si>
  <si>
    <t>MSGDM634</t>
  </si>
  <si>
    <t>MGDM635</t>
  </si>
  <si>
    <t>Cruce Para Bandeja x 40</t>
  </si>
  <si>
    <t>MSGDM635</t>
  </si>
  <si>
    <t>MGDM636</t>
  </si>
  <si>
    <t>Cruceta Angular Metalica Con Silla 1,8 m</t>
  </si>
  <si>
    <t>MSGDM636</t>
  </si>
  <si>
    <t>MGDM637</t>
  </si>
  <si>
    <t>Cruceta Angular Metalica Con Silla 2,4 m</t>
  </si>
  <si>
    <t>MSGDM637</t>
  </si>
  <si>
    <t>MGDM638</t>
  </si>
  <si>
    <t>MSGDM638</t>
  </si>
  <si>
    <t>MGDM639</t>
  </si>
  <si>
    <t>Cruceta De Madera Con Bounder De 1,8m</t>
  </si>
  <si>
    <t>MSGDM639</t>
  </si>
  <si>
    <t>MGDM640</t>
  </si>
  <si>
    <t>Cruceta De Madera Con Bounder De 2,4m</t>
  </si>
  <si>
    <t>MSGDM640</t>
  </si>
  <si>
    <t>MGDM641</t>
  </si>
  <si>
    <t>Cruceta De Madera De 4"x4"x2,4 mts.</t>
  </si>
  <si>
    <t>MSGDM641</t>
  </si>
  <si>
    <t>MGDM642</t>
  </si>
  <si>
    <t>MSGDM642</t>
  </si>
  <si>
    <t>MGDM643</t>
  </si>
  <si>
    <t>Cuerda De 5/8 Nylon Driza (50m)</t>
  </si>
  <si>
    <t>MSGDM643</t>
  </si>
  <si>
    <t>MGDM644</t>
  </si>
  <si>
    <t>Curador</t>
  </si>
  <si>
    <t>MSGDM644</t>
  </si>
  <si>
    <t>MGDM645</t>
  </si>
  <si>
    <t>Curva bandeja liv 20 cms liv</t>
  </si>
  <si>
    <t>MSGDM645</t>
  </si>
  <si>
    <t>MGDM646</t>
  </si>
  <si>
    <t>Curva Conduit PVC a 45°  De 1 1/2"</t>
  </si>
  <si>
    <t>MSGDM646</t>
  </si>
  <si>
    <t>MGDM647</t>
  </si>
  <si>
    <t>Curva Conduit PVC a 45°  De 1"</t>
  </si>
  <si>
    <t>MSGDM647</t>
  </si>
  <si>
    <t>MGDM648</t>
  </si>
  <si>
    <t>Curva Conduit PVC a 45°  De 2"</t>
  </si>
  <si>
    <t>MSGDM648</t>
  </si>
  <si>
    <t>MGDM649</t>
  </si>
  <si>
    <t>Curva Conduit PVC a 90°  De 1 1/2"</t>
  </si>
  <si>
    <t>MSGDM649</t>
  </si>
  <si>
    <t>MGDM650</t>
  </si>
  <si>
    <t>Curva Conduit PVCa 90°  De 1"</t>
  </si>
  <si>
    <t>MSGDM650</t>
  </si>
  <si>
    <t>MGDM651</t>
  </si>
  <si>
    <t>Curva Conduit PVC a 90°  De 2"</t>
  </si>
  <si>
    <t>MSGDM651</t>
  </si>
  <si>
    <t>MGDM652</t>
  </si>
  <si>
    <t>Curva Conduit Galv. (IMC) 1 1/2"</t>
  </si>
  <si>
    <t>MSGDM652</t>
  </si>
  <si>
    <t>MGDM653</t>
  </si>
  <si>
    <t>Curva Conduit Galv. (IMC) 1"</t>
  </si>
  <si>
    <t>MSGDM653</t>
  </si>
  <si>
    <t>MGDM654</t>
  </si>
  <si>
    <t>Curva Conduit Galv. (IMC) 1/2"</t>
  </si>
  <si>
    <t>MSGDM654</t>
  </si>
  <si>
    <t>MGDM655</t>
  </si>
  <si>
    <t>Curva Conduit Galv. (IMC) 2"</t>
  </si>
  <si>
    <t>MSGDM655</t>
  </si>
  <si>
    <t>MGDM656</t>
  </si>
  <si>
    <t>Curva Conduit Galv. (IMC) 3"</t>
  </si>
  <si>
    <t>MSGDM656</t>
  </si>
  <si>
    <t>MGDM657</t>
  </si>
  <si>
    <t>Curva Conduit Galv. (IMC) 3/4"</t>
  </si>
  <si>
    <t>MSGDM657</t>
  </si>
  <si>
    <t>MGDM658</t>
  </si>
  <si>
    <t>Curva Conduit Galv. (RIDGID) 1 1/2"</t>
  </si>
  <si>
    <t>MSGDM658</t>
  </si>
  <si>
    <t>MGDM659</t>
  </si>
  <si>
    <t>Curva Conduit Galv. (RIDGID) 1 1/4"</t>
  </si>
  <si>
    <t>MSGDM659</t>
  </si>
  <si>
    <t>MGDM660</t>
  </si>
  <si>
    <t>Curva Conduit Galv. (RIDGID) 1"</t>
  </si>
  <si>
    <t>MSGDM660</t>
  </si>
  <si>
    <t>MGDM661</t>
  </si>
  <si>
    <t>Curva Conduit Galv. (RIDGID) 1/2"</t>
  </si>
  <si>
    <t>MSGDM661</t>
  </si>
  <si>
    <t>MGDM662</t>
  </si>
  <si>
    <t>Curva Conduit Galv. (RIDGID) 2"</t>
  </si>
  <si>
    <t>MSGDM662</t>
  </si>
  <si>
    <t>MGDM663</t>
  </si>
  <si>
    <t>Curva Conduit Galv. (RIDGID) 3"</t>
  </si>
  <si>
    <t>MSGDM663</t>
  </si>
  <si>
    <t>MGDM664</t>
  </si>
  <si>
    <t>Curva Conduit Galv. (RIDGID) 3/4"</t>
  </si>
  <si>
    <t>MSGDM664</t>
  </si>
  <si>
    <t>MGDM665</t>
  </si>
  <si>
    <t>Curva Conduit Galv. (RIDGID) 4"</t>
  </si>
  <si>
    <t>MSGDM665</t>
  </si>
  <si>
    <t>MGDM666</t>
  </si>
  <si>
    <t>Curva Conduit PVC a 45 De 3/4"</t>
  </si>
  <si>
    <t>MSGDM666</t>
  </si>
  <si>
    <t>MGDM667</t>
  </si>
  <si>
    <t>Curva Conduit PVC a 90 De 3/4"</t>
  </si>
  <si>
    <t>MSGDM667</t>
  </si>
  <si>
    <t>MGDM668</t>
  </si>
  <si>
    <t>Curva Conduit PVC De 1/2"</t>
  </si>
  <si>
    <t>MSGDM668</t>
  </si>
  <si>
    <t>MGDM669</t>
  </si>
  <si>
    <t>Curva Conduit PVC De 3"</t>
  </si>
  <si>
    <t>MSGDM669</t>
  </si>
  <si>
    <t>MGDM670</t>
  </si>
  <si>
    <t>Curva Conduit PVC De 4"</t>
  </si>
  <si>
    <t>MSGDM670</t>
  </si>
  <si>
    <t>MGDM671</t>
  </si>
  <si>
    <t>Curva EMT de 1</t>
  </si>
  <si>
    <t>MSGDM671</t>
  </si>
  <si>
    <t>MGDM672</t>
  </si>
  <si>
    <t>Curva EMT de 1 1/4</t>
  </si>
  <si>
    <t>MSGDM672</t>
  </si>
  <si>
    <t>MGDM673</t>
  </si>
  <si>
    <t>Curva EMT de 1/2</t>
  </si>
  <si>
    <t>MSGDM673</t>
  </si>
  <si>
    <t>MGDM674</t>
  </si>
  <si>
    <t>Curva EMT de 1-1/2</t>
  </si>
  <si>
    <t>MSGDM674</t>
  </si>
  <si>
    <t>MGDM675</t>
  </si>
  <si>
    <t>Curva EMT de 2</t>
  </si>
  <si>
    <t>MSGDM675</t>
  </si>
  <si>
    <t>MGDM676</t>
  </si>
  <si>
    <t>Curva EMT de 3</t>
  </si>
  <si>
    <t>MSGDM676</t>
  </si>
  <si>
    <t>MGDM677</t>
  </si>
  <si>
    <t>Curva EMT de 3/4</t>
  </si>
  <si>
    <t>MSGDM677</t>
  </si>
  <si>
    <t>MGDM678</t>
  </si>
  <si>
    <t>Curva horizontal de 10x8 C22 TA</t>
  </si>
  <si>
    <t>MSGDM678</t>
  </si>
  <si>
    <t>MGDM679</t>
  </si>
  <si>
    <t>Curva horizontal de 20x8 C22 TA</t>
  </si>
  <si>
    <t>MSGDM679</t>
  </si>
  <si>
    <t>MGDM680</t>
  </si>
  <si>
    <t>Curva horizontal de 30x8 C22 TA</t>
  </si>
  <si>
    <t>MSGDM680</t>
  </si>
  <si>
    <t>MGDM681</t>
  </si>
  <si>
    <t>Curva Para Bandeja Horizontal  en 90º 20</t>
  </si>
  <si>
    <t>MSGDM681</t>
  </si>
  <si>
    <t>MGDM682</t>
  </si>
  <si>
    <t>Curva Para Bandeja Horizontal en 90º 10</t>
  </si>
  <si>
    <t>MSGDM682</t>
  </si>
  <si>
    <t>MGDM683</t>
  </si>
  <si>
    <t>Curva Para Bandeja Horizontal en 90º 30</t>
  </si>
  <si>
    <t>MSGDM683</t>
  </si>
  <si>
    <t>MGDM684</t>
  </si>
  <si>
    <t>Curva Para Bandeja Horizontal en 90º 40</t>
  </si>
  <si>
    <t>MSGDM684</t>
  </si>
  <si>
    <t>MGDM685</t>
  </si>
  <si>
    <t>Curva Para Bandeja Vertical en 90º 10</t>
  </si>
  <si>
    <t>MSGDM685</t>
  </si>
  <si>
    <t>MGDM686</t>
  </si>
  <si>
    <t>Curva Para Bandeja Vertical en 90º 20</t>
  </si>
  <si>
    <t>MSGDM686</t>
  </si>
  <si>
    <t>MGDM687</t>
  </si>
  <si>
    <t>Curva Para Bandeja Vertical en 90º 30</t>
  </si>
  <si>
    <t>MSGDM687</t>
  </si>
  <si>
    <t>MGDM688</t>
  </si>
  <si>
    <t>Curva Para Bandeja Vertical en 90º 40</t>
  </si>
  <si>
    <t>MSGDM688</t>
  </si>
  <si>
    <t>MGDM689</t>
  </si>
  <si>
    <t>Descargo Electricaribe</t>
  </si>
  <si>
    <t>MSGDM689</t>
  </si>
  <si>
    <t>MGDM690</t>
  </si>
  <si>
    <t>Diseños Electricos</t>
  </si>
  <si>
    <t>MSGDM690</t>
  </si>
  <si>
    <t>MGDM691</t>
  </si>
  <si>
    <t>DPS 12kv</t>
  </si>
  <si>
    <t>MSGDM691</t>
  </si>
  <si>
    <t>MGDM692</t>
  </si>
  <si>
    <t>DPS 7 modos 47120</t>
  </si>
  <si>
    <t>MSGDM692</t>
  </si>
  <si>
    <t>MGDM693</t>
  </si>
  <si>
    <t>DPS tipo panel ref 52120  4H + T  4 MODOS</t>
  </si>
  <si>
    <t>MSGDM693</t>
  </si>
  <si>
    <t>MGDM694</t>
  </si>
  <si>
    <t>Ducto canal con division 12x5x240 c/pintura electr</t>
  </si>
  <si>
    <t>MSGDM694</t>
  </si>
  <si>
    <t>MGDM695</t>
  </si>
  <si>
    <t xml:space="preserve">Enclavamiento mecanico LAD911502 </t>
  </si>
  <si>
    <t>MSGDM695</t>
  </si>
  <si>
    <t>MGDM696</t>
  </si>
  <si>
    <t>Espaciador de 1/2" x 10 LG</t>
  </si>
  <si>
    <t>MSGDM696</t>
  </si>
  <si>
    <t>MGDM697</t>
  </si>
  <si>
    <t>Esparrago 5/8x24</t>
  </si>
  <si>
    <t>MSGDM697</t>
  </si>
  <si>
    <t>MGDM698</t>
  </si>
  <si>
    <t>Espigo corto line post</t>
  </si>
  <si>
    <t>MSGDM698</t>
  </si>
  <si>
    <t>MGDM699</t>
  </si>
  <si>
    <t xml:space="preserve">Espiral para proteccion de cables </t>
  </si>
  <si>
    <t>MSGDM699</t>
  </si>
  <si>
    <t>MGDM700</t>
  </si>
  <si>
    <t>Estuco De Sika</t>
  </si>
  <si>
    <t>MSGDM700</t>
  </si>
  <si>
    <t>MGDM701</t>
  </si>
  <si>
    <t>Estudio de Conexion y Factibilidad</t>
  </si>
  <si>
    <t>MSGDM701</t>
  </si>
  <si>
    <t>MGDM702</t>
  </si>
  <si>
    <t>Estudio para SPT</t>
  </si>
  <si>
    <t>MSGDM702</t>
  </si>
  <si>
    <t>MGDM703</t>
  </si>
  <si>
    <t>Extractor de aire 6" Mit 0209</t>
  </si>
  <si>
    <t>MSGDM703</t>
  </si>
  <si>
    <t>MGDM704</t>
  </si>
  <si>
    <t>Face Plate con conector coaxial</t>
  </si>
  <si>
    <t>MSGDM704</t>
  </si>
  <si>
    <t>MGDM705</t>
  </si>
  <si>
    <t>Face Plate Siemons.10GMX-FPS04-02B</t>
  </si>
  <si>
    <t>MSGDM705</t>
  </si>
  <si>
    <t>MGDM706</t>
  </si>
  <si>
    <t>FACEPLATE 10G MAX 2 PTO VERTICAL BLANCO B</t>
  </si>
  <si>
    <t>MSGDM706</t>
  </si>
  <si>
    <t>MGDM707</t>
  </si>
  <si>
    <t>FACEPLATE 10G MAX 4 PTO HORIZONTAL BLANCO</t>
  </si>
  <si>
    <t>MSGDM707</t>
  </si>
  <si>
    <t>MGDM708</t>
  </si>
  <si>
    <t>FACEPLATE MAX 2 PTO VERTICAL BLANCO B</t>
  </si>
  <si>
    <t>MSGDM708</t>
  </si>
  <si>
    <t>MGDM709</t>
  </si>
  <si>
    <t>FACEPLATE MAX 4 PTO VERTICAL BLANCO B</t>
  </si>
  <si>
    <t>MSGDM709</t>
  </si>
  <si>
    <t>MGDM710</t>
  </si>
  <si>
    <t>Favigel</t>
  </si>
  <si>
    <t>MSGDM710</t>
  </si>
  <si>
    <t>MGDM711</t>
  </si>
  <si>
    <t>Fibra</t>
  </si>
  <si>
    <t>MSGDM711</t>
  </si>
  <si>
    <t>MGDM712</t>
  </si>
  <si>
    <t xml:space="preserve">Flexi Conduit Liquid Tight De 1 1/2" </t>
  </si>
  <si>
    <t>MSGDM712</t>
  </si>
  <si>
    <t>MGDM713</t>
  </si>
  <si>
    <t xml:space="preserve">Flexi Conduit Liquid Tight De 1" </t>
  </si>
  <si>
    <t>MSGDM713</t>
  </si>
  <si>
    <t>MGDM714</t>
  </si>
  <si>
    <t xml:space="preserve">Flexi Conduit Liquid Tight De 1/2" </t>
  </si>
  <si>
    <t>MSGDM714</t>
  </si>
  <si>
    <t>MGDM715</t>
  </si>
  <si>
    <t xml:space="preserve">Flexi Conduit Liquid Tight De 2" </t>
  </si>
  <si>
    <t>MSGDM715</t>
  </si>
  <si>
    <t>MGDM716</t>
  </si>
  <si>
    <t xml:space="preserve">Flexi Conduit Liquid Tight De 3" </t>
  </si>
  <si>
    <t>MSGDM716</t>
  </si>
  <si>
    <t>MGDM717</t>
  </si>
  <si>
    <t xml:space="preserve">Flexi Conduit Liquid Tight De 3/4" </t>
  </si>
  <si>
    <t>MSGDM717</t>
  </si>
  <si>
    <t>MGDM718</t>
  </si>
  <si>
    <t>Flotador tipo sapito plastico</t>
  </si>
  <si>
    <t>MSGDM718</t>
  </si>
  <si>
    <t>MGDM719</t>
  </si>
  <si>
    <t>Formaleta En Madera</t>
  </si>
  <si>
    <t>MSGDM719</t>
  </si>
  <si>
    <t>MGDM720</t>
  </si>
  <si>
    <t>Fotocelda  220v</t>
  </si>
  <si>
    <t>MSGDM720</t>
  </si>
  <si>
    <t>MGDM721</t>
  </si>
  <si>
    <t xml:space="preserve">Fotocelda para 480 V </t>
  </si>
  <si>
    <t>MSGDM721</t>
  </si>
  <si>
    <t>MGDM722</t>
  </si>
  <si>
    <t>Freno para borna</t>
  </si>
  <si>
    <t>MSGDM722</t>
  </si>
  <si>
    <t>MGDM723</t>
  </si>
  <si>
    <t>Fusible 1 A</t>
  </si>
  <si>
    <t>MSGDM723</t>
  </si>
  <si>
    <t>MGDM724</t>
  </si>
  <si>
    <t>MSGDM724</t>
  </si>
  <si>
    <t>MGDM725</t>
  </si>
  <si>
    <t>MSGDM725</t>
  </si>
  <si>
    <t>MGDM726</t>
  </si>
  <si>
    <t>MSGDM726</t>
  </si>
  <si>
    <t>MGDM727</t>
  </si>
  <si>
    <t>MSGDM727</t>
  </si>
  <si>
    <t>MGDM728</t>
  </si>
  <si>
    <t>MSGDM728</t>
  </si>
  <si>
    <t>MGDM729</t>
  </si>
  <si>
    <t>MSGDM729</t>
  </si>
  <si>
    <t>MGDM730</t>
  </si>
  <si>
    <t>Fusible 200 A</t>
  </si>
  <si>
    <t>MSGDM730</t>
  </si>
  <si>
    <t>MGDM731</t>
  </si>
  <si>
    <t>Fusible Tipo HH de 32 Amp</t>
  </si>
  <si>
    <t>MSGDM731</t>
  </si>
  <si>
    <t>MGDM732</t>
  </si>
  <si>
    <t>Fusible Tipo HH de 63 Amp</t>
  </si>
  <si>
    <t>MSGDM732</t>
  </si>
  <si>
    <t>MGDM733</t>
  </si>
  <si>
    <t xml:space="preserve">Granito </t>
  </si>
  <si>
    <t>MSGDM733</t>
  </si>
  <si>
    <t>MGDM734</t>
  </si>
  <si>
    <t>Grapa doble ala o uña de 1/2</t>
  </si>
  <si>
    <t>MSGDM734</t>
  </si>
  <si>
    <t>MGDM735</t>
  </si>
  <si>
    <t>Grapa doble ala o uña de 3/4</t>
  </si>
  <si>
    <t>MSGDM735</t>
  </si>
  <si>
    <t>MGDM736</t>
  </si>
  <si>
    <t>Grapa doble ala o uña de 1</t>
  </si>
  <si>
    <t>MSGDM736</t>
  </si>
  <si>
    <t>MGDM737</t>
  </si>
  <si>
    <t>Grapa doble ala o uña de 2</t>
  </si>
  <si>
    <t>MSGDM737</t>
  </si>
  <si>
    <t>MGDM738</t>
  </si>
  <si>
    <t>Grapa 1 1/2 acero inoxidable</t>
  </si>
  <si>
    <t>MSGDM738</t>
  </si>
  <si>
    <t>MGDM739</t>
  </si>
  <si>
    <t>Grapa 1 1/2 FT AG112</t>
  </si>
  <si>
    <t>MSGDM739</t>
  </si>
  <si>
    <t>MGDM740</t>
  </si>
  <si>
    <t>Grapa 1 1/4  FT 2AG114N</t>
  </si>
  <si>
    <t>MSGDM740</t>
  </si>
  <si>
    <t>MGDM741</t>
  </si>
  <si>
    <t>Grapa 1 FT 2AG100N</t>
  </si>
  <si>
    <t>MSGDM741</t>
  </si>
  <si>
    <t>MGDM742</t>
  </si>
  <si>
    <t>Grapa 1" acero inoxidable</t>
  </si>
  <si>
    <t>MSGDM742</t>
  </si>
  <si>
    <t>MGDM743</t>
  </si>
  <si>
    <t>Grapa 1/2 FT 2AG012N</t>
  </si>
  <si>
    <t>MSGDM743</t>
  </si>
  <si>
    <t>MGDM744</t>
  </si>
  <si>
    <t>Grapa 2"</t>
  </si>
  <si>
    <t>MSGDM744</t>
  </si>
  <si>
    <t>MGDM745</t>
  </si>
  <si>
    <t>Grapa 3 FPAG300</t>
  </si>
  <si>
    <t>MSGDM745</t>
  </si>
  <si>
    <t>MGDM746</t>
  </si>
  <si>
    <t>Grapa 3" acero inoxidable</t>
  </si>
  <si>
    <t>MSGDM746</t>
  </si>
  <si>
    <t>MGDM747</t>
  </si>
  <si>
    <t>Grapa 3/4 FT 2AG034N</t>
  </si>
  <si>
    <t>MSGDM747</t>
  </si>
  <si>
    <t>MGDM748</t>
  </si>
  <si>
    <t>Grapa 3/4" acero inoxidable</t>
  </si>
  <si>
    <t>MSGDM748</t>
  </si>
  <si>
    <t>MGDM749</t>
  </si>
  <si>
    <t>Grapa 4"</t>
  </si>
  <si>
    <t>MSGDM749</t>
  </si>
  <si>
    <t>MGDM750</t>
  </si>
  <si>
    <t>MSGDM750</t>
  </si>
  <si>
    <t>MGDM751</t>
  </si>
  <si>
    <t>MSGDM751</t>
  </si>
  <si>
    <t>MGDM752</t>
  </si>
  <si>
    <t>MSGDM752</t>
  </si>
  <si>
    <t>MGDM753</t>
  </si>
  <si>
    <t>Grapa De 3 Pernos (1/2" 3/8 X 1½ X 6")</t>
  </si>
  <si>
    <t>MSGDM753</t>
  </si>
  <si>
    <t>MGDM754</t>
  </si>
  <si>
    <t>Grapa De 3 Pernos (3/8" X 2" X 6")</t>
  </si>
  <si>
    <t>MSGDM754</t>
  </si>
  <si>
    <t>MGDM755</t>
  </si>
  <si>
    <t>Grapa De Retencion</t>
  </si>
  <si>
    <t>MSGDM755</t>
  </si>
  <si>
    <t>MGDM756</t>
  </si>
  <si>
    <t>Grapa De Suspension Para Cable 556,5 MCM</t>
  </si>
  <si>
    <t>MSGDM756</t>
  </si>
  <si>
    <t>MGDM757</t>
  </si>
  <si>
    <t>Grapa De Uña De 3/8</t>
  </si>
  <si>
    <t>MSGDM757</t>
  </si>
  <si>
    <t>MGDM758</t>
  </si>
  <si>
    <t>Grapa en S.S. 304 CAL 16 Con Tornillo Hexagonal para Tubo 11/2"</t>
  </si>
  <si>
    <t>MSGDM758</t>
  </si>
  <si>
    <t>MGDM759</t>
  </si>
  <si>
    <t>Grapa en S.S. 304 CAL 16 Con Tornillo Hexagonal para Tubo 2"</t>
  </si>
  <si>
    <t>MSGDM759</t>
  </si>
  <si>
    <t>MGDM760</t>
  </si>
  <si>
    <t>Grapa en S.S. 304 CAL 16 Con Tornillo Hexagonal para Tubo 3/4"</t>
  </si>
  <si>
    <t>MSGDM760</t>
  </si>
  <si>
    <t>MGDM761</t>
  </si>
  <si>
    <t>Grapa o abrazadera de 1/2"</t>
  </si>
  <si>
    <t>MSGDM761</t>
  </si>
  <si>
    <t>MGDM762</t>
  </si>
  <si>
    <t>Grapa o abrazadera de 3/4"</t>
  </si>
  <si>
    <t>MSGDM762</t>
  </si>
  <si>
    <t>MGDM763</t>
  </si>
  <si>
    <t xml:space="preserve">Grapa retención y suspensión red trenzada  </t>
  </si>
  <si>
    <t>MSGDM763</t>
  </si>
  <si>
    <t>MGDM764</t>
  </si>
  <si>
    <t>Grapas De Retension Tipo Pistola En AL  3U</t>
  </si>
  <si>
    <t>MSGDM764</t>
  </si>
  <si>
    <t>MGDM765</t>
  </si>
  <si>
    <t>Grapas De Retension Tipo Pistola En AL  4U</t>
  </si>
  <si>
    <t>MSGDM765</t>
  </si>
  <si>
    <t>MGDM766</t>
  </si>
  <si>
    <t>Grapas De Retension Tipo Pistola En AL 2U</t>
  </si>
  <si>
    <t>MSGDM766</t>
  </si>
  <si>
    <t>MGDM767</t>
  </si>
  <si>
    <t>Guantes De Alta (1)</t>
  </si>
  <si>
    <t>MSGDM767</t>
  </si>
  <si>
    <t>MGDM768</t>
  </si>
  <si>
    <t>Guarda Cabo (Para Retenida De 5/8" Tipo Pesado)</t>
  </si>
  <si>
    <t>MSGDM768</t>
  </si>
  <si>
    <t>MGDM769</t>
  </si>
  <si>
    <t>Guardamotor GV2-ME03/10</t>
  </si>
  <si>
    <t>MSGDM769</t>
  </si>
  <si>
    <t>MGDM770</t>
  </si>
  <si>
    <t>Guardamotor GV2-ME14/20</t>
  </si>
  <si>
    <t>MSGDM770</t>
  </si>
  <si>
    <t>MGDM771</t>
  </si>
  <si>
    <t>Guardamotor GV2-ME21/32</t>
  </si>
  <si>
    <t>MSGDM771</t>
  </si>
  <si>
    <t>MGDM772</t>
  </si>
  <si>
    <t>Guaya galv de 1/8"</t>
  </si>
  <si>
    <t>MSGDM772</t>
  </si>
  <si>
    <t>ml</t>
  </si>
  <si>
    <t>MGDM773</t>
  </si>
  <si>
    <t>Guaya galv de 3/16"</t>
  </si>
  <si>
    <t>MSGDM773</t>
  </si>
  <si>
    <t>MGDM774</t>
  </si>
  <si>
    <t>Hebilla Para Bandit</t>
  </si>
  <si>
    <t>MSGDM774</t>
  </si>
  <si>
    <t>MGDM775</t>
  </si>
  <si>
    <t>Herraje Para Patch Panel 24 Port.Siemons</t>
  </si>
  <si>
    <t>MSGDM775</t>
  </si>
  <si>
    <t>MGDM776</t>
  </si>
  <si>
    <t>HERRAJE PATCH PANEL 48 PTS.ANGULADO</t>
  </si>
  <si>
    <t>MSGDM776</t>
  </si>
  <si>
    <t>MGDM777</t>
  </si>
  <si>
    <t>HERRAJE PATCH PANEL 48 PTS.MAX</t>
  </si>
  <si>
    <t>MSGDM777</t>
  </si>
  <si>
    <t>MGDM778</t>
  </si>
  <si>
    <t>Hidrosolta 10kg</t>
  </si>
  <si>
    <t>MSGDM778</t>
  </si>
  <si>
    <t>MGDM779</t>
  </si>
  <si>
    <t>Hub De 1 1/2"</t>
  </si>
  <si>
    <t>MSGDM779</t>
  </si>
  <si>
    <t>MGDM780</t>
  </si>
  <si>
    <t>Hub De 1"</t>
  </si>
  <si>
    <t>MSGDM780</t>
  </si>
  <si>
    <t>MGDM781</t>
  </si>
  <si>
    <t>Hub De 1/2"</t>
  </si>
  <si>
    <t>MSGDM781</t>
  </si>
  <si>
    <t>MGDM782</t>
  </si>
  <si>
    <t>Hub De 2"</t>
  </si>
  <si>
    <t>MSGDM782</t>
  </si>
  <si>
    <t>MGDM783</t>
  </si>
  <si>
    <t>Hub De 3"</t>
  </si>
  <si>
    <t>MSGDM783</t>
  </si>
  <si>
    <t>MGDM784</t>
  </si>
  <si>
    <t>Hub De 3/4"</t>
  </si>
  <si>
    <t>MSGDM784</t>
  </si>
  <si>
    <t>MGDM785</t>
  </si>
  <si>
    <t>Hub De 4"</t>
  </si>
  <si>
    <t>MSGDM785</t>
  </si>
  <si>
    <t>MGDM786</t>
  </si>
  <si>
    <t>Interrup Bipolar C60N Merlin Gerin 1 - 4A</t>
  </si>
  <si>
    <t>MSGDM786</t>
  </si>
  <si>
    <t>MGDM787</t>
  </si>
  <si>
    <t>Interrup Bipolar C60N Merlin Gerin 40A</t>
  </si>
  <si>
    <t>MSGDM787</t>
  </si>
  <si>
    <t>MGDM788</t>
  </si>
  <si>
    <t>Interrup Bipolar C60N Merlin Gerin 50A</t>
  </si>
  <si>
    <t>MSGDM788</t>
  </si>
  <si>
    <t>MGDM789</t>
  </si>
  <si>
    <t>Interrup Bipolar C60N Merlin Gerin 6 - 32A</t>
  </si>
  <si>
    <t>MSGDM789</t>
  </si>
  <si>
    <t>MGDM790</t>
  </si>
  <si>
    <t>Interrup Bipolar C60N Merlin Gerin 63A</t>
  </si>
  <si>
    <t>MSGDM790</t>
  </si>
  <si>
    <t>MGDM791</t>
  </si>
  <si>
    <t>Interrup Bipolar THQL 15 - 30 A</t>
  </si>
  <si>
    <t>MSGDM791</t>
  </si>
  <si>
    <t>MGDM792</t>
  </si>
  <si>
    <t>Interrup bipolar THQL 15 - 30 A  GFI</t>
  </si>
  <si>
    <t>MSGDM792</t>
  </si>
  <si>
    <t>MGDM793</t>
  </si>
  <si>
    <t>Interrup Bipolar THQL 40 - 60 A</t>
  </si>
  <si>
    <t>MSGDM793</t>
  </si>
  <si>
    <t>MGDM794</t>
  </si>
  <si>
    <t>Interrup bipolar THQL 40 A  GFI</t>
  </si>
  <si>
    <t>MSGDM794</t>
  </si>
  <si>
    <t>MGDM795</t>
  </si>
  <si>
    <t>Interrup Bipolar THQL 70- 100 A</t>
  </si>
  <si>
    <t>MSGDM795</t>
  </si>
  <si>
    <t>MGDM796</t>
  </si>
  <si>
    <t>Interrup Monopo C60N Merlin Gerin 40 - 63A</t>
  </si>
  <si>
    <t>MSGDM796</t>
  </si>
  <si>
    <t>MGDM797</t>
  </si>
  <si>
    <t>Interrup Monopo C60N Merlin Gerin 6 - 32A</t>
  </si>
  <si>
    <t>MSGDM797</t>
  </si>
  <si>
    <t>MGDM798</t>
  </si>
  <si>
    <t>Interrup monopolar THQL 15 - 20 A  GFI</t>
  </si>
  <si>
    <t>MSGDM798</t>
  </si>
  <si>
    <t>MGDM799</t>
  </si>
  <si>
    <t>Interrup Monopolar THQL 15-20A</t>
  </si>
  <si>
    <t>MSGDM799</t>
  </si>
  <si>
    <t>MGDM800</t>
  </si>
  <si>
    <t>Interrup Monopolar THQL 30A</t>
  </si>
  <si>
    <t>MSGDM800</t>
  </si>
  <si>
    <t>MGDM801</t>
  </si>
  <si>
    <t>Interrup Tripolar C60N Merlin Gerin 20A</t>
  </si>
  <si>
    <t>MSGDM801</t>
  </si>
  <si>
    <t>MGDM802</t>
  </si>
  <si>
    <t>Interrup Tripolar C60N Merlin Gerin 30A</t>
  </si>
  <si>
    <t>MSGDM802</t>
  </si>
  <si>
    <t>MGDM803</t>
  </si>
  <si>
    <t>Interrup Tripolar C60N Merlin Gerin 40A</t>
  </si>
  <si>
    <t>MSGDM803</t>
  </si>
  <si>
    <t>MGDM804</t>
  </si>
  <si>
    <t>Interrup Tripolar C60N Merlin Gerin 50A</t>
  </si>
  <si>
    <t>MSGDM804</t>
  </si>
  <si>
    <t>MGDM805</t>
  </si>
  <si>
    <t>Interrup Tripolar C60N Merlin Gerin 60A</t>
  </si>
  <si>
    <t>MSGDM805</t>
  </si>
  <si>
    <t>MGDM806</t>
  </si>
  <si>
    <t>Interrup Tripolar C60N Merlin Gerin 70A</t>
  </si>
  <si>
    <t>MSGDM806</t>
  </si>
  <si>
    <t>MGDM807</t>
  </si>
  <si>
    <t>Interrup Tripolar THQL 15 - 30 A</t>
  </si>
  <si>
    <t>MSGDM807</t>
  </si>
  <si>
    <t>MGDM808</t>
  </si>
  <si>
    <t>Interrup Tripolar THQL 40A</t>
  </si>
  <si>
    <t>MSGDM808</t>
  </si>
  <si>
    <t>MGDM809</t>
  </si>
  <si>
    <t>Interrup Tripolar THQL 50A</t>
  </si>
  <si>
    <t>MSGDM809</t>
  </si>
  <si>
    <t>MGDM810</t>
  </si>
  <si>
    <t>Interrup Tripolar THQL 60A</t>
  </si>
  <si>
    <t>MSGDM810</t>
  </si>
  <si>
    <t>MGDM811</t>
  </si>
  <si>
    <t>Interrup Tripolar THQL 70A</t>
  </si>
  <si>
    <t>MSGDM811</t>
  </si>
  <si>
    <t>MGDM812</t>
  </si>
  <si>
    <t>Interuptor bipolar vela</t>
  </si>
  <si>
    <t>MSGDM812</t>
  </si>
  <si>
    <t>MGDM813</t>
  </si>
  <si>
    <t>Interuptor boton ciego vela ref 681500</t>
  </si>
  <si>
    <t>MSGDM813</t>
  </si>
  <si>
    <t>MGDM814</t>
  </si>
  <si>
    <t xml:space="preserve">Interuptor con unidad disparo electronica ref 
33466 </t>
  </si>
  <si>
    <t>MSGDM814</t>
  </si>
  <si>
    <t>MGDM815</t>
  </si>
  <si>
    <t>Interuptor conmutable sencillo</t>
  </si>
  <si>
    <t>MSGDM815</t>
  </si>
  <si>
    <t>MGDM816</t>
  </si>
  <si>
    <t xml:space="preserve">Interuptor doble </t>
  </si>
  <si>
    <t>MSGDM816</t>
  </si>
  <si>
    <t>MGDM817</t>
  </si>
  <si>
    <t>Interuptor Doble dekora c/luz piloto 1754 LW</t>
  </si>
  <si>
    <t>MSGDM817</t>
  </si>
  <si>
    <t>MGDM818</t>
  </si>
  <si>
    <t>Interuptor Doble Levinton</t>
  </si>
  <si>
    <t>MSGDM818</t>
  </si>
  <si>
    <t>MGDM819</t>
  </si>
  <si>
    <t xml:space="preserve">Interuptor placa </t>
  </si>
  <si>
    <t>MSGDM819</t>
  </si>
  <si>
    <t>MGDM820</t>
  </si>
  <si>
    <t>Interuptor sencillo</t>
  </si>
  <si>
    <t>MSGDM820</t>
  </si>
  <si>
    <t>MGDM821</t>
  </si>
  <si>
    <t>Interuptor sencillo ambia conmutable luminex</t>
  </si>
  <si>
    <t>MSGDM821</t>
  </si>
  <si>
    <t>MGDM822</t>
  </si>
  <si>
    <t>Interuptor sencillo ambia luminex</t>
  </si>
  <si>
    <t>MSGDM822</t>
  </si>
  <si>
    <t>MGDM823</t>
  </si>
  <si>
    <t>Interuptor Sencillo dekora 5601 2W</t>
  </si>
  <si>
    <t>MSGDM823</t>
  </si>
  <si>
    <t>MGDM824</t>
  </si>
  <si>
    <t>Interuptor Sencillo dekora c/luz piloto 5613 W</t>
  </si>
  <si>
    <t>MSGDM824</t>
  </si>
  <si>
    <t>MGDM825</t>
  </si>
  <si>
    <t xml:space="preserve">Interuptor Sencillo dekora c/luz piloto conmutable </t>
  </si>
  <si>
    <t>MSGDM825</t>
  </si>
  <si>
    <t>MGDM826</t>
  </si>
  <si>
    <t>Interuptor Sencillo Levinton</t>
  </si>
  <si>
    <t>MSGDM826</t>
  </si>
  <si>
    <t>MGDM827</t>
  </si>
  <si>
    <t>Interuptor Sencillo Luminex modulo doble vela ref 681503</t>
  </si>
  <si>
    <t>MSGDM827</t>
  </si>
  <si>
    <t>MGDM828</t>
  </si>
  <si>
    <t>Interuptor Sencillo Luminex vela ref 681501</t>
  </si>
  <si>
    <t>MSGDM828</t>
  </si>
  <si>
    <t>MGDM829</t>
  </si>
  <si>
    <t xml:space="preserve">Interuptor triple </t>
  </si>
  <si>
    <t>MSGDM829</t>
  </si>
  <si>
    <t>MGDM830</t>
  </si>
  <si>
    <t>Interuptor triplex Luminex vela ref 681505</t>
  </si>
  <si>
    <t>MSGDM830</t>
  </si>
  <si>
    <t>MGDM831</t>
  </si>
  <si>
    <t>Interuptor vela (promedio)</t>
  </si>
  <si>
    <t>MSGDM831</t>
  </si>
  <si>
    <t>MGDM832</t>
  </si>
  <si>
    <t>JACK 6 MAX ANGUL. AZUL B</t>
  </si>
  <si>
    <t>MSGDM832</t>
  </si>
  <si>
    <t>MGDM833</t>
  </si>
  <si>
    <t>JACK 6 MAX ANGUL. BLANCO B</t>
  </si>
  <si>
    <t>MSGDM833</t>
  </si>
  <si>
    <t>MGDM834</t>
  </si>
  <si>
    <t>JACK 6 MAX ANGUL. ROJO B</t>
  </si>
  <si>
    <t>MSGDM834</t>
  </si>
  <si>
    <t>MGDM835</t>
  </si>
  <si>
    <t>JACK 6 MAX PLANO AZUL B</t>
  </si>
  <si>
    <t>MSGDM835</t>
  </si>
  <si>
    <t>MGDM836</t>
  </si>
  <si>
    <t>JACK 6 MAX PLANO BLANCO B</t>
  </si>
  <si>
    <t>MSGDM836</t>
  </si>
  <si>
    <t>MGDM837</t>
  </si>
  <si>
    <t>JACK 6 MAX PLANO NEGRO B</t>
  </si>
  <si>
    <t>MSGDM837</t>
  </si>
  <si>
    <t>MGDM838</t>
  </si>
  <si>
    <t>JACK 6 MAX PLANO ROJO B</t>
  </si>
  <si>
    <t>MSGDM838</t>
  </si>
  <si>
    <t>MGDM839</t>
  </si>
  <si>
    <t>Kit balasto de 250-400 W MH   CWA</t>
  </si>
  <si>
    <t>MSGDM839</t>
  </si>
  <si>
    <t>MGDM840</t>
  </si>
  <si>
    <t>Kit balasto de 250-400 W sodio CWA</t>
  </si>
  <si>
    <t>MSGDM840</t>
  </si>
  <si>
    <t>MGDM841</t>
  </si>
  <si>
    <t xml:space="preserve">Kit equipo de medicion </t>
  </si>
  <si>
    <t>MSGDM841</t>
  </si>
  <si>
    <t>MGDM842</t>
  </si>
  <si>
    <t>Ladrillo</t>
  </si>
  <si>
    <t>MSGDM842</t>
  </si>
  <si>
    <t>MGDM843</t>
  </si>
  <si>
    <t>Lamina alfajor 2,5 x 0,30 x 1,2 m</t>
  </si>
  <si>
    <t>MSGDM843</t>
  </si>
  <si>
    <t>MGDM844</t>
  </si>
  <si>
    <t>Lamina especular para lampara 2x32 con su soporte</t>
  </si>
  <si>
    <t>MSGDM844</t>
  </si>
  <si>
    <t>MGDM845</t>
  </si>
  <si>
    <t xml:space="preserve">Lamina y Angulo </t>
  </si>
  <si>
    <t>MSGDM845</t>
  </si>
  <si>
    <t>MGDM846</t>
  </si>
  <si>
    <t>limpiador removedor para PVC  1/4</t>
  </si>
  <si>
    <t>MSGDM846</t>
  </si>
  <si>
    <t>Galon</t>
  </si>
  <si>
    <t>MGDM847</t>
  </si>
  <si>
    <t>Luminaria BC indulux methalide CWA 250-400 w c/bombilla</t>
  </si>
  <si>
    <t>MSGDM847</t>
  </si>
  <si>
    <t>MGDM848</t>
  </si>
  <si>
    <t>Luminaria BC indulux sodio CWA 150-400 w c/bombilla</t>
  </si>
  <si>
    <t>MSGDM848</t>
  </si>
  <si>
    <t>MGDM849</t>
  </si>
  <si>
    <t xml:space="preserve">Luminaria calima de  sodio  22OV  150-400 w c/bombilla </t>
  </si>
  <si>
    <t>MSGDM849</t>
  </si>
  <si>
    <t>MGDM850</t>
  </si>
  <si>
    <t xml:space="preserve">Luminaria calima de  sodio  CWA  150-400 w c/bombilla </t>
  </si>
  <si>
    <t>MSGDM850</t>
  </si>
  <si>
    <t>MGDM851</t>
  </si>
  <si>
    <t>Luminaria calima de methalhalide 220V  250-400w c/bombilla</t>
  </si>
  <si>
    <t>MSGDM851</t>
  </si>
  <si>
    <t>MGDM852</t>
  </si>
  <si>
    <t>Luminaria de 2x32 incrustar con lamina especular</t>
  </si>
  <si>
    <t>MSGDM852</t>
  </si>
  <si>
    <t>MGDM853</t>
  </si>
  <si>
    <t>Luminaria de emergencia 2x20 W  hubbell</t>
  </si>
  <si>
    <t>MSGDM853</t>
  </si>
  <si>
    <t>MGDM854</t>
  </si>
  <si>
    <t>Luminaria de emergencia 2x5,8 W  ref
ELM-2  2x5,8W SD lithonia</t>
  </si>
  <si>
    <t>MSGDM854</t>
  </si>
  <si>
    <t>MGDM855</t>
  </si>
  <si>
    <t>luminaria de sodio 250W tipo alumbrado publico</t>
  </si>
  <si>
    <t>MSGDM855</t>
  </si>
  <si>
    <t>MGDM856</t>
  </si>
  <si>
    <t>Luminaria decorativa DJK MH 175 W</t>
  </si>
  <si>
    <t>MSGDM856</t>
  </si>
  <si>
    <t>MGDM857</t>
  </si>
  <si>
    <t>Luminaria decorativa DJK sodio 70 W</t>
  </si>
  <si>
    <t>MSGDM857</t>
  </si>
  <si>
    <t>MGDM858</t>
  </si>
  <si>
    <t>Luminaria explosion proof de 2x32 iluram</t>
  </si>
  <si>
    <t>MSGDM858</t>
  </si>
  <si>
    <t>MGDM859</t>
  </si>
  <si>
    <t>Luminaria Fluorescente 2x32 Cerrada En Policarbonato IP65</t>
  </si>
  <si>
    <t>MSGDM859</t>
  </si>
  <si>
    <t>MGDM860</t>
  </si>
  <si>
    <t>Luminaria fluorescente 4x17 T-8 empotrar balasto electronico</t>
  </si>
  <si>
    <t>MSGDM860</t>
  </si>
  <si>
    <t>MGDM861</t>
  </si>
  <si>
    <t>Luminaria fluorescente 4x17 T-8 empotrar balasto electronico emergencia</t>
  </si>
  <si>
    <t>MSGDM861</t>
  </si>
  <si>
    <t>MGDM862</t>
  </si>
  <si>
    <t xml:space="preserve">Luminaria fluorescente cerrada IP-65 de 2x17 </t>
  </si>
  <si>
    <t>MSGDM862</t>
  </si>
  <si>
    <t>MGDM863</t>
  </si>
  <si>
    <t>LUMINARIA FLUORECENTE DE 2X54 ip-65</t>
  </si>
  <si>
    <t>MSGDM863</t>
  </si>
  <si>
    <t>MGDM864</t>
  </si>
  <si>
    <t>LUMINARIA FLUORECENTE DE 2X32</t>
  </si>
  <si>
    <t>MSGDM864</t>
  </si>
  <si>
    <t>MGDM865</t>
  </si>
  <si>
    <t xml:space="preserve">LUMINARIA FLUORECENTE DE 2X32 FONDO BLANCO </t>
  </si>
  <si>
    <t>MSGDM865</t>
  </si>
  <si>
    <t>MGDM866</t>
  </si>
  <si>
    <t xml:space="preserve">LUMINARIA FLUORECENTE DE 2X32 CON REJILLA </t>
  </si>
  <si>
    <t>MSGDM866</t>
  </si>
  <si>
    <t>MGDM867</t>
  </si>
  <si>
    <t>luminarias Salidas de seguridad</t>
  </si>
  <si>
    <t>MSGDM867</t>
  </si>
  <si>
    <t>MGDM868</t>
  </si>
  <si>
    <t>Luminaria de Emergencia Mickey Mouse</t>
  </si>
  <si>
    <t>MSGDM868</t>
  </si>
  <si>
    <t>MGDM869</t>
  </si>
  <si>
    <t xml:space="preserve">Luminaria horizontal cerrada con vidrio curvo de vapor de sodio alta presion fotocelda incorporada, 250W/220V </t>
  </si>
  <si>
    <t>MSGDM869</t>
  </si>
  <si>
    <t>MGDM870</t>
  </si>
  <si>
    <t xml:space="preserve">Luminaria horizontal cerrada con vidrio curvo de vapor de sodio alta presion fotocelda incorporada, 70W/220V </t>
  </si>
  <si>
    <t>MSGDM870</t>
  </si>
  <si>
    <t>MGDM871</t>
  </si>
  <si>
    <t>LUMINARIA SCHREDER ONYX-1 1097 FH SODIO 150W 208/220V S.P. B.F.C.</t>
  </si>
  <si>
    <t>MSGDM871</t>
  </si>
  <si>
    <t>MGDM872</t>
  </si>
  <si>
    <t>LUMINARIA SCHREDER ONYX-1 1097 FH SODIO 250W 208/220V S.P. B.F.C. s/A-R-H-+ 2 FUS MARCADA AP BGA</t>
  </si>
  <si>
    <t>MSGDM872</t>
  </si>
  <si>
    <t>MGDM873</t>
  </si>
  <si>
    <t xml:space="preserve">Luminaria TE 400S E17S 480 HA DF LCPP PPH SCK LPI SBY </t>
  </si>
  <si>
    <t>MSGDM873</t>
  </si>
  <si>
    <t>MGDM874</t>
  </si>
  <si>
    <t>Luminaria tipo aplique con bombillo ahorrador 20 W con carcaza plastica y reflector en viidrio opal</t>
  </si>
  <si>
    <t>MSGDM874</t>
  </si>
  <si>
    <t>MGDM875</t>
  </si>
  <si>
    <t>Luminaria Tipo Wall Pack  MH 175 W</t>
  </si>
  <si>
    <t>MSGDM875</t>
  </si>
  <si>
    <t>MGDM876</t>
  </si>
  <si>
    <t>Luminaria Tipo Wall Pack  SODIO 150 W</t>
  </si>
  <si>
    <t>MSGDM876</t>
  </si>
  <si>
    <t>MGDM877</t>
  </si>
  <si>
    <t>Luminaria Tipo Wall Pack Sodio 70 W</t>
  </si>
  <si>
    <t>MSGDM877</t>
  </si>
  <si>
    <t>MGDM878</t>
  </si>
  <si>
    <t>Malla Galvanizada</t>
  </si>
  <si>
    <t>MSGDM878</t>
  </si>
  <si>
    <t>MGDM879</t>
  </si>
  <si>
    <t xml:space="preserve">Mantenimiento trafo 112,5 KVA </t>
  </si>
  <si>
    <t>MSGDM879</t>
  </si>
  <si>
    <t>MGDM880</t>
  </si>
  <si>
    <t xml:space="preserve">Mantenimiento trafo 25 KVA </t>
  </si>
  <si>
    <t>MSGDM880</t>
  </si>
  <si>
    <t>MGDM881</t>
  </si>
  <si>
    <t xml:space="preserve">Mantenimiento trafo 75 KVA </t>
  </si>
  <si>
    <t>MSGDM881</t>
  </si>
  <si>
    <t>MGDM882</t>
  </si>
  <si>
    <t>Marcador tipo boligrafo</t>
  </si>
  <si>
    <t>MSGDM882</t>
  </si>
  <si>
    <t>MGDM883</t>
  </si>
  <si>
    <t>Marquilla para marcacion interna</t>
  </si>
  <si>
    <t>MSGDM883</t>
  </si>
  <si>
    <t>MGDM884</t>
  </si>
  <si>
    <t>Marquilla punto de bloqueo</t>
  </si>
  <si>
    <t>MSGDM884</t>
  </si>
  <si>
    <t>MGDM885</t>
  </si>
  <si>
    <t>Marquillas en acrílico 10*5, 12*6, 14*7</t>
  </si>
  <si>
    <t>MSGDM885</t>
  </si>
  <si>
    <t>MGDM886</t>
  </si>
  <si>
    <t>Marquillas en acrílico 4*2, 6*3, 8*4</t>
  </si>
  <si>
    <t>MSGDM886</t>
  </si>
  <si>
    <t>MGDM887</t>
  </si>
  <si>
    <t>Marquillas tipo anillo dexson o similar</t>
  </si>
  <si>
    <t>MSGDM887</t>
  </si>
  <si>
    <t>MGDM888</t>
  </si>
  <si>
    <t>Material Seleccionado</t>
  </si>
  <si>
    <t>MSGDM888</t>
  </si>
  <si>
    <t>MGDM889</t>
  </si>
  <si>
    <t>Medidor digital DM 6000</t>
  </si>
  <si>
    <t>MSGDM889</t>
  </si>
  <si>
    <t>MGDM890</t>
  </si>
  <si>
    <t>Medidor Trifilar 2 x 120/208V 15-100 A</t>
  </si>
  <si>
    <t>MSGDM890</t>
  </si>
  <si>
    <t>MGDM891</t>
  </si>
  <si>
    <t>Mini interuptor mono multi 9 de 6 amps</t>
  </si>
  <si>
    <t>MSGDM891</t>
  </si>
  <si>
    <t>MGDM892</t>
  </si>
  <si>
    <t>Mini Split 12000 BTU</t>
  </si>
  <si>
    <t>MSGDM892</t>
  </si>
  <si>
    <t>MGDM893</t>
  </si>
  <si>
    <t>Modem de comunicaciones</t>
  </si>
  <si>
    <t>MSGDM893</t>
  </si>
  <si>
    <t>MGDM894</t>
  </si>
  <si>
    <t>Muerto De Concreto Para Retenida</t>
  </si>
  <si>
    <t>MSGDM894</t>
  </si>
  <si>
    <t>MGDM895</t>
  </si>
  <si>
    <t>Multimetro analizador DMK 32 c/software</t>
  </si>
  <si>
    <t>MSGDM895</t>
  </si>
  <si>
    <t>MGDM896</t>
  </si>
  <si>
    <t>Ocho De Seguridad (1)</t>
  </si>
  <si>
    <t>MSGDM896</t>
  </si>
  <si>
    <t>MGDM897</t>
  </si>
  <si>
    <t>Outlet (Toma) Siemons.10GMX-FS</t>
  </si>
  <si>
    <t>MSGDM897</t>
  </si>
  <si>
    <t>MGDM898</t>
  </si>
  <si>
    <t>P/CORD CAT. 6 1.5M AZUL  B</t>
  </si>
  <si>
    <t>MSGDM898</t>
  </si>
  <si>
    <t>MGDM899</t>
  </si>
  <si>
    <t>P/CORD CAT. 6 1.5M GRIS B</t>
  </si>
  <si>
    <t>MSGDM899</t>
  </si>
  <si>
    <t>MGDM900</t>
  </si>
  <si>
    <t>P/CORD CAT. 6 1.5M ROJO B</t>
  </si>
  <si>
    <t>MSGDM900</t>
  </si>
  <si>
    <t>MGDM901</t>
  </si>
  <si>
    <t>P/CORD CAT. 6 1M AZUL B</t>
  </si>
  <si>
    <t>MSGDM901</t>
  </si>
  <si>
    <t>MGDM902</t>
  </si>
  <si>
    <t>P/CORD CAT. 6 1M GRIS B</t>
  </si>
  <si>
    <t>MSGDM902</t>
  </si>
  <si>
    <t>MGDM903</t>
  </si>
  <si>
    <t>P/CORD CAT. 6 1M ROJO B</t>
  </si>
  <si>
    <t>MSGDM903</t>
  </si>
  <si>
    <t>MGDM904</t>
  </si>
  <si>
    <t>P/CORD CAT. 6 2M AZUL B</t>
  </si>
  <si>
    <t>MSGDM904</t>
  </si>
  <si>
    <t>MGDM905</t>
  </si>
  <si>
    <t>P/CORD CAT. 6 2M GRIS B</t>
  </si>
  <si>
    <t>MSGDM905</t>
  </si>
  <si>
    <t>MGDM906</t>
  </si>
  <si>
    <t>P/CORD CAT. 6 2M ROJO B</t>
  </si>
  <si>
    <t>MSGDM906</t>
  </si>
  <si>
    <t>MGDM907</t>
  </si>
  <si>
    <t>P/CORD CAT. 6 3M AZUL B</t>
  </si>
  <si>
    <t>MSGDM907</t>
  </si>
  <si>
    <t>MGDM908</t>
  </si>
  <si>
    <t>P/CORD CAT. 6 3M GRIS B</t>
  </si>
  <si>
    <t>MSGDM908</t>
  </si>
  <si>
    <t>MGDM909</t>
  </si>
  <si>
    <t>P/CORD CAT. 6 3M ROJO B</t>
  </si>
  <si>
    <t>MSGDM909</t>
  </si>
  <si>
    <t>MGDM910</t>
  </si>
  <si>
    <t>P/PANEL CAT 6 24PTO C/ORGANIZ</t>
  </si>
  <si>
    <t>MSGDM910</t>
  </si>
  <si>
    <t>MGDM911</t>
  </si>
  <si>
    <t>P/PANEL CAT 6 48PTS S/ORGANIZ</t>
  </si>
  <si>
    <t>MSGDM911</t>
  </si>
  <si>
    <t>MGDM912</t>
  </si>
  <si>
    <t>Pantalla para borna cable 10</t>
  </si>
  <si>
    <t>MSGDM912</t>
  </si>
  <si>
    <t>MGDM913</t>
  </si>
  <si>
    <t>Parada de emergencia y cabeza pulsador de hongo XB4BC42</t>
  </si>
  <si>
    <t>MSGDM913</t>
  </si>
  <si>
    <t>MGDM914</t>
  </si>
  <si>
    <t>Pararrayo 13,2 kv</t>
  </si>
  <si>
    <t>MSGDM914</t>
  </si>
  <si>
    <t>MGDM915</t>
  </si>
  <si>
    <t>Pararrayo 4160 v</t>
  </si>
  <si>
    <t>MSGDM915</t>
  </si>
  <si>
    <t>MGDM916</t>
  </si>
  <si>
    <t>Patch Cord de 1m</t>
  </si>
  <si>
    <t>MSGDM916</t>
  </si>
  <si>
    <t>MGDM917</t>
  </si>
  <si>
    <t>Patch Cord de 2m</t>
  </si>
  <si>
    <t>MSGDM917</t>
  </si>
  <si>
    <t>MGDM918</t>
  </si>
  <si>
    <t>Pegante PVC  1/4 gal</t>
  </si>
  <si>
    <t>MSGDM918</t>
  </si>
  <si>
    <t>MGDM919</t>
  </si>
  <si>
    <t>Pegante PVC  1/ 16 gal</t>
  </si>
  <si>
    <t>MSGDM919</t>
  </si>
  <si>
    <t>MGDM920</t>
  </si>
  <si>
    <t>Percha Galvanizada (Pesada) De Cuatro Puestos</t>
  </si>
  <si>
    <t>MSGDM920</t>
  </si>
  <si>
    <t>MGDM921</t>
  </si>
  <si>
    <t>Percha Galvanizada (Pesada) De Tres Puestos</t>
  </si>
  <si>
    <t>MSGDM921</t>
  </si>
  <si>
    <t>MGDM922</t>
  </si>
  <si>
    <t>Percha Galvanizada (Pesada) De Un Puesto</t>
  </si>
  <si>
    <t>MSGDM922</t>
  </si>
  <si>
    <t>MGDM923</t>
  </si>
  <si>
    <t xml:space="preserve">Perfil cal 16 en acero inoxidable </t>
  </si>
  <si>
    <t>MSGDM923</t>
  </si>
  <si>
    <t>MGDM924</t>
  </si>
  <si>
    <t>Perfil channel  2,4 m galv</t>
  </si>
  <si>
    <t>MSGDM924</t>
  </si>
  <si>
    <t>MGDM925</t>
  </si>
  <si>
    <t>Perfil channel de acero inoxidable 2,4 m</t>
  </si>
  <si>
    <t>MSGDM925</t>
  </si>
  <si>
    <t>MGDM926</t>
  </si>
  <si>
    <t>Perfil Mecano</t>
  </si>
  <si>
    <t>MSGDM926</t>
  </si>
  <si>
    <t>MGDM927</t>
  </si>
  <si>
    <t>Perfil omega</t>
  </si>
  <si>
    <t>MSGDM927</t>
  </si>
  <si>
    <t>MGDM928</t>
  </si>
  <si>
    <t>Perfil P1000 15/8"x15/8x CAL 16 x 235 LG</t>
  </si>
  <si>
    <t>MSGDM928</t>
  </si>
  <si>
    <t>MGDM929</t>
  </si>
  <si>
    <t>Perfil P1000 15/8"x15/8x CAL 16 x 400LG</t>
  </si>
  <si>
    <t>MSGDM929</t>
  </si>
  <si>
    <t>MGDM930</t>
  </si>
  <si>
    <t>Perfil X 100 LG</t>
  </si>
  <si>
    <t>MSGDM930</t>
  </si>
  <si>
    <t>MGDM931</t>
  </si>
  <si>
    <t>Perno carruaje 5/8x12"</t>
  </si>
  <si>
    <t>MSGDM931</t>
  </si>
  <si>
    <t>MGDM932</t>
  </si>
  <si>
    <t>Perno carruaje 5/8x6"</t>
  </si>
  <si>
    <t>MSGDM932</t>
  </si>
  <si>
    <t>MGDM933</t>
  </si>
  <si>
    <t>Perno carruaje ombligo 5/8x1 1/2</t>
  </si>
  <si>
    <t>MSGDM933</t>
  </si>
  <si>
    <t>MGDM934</t>
  </si>
  <si>
    <t>Perno de 1/2"  largo de 1/2 a 2" galv c/tuerca y arandela</t>
  </si>
  <si>
    <t>MSGDM934</t>
  </si>
  <si>
    <t>MGDM935</t>
  </si>
  <si>
    <t>Perno de 1/4"  largo de 1/2 a 2" galv c/tuerca y arandela</t>
  </si>
  <si>
    <t>MSGDM935</t>
  </si>
  <si>
    <t>MGDM936</t>
  </si>
  <si>
    <t>Perno de 3/8"  largo de 1/2 a 2" galv c/tuerca y arandela</t>
  </si>
  <si>
    <t>MSGDM936</t>
  </si>
  <si>
    <t>MGDM937</t>
  </si>
  <si>
    <t>Perno De Carruaje De 5/8" x 1 1/2"</t>
  </si>
  <si>
    <t>MSGDM937</t>
  </si>
  <si>
    <t>MGDM938</t>
  </si>
  <si>
    <t>Perno de expansion 1/2 x 3"</t>
  </si>
  <si>
    <t>MSGDM938</t>
  </si>
  <si>
    <t>MGDM939</t>
  </si>
  <si>
    <t>Perno de expansion 1/4"</t>
  </si>
  <si>
    <t>MSGDM939</t>
  </si>
  <si>
    <t>MGDM940</t>
  </si>
  <si>
    <t>Perno de expansion 3/8 x 2"</t>
  </si>
  <si>
    <t>MSGDM940</t>
  </si>
  <si>
    <t>MGDM941</t>
  </si>
  <si>
    <t>Perno de Expansion de 3/8" x 17/8"</t>
  </si>
  <si>
    <t>MSGDM941</t>
  </si>
  <si>
    <t>MGDM942</t>
  </si>
  <si>
    <t xml:space="preserve">Perno de Expansion Hembra 1/2" </t>
  </si>
  <si>
    <t>MSGDM942</t>
  </si>
  <si>
    <t>MGDM943</t>
  </si>
  <si>
    <t>Perno De Maquina 5/8 x 1 1/2</t>
  </si>
  <si>
    <t>MSGDM943</t>
  </si>
  <si>
    <t>MGDM944</t>
  </si>
  <si>
    <t>Perno De Maquina De 1/2" x 6"</t>
  </si>
  <si>
    <t>MSGDM944</t>
  </si>
  <si>
    <t>MGDM945</t>
  </si>
  <si>
    <t>Perno De Maquina De 5/8" x 12"</t>
  </si>
  <si>
    <t>MSGDM945</t>
  </si>
  <si>
    <t>MGDM946</t>
  </si>
  <si>
    <t>Perno De Ombligo 5/8 x 1 1/2</t>
  </si>
  <si>
    <t>MSGDM946</t>
  </si>
  <si>
    <t>MGDM947</t>
  </si>
  <si>
    <t>Pernos De Anclaje</t>
  </si>
  <si>
    <t>MSGDM947</t>
  </si>
  <si>
    <t>MGDM948</t>
  </si>
  <si>
    <t>Pernos De Expansion</t>
  </si>
  <si>
    <t>MSGDM948</t>
  </si>
  <si>
    <t>MGDM949</t>
  </si>
  <si>
    <t>Pernos de Ojo</t>
  </si>
  <si>
    <t>MSGDM949</t>
  </si>
  <si>
    <t>MGDM950</t>
  </si>
  <si>
    <t>Perro de 1/8</t>
  </si>
  <si>
    <t>MSGDM950</t>
  </si>
  <si>
    <t>MGDM951</t>
  </si>
  <si>
    <t>Perro de 3/16</t>
  </si>
  <si>
    <t>MSGDM951</t>
  </si>
  <si>
    <t>MGDM952</t>
  </si>
  <si>
    <t>MSGDM952</t>
  </si>
  <si>
    <t>MGDM953</t>
  </si>
  <si>
    <t>Piloto de señalizacion con led ref 9001KP40G-R-A-9 30 mm</t>
  </si>
  <si>
    <t>MSGDM953</t>
  </si>
  <si>
    <t>MGDM954</t>
  </si>
  <si>
    <t>Piloto de señalizacion con led ref XB4BVG3/4/5</t>
  </si>
  <si>
    <t>MSGDM954</t>
  </si>
  <si>
    <t>MGDM955</t>
  </si>
  <si>
    <t>Pin Para Aisladores</t>
  </si>
  <si>
    <t>MSGDM955</t>
  </si>
  <si>
    <t>MGDM956</t>
  </si>
  <si>
    <t>Pin Para Lines Post corto cruc metalic</t>
  </si>
  <si>
    <t>MSGDM956</t>
  </si>
  <si>
    <t>MGDM957</t>
  </si>
  <si>
    <t>Pin Para Lines Post largo cruc Madera</t>
  </si>
  <si>
    <t>MSGDM957</t>
  </si>
  <si>
    <t>MGDM958</t>
  </si>
  <si>
    <t>Pintura Acabado Poliuretano</t>
  </si>
  <si>
    <t>MSGDM958</t>
  </si>
  <si>
    <t>MGDM959</t>
  </si>
  <si>
    <t>Pintura Anticorrosiva</t>
  </si>
  <si>
    <t>MSGDM959</t>
  </si>
  <si>
    <t>MGDM960</t>
  </si>
  <si>
    <t>Pintura Anticorrosiva Atoxica Primer</t>
  </si>
  <si>
    <t>MSGDM960</t>
  </si>
  <si>
    <t>MGDM961</t>
  </si>
  <si>
    <t>Pintura De Acabado Pintucoat</t>
  </si>
  <si>
    <t>MSGDM961</t>
  </si>
  <si>
    <t>MGDM962</t>
  </si>
  <si>
    <t>Pintura Esnalte De Pintuco</t>
  </si>
  <si>
    <t>MSGDM962</t>
  </si>
  <si>
    <t>MGDM963</t>
  </si>
  <si>
    <t>Pintura Vinilo Pintulux De Pintuco</t>
  </si>
  <si>
    <t>MSGDM963</t>
  </si>
  <si>
    <t>MGDM964</t>
  </si>
  <si>
    <t>Platina conectora en L ref M21033 ; PLD2AG</t>
  </si>
  <si>
    <t>MSGDM964</t>
  </si>
  <si>
    <t>MGDM965</t>
  </si>
  <si>
    <t>Platina de cobre de 1 x 1/8</t>
  </si>
  <si>
    <t>MSGDM965</t>
  </si>
  <si>
    <t>MGDM966</t>
  </si>
  <si>
    <t>Platina Union Bandeja</t>
  </si>
  <si>
    <t>MSGDM966</t>
  </si>
  <si>
    <t>MGDM967</t>
  </si>
  <si>
    <t>Platina, Angulo de 11/0" X 3/16</t>
  </si>
  <si>
    <t>MSGDM967</t>
  </si>
  <si>
    <t>MGDM968</t>
  </si>
  <si>
    <t>Platinas para Asegurar Malla al Tubo</t>
  </si>
  <si>
    <t>MSGDM968</t>
  </si>
  <si>
    <t>MGDM969</t>
  </si>
  <si>
    <t>Polvo Mineral Rojo</t>
  </si>
  <si>
    <t>MSGDM969</t>
  </si>
  <si>
    <t>MGDM970</t>
  </si>
  <si>
    <t>Portacandado</t>
  </si>
  <si>
    <t>MSGDM970</t>
  </si>
  <si>
    <t>MGDM971</t>
  </si>
  <si>
    <t>Portalampara o soporte intemperie plastico</t>
  </si>
  <si>
    <t>MSGDM971</t>
  </si>
  <si>
    <t>MGDM972</t>
  </si>
  <si>
    <t>Poste de concreto APH=10m, CR=510 Kg</t>
  </si>
  <si>
    <t>MSGDM972</t>
  </si>
  <si>
    <t>MGDM973</t>
  </si>
  <si>
    <t>Poste de concreto APH=12m, CR=510 Kg</t>
  </si>
  <si>
    <t>MSGDM973</t>
  </si>
  <si>
    <t>MGDM974</t>
  </si>
  <si>
    <t>Poste de concreto APH=8m, CR=510 Kg</t>
  </si>
  <si>
    <t>MSGDM974</t>
  </si>
  <si>
    <t>MGDM975</t>
  </si>
  <si>
    <t>Poste en tuberia de 4 y 3</t>
  </si>
  <si>
    <t>MSGDM975</t>
  </si>
  <si>
    <t>MGDM976</t>
  </si>
  <si>
    <t>Postes De 10m de 1050kg</t>
  </si>
  <si>
    <t>MSGDM976</t>
  </si>
  <si>
    <t>MGDM977</t>
  </si>
  <si>
    <t>Postes De 10m de 750kg</t>
  </si>
  <si>
    <t>MSGDM977</t>
  </si>
  <si>
    <t>MGDM978</t>
  </si>
  <si>
    <t>Postes De 12m de 1050kg</t>
  </si>
  <si>
    <t>MSGDM978</t>
  </si>
  <si>
    <t>MGDM979</t>
  </si>
  <si>
    <t>Postes De 12m de 750kg</t>
  </si>
  <si>
    <t>MSGDM979</t>
  </si>
  <si>
    <t>MGDM980</t>
  </si>
  <si>
    <t>Postes De 14m de 1050kg</t>
  </si>
  <si>
    <t>MSGDM980</t>
  </si>
  <si>
    <t>MGDM981</t>
  </si>
  <si>
    <t>Postes De 14m de 750kg</t>
  </si>
  <si>
    <t>MSGDM981</t>
  </si>
  <si>
    <t>MGDM982</t>
  </si>
  <si>
    <t>Prensaestopa  13 mm cables 10 4PE21  3/4</t>
  </si>
  <si>
    <t>MSGDM982</t>
  </si>
  <si>
    <t>MGDM983</t>
  </si>
  <si>
    <t>Prensaestopa  9 mm cables 7 mm 3PE9 5/16</t>
  </si>
  <si>
    <t>MSGDM983</t>
  </si>
  <si>
    <t>MGDM984</t>
  </si>
  <si>
    <t>Prensaestopa 3/4"</t>
  </si>
  <si>
    <t>MSGDM984</t>
  </si>
  <si>
    <t>MGDM985</t>
  </si>
  <si>
    <t>Programador Horario Digital Semanal CCT15720</t>
  </si>
  <si>
    <t>MSGDM985</t>
  </si>
  <si>
    <t>MGDM986</t>
  </si>
  <si>
    <t>Protocolo de pruebas</t>
  </si>
  <si>
    <t>MSGDM986</t>
  </si>
  <si>
    <t>MGDM987</t>
  </si>
  <si>
    <t>PROYECTO SCHREDER NEOS 3 1709 400W N 208/220V S.P.MARCADO AP BGA + 2 FUS</t>
  </si>
  <si>
    <t>MSGDM987</t>
  </si>
  <si>
    <t>MGDM988</t>
  </si>
  <si>
    <t>Prueba de pararrayos</t>
  </si>
  <si>
    <t>MSGDM988</t>
  </si>
  <si>
    <t>MGDM989</t>
  </si>
  <si>
    <t>Pulsador arranque parada motor</t>
  </si>
  <si>
    <t>MSGDM989</t>
  </si>
  <si>
    <t>MGDM990</t>
  </si>
  <si>
    <t>Punta Franklin especial</t>
  </si>
  <si>
    <t>MSGDM990</t>
  </si>
  <si>
    <t>MGDM991</t>
  </si>
  <si>
    <t xml:space="preserve">Punta Franklin sencilla </t>
  </si>
  <si>
    <t>MSGDM991</t>
  </si>
  <si>
    <t>MGDM992</t>
  </si>
  <si>
    <t>Puntilla</t>
  </si>
  <si>
    <t>MSGDM992</t>
  </si>
  <si>
    <t>MGDM993</t>
  </si>
  <si>
    <t>Rack Manejador de 19"</t>
  </si>
  <si>
    <t>MSGDM993</t>
  </si>
  <si>
    <t>MGDM994</t>
  </si>
  <si>
    <t>Reducción 2 1/2" x 2"</t>
  </si>
  <si>
    <t>MSGDM994</t>
  </si>
  <si>
    <t>MGDM995</t>
  </si>
  <si>
    <t>Reflector MH 400 w  277</t>
  </si>
  <si>
    <t>MSGDM995</t>
  </si>
  <si>
    <t>MGDM996</t>
  </si>
  <si>
    <t>Reflector MH 400 w 220 v reactor</t>
  </si>
  <si>
    <t>MSGDM996</t>
  </si>
  <si>
    <t>MGDM997</t>
  </si>
  <si>
    <t>Reflector MH 400 w 480 v reactor</t>
  </si>
  <si>
    <t>MSGDM997</t>
  </si>
  <si>
    <t>MGDM998</t>
  </si>
  <si>
    <t>Reflector Sodio 400 w  277</t>
  </si>
  <si>
    <t>MSGDM998</t>
  </si>
  <si>
    <t>MGDM999</t>
  </si>
  <si>
    <t>Reflector Sodio 400 w 220 v reactor</t>
  </si>
  <si>
    <t>MSGDM999</t>
  </si>
  <si>
    <t>MGDM1000</t>
  </si>
  <si>
    <t>Reflector Sodio 400 w 480 v reactor</t>
  </si>
  <si>
    <t>MSGDM1000</t>
  </si>
  <si>
    <t>MGDM1001</t>
  </si>
  <si>
    <t>Reflector TFL 400W  SRA -2TBV CR LTI c/bombilla</t>
  </si>
  <si>
    <t>MSGDM1001</t>
  </si>
  <si>
    <t>MGDM1002</t>
  </si>
  <si>
    <t>Registro de concreto 0,30x0,30x0,4</t>
  </si>
  <si>
    <t>MSGDM1002</t>
  </si>
  <si>
    <t>MGDM1003</t>
  </si>
  <si>
    <t>Regleta</t>
  </si>
  <si>
    <t>MSGDM1003</t>
  </si>
  <si>
    <t>MGDM1004</t>
  </si>
  <si>
    <t>Regleta plastica 12 polos blanca 20A</t>
  </si>
  <si>
    <t>MSGDM1004</t>
  </si>
  <si>
    <t>MGDM1005</t>
  </si>
  <si>
    <t>Regulador factor potencia lovato ref LOV 0293</t>
  </si>
  <si>
    <t>MSGDM1005</t>
  </si>
  <si>
    <t>MGDM1006</t>
  </si>
  <si>
    <t>Regulador factor potencia varlogic ref 52448</t>
  </si>
  <si>
    <t>MSGDM1006</t>
  </si>
  <si>
    <t>MGDM1007</t>
  </si>
  <si>
    <t xml:space="preserve">Rele bloque de pruebas </t>
  </si>
  <si>
    <t>MSGDM1007</t>
  </si>
  <si>
    <t>MGDM1008</t>
  </si>
  <si>
    <t xml:space="preserve">Rele de 11 pines </t>
  </si>
  <si>
    <t>MSGDM1008</t>
  </si>
  <si>
    <t>MGDM1009</t>
  </si>
  <si>
    <t>Rele de tiempo electronico multirango on - off - delay, estr - triangulo</t>
  </si>
  <si>
    <t>MSGDM1009</t>
  </si>
  <si>
    <t>MGDM1010</t>
  </si>
  <si>
    <t>Rele monitor de fase RM35TF30</t>
  </si>
  <si>
    <t>MSGDM1010</t>
  </si>
  <si>
    <t>MGDM1011</t>
  </si>
  <si>
    <t>Retenida 3/8 (3 toneladas)</t>
  </si>
  <si>
    <t>MSGDM1011</t>
  </si>
  <si>
    <t>MGDM1012</t>
  </si>
  <si>
    <t>Riel Omega</t>
  </si>
  <si>
    <t>MSGDM1012</t>
  </si>
  <si>
    <t>MGDM1013</t>
  </si>
  <si>
    <t>Riostras</t>
  </si>
  <si>
    <t>MSGDM1013</t>
  </si>
  <si>
    <t>MGDM1014</t>
  </si>
  <si>
    <t>Secador de manos</t>
  </si>
  <si>
    <t>MSGDM1014</t>
  </si>
  <si>
    <t>MGDM1015</t>
  </si>
  <si>
    <t>Selector de dos posiciones</t>
  </si>
  <si>
    <t>MSGDM1015</t>
  </si>
  <si>
    <t>MGDM1016</t>
  </si>
  <si>
    <t>Selector de tres posiciones 9001KS43FBH13</t>
  </si>
  <si>
    <t>MSGDM1016</t>
  </si>
  <si>
    <t>MGDM1017</t>
  </si>
  <si>
    <t>Sello Cortafuego explosion proof 1 1/2"</t>
  </si>
  <si>
    <t>MSGDM1017</t>
  </si>
  <si>
    <t>MGDM1018</t>
  </si>
  <si>
    <t>Sello Cortafuego explosion proof 1"</t>
  </si>
  <si>
    <t>MSGDM1018</t>
  </si>
  <si>
    <t>MGDM1019</t>
  </si>
  <si>
    <t>Sello Cortafuego explosion proof 1/2"</t>
  </si>
  <si>
    <t>MSGDM1019</t>
  </si>
  <si>
    <t>MGDM1020</t>
  </si>
  <si>
    <t>Sello Cortafuego explosion proof 2"</t>
  </si>
  <si>
    <t>MSGDM1020</t>
  </si>
  <si>
    <t>MGDM1021</t>
  </si>
  <si>
    <t>Sello Cortafuego explosion proof 3/4"</t>
  </si>
  <si>
    <t>MSGDM1021</t>
  </si>
  <si>
    <t>MGDM1022</t>
  </si>
  <si>
    <t>Sikabond</t>
  </si>
  <si>
    <t>MSGDM1022</t>
  </si>
  <si>
    <t>MGDM1023</t>
  </si>
  <si>
    <t>Sikasil C (Silicona)</t>
  </si>
  <si>
    <t>MSGDM1023</t>
  </si>
  <si>
    <t>MGDM1024</t>
  </si>
  <si>
    <t>Sikatop 122</t>
  </si>
  <si>
    <t>MSGDM1024</t>
  </si>
  <si>
    <t>MGDM1025</t>
  </si>
  <si>
    <t>Silla Para Cruceta</t>
  </si>
  <si>
    <t>MSGDM1025</t>
  </si>
  <si>
    <t>MGDM1026</t>
  </si>
  <si>
    <t>Sirena a 110 V o 220 V</t>
  </si>
  <si>
    <t>MSGDM1026</t>
  </si>
  <si>
    <t>MGDM1027</t>
  </si>
  <si>
    <t>Socket para tubo fluorescente</t>
  </si>
  <si>
    <t>MSGDM1027</t>
  </si>
  <si>
    <t>MGDM1028</t>
  </si>
  <si>
    <t>Soldadura electrodos</t>
  </si>
  <si>
    <t>MSGDM1028</t>
  </si>
  <si>
    <t>MGDM1029</t>
  </si>
  <si>
    <t>Soldadura Exotérmica De 115 gr</t>
  </si>
  <si>
    <t>MSGDM1029</t>
  </si>
  <si>
    <t>MGDM1030</t>
  </si>
  <si>
    <t>Soldadura Exotérmica De 150 gr</t>
  </si>
  <si>
    <t>MSGDM1030</t>
  </si>
  <si>
    <t>MGDM1031</t>
  </si>
  <si>
    <t>Soldadura Exotérmica De 200 gr</t>
  </si>
  <si>
    <t>MSGDM1031</t>
  </si>
  <si>
    <t>MGDM1032</t>
  </si>
  <si>
    <t>Soldadura Exotérmica De 45 gr</t>
  </si>
  <si>
    <t>MSGDM1032</t>
  </si>
  <si>
    <t>MGDM1033</t>
  </si>
  <si>
    <t>Soldadura Exotérmica De 65 gr</t>
  </si>
  <si>
    <t>MSGDM1033</t>
  </si>
  <si>
    <t>MGDM1034</t>
  </si>
  <si>
    <t>Soldadura Exotérmica De 90 gr</t>
  </si>
  <si>
    <t>MSGDM1034</t>
  </si>
  <si>
    <t>MGDM1035</t>
  </si>
  <si>
    <t>Soporte para montar modulos seis espacios 4x4 vela ref 685098</t>
  </si>
  <si>
    <t>MSGDM1035</t>
  </si>
  <si>
    <t>MGDM1036</t>
  </si>
  <si>
    <t>Soporte para montar modulos tres espacios vela ref 681599</t>
  </si>
  <si>
    <t>MSGDM1036</t>
  </si>
  <si>
    <t>MGDM1037</t>
  </si>
  <si>
    <t>Soporte peldaño 20 cms</t>
  </si>
  <si>
    <t>MSGDM1037</t>
  </si>
  <si>
    <t>MGDM1038</t>
  </si>
  <si>
    <t>Soporte Tipo Repisa Galvanizada en Caliente</t>
  </si>
  <si>
    <t>MSGDM1038</t>
  </si>
  <si>
    <t>MGDM1039</t>
  </si>
  <si>
    <t>Suiche selector de manija negra 2 posiciones ref XB4BD21</t>
  </si>
  <si>
    <t>MSGDM1039</t>
  </si>
  <si>
    <t>MGDM1040</t>
  </si>
  <si>
    <t>Suiche selector de manija negra 3 posiciones ref XB4BD33</t>
  </si>
  <si>
    <t>MSGDM1040</t>
  </si>
  <si>
    <t>MGDM1041</t>
  </si>
  <si>
    <t>Sujetador de Bandeja</t>
  </si>
  <si>
    <t>MSGDM1041</t>
  </si>
  <si>
    <t>MGDM1042</t>
  </si>
  <si>
    <t>Sujetador de Bandeja Vertical</t>
  </si>
  <si>
    <t>MSGDM1042</t>
  </si>
  <si>
    <t>MGDM1043</t>
  </si>
  <si>
    <t>Suministro trasporte e instalación de red canalizada en cable concéntrico antifraude Cu 75 C° 3X1/0+1/0 AWG 600V (PE/PVC)</t>
  </si>
  <si>
    <t>MSGDM1043</t>
  </si>
  <si>
    <t>MGDM1044</t>
  </si>
  <si>
    <t>Suplemento para caja 4x4 galvanizada</t>
  </si>
  <si>
    <t>MSGDM1044</t>
  </si>
  <si>
    <t>MGDM1045</t>
  </si>
  <si>
    <t>Suplemento para caja 4x4 plastica</t>
  </si>
  <si>
    <t>MSGDM1045</t>
  </si>
  <si>
    <t>MGDM1046</t>
  </si>
  <si>
    <t>Suplemento para caja 4x4 radwelt</t>
  </si>
  <si>
    <t>MSGDM1046</t>
  </si>
  <si>
    <t>MGDM1047</t>
  </si>
  <si>
    <t>Tabla cepillada</t>
  </si>
  <si>
    <t>MSGDM1047</t>
  </si>
  <si>
    <t>MGDM1048</t>
  </si>
  <si>
    <t>Tablero general 2,20 x 1,9i0 x 0,60 cms</t>
  </si>
  <si>
    <t>MSGDM1048</t>
  </si>
  <si>
    <t>MGDM1049</t>
  </si>
  <si>
    <t>Tablero trifasico NTQ 412 con puerta</t>
  </si>
  <si>
    <t>MSGDM1049</t>
  </si>
  <si>
    <t>MGDM1050</t>
  </si>
  <si>
    <t>Tablero trifasico NTQ 418 con puerta</t>
  </si>
  <si>
    <t>MSGDM1050</t>
  </si>
  <si>
    <t>MGDM1051</t>
  </si>
  <si>
    <t>Tablero trifasico NTQ 424 con puerta</t>
  </si>
  <si>
    <t>MSGDM1051</t>
  </si>
  <si>
    <t>MGDM1052</t>
  </si>
  <si>
    <t>Tablero trifasico NTQ 430 con puerta</t>
  </si>
  <si>
    <t>MSGDM1052</t>
  </si>
  <si>
    <t>MGDM1053</t>
  </si>
  <si>
    <t>Tablero trifasico NTQ 436 con puerta</t>
  </si>
  <si>
    <t>MSGDM1053</t>
  </si>
  <si>
    <t>MGDM1054</t>
  </si>
  <si>
    <t>Tablero trifasico NTQ 442 con puerta</t>
  </si>
  <si>
    <t>MSGDM1054</t>
  </si>
  <si>
    <t>MGDM1055</t>
  </si>
  <si>
    <t>Tablero trifasico NTQ -T-12 circuitos con espacio para totalizador</t>
  </si>
  <si>
    <t>MSGDM1055</t>
  </si>
  <si>
    <t>MGDM1056</t>
  </si>
  <si>
    <t>Tablero trifasico NTQ -T-18 circuitos con espacio para totalizador</t>
  </si>
  <si>
    <t>MSGDM1056</t>
  </si>
  <si>
    <t>MGDM1057</t>
  </si>
  <si>
    <t>Tablero trifasico NTQ -T-24 circuitos con espacio para totalizador</t>
  </si>
  <si>
    <t>MSGDM1057</t>
  </si>
  <si>
    <t>MGDM1058</t>
  </si>
  <si>
    <t>Tablero trifasico NTQ -T-30 circuitos con espacio para totalizador</t>
  </si>
  <si>
    <t>MSGDM1058</t>
  </si>
  <si>
    <t>MGDM1059</t>
  </si>
  <si>
    <t>Tablero trifasico NTQ -T-36 circuitos con espacio para totalizador</t>
  </si>
  <si>
    <t>MSGDM1059</t>
  </si>
  <si>
    <t>MGDM1060</t>
  </si>
  <si>
    <t>Tablero trifasico NTQ -T-42 circuitos con espacio para totalizador</t>
  </si>
  <si>
    <t>MSGDM1060</t>
  </si>
  <si>
    <t>MGDM1061</t>
  </si>
  <si>
    <t xml:space="preserve">Tablon Vitrificado Formato 0,2 X 0,2 </t>
  </si>
  <si>
    <t>MSGDM1061</t>
  </si>
  <si>
    <t>MGDM1062</t>
  </si>
  <si>
    <t>Talicon</t>
  </si>
  <si>
    <t>MSGDM1062</t>
  </si>
  <si>
    <t>MGDM1063</t>
  </si>
  <si>
    <t>Tapa Ciega 2x4</t>
  </si>
  <si>
    <t>MSGDM1063</t>
  </si>
  <si>
    <t>MGDM1064</t>
  </si>
  <si>
    <t xml:space="preserve">Tapa Ciega Metalica 4x4 </t>
  </si>
  <si>
    <t>MSGDM1064</t>
  </si>
  <si>
    <t>MGDM1065</t>
  </si>
  <si>
    <t>TAPA CIEGA MX BLANCA 10UND</t>
  </si>
  <si>
    <t>MSGDM1065</t>
  </si>
  <si>
    <t>MGDM1066</t>
  </si>
  <si>
    <t xml:space="preserve">Tapa Ciega Octagonal </t>
  </si>
  <si>
    <t>MSGDM1066</t>
  </si>
  <si>
    <t>MGDM1067</t>
  </si>
  <si>
    <t>Tapa Ciega Octagonal radwelt</t>
  </si>
  <si>
    <t>MSGDM1067</t>
  </si>
  <si>
    <t>MGDM1068</t>
  </si>
  <si>
    <t>Tapa Interruptor Sencillo</t>
  </si>
  <si>
    <t>MSGDM1068</t>
  </si>
  <si>
    <t>MGDM1069</t>
  </si>
  <si>
    <t>Tapa metalica toma 20 A y 30 A</t>
  </si>
  <si>
    <t>MSGDM1069</t>
  </si>
  <si>
    <t>MGDM1070</t>
  </si>
  <si>
    <t>Tapa Para Bandeja 10</t>
  </si>
  <si>
    <t>MSGDM1070</t>
  </si>
  <si>
    <t>MGDM1071</t>
  </si>
  <si>
    <t>Tapa Para Bandeja 20</t>
  </si>
  <si>
    <t>MSGDM1071</t>
  </si>
  <si>
    <t>MGDM1072</t>
  </si>
  <si>
    <t>Tapa Para Bandeja 30</t>
  </si>
  <si>
    <t>MSGDM1072</t>
  </si>
  <si>
    <t>MGDM1073</t>
  </si>
  <si>
    <t>Tapa Para Bandeja 40</t>
  </si>
  <si>
    <t>MSGDM1073</t>
  </si>
  <si>
    <t>MGDM1074</t>
  </si>
  <si>
    <t>Tapa Para Bandeja en Cruce x 10</t>
  </si>
  <si>
    <t>MSGDM1074</t>
  </si>
  <si>
    <t>MGDM1075</t>
  </si>
  <si>
    <t>Tapa Para Bandeja en Cruce x 20</t>
  </si>
  <si>
    <t>MSGDM1075</t>
  </si>
  <si>
    <t>MGDM1076</t>
  </si>
  <si>
    <t>Tapa Para Bandeja en Cruce x 30</t>
  </si>
  <si>
    <t>MSGDM1076</t>
  </si>
  <si>
    <t>MGDM1077</t>
  </si>
  <si>
    <t>Tapa Para Bandeja en Cruce x 40</t>
  </si>
  <si>
    <t>MSGDM1077</t>
  </si>
  <si>
    <t>MGDM1078</t>
  </si>
  <si>
    <t>Tapa Para Bandeja en Curva Horizontal 90º  30</t>
  </si>
  <si>
    <t>MSGDM1078</t>
  </si>
  <si>
    <t>MGDM1079</t>
  </si>
  <si>
    <t>Tapa Para Bandeja en Curva Horizontal 90º 10</t>
  </si>
  <si>
    <t>MSGDM1079</t>
  </si>
  <si>
    <t>MGDM1080</t>
  </si>
  <si>
    <t>Tapa Para Bandeja en Curva Horizontal 90º 20</t>
  </si>
  <si>
    <t>MSGDM1080</t>
  </si>
  <si>
    <t>MGDM1081</t>
  </si>
  <si>
    <t>Tapa Para Bandeja en Curva Horizontal 90º 40</t>
  </si>
  <si>
    <t>MSGDM1081</t>
  </si>
  <si>
    <t>MGDM1082</t>
  </si>
  <si>
    <t>Tapa Para Bandeja en Curva Vertical 90º 10</t>
  </si>
  <si>
    <t>MSGDM1082</t>
  </si>
  <si>
    <t>MGDM1083</t>
  </si>
  <si>
    <t>Tapa Para Bandeja en Curva Vertical 90º 20</t>
  </si>
  <si>
    <t>MSGDM1083</t>
  </si>
  <si>
    <t>MGDM1084</t>
  </si>
  <si>
    <t>Tapa Para Bandeja en Curva Vertical 90º 30</t>
  </si>
  <si>
    <t>MSGDM1084</t>
  </si>
  <si>
    <t>MGDM1085</t>
  </si>
  <si>
    <t>Tapa Para Bandeja en Curva Vertical 90º 40</t>
  </si>
  <si>
    <t>MSGDM1085</t>
  </si>
  <si>
    <t>MGDM1086</t>
  </si>
  <si>
    <t xml:space="preserve">Tapa Para Bandeja en Te 10 </t>
  </si>
  <si>
    <t>MSGDM1086</t>
  </si>
  <si>
    <t>MGDM1087</t>
  </si>
  <si>
    <t>Tapa Para Bandeja en Te 20</t>
  </si>
  <si>
    <t>MSGDM1087</t>
  </si>
  <si>
    <t>MGDM1088</t>
  </si>
  <si>
    <t>Tapa Para Bandeja en Te 30</t>
  </si>
  <si>
    <t>MSGDM1088</t>
  </si>
  <si>
    <t>MGDM1089</t>
  </si>
  <si>
    <t>Tapa Para Bandeja en Te 40</t>
  </si>
  <si>
    <t>MSGDM1089</t>
  </si>
  <si>
    <t>MGDM1090</t>
  </si>
  <si>
    <t xml:space="preserve">Tapa Toma Doble </t>
  </si>
  <si>
    <t>MSGDM1090</t>
  </si>
  <si>
    <t>MGDM1091</t>
  </si>
  <si>
    <t>Tapa Toma Doble Seguridad Intemperie</t>
  </si>
  <si>
    <t>MSGDM1091</t>
  </si>
  <si>
    <t>MGDM1092</t>
  </si>
  <si>
    <t>Tapa Toma metalica locking ref 84020  20 y 30 A</t>
  </si>
  <si>
    <t>MSGDM1092</t>
  </si>
  <si>
    <t>MGDM1093</t>
  </si>
  <si>
    <t>Tapa Toma Trifilar</t>
  </si>
  <si>
    <t>MSGDM1093</t>
  </si>
  <si>
    <t>MGDM1094</t>
  </si>
  <si>
    <t>Tapa troquel 12x5 universal color almendra</t>
  </si>
  <si>
    <t>MSGDM1094</t>
  </si>
  <si>
    <t>MGDM1095</t>
  </si>
  <si>
    <t xml:space="preserve">Tapa troquel datos 11x5 </t>
  </si>
  <si>
    <t>MSGDM1095</t>
  </si>
  <si>
    <t>MGDM1096</t>
  </si>
  <si>
    <t xml:space="preserve">Tapa troquel datos doble 11x5 </t>
  </si>
  <si>
    <t>MSGDM1096</t>
  </si>
  <si>
    <t>MGDM1097</t>
  </si>
  <si>
    <t xml:space="preserve">Tapa troquel energia 11x5 </t>
  </si>
  <si>
    <t>MSGDM1097</t>
  </si>
  <si>
    <t>MGDM1098</t>
  </si>
  <si>
    <t xml:space="preserve">Tapa troquel universal doble 11x5 </t>
  </si>
  <si>
    <t>MSGDM1098</t>
  </si>
  <si>
    <t>MGDM1099</t>
  </si>
  <si>
    <t>Tapon de 1"</t>
  </si>
  <si>
    <t>MSGDM1099</t>
  </si>
  <si>
    <t>MGDM1100</t>
  </si>
  <si>
    <t>Tapon de 3" soldado PVC</t>
  </si>
  <si>
    <t>MSGDM1100</t>
  </si>
  <si>
    <t>MGDM1101</t>
  </si>
  <si>
    <t>Te Para Bandeja en 10</t>
  </si>
  <si>
    <t>MSGDM1101</t>
  </si>
  <si>
    <t>MGDM1102</t>
  </si>
  <si>
    <t>Te Para Bandeja en 20</t>
  </si>
  <si>
    <t>MSGDM1102</t>
  </si>
  <si>
    <t>MGDM1103</t>
  </si>
  <si>
    <t>Tee bandeja 20 cms liv</t>
  </si>
  <si>
    <t>MSGDM1103</t>
  </si>
  <si>
    <t>MGDM1104</t>
  </si>
  <si>
    <t>Temporizador programable</t>
  </si>
  <si>
    <t>MSGDM1104</t>
  </si>
  <si>
    <t>MGDM1105</t>
  </si>
  <si>
    <t>Tensor de 1/8" x 8</t>
  </si>
  <si>
    <t>MSGDM1105</t>
  </si>
  <si>
    <t>MGDM1106</t>
  </si>
  <si>
    <t>Tensor de 1/4x3 1/2</t>
  </si>
  <si>
    <t>MSGDM1106</t>
  </si>
  <si>
    <t>MGDM1107</t>
  </si>
  <si>
    <t>Tensor de 5/16x 4 1/4</t>
  </si>
  <si>
    <t>MSGDM1107</t>
  </si>
  <si>
    <t>MGDM1108</t>
  </si>
  <si>
    <t>Tensor de 3/8 x 6</t>
  </si>
  <si>
    <t>MSGDM1108</t>
  </si>
  <si>
    <t>MGDM1109</t>
  </si>
  <si>
    <t>Terminal  bimetalico 750  2 huecos</t>
  </si>
  <si>
    <t>MSGDM1109</t>
  </si>
  <si>
    <t>MGDM1110</t>
  </si>
  <si>
    <t>Terminal Campana PVC 1"</t>
  </si>
  <si>
    <t>MSGDM1110</t>
  </si>
  <si>
    <t>MGDM1111</t>
  </si>
  <si>
    <t>Terminal Campana PVC 11/2"</t>
  </si>
  <si>
    <t>MSGDM1111</t>
  </si>
  <si>
    <t>MGDM1112</t>
  </si>
  <si>
    <t>Terminal Campana PVC 2"</t>
  </si>
  <si>
    <t>MSGDM1112</t>
  </si>
  <si>
    <t>MGDM1113</t>
  </si>
  <si>
    <t>Terminal Campana PVC 3/4"</t>
  </si>
  <si>
    <t>MSGDM1113</t>
  </si>
  <si>
    <t>MGDM1114</t>
  </si>
  <si>
    <t>Terminal de cobre de compresión marca Burndy para cable N. 1/0 AWG Catalog Number: YA25L4-BOX</t>
  </si>
  <si>
    <t>MSGDM1114</t>
  </si>
  <si>
    <t>MGDM1115</t>
  </si>
  <si>
    <t>terminal de cobre de compresión marca Burndy para cable No. 4 AWG  Catalog Number YA4CL4-BOX.</t>
  </si>
  <si>
    <t>MSGDM1115</t>
  </si>
  <si>
    <t>MGDM1116</t>
  </si>
  <si>
    <t>Terminal de cobre de compresión marca Burndy para cable No.14 AWG Catalog Number: YAV10-BOX</t>
  </si>
  <si>
    <t>MSGDM1116</t>
  </si>
  <si>
    <t>MGDM1117</t>
  </si>
  <si>
    <t>terminal de compresion para cable 2 AWG Burndy Catalog Number YA2CL6-BOX</t>
  </si>
  <si>
    <t>MSGDM1117</t>
  </si>
  <si>
    <t>MGDM1118</t>
  </si>
  <si>
    <t>Terminal de compresion para cable 2/0 AWG Burndy Catalog Number YA26L-BOX</t>
  </si>
  <si>
    <t>MSGDM1118</t>
  </si>
  <si>
    <t>MGDM1119</t>
  </si>
  <si>
    <t xml:space="preserve">Terminal de gorrito </t>
  </si>
  <si>
    <t>MSGDM1119</t>
  </si>
  <si>
    <t>MGDM1120</t>
  </si>
  <si>
    <t>Terminal de un hueco No 1/0</t>
  </si>
  <si>
    <t>MSGDM1120</t>
  </si>
  <si>
    <t>MGDM1121</t>
  </si>
  <si>
    <t>Terminal de un hueco No 1/0 bimetalico</t>
  </si>
  <si>
    <t>MSGDM1121</t>
  </si>
  <si>
    <t>MGDM1122</t>
  </si>
  <si>
    <t>Terminal de un hueco No 2</t>
  </si>
  <si>
    <t>MSGDM1122</t>
  </si>
  <si>
    <t>MGDM1123</t>
  </si>
  <si>
    <t>Terminal de un hueco No 2 bimetalico</t>
  </si>
  <si>
    <t>MSGDM1123</t>
  </si>
  <si>
    <t>MGDM1124</t>
  </si>
  <si>
    <t>Terminal de un hueco No 2/0</t>
  </si>
  <si>
    <t>MSGDM1124</t>
  </si>
  <si>
    <t>MGDM1125</t>
  </si>
  <si>
    <t>Terminal de un hueco No 2/0 bimetalico</t>
  </si>
  <si>
    <t>MSGDM1125</t>
  </si>
  <si>
    <t>MGDM1126</t>
  </si>
  <si>
    <t>Terminal de un hueco No 250</t>
  </si>
  <si>
    <t>MSGDM1126</t>
  </si>
  <si>
    <t>MGDM1127</t>
  </si>
  <si>
    <t>Terminal de un hueco No 3/0</t>
  </si>
  <si>
    <t>MSGDM1127</t>
  </si>
  <si>
    <t>MGDM1128</t>
  </si>
  <si>
    <t>Terminal de un hueco No 3/0 bimetalico</t>
  </si>
  <si>
    <t>MSGDM1128</t>
  </si>
  <si>
    <t>MGDM1129</t>
  </si>
  <si>
    <t>Terminal de un hueco No 300</t>
  </si>
  <si>
    <t>MSGDM1129</t>
  </si>
  <si>
    <t>MGDM1130</t>
  </si>
  <si>
    <t>Terminal de un hueco No 300 bimetalico</t>
  </si>
  <si>
    <t>MSGDM1130</t>
  </si>
  <si>
    <t>MGDM1131</t>
  </si>
  <si>
    <t>Terminal de un hueco No 350</t>
  </si>
  <si>
    <t>MSGDM1131</t>
  </si>
  <si>
    <t>MGDM1132</t>
  </si>
  <si>
    <t>Terminal de un hueco No 350 bimetalico</t>
  </si>
  <si>
    <t>MSGDM1132</t>
  </si>
  <si>
    <t>MGDM1133</t>
  </si>
  <si>
    <t>Terminal de un hueco No 4</t>
  </si>
  <si>
    <t>MSGDM1133</t>
  </si>
  <si>
    <t>MGDM1134</t>
  </si>
  <si>
    <t>Terminal de un hueco No 4/0</t>
  </si>
  <si>
    <t>MSGDM1134</t>
  </si>
  <si>
    <t>MGDM1135</t>
  </si>
  <si>
    <t>Terminal de un hueco No 4/0 bimetalico</t>
  </si>
  <si>
    <t>MSGDM1135</t>
  </si>
  <si>
    <t>MGDM1136</t>
  </si>
  <si>
    <t>Terminal de un hueco No 500</t>
  </si>
  <si>
    <t>MSGDM1136</t>
  </si>
  <si>
    <t>MGDM1137</t>
  </si>
  <si>
    <t>Terminal de un hueco No 6</t>
  </si>
  <si>
    <t>MSGDM1137</t>
  </si>
  <si>
    <t>MGDM1138</t>
  </si>
  <si>
    <t xml:space="preserve">Terminal dos huecos 250 MCM </t>
  </si>
  <si>
    <t>MSGDM1138</t>
  </si>
  <si>
    <t>MGDM1139</t>
  </si>
  <si>
    <t xml:space="preserve">Terminal dos huecos 350 MCM </t>
  </si>
  <si>
    <t>MSGDM1139</t>
  </si>
  <si>
    <t>MGDM1140</t>
  </si>
  <si>
    <t>Terminal dos huecos 4/0 MCM</t>
  </si>
  <si>
    <t>MSGDM1140</t>
  </si>
  <si>
    <t>MGDM1141</t>
  </si>
  <si>
    <t>Terminal dos huecos 500 MCM 3M</t>
  </si>
  <si>
    <t>MSGDM1141</t>
  </si>
  <si>
    <t>MGDM1142</t>
  </si>
  <si>
    <t>Terminal dos huecos No 2/0 bimetalico</t>
  </si>
  <si>
    <t>MSGDM1142</t>
  </si>
  <si>
    <t>MGDM1143</t>
  </si>
  <si>
    <t>Terminal dos huecos No 300 bimetalico</t>
  </si>
  <si>
    <t>MSGDM1143</t>
  </si>
  <si>
    <t>MGDM1144</t>
  </si>
  <si>
    <t>Terminal dos huecos No 350 bimetalico</t>
  </si>
  <si>
    <t>MSGDM1144</t>
  </si>
  <si>
    <t>MGDM1145</t>
  </si>
  <si>
    <t>Terminal dos huecos No 4/0 bimetalico</t>
  </si>
  <si>
    <t>MSGDM1145</t>
  </si>
  <si>
    <t>MGDM1146</t>
  </si>
  <si>
    <t>Terminal dos huecos No 500 bimetalico</t>
  </si>
  <si>
    <t>MSGDM1146</t>
  </si>
  <si>
    <t>MGDM1147</t>
  </si>
  <si>
    <t xml:space="preserve">Terminal en U  16 - 14 </t>
  </si>
  <si>
    <t>MSGDM1147</t>
  </si>
  <si>
    <t>MGDM1148</t>
  </si>
  <si>
    <t>Terminal No.10-12</t>
  </si>
  <si>
    <t>MSGDM1148</t>
  </si>
  <si>
    <t>MGDM1149</t>
  </si>
  <si>
    <t>Terminal No.8</t>
  </si>
  <si>
    <t>MSGDM1149</t>
  </si>
  <si>
    <t>MGDM1150</t>
  </si>
  <si>
    <t>Terminal Premoldeado De 2 Awg-4/0 Tipo Intemperie, 15kv</t>
  </si>
  <si>
    <t>MSGDM1150</t>
  </si>
  <si>
    <t>MGDM1151</t>
  </si>
  <si>
    <t>Terminal Premoldeado De 2awg-4/0 Tipo Interior, 15kv</t>
  </si>
  <si>
    <t>MSGDM1151</t>
  </si>
  <si>
    <t>MGDM1152</t>
  </si>
  <si>
    <t>Terminal Premoldeado De 3/0-600MCM Tipo Intemperie, 15kv</t>
  </si>
  <si>
    <t>MSGDM1152</t>
  </si>
  <si>
    <t>MGDM1153</t>
  </si>
  <si>
    <t>Terminal Premoldeado De 3/0-600MCM Tipo Interior, 15kv</t>
  </si>
  <si>
    <t>MSGDM1153</t>
  </si>
  <si>
    <t>MGDM1154</t>
  </si>
  <si>
    <t>Terminales Lug</t>
  </si>
  <si>
    <t>MSGDM1154</t>
  </si>
  <si>
    <t>MGDM1155</t>
  </si>
  <si>
    <t>Termoencogible 10 a 3</t>
  </si>
  <si>
    <t>MSGDM1155</t>
  </si>
  <si>
    <t>MGDM1156</t>
  </si>
  <si>
    <t>Termoencogible 16 a 5</t>
  </si>
  <si>
    <t>MSGDM1156</t>
  </si>
  <si>
    <t>MGDM1157</t>
  </si>
  <si>
    <t>Termoencogible 25 a 8</t>
  </si>
  <si>
    <t>MSGDM1157</t>
  </si>
  <si>
    <t>MGDM1158</t>
  </si>
  <si>
    <t>Termoencogible 600v 2 A 4/0</t>
  </si>
  <si>
    <t>MSGDM1158</t>
  </si>
  <si>
    <t>MGDM1159</t>
  </si>
  <si>
    <t>Termoencogible  250 MCM – 500 MCM</t>
  </si>
  <si>
    <t>MSGDM1159</t>
  </si>
  <si>
    <t>MGDM1160</t>
  </si>
  <si>
    <t>Thinner</t>
  </si>
  <si>
    <t>MSGDM1160</t>
  </si>
  <si>
    <t>MGDM1161</t>
  </si>
  <si>
    <t>Thinner 21050</t>
  </si>
  <si>
    <t>MSGDM1161</t>
  </si>
  <si>
    <t>MGDM1162</t>
  </si>
  <si>
    <t xml:space="preserve">Timbre pulsador </t>
  </si>
  <si>
    <t>MSGDM1162</t>
  </si>
  <si>
    <t>MGDM1163</t>
  </si>
  <si>
    <t>Timbre tipo campana</t>
  </si>
  <si>
    <t>MSGDM1163</t>
  </si>
  <si>
    <t>MGDM1164</t>
  </si>
  <si>
    <t>MSGDM1164</t>
  </si>
  <si>
    <t>MGDM1165</t>
  </si>
  <si>
    <t xml:space="preserve">Toma  30 Amps 250V ref 2620 </t>
  </si>
  <si>
    <t>MSGDM1165</t>
  </si>
  <si>
    <t>MGDM1166</t>
  </si>
  <si>
    <t xml:space="preserve">Toma  63 Amps 250Vol  trifasica </t>
  </si>
  <si>
    <t>MSGDM1166</t>
  </si>
  <si>
    <t>MGDM1167</t>
  </si>
  <si>
    <t>Toma  Codelca 20 Amps</t>
  </si>
  <si>
    <t>MSGDM1167</t>
  </si>
  <si>
    <t>MGDM1168</t>
  </si>
  <si>
    <t>Toma  Doble Levinton 15 Amps blanco</t>
  </si>
  <si>
    <t>MSGDM1168</t>
  </si>
  <si>
    <t>MGDM1169</t>
  </si>
  <si>
    <t>Toma  Doble Levinton 15 Amps crema</t>
  </si>
  <si>
    <t>MSGDM1169</t>
  </si>
  <si>
    <t>MGDM1170</t>
  </si>
  <si>
    <t>Toma  Doble Levinton 20 Amps</t>
  </si>
  <si>
    <t>MSGDM1170</t>
  </si>
  <si>
    <t>MGDM1171</t>
  </si>
  <si>
    <t>Toma de DATO Luminex vela ref 682856</t>
  </si>
  <si>
    <t>MSGDM1171</t>
  </si>
  <si>
    <t>MGDM1172</t>
  </si>
  <si>
    <t>Toma de incrustar L 15- 30 ref 2720  30 amp</t>
  </si>
  <si>
    <t>MSGDM1172</t>
  </si>
  <si>
    <t>MGDM1173</t>
  </si>
  <si>
    <t>Toma de incrustar L 21- 30 ref 2810  30 amp</t>
  </si>
  <si>
    <t>MSGDM1173</t>
  </si>
  <si>
    <t>MGDM1174</t>
  </si>
  <si>
    <t>Toma de incrustar L 6-30 ref 2620  30 amp</t>
  </si>
  <si>
    <t>MSGDM1174</t>
  </si>
  <si>
    <t>MGDM1175</t>
  </si>
  <si>
    <t>toma interruptor mixto</t>
  </si>
  <si>
    <t>MSGDM1175</t>
  </si>
  <si>
    <t>MGDM1176</t>
  </si>
  <si>
    <t>Toma Doble GFCI 15A 125v</t>
  </si>
  <si>
    <t>MSGDM1176</t>
  </si>
  <si>
    <t>MGDM1177</t>
  </si>
  <si>
    <t>Toma Doble HGR 15A 125v 8200</t>
  </si>
  <si>
    <t>MSGDM1177</t>
  </si>
  <si>
    <t>MGDM1178</t>
  </si>
  <si>
    <t>Toma Doble Luminex vela 220 V ref 681547</t>
  </si>
  <si>
    <t>MSGDM1178</t>
  </si>
  <si>
    <t>MGDM1179</t>
  </si>
  <si>
    <t>Toma Doble Luminex vela 681542</t>
  </si>
  <si>
    <t>MSGDM1179</t>
  </si>
  <si>
    <t>MGDM1180</t>
  </si>
  <si>
    <t>Toma doble vela (promedio)</t>
  </si>
  <si>
    <t>MSGDM1180</t>
  </si>
  <si>
    <t>MGDM1181</t>
  </si>
  <si>
    <t>Toma wallplate c/tapa ref VPG 1601</t>
  </si>
  <si>
    <t>MSGDM1181</t>
  </si>
  <si>
    <t>MGDM1182</t>
  </si>
  <si>
    <t>Tomacorriente 20A Twis Lock Leviton O Similar</t>
  </si>
  <si>
    <t>MSGDM1182</t>
  </si>
  <si>
    <t>MGDM1183</t>
  </si>
  <si>
    <t>Tomacorriente 30A Twis Lock Leviton</t>
  </si>
  <si>
    <t>MSGDM1183</t>
  </si>
  <si>
    <t>MGDM1184</t>
  </si>
  <si>
    <t>Tomacorriente Doble 15A Twis Lock Leviton</t>
  </si>
  <si>
    <t>MSGDM1184</t>
  </si>
  <si>
    <t>MGDM1185</t>
  </si>
  <si>
    <t>Tomacorriente doble Grado Hosp naranja 8200 IG</t>
  </si>
  <si>
    <t>MSGDM1185</t>
  </si>
  <si>
    <t>MGDM1186</t>
  </si>
  <si>
    <t>Tornillo  1/4, 3/8</t>
  </si>
  <si>
    <t>MSGDM1186</t>
  </si>
  <si>
    <t>MGDM1187</t>
  </si>
  <si>
    <t>MSGDM1187</t>
  </si>
  <si>
    <t>MGDM1188</t>
  </si>
  <si>
    <t>MSGDM1188</t>
  </si>
  <si>
    <t>MGDM1189</t>
  </si>
  <si>
    <t>MSGDM1189</t>
  </si>
  <si>
    <t>MGDM1190</t>
  </si>
  <si>
    <t>Tornillo acero inoxidable 3/8x1"</t>
  </si>
  <si>
    <t>MSGDM1190</t>
  </si>
  <si>
    <t>MGDM1191</t>
  </si>
  <si>
    <t>Tramites ante Electricaribe</t>
  </si>
  <si>
    <t>MSGDM1191</t>
  </si>
  <si>
    <t>MGDM1192</t>
  </si>
  <si>
    <t>Transformador corriente 10/20/5</t>
  </si>
  <si>
    <t>MSGDM1192</t>
  </si>
  <si>
    <t>MGDM1193</t>
  </si>
  <si>
    <t>Transformador De Control De 300VA</t>
  </si>
  <si>
    <t>MSGDM1193</t>
  </si>
  <si>
    <t>MGDM1194</t>
  </si>
  <si>
    <t>Transformador de corriente de 1200 a 5</t>
  </si>
  <si>
    <t>MSGDM1194</t>
  </si>
  <si>
    <t>MGDM1195</t>
  </si>
  <si>
    <t xml:space="preserve">Transformador de corriente de 300 a 5 </t>
  </si>
  <si>
    <t>MSGDM1195</t>
  </si>
  <si>
    <t>MGDM1196</t>
  </si>
  <si>
    <t>Transformador de corriente de 800 a 5</t>
  </si>
  <si>
    <t>MSGDM1196</t>
  </si>
  <si>
    <t>MGDM1197</t>
  </si>
  <si>
    <t>Transformador potencial 13200/120V</t>
  </si>
  <si>
    <t>MSGDM1197</t>
  </si>
  <si>
    <t>MGDM1198</t>
  </si>
  <si>
    <t>Transformador Trifasico 112,5 KVA 
13,200/120/220 V pad mounted</t>
  </si>
  <si>
    <t>MSGDM1198</t>
  </si>
  <si>
    <t>MGDM1199</t>
  </si>
  <si>
    <t>Transformador Trifasico 45 KVA 13,2/120/220 V</t>
  </si>
  <si>
    <t>MSGDM1199</t>
  </si>
  <si>
    <t>MGDM1200</t>
  </si>
  <si>
    <t>Transformador trifasico seco ahorrador suntec 225 KVA 13200/220/127 V</t>
  </si>
  <si>
    <t>MSGDM1200</t>
  </si>
  <si>
    <t>MGDM1201</t>
  </si>
  <si>
    <t>Transformador monofasico en vacio 10kva 13,2kv/240-120</t>
  </si>
  <si>
    <t>MSGDM1201</t>
  </si>
  <si>
    <t>MGDM1202</t>
  </si>
  <si>
    <t>Transformador monofasico en vacio 15kva 13,2kv/240-120</t>
  </si>
  <si>
    <t>MSGDM1202</t>
  </si>
  <si>
    <t>MGDM1203</t>
  </si>
  <si>
    <t>Transformador monofasico de 50kva.13,2kv 240/120</t>
  </si>
  <si>
    <t>MSGDM1203</t>
  </si>
  <si>
    <t>MGDM1204</t>
  </si>
  <si>
    <t>Triturado</t>
  </si>
  <si>
    <t>MSGDM1204</t>
  </si>
  <si>
    <t>MGDM1205</t>
  </si>
  <si>
    <t>Tuberia Acero 1" sch 40</t>
  </si>
  <si>
    <t>MSGDM1205</t>
  </si>
  <si>
    <t>MGDM1206</t>
  </si>
  <si>
    <t>Tuberia Acero 1/2" sch 40</t>
  </si>
  <si>
    <t>MSGDM1206</t>
  </si>
  <si>
    <t>MGDM1207</t>
  </si>
  <si>
    <t>Tuberia Acero 3/4" sch 40</t>
  </si>
  <si>
    <t>MSGDM1207</t>
  </si>
  <si>
    <t>MGDM1208</t>
  </si>
  <si>
    <t>Tuberia conduflex 1/2</t>
  </si>
  <si>
    <t>MSGDM1208</t>
  </si>
  <si>
    <t>MGDM1209</t>
  </si>
  <si>
    <t>Tuberia conduflex 3/4</t>
  </si>
  <si>
    <t>MSGDM1209</t>
  </si>
  <si>
    <t>MGDM1210</t>
  </si>
  <si>
    <t>Tuberia conduflex 1</t>
  </si>
  <si>
    <t>MSGDM1210</t>
  </si>
  <si>
    <t>MGDM1211</t>
  </si>
  <si>
    <t>Tuberia Conduit Galv. (IMC) De 1 1/2"</t>
  </si>
  <si>
    <t>MSGDM1211</t>
  </si>
  <si>
    <t>MGDM1212</t>
  </si>
  <si>
    <t>Tuberia Conduit Galv. (IMC) De 1 1/4"</t>
  </si>
  <si>
    <t>MSGDM1212</t>
  </si>
  <si>
    <t>MGDM1213</t>
  </si>
  <si>
    <t>Tuberia Conduit Galv. (IMC) De 1"</t>
  </si>
  <si>
    <t>MSGDM1213</t>
  </si>
  <si>
    <t>MGDM1214</t>
  </si>
  <si>
    <t>Tuberia Conduit Galv. (IMC) De 1/2"</t>
  </si>
  <si>
    <t>MSGDM1214</t>
  </si>
  <si>
    <t>MGDM1215</t>
  </si>
  <si>
    <t>Tuberia Conduit Galv. (IMC) De 2"</t>
  </si>
  <si>
    <t>MSGDM1215</t>
  </si>
  <si>
    <t>MGDM1216</t>
  </si>
  <si>
    <t>Tuberia Conduit Galv. (IMC) De 3"</t>
  </si>
  <si>
    <t>MSGDM1216</t>
  </si>
  <si>
    <t>MGDM1217</t>
  </si>
  <si>
    <t>Tuberia Conduit Galv. (IMC) De 3/4"</t>
  </si>
  <si>
    <t>MSGDM1217</t>
  </si>
  <si>
    <t>MGDM1218</t>
  </si>
  <si>
    <t>Tuberia Conduit Galv. (IMC) De 4"</t>
  </si>
  <si>
    <t>MSGDM1218</t>
  </si>
  <si>
    <t>MGDM1219</t>
  </si>
  <si>
    <t>Tuberia Conduit Galv. (Ridgid) De 1 1/2"</t>
  </si>
  <si>
    <t>MSGDM1219</t>
  </si>
  <si>
    <t>MGDM1220</t>
  </si>
  <si>
    <t>Tuberia Conduit Galv. (Ridgid) De 1 1/4"</t>
  </si>
  <si>
    <t>MSGDM1220</t>
  </si>
  <si>
    <t>MGDM1221</t>
  </si>
  <si>
    <t>Tuberia Conduit Galv. (Ridgid) De 1"</t>
  </si>
  <si>
    <t>MSGDM1221</t>
  </si>
  <si>
    <t>MGDM1222</t>
  </si>
  <si>
    <t>Tuberia Conduit Galv. (Ridgid) De 1/2"</t>
  </si>
  <si>
    <t>MSGDM1222</t>
  </si>
  <si>
    <t>MGDM1223</t>
  </si>
  <si>
    <t>Tuberia Conduit Galv. (Ridgid) De 2"</t>
  </si>
  <si>
    <t>MSGDM1223</t>
  </si>
  <si>
    <t>MGDM1224</t>
  </si>
  <si>
    <t>Tuberia Conduit Galv. (Ridgid) De 3"</t>
  </si>
  <si>
    <t>MSGDM1224</t>
  </si>
  <si>
    <t>MGDM1225</t>
  </si>
  <si>
    <t>Tuberia Conduit Galv. (Ridgid) De 3/4"</t>
  </si>
  <si>
    <t>MSGDM1225</t>
  </si>
  <si>
    <t>MGDM1226</t>
  </si>
  <si>
    <t>Tuberia Conduit Galv. (Ridgid) De 4"</t>
  </si>
  <si>
    <t>MSGDM1226</t>
  </si>
  <si>
    <t>MGDM1227</t>
  </si>
  <si>
    <t>Tuberia EMT De 1 1/2"</t>
  </si>
  <si>
    <t>MSGDM1227</t>
  </si>
  <si>
    <t>MGDM1228</t>
  </si>
  <si>
    <t>Tuberia EMT De 1 1/4"</t>
  </si>
  <si>
    <t>MSGDM1228</t>
  </si>
  <si>
    <t>MGDM1229</t>
  </si>
  <si>
    <t>Tuberia EMT De 1"</t>
  </si>
  <si>
    <t>MSGDM1229</t>
  </si>
  <si>
    <t>MGDM1230</t>
  </si>
  <si>
    <t>Tuberia EMT De 1/2"</t>
  </si>
  <si>
    <t>MSGDM1230</t>
  </si>
  <si>
    <t>MGDM1231</t>
  </si>
  <si>
    <t>Tubería EMT De 2"</t>
  </si>
  <si>
    <t>MSGDM1231</t>
  </si>
  <si>
    <t>MGDM1232</t>
  </si>
  <si>
    <t>Tuberia EMT De 3"</t>
  </si>
  <si>
    <t>MSGDM1232</t>
  </si>
  <si>
    <t>MGDM1233</t>
  </si>
  <si>
    <t>Tuberia EMT De 3/4"</t>
  </si>
  <si>
    <t>MSGDM1233</t>
  </si>
  <si>
    <t>MGDM1234</t>
  </si>
  <si>
    <t>Tuberia EMT De 4"</t>
  </si>
  <si>
    <t>MSGDM1234</t>
  </si>
  <si>
    <t>MGDM1235</t>
  </si>
  <si>
    <t>Tuberia Galv de 3/4"</t>
  </si>
  <si>
    <t>MSGDM1235</t>
  </si>
  <si>
    <t>MGDM1236</t>
  </si>
  <si>
    <t>Tuberia PVC De 1 1/2"</t>
  </si>
  <si>
    <t>MSGDM1236</t>
  </si>
  <si>
    <t>MGDM1237</t>
  </si>
  <si>
    <t>Tuberia PVC De 1"</t>
  </si>
  <si>
    <t>MSGDM1237</t>
  </si>
  <si>
    <t>MGDM1238</t>
  </si>
  <si>
    <t>Tuberia PVC De 1/2"</t>
  </si>
  <si>
    <t>MSGDM1238</t>
  </si>
  <si>
    <t>MGDM1239</t>
  </si>
  <si>
    <t>Tuberia PVC De 11/4"</t>
  </si>
  <si>
    <t>MSGDM1239</t>
  </si>
  <si>
    <t>MGDM1240</t>
  </si>
  <si>
    <t>Tuberia PVC De 2"</t>
  </si>
  <si>
    <t>MSGDM1240</t>
  </si>
  <si>
    <t>MGDM1241</t>
  </si>
  <si>
    <t>Tuberia PVC De 3"</t>
  </si>
  <si>
    <t>MSGDM1241</t>
  </si>
  <si>
    <t>MGDM1242</t>
  </si>
  <si>
    <t>Tuberia PVC De 3/4"</t>
  </si>
  <si>
    <t>MSGDM1242</t>
  </si>
  <si>
    <t>MGDM1243</t>
  </si>
  <si>
    <t>Tuberia PVC De 4"</t>
  </si>
  <si>
    <t>MSGDM1243</t>
  </si>
  <si>
    <t>MGDM1244</t>
  </si>
  <si>
    <t xml:space="preserve">Tubo termocontractil 10 -3 </t>
  </si>
  <si>
    <t>MSGDM1244</t>
  </si>
  <si>
    <t>MGDM1245</t>
  </si>
  <si>
    <t xml:space="preserve">Tubo termocontractil 16 -5 </t>
  </si>
  <si>
    <t>MSGDM1245</t>
  </si>
  <si>
    <t>MGDM1246</t>
  </si>
  <si>
    <t xml:space="preserve">Tubo termocontractil 25 -8 </t>
  </si>
  <si>
    <t>MSGDM1246</t>
  </si>
  <si>
    <t>MGDM1247</t>
  </si>
  <si>
    <t>Tubo Fluoresentes 54w t5 blanco caja 25 un</t>
  </si>
  <si>
    <t>MSGDM1247</t>
  </si>
  <si>
    <t>MGDM1248</t>
  </si>
  <si>
    <t>Tubos Fluoresentes 32w t-8 Azul caja 25 un</t>
  </si>
  <si>
    <t>MSGDM1248</t>
  </si>
  <si>
    <t>MGDM1249</t>
  </si>
  <si>
    <t>Tubos Fluoresentes 32w t-8 Rojo  caja 25 un</t>
  </si>
  <si>
    <t>MSGDM1249</t>
  </si>
  <si>
    <t>MGDM1250</t>
  </si>
  <si>
    <t>Tubos Fluoresentes 32w t-8 Verde  caja 25 un</t>
  </si>
  <si>
    <t>MSGDM1250</t>
  </si>
  <si>
    <t>MGDM1251</t>
  </si>
  <si>
    <t>MSGDM1251</t>
  </si>
  <si>
    <t>MGDM1252</t>
  </si>
  <si>
    <t>MSGDM1252</t>
  </si>
  <si>
    <t>MGDM1253</t>
  </si>
  <si>
    <t>MSGDM1253</t>
  </si>
  <si>
    <t>MGDM1254</t>
  </si>
  <si>
    <t>Tuerca de ojo  5/8 - 3/4</t>
  </si>
  <si>
    <t>MSGDM1254</t>
  </si>
  <si>
    <t>MGDM1255</t>
  </si>
  <si>
    <t xml:space="preserve">Tuerca galvanizada </t>
  </si>
  <si>
    <t>MSGDM1255</t>
  </si>
  <si>
    <t>MGDM1256</t>
  </si>
  <si>
    <t>Tuerca Hexagonal de 1/2"</t>
  </si>
  <si>
    <t>MSGDM1256</t>
  </si>
  <si>
    <t>MGDM1257</t>
  </si>
  <si>
    <t>Tuerca Rectangular con Resorte</t>
  </si>
  <si>
    <t>MSGDM1257</t>
  </si>
  <si>
    <t>MGDM1258</t>
  </si>
  <si>
    <t>Tuercas De Ojo De 5/8"</t>
  </si>
  <si>
    <t>MSGDM1258</t>
  </si>
  <si>
    <t>MGDM1259</t>
  </si>
  <si>
    <t>Union 1" sch 40</t>
  </si>
  <si>
    <t>MSGDM1259</t>
  </si>
  <si>
    <t>MGDM1260</t>
  </si>
  <si>
    <t>Union 1/2" sch 40</t>
  </si>
  <si>
    <t>MSGDM1260</t>
  </si>
  <si>
    <t>MGDM1261</t>
  </si>
  <si>
    <t>Union 3/4" sch 40</t>
  </si>
  <si>
    <t>MSGDM1261</t>
  </si>
  <si>
    <t>MGDM1262</t>
  </si>
  <si>
    <t>Union conduit galvanizada (IMC) de 1 1/4"</t>
  </si>
  <si>
    <t>MSGDM1262</t>
  </si>
  <si>
    <t>MGDM1263</t>
  </si>
  <si>
    <t>Union conduit galvanizada (IMC) de 1"</t>
  </si>
  <si>
    <t>MSGDM1263</t>
  </si>
  <si>
    <t>MGDM1264</t>
  </si>
  <si>
    <t>Union conduit galvanizada (IMC) de 1/2"</t>
  </si>
  <si>
    <t>MSGDM1264</t>
  </si>
  <si>
    <t>MGDM1265</t>
  </si>
  <si>
    <t>Union conduit galvanizada (IMC) de 1-1/2"</t>
  </si>
  <si>
    <t>MSGDM1265</t>
  </si>
  <si>
    <t>MGDM1266</t>
  </si>
  <si>
    <t>Union conduit galvanizada (IMC) de 2"</t>
  </si>
  <si>
    <t>MSGDM1266</t>
  </si>
  <si>
    <t>MGDM1267</t>
  </si>
  <si>
    <t>Union conduit galvanizada (IMC) de 3"</t>
  </si>
  <si>
    <t>MSGDM1267</t>
  </si>
  <si>
    <t>MGDM1268</t>
  </si>
  <si>
    <t>Union conduit galvanizada (IMC) de 3/4"</t>
  </si>
  <si>
    <t>MSGDM1268</t>
  </si>
  <si>
    <t>MGDM1269</t>
  </si>
  <si>
    <t>Union conduit galvanizada (IMC) de 4"</t>
  </si>
  <si>
    <t>MSGDM1269</t>
  </si>
  <si>
    <t>MGDM1270</t>
  </si>
  <si>
    <t>Union conduit galvanizada (RIGID) de 1 1/2"</t>
  </si>
  <si>
    <t>MSGDM1270</t>
  </si>
  <si>
    <t>MGDM1271</t>
  </si>
  <si>
    <t>Union conduit galvanizada (RIGID) de 1"</t>
  </si>
  <si>
    <t>MSGDM1271</t>
  </si>
  <si>
    <t>MGDM1272</t>
  </si>
  <si>
    <t>Union conduit galvanizada (RIGID) de 1/2"</t>
  </si>
  <si>
    <t>MSGDM1272</t>
  </si>
  <si>
    <t>MGDM1273</t>
  </si>
  <si>
    <t>Union conduit galvanizada (RIGID) de 2"</t>
  </si>
  <si>
    <t>MSGDM1273</t>
  </si>
  <si>
    <t>MGDM1274</t>
  </si>
  <si>
    <t>Union conduit galvanizada (RIGID) de 3"</t>
  </si>
  <si>
    <t>MSGDM1274</t>
  </si>
  <si>
    <t>MGDM1275</t>
  </si>
  <si>
    <t>Union conduit galvanizada (RIGID) de 3/4"</t>
  </si>
  <si>
    <t>MSGDM1275</t>
  </si>
  <si>
    <t>MGDM1276</t>
  </si>
  <si>
    <t>Union conduit galvanizada (RIGID) de 4"</t>
  </si>
  <si>
    <t>MSGDM1276</t>
  </si>
  <si>
    <t>MGDM1277</t>
  </si>
  <si>
    <t>Union conduit PVC de 1"</t>
  </si>
  <si>
    <t>MSGDM1277</t>
  </si>
  <si>
    <t>MGDM1278</t>
  </si>
  <si>
    <t>Union conduit PVC de 1/2"</t>
  </si>
  <si>
    <t>MSGDM1278</t>
  </si>
  <si>
    <t>MGDM1279</t>
  </si>
  <si>
    <t>Union conduit PVC de 1-1/2"</t>
  </si>
  <si>
    <t>MSGDM1279</t>
  </si>
  <si>
    <t>MGDM1280</t>
  </si>
  <si>
    <t>Union conduit PVC de 2"</t>
  </si>
  <si>
    <t>MSGDM1280</t>
  </si>
  <si>
    <t>MGDM1281</t>
  </si>
  <si>
    <t>Union conduit PVC de 3"</t>
  </si>
  <si>
    <t>MSGDM1281</t>
  </si>
  <si>
    <t>MGDM1282</t>
  </si>
  <si>
    <t>Union conduit PVC de 3/4"</t>
  </si>
  <si>
    <t>MSGDM1282</t>
  </si>
  <si>
    <t>MGDM1283</t>
  </si>
  <si>
    <t>Union conduit PVC de 4"</t>
  </si>
  <si>
    <t>MSGDM1283</t>
  </si>
  <si>
    <t>MGDM1284</t>
  </si>
  <si>
    <t>Union EMT de 1</t>
  </si>
  <si>
    <t>MSGDM1284</t>
  </si>
  <si>
    <t>MGDM1285</t>
  </si>
  <si>
    <t>Union EMT de 1/2</t>
  </si>
  <si>
    <t>MSGDM1285</t>
  </si>
  <si>
    <t>MGDM1286</t>
  </si>
  <si>
    <t>Union EMT de 1-1/2</t>
  </si>
  <si>
    <t>MSGDM1286</t>
  </si>
  <si>
    <t>MGDM1287</t>
  </si>
  <si>
    <t>Union EMT de 2</t>
  </si>
  <si>
    <t>MSGDM1287</t>
  </si>
  <si>
    <t>MGDM1288</t>
  </si>
  <si>
    <t>Union EMT de 3</t>
  </si>
  <si>
    <t>MSGDM1288</t>
  </si>
  <si>
    <t>MGDM1289</t>
  </si>
  <si>
    <t>Union EMT de 3/4</t>
  </si>
  <si>
    <t>MSGDM1289</t>
  </si>
  <si>
    <t>MGDM1290</t>
  </si>
  <si>
    <t>Union EMT de 4</t>
  </si>
  <si>
    <t>MSGDM1290</t>
  </si>
  <si>
    <t>MGDM1291</t>
  </si>
  <si>
    <t>Union Universal De 1 1/2"</t>
  </si>
  <si>
    <t>MSGDM1291</t>
  </si>
  <si>
    <t>MGDM1292</t>
  </si>
  <si>
    <t>Union Universal De 1"</t>
  </si>
  <si>
    <t>MSGDM1292</t>
  </si>
  <si>
    <t>MGDM1293</t>
  </si>
  <si>
    <t>Union Universal De 1/2"</t>
  </si>
  <si>
    <t>MSGDM1293</t>
  </si>
  <si>
    <t>MGDM1294</t>
  </si>
  <si>
    <t>Union Universal De 2"</t>
  </si>
  <si>
    <t>MSGDM1294</t>
  </si>
  <si>
    <t>MGDM1295</t>
  </si>
  <si>
    <t>Union Universal De 3/4"</t>
  </si>
  <si>
    <t>MSGDM1295</t>
  </si>
  <si>
    <t>MGDM1296</t>
  </si>
  <si>
    <t>Varilla Copperweld 5/8 x 2,4 mts</t>
  </si>
  <si>
    <t>MSGDM1296</t>
  </si>
  <si>
    <t>MGDM1297</t>
  </si>
  <si>
    <t>Varilla Corrugada 1/2</t>
  </si>
  <si>
    <t>MSGDM1297</t>
  </si>
  <si>
    <t>MGDM1298</t>
  </si>
  <si>
    <t>Varilla Corrugada 3/8</t>
  </si>
  <si>
    <t>MSGDM1298</t>
  </si>
  <si>
    <t>MGDM1299</t>
  </si>
  <si>
    <t>Varilla De Anclaje De Acero Galvanizado 5/8" x 1,80 mts</t>
  </si>
  <si>
    <t>MSGDM1299</t>
  </si>
  <si>
    <t>MGDM1300</t>
  </si>
  <si>
    <t>Varilla Roscada</t>
  </si>
  <si>
    <t>MSGDM1300</t>
  </si>
  <si>
    <t>MGDM1301</t>
  </si>
  <si>
    <t>Vaselina</t>
  </si>
  <si>
    <t>MSGDM1301</t>
  </si>
  <si>
    <t>Descripcion</t>
  </si>
  <si>
    <t>Camion turbito</t>
  </si>
  <si>
    <t>Camion turbo</t>
  </si>
  <si>
    <t xml:space="preserve">Grua carga postes brazo extensor hidraulico </t>
  </si>
  <si>
    <t>Grua hidraulica carro canasta</t>
  </si>
  <si>
    <t>Volqueta</t>
  </si>
  <si>
    <t>Retrocargador</t>
  </si>
  <si>
    <t>Alicate</t>
  </si>
  <si>
    <t>EQU</t>
  </si>
  <si>
    <t>Arnes</t>
  </si>
  <si>
    <t>SEG</t>
  </si>
  <si>
    <t>Dobla tubo</t>
  </si>
  <si>
    <t>Escalera de tijera hasta 10 pasos</t>
  </si>
  <si>
    <t>Escalera de extension hasta 24 pasos</t>
  </si>
  <si>
    <t>Llaves mixtas</t>
  </si>
  <si>
    <t>Martillo</t>
  </si>
  <si>
    <t>ELEC</t>
  </si>
  <si>
    <t>Pinza para molde</t>
  </si>
  <si>
    <t>Pinza voltiamperimetrica</t>
  </si>
  <si>
    <t>Ponchadora</t>
  </si>
  <si>
    <t>Pretales</t>
  </si>
  <si>
    <t>Pulidora</t>
  </si>
  <si>
    <t>Sacabocado hidraulico</t>
  </si>
  <si>
    <t xml:space="preserve">Taladro </t>
  </si>
  <si>
    <t>Andamios</t>
  </si>
  <si>
    <t>Cincel</t>
  </si>
  <si>
    <t>Nivel</t>
  </si>
  <si>
    <t>Tripode</t>
  </si>
  <si>
    <t>Zunchadora</t>
  </si>
  <si>
    <t>Maquina soldar</t>
  </si>
  <si>
    <t>Navaja</t>
  </si>
  <si>
    <t>Remachadora</t>
  </si>
  <si>
    <t>Pertiga</t>
  </si>
  <si>
    <t>Estopas</t>
  </si>
  <si>
    <t>MSGDM1302</t>
  </si>
  <si>
    <t>Pico</t>
  </si>
  <si>
    <t xml:space="preserve">Pala </t>
  </si>
  <si>
    <t>Camioneta 4x4</t>
  </si>
  <si>
    <t>Item</t>
  </si>
  <si>
    <t>Tipo</t>
  </si>
  <si>
    <t>Valor</t>
  </si>
  <si>
    <t>Metro</t>
  </si>
  <si>
    <t>Cegueta</t>
  </si>
  <si>
    <t>Caucho dobla tubo 1/2</t>
  </si>
  <si>
    <t>Caucho dobla tubo 3/4</t>
  </si>
  <si>
    <t>Cizalla</t>
  </si>
  <si>
    <t>Celular</t>
  </si>
  <si>
    <t>Copa cierra</t>
  </si>
  <si>
    <t>Corta frio</t>
  </si>
  <si>
    <t>Juego llave allen</t>
  </si>
  <si>
    <t>Taladro percutor</t>
  </si>
  <si>
    <t>Calentador manual</t>
  </si>
  <si>
    <t>Juego llave ratchet</t>
  </si>
  <si>
    <t>Megger aislamiento</t>
  </si>
  <si>
    <t>Cinturon herramientas</t>
  </si>
  <si>
    <t>Caja de herramientas</t>
  </si>
  <si>
    <t>Escuadra profesional</t>
  </si>
  <si>
    <t>Cinta metrica x 30 mts</t>
  </si>
  <si>
    <t>Analizador de redes</t>
  </si>
  <si>
    <t>Molde cadweld</t>
  </si>
  <si>
    <t>Gato hidraulico</t>
  </si>
  <si>
    <t>Tarifa/Día</t>
  </si>
  <si>
    <t>MGDM1302</t>
  </si>
  <si>
    <t>Tubos fluorecentes t8 17w</t>
  </si>
  <si>
    <t>Tubos fluorecentes t8 32 w</t>
  </si>
  <si>
    <t>Tubos fluorecentes t12 48 w</t>
  </si>
  <si>
    <t>Tornillo autoperforante 1/4 x 1</t>
  </si>
  <si>
    <t>Tornillo autoperforante 5/16x 1</t>
  </si>
  <si>
    <t xml:space="preserve">Tornillo autoperforante 5/16 </t>
  </si>
  <si>
    <t>Toma 220v</t>
  </si>
  <si>
    <t xml:space="preserve">Pertiga De Extension (1) </t>
  </si>
  <si>
    <t>Grapa channel 1 1/4</t>
  </si>
  <si>
    <t xml:space="preserve">Grapa channel 1 </t>
  </si>
  <si>
    <t>Grapa channel 3/4</t>
  </si>
  <si>
    <t>Fusible 2A</t>
  </si>
  <si>
    <t>Fusible 5A</t>
  </si>
  <si>
    <t>Fusible 7A</t>
  </si>
  <si>
    <t>Fusible 10A</t>
  </si>
  <si>
    <t>Fusible 20A</t>
  </si>
  <si>
    <t>Fusible 15 amp</t>
  </si>
  <si>
    <t>Suministro de tubería conduit galvanizada RMC ¾”</t>
  </si>
  <si>
    <t>Suministro de tubería conduit galvanizada RMC 1”</t>
  </si>
  <si>
    <t>Suministro de tubería conduit galvanizada RMC 1 ½”</t>
  </si>
  <si>
    <t>Suministro de tubería conduit galvanizada RMC 2”</t>
  </si>
  <si>
    <t>Suministro de tubería conduit galvanizada RMC 3”</t>
  </si>
  <si>
    <t>Suministro de tubería conduit PVC pesado   ¾”</t>
  </si>
  <si>
    <t>Suministro de tubería conduit PVC  pesado 1”</t>
  </si>
  <si>
    <t>Suministro de tubería conduit PVC  pesado 1 ½”</t>
  </si>
  <si>
    <t>Suministro de tubería conduit PVC  pesado 2”</t>
  </si>
  <si>
    <t>Suministro de tubería conduit PVC pesado 3”</t>
  </si>
  <si>
    <t>Flexi coraza de 3/4"</t>
  </si>
  <si>
    <t>Flexi coraza de 1/2"</t>
  </si>
  <si>
    <t>Sellante para sellos (chico)</t>
  </si>
  <si>
    <t>Suministro de conduletas conduit galvanizada tipo “C”  ¾”</t>
  </si>
  <si>
    <t>Suministro de conduletas conduit galvanizada tipo “L”  ¾”</t>
  </si>
  <si>
    <t>Suministro de conduletas conduit galvanizada tipo “T”  ¾”</t>
  </si>
  <si>
    <t>Suministro de conduletas conduit galvanizada tipo “X”  ¾”</t>
  </si>
  <si>
    <t>Suministro de conduletas conduit galvanizada tipo “C”  1”</t>
  </si>
  <si>
    <t>Suministro de conduletas conduit galvanizada tipo “L”  1”</t>
  </si>
  <si>
    <t>Suministro de conduletas conduit galvanizada tipo “T”  1”</t>
  </si>
  <si>
    <t>Suministro de conduletas conduit galvanizada tipo “X”  1”</t>
  </si>
  <si>
    <t>Suministro de conduletas conduit galvanizada tipo “C”  1 ½”</t>
  </si>
  <si>
    <t>Suministro de conduletas conduit galvanizada tipo “L”  1 ½”</t>
  </si>
  <si>
    <t>Suministro de conduletas conduit galvanizada tipo “T”  1 ½”</t>
  </si>
  <si>
    <t>Suministro de conduletas conduit galvanizada tipo “X”  1 ½”</t>
  </si>
  <si>
    <t>Suministro de conduletas conduit PVC tipo industrial (pesadas), “C”  ¾”</t>
  </si>
  <si>
    <t>Suministro de conduletas conduit PVC tipo industrial (pesadas), “L”  ¾”</t>
  </si>
  <si>
    <t>Suministro de conduletas conduit PVC tipo industrial (pesadas), “T”  ¾”</t>
  </si>
  <si>
    <t>Suministro de conduletas conduit PVC tipo industrial (pesadas), “X”  ¾”</t>
  </si>
  <si>
    <t>Suministro de conduletas conduit PVC tipo industrial (pesadas), “C”  1”</t>
  </si>
  <si>
    <t>Suministro de conduletas conduit PVC tipo industrial (pesadas), “L”  1”</t>
  </si>
  <si>
    <t>Suministro de conduletas conduit PVC tipo industrial (pesadas), “T”  1”</t>
  </si>
  <si>
    <t>Suministro de conduletas conduit PVC tipo industrial (pesadas), “X”  1”</t>
  </si>
  <si>
    <t>Suministro de sellos cortafuegos galvanizado ¾”</t>
  </si>
  <si>
    <t>Suministro de sellos cortafuegos galvanizado  1”</t>
  </si>
  <si>
    <t>Suministro de unión universal galvanizada ¾”</t>
  </si>
  <si>
    <t>Suministro de unión universal galvanizada 1”</t>
  </si>
  <si>
    <t>Suministro de HUB ¾”</t>
  </si>
  <si>
    <t>Suministro de HUB 1”</t>
  </si>
  <si>
    <t>Suministro de HUB 1-1/2"</t>
  </si>
  <si>
    <t>Suministro de HUB 2”</t>
  </si>
  <si>
    <t>Suministro de HUB 3”</t>
  </si>
  <si>
    <t>Suministro de cinta Scotchrap 51 3M</t>
  </si>
  <si>
    <t>RO</t>
  </si>
  <si>
    <t>Suministro de cinta Scotch 33 3M</t>
  </si>
  <si>
    <t>Suministro de cinta Scotch 130 3M</t>
  </si>
  <si>
    <t>Suministro de pintura epoxica Azul medio</t>
  </si>
  <si>
    <r>
      <t>Suministro de</t>
    </r>
    <r>
      <rPr>
        <sz val="10"/>
        <color indexed="10"/>
        <rFont val="Arial"/>
        <family val="2"/>
      </rPr>
      <t xml:space="preserve"> </t>
    </r>
    <r>
      <rPr>
        <sz val="10"/>
        <color indexed="8"/>
        <rFont val="Arial"/>
        <family val="2"/>
      </rPr>
      <t>channel inoxidable 304</t>
    </r>
  </si>
  <si>
    <t>Camión canasta</t>
  </si>
  <si>
    <t>DIA</t>
  </si>
  <si>
    <t>Aislador de barraje de 25mm x 1/4" con tornillos (completo)</t>
  </si>
  <si>
    <t>Balasto de emergencia marca Iluminaciones Técnicas, Ref. IT2401EBH</t>
  </si>
  <si>
    <t>Suministro bombillo 160w / Mercurio / 220V</t>
  </si>
  <si>
    <t>Suministro bombillo 250w / Mercurio / 220V</t>
  </si>
  <si>
    <t>Suministro bombillo 400w / Mercurio / 220V</t>
  </si>
  <si>
    <t>Suministro bombillo 100w / Metal Halide / 220V</t>
  </si>
  <si>
    <t>Suministro bombillo 175w / Metal Halide / 220V</t>
  </si>
  <si>
    <t>Suministro bombillo 250w / Metal Halide / 220V</t>
  </si>
  <si>
    <t>Suministro bombillo 400w / Metal Halide / 220V</t>
  </si>
  <si>
    <t>Suministro bombillo 1000w / Metal Halide / 220V</t>
  </si>
  <si>
    <t xml:space="preserve">Suministro bombillo sodio 150w </t>
  </si>
  <si>
    <t>Suministro bombillo 250w / Sodio / 220V</t>
  </si>
  <si>
    <t>Suministro bombillo 400w / Sodio / 220V</t>
  </si>
  <si>
    <t>Suministro KIT 160w / Mercurio / 220V</t>
  </si>
  <si>
    <t>Suministro KTI 250w / Mercurio / 220V</t>
  </si>
  <si>
    <t>Suministro KIT 400w / Mercurio / 220V</t>
  </si>
  <si>
    <t>Suministro KIT 100w / Metal Halide / 220V</t>
  </si>
  <si>
    <t>Suministro KIT 175w / Metal Halide / 220V</t>
  </si>
  <si>
    <t>Suministro KIT 250w / Metal Halide / 220V</t>
  </si>
  <si>
    <t>Suministro KIT 400w / Metal Halide / 220V</t>
  </si>
  <si>
    <t>Suministro KIT 1000w / Metal Halide / 220V</t>
  </si>
  <si>
    <t>Suministro KIT 150w / Sodio / 220V</t>
  </si>
  <si>
    <t>Suministro KIT 250w / Sodio / 220V</t>
  </si>
  <si>
    <t>Suministro KIT 400w / Sodio / 220V</t>
  </si>
  <si>
    <t>Breaker 1 x 20Amp. Enchufable</t>
  </si>
  <si>
    <t>Breaker 2 x 20Amp. Enchufable</t>
  </si>
  <si>
    <t>Breaker 1 x 30Amp. Enchufable</t>
  </si>
  <si>
    <t>Breaker 2 x 30Amp. Enchufable</t>
  </si>
  <si>
    <t>Breaker 3 x 40Amp. Enchufable</t>
  </si>
  <si>
    <t>Breaker totalizador 3x40A, tipo industrial. Ref: EZC100B3040 - Scheneider</t>
  </si>
  <si>
    <t>Cable # 8, Centelsa</t>
  </si>
  <si>
    <t>Cable #10 THHN/THW (Centelsa)</t>
  </si>
  <si>
    <t>Cable #12 THHN/THW (Centelsa)</t>
  </si>
  <si>
    <t>Cable 3x10 (Centelsa)</t>
  </si>
  <si>
    <t>Cable #6 THHN/THW  600 V 90°C (Centelsa)</t>
  </si>
  <si>
    <t>Cable #2 THHN/THW  600 V 90°C (Centelsa)</t>
  </si>
  <si>
    <t>Cable #1/0 THHN/THW  600 V 90°C (Centelsa)</t>
  </si>
  <si>
    <t>Cable #2/0 THHN/THW  600 V 90°C (Centelsa)</t>
  </si>
  <si>
    <t>Cable #4/0 THHN/THW  600 V 90°C (Centelsa)</t>
  </si>
  <si>
    <t>Cable #250 MCM THHN/THW  600 V 90°C (Centelsa)</t>
  </si>
  <si>
    <t>Cable # 500 MCM THHN/THW  600 V 90°C (Centelsa)</t>
  </si>
  <si>
    <t>Cable de Cobre Desnudo No. 2 (Centelsa)</t>
  </si>
  <si>
    <t>Caja Radweld 2x4 para tubería EMT cerrada</t>
  </si>
  <si>
    <t>Caja Radweld 4x4 para tubería EMT cerrada</t>
  </si>
  <si>
    <t>Caja PVC 2 x 4"</t>
  </si>
  <si>
    <t>Caja PVC 4 x 4" con sumplento</t>
  </si>
  <si>
    <t>Caja de paso en acero inoxidable de 40x40cm IP 65</t>
  </si>
  <si>
    <t>Caja de paso termoplasticas de 40x40cm IP 65</t>
  </si>
  <si>
    <t xml:space="preserve">Extractor 110V. Marca Siemens. Ref 2CC2 254-5YC3. </t>
  </si>
  <si>
    <t>Fotocelda de 1000W / 220V, Fisher. Incluye base y soportería para montaje</t>
  </si>
  <si>
    <t>Lampara Fluorescente 4 x 17W Incrustar de emergencia</t>
  </si>
  <si>
    <t xml:space="preserve">Luminaria fluorescente de 110V 2x32w, hermetica, de sobreponer. Marca Phillips, incluye bombillos T8 de 6500K y balasto electrónico </t>
  </si>
  <si>
    <t>Luminaria Wallpack sodio 150w / 220v. Marca Roy Alpha. Incluye bombillo, arrancador, capacitor y transformador</t>
  </si>
  <si>
    <t>Suministro luminaria Tipo poste Completa / Con bombillo sodio 150w / Calima II</t>
  </si>
  <si>
    <t>Suministro Luminaria 4x17W, T8 6500K de 60x60cm. Con tubos fluorescentes, balasto electronico y accesorios de montaje</t>
  </si>
  <si>
    <t>Suministro brazo para luminiara de 2mts de largo x 1 1/4"</t>
  </si>
  <si>
    <t>Soldadura Cadwell de 115gr</t>
  </si>
  <si>
    <t>Tablero multibreaker trifásico de 12 circuitos, con espacio para totalizador. Blanco. Con puerta, chapa y llave</t>
  </si>
  <si>
    <t>Tablero multibreaker trifásico de 18 circuitos, con espacio para totalizador. Blanco. Con puerta, chapa y llave</t>
  </si>
  <si>
    <t>Tablero multibreaker trifásico de 24 circuitos, con espacio para totalizador. Blanco. Con puerta, chapa y llave</t>
  </si>
  <si>
    <t>Tablero multibreaker trifásico de 36 circuitos, con espacio para totalizador. Blanco. Con puerta, chapa y llave</t>
  </si>
  <si>
    <t>Tablero multibreaker trifásico de 42 circuitos, con espacio para totalizador. Blanco. Con puerta, chapa y llave</t>
  </si>
  <si>
    <t>Tablero bifásico 4 Ctos</t>
  </si>
  <si>
    <t xml:space="preserve">Tapa Ciega 4 x 4" - PVC </t>
  </si>
  <si>
    <t>Terminal ponchable  para calibre 4</t>
  </si>
  <si>
    <t>Terminal ponchable  para calibre 6</t>
  </si>
  <si>
    <t>Terminal ponchable para calibre 2</t>
  </si>
  <si>
    <t>Terminal ponchable para calibre 8</t>
  </si>
  <si>
    <t>Tomacorriente 110v LEVINTON con tapa tipo waterproof</t>
  </si>
  <si>
    <t>Tomacorriente doble tipo GFCI, LEVINTON 110V, con tapa</t>
  </si>
  <si>
    <t>Poste de fibra de vidrio de 12mts 750kgs</t>
  </si>
  <si>
    <t>Poste de concreto de 10mts 750kgs</t>
  </si>
  <si>
    <t>Poste de concreto de 12mts 750kgs</t>
  </si>
  <si>
    <t>Sensores de Movimiento</t>
  </si>
  <si>
    <t>Varilla Cobre 5/8" x 2,40 mts</t>
  </si>
  <si>
    <t>ADMINISTRACION</t>
  </si>
  <si>
    <t>COSTO UNITARIO</t>
  </si>
  <si>
    <t>COSTO UNITARIO DE MATERIALES (M):</t>
  </si>
  <si>
    <t>TOTAL EQUIPOS:</t>
  </si>
  <si>
    <t>SUB TOTAL MANO DE OBRA (%):</t>
  </si>
  <si>
    <t>TR</t>
  </si>
  <si>
    <t>Juego de Tablas</t>
  </si>
  <si>
    <t>Lija</t>
  </si>
  <si>
    <t>Espatula</t>
  </si>
  <si>
    <t>Brocha</t>
  </si>
  <si>
    <t>Overol enterizo Manga larga</t>
  </si>
  <si>
    <t>Rodillo Profesional</t>
  </si>
  <si>
    <t>Breaker industrial EZC100N 20 A</t>
  </si>
  <si>
    <t>Breaker industrial EZC100N 30 A</t>
  </si>
  <si>
    <t>Breaker industrial EZC100N 40 A</t>
  </si>
  <si>
    <t>Breaker industrial EZC100N 50 A</t>
  </si>
  <si>
    <t>Breaker industrial EZC100N 60 A</t>
  </si>
  <si>
    <t>Breaker industrial EZC250N 125 A</t>
  </si>
  <si>
    <t xml:space="preserve">Breaker industrial EZC250N 150 A </t>
  </si>
  <si>
    <t>Breaker industrial EZC250N 200 A</t>
  </si>
  <si>
    <t>Breaker industrial EZC250N 250 A</t>
  </si>
  <si>
    <t>Cruceta de hierro de 5/16 x 21/2 x 6 M</t>
  </si>
  <si>
    <t>Cubre luz galvanizado en caliente de 20 cm de ancho util MECANO Referencia: CL AG20</t>
  </si>
  <si>
    <t>Cable encauchetado 4x10</t>
  </si>
  <si>
    <t>Cable encauchetado 4x12</t>
  </si>
  <si>
    <t>Cable encauchetado 4 x 14</t>
  </si>
  <si>
    <t>Cinta Super 33</t>
  </si>
  <si>
    <t>Capacete de 1 1/2"</t>
  </si>
  <si>
    <t>Capacete de 1", 3/4", o 1/2"</t>
  </si>
  <si>
    <t>Capacete de 2"</t>
  </si>
  <si>
    <t>Capacete de 3"</t>
  </si>
  <si>
    <t>Und</t>
  </si>
  <si>
    <t>Cinta peligro</t>
  </si>
  <si>
    <t>Cono de 70 cm</t>
  </si>
  <si>
    <t xml:space="preserve">Colombina plastica </t>
  </si>
  <si>
    <t>Manila de 1/2" x 20 mts</t>
  </si>
  <si>
    <t>Tablon</t>
  </si>
  <si>
    <t>Bandeja plastica</t>
  </si>
  <si>
    <t>Carretilla</t>
  </si>
  <si>
    <t>Oficial O.Civil</t>
  </si>
  <si>
    <t>Mona 4 Lb</t>
  </si>
  <si>
    <t>Mona 18 Lb</t>
  </si>
  <si>
    <t>Palustre</t>
  </si>
  <si>
    <t>Llana madera</t>
  </si>
  <si>
    <t>Mezcladora de concreto de 2 bultos</t>
  </si>
  <si>
    <t>Cortadora de concreto</t>
  </si>
  <si>
    <t xml:space="preserve">Planta electrica </t>
  </si>
  <si>
    <t>Martillo demoledor electrico</t>
  </si>
  <si>
    <t>Barra</t>
  </si>
  <si>
    <t>Vibrocompactador tipo canguro</t>
  </si>
  <si>
    <t>Paladraga</t>
  </si>
  <si>
    <t>Pizon</t>
  </si>
  <si>
    <t>mt</t>
  </si>
  <si>
    <t>Trozadora de metal</t>
  </si>
  <si>
    <t>Compresor + Equipo Pintura</t>
  </si>
  <si>
    <t>Hacha con cabo</t>
  </si>
  <si>
    <t>Antenaya</t>
  </si>
  <si>
    <t>Juego 4 ruedas para andamio</t>
  </si>
  <si>
    <t>Motobomba</t>
  </si>
  <si>
    <t>Sonda pesada 200 mts</t>
  </si>
  <si>
    <t>Sonda electrica 30mts</t>
  </si>
  <si>
    <t>Guantes primarios</t>
  </si>
  <si>
    <t>Alquiler Computador</t>
  </si>
  <si>
    <t>Licencia Autocad</t>
  </si>
  <si>
    <t>SUELDO BASICO</t>
  </si>
  <si>
    <t>HORAS EXTRAS DIURNAS</t>
  </si>
  <si>
    <t>DOMINGOS Y FESTIVOS</t>
  </si>
  <si>
    <t>SUBSIDIO HABITACION</t>
  </si>
  <si>
    <t>SUBSIDIO ALIMENTACION</t>
  </si>
  <si>
    <t>SUBSIDIO FAMILIAR</t>
  </si>
  <si>
    <t>SERVICIOS MEDICOS</t>
  </si>
  <si>
    <t>SEGUROS SOCIALES</t>
  </si>
  <si>
    <t>APORTE SENA</t>
  </si>
  <si>
    <t>APORTE I.C.B.F.</t>
  </si>
  <si>
    <t>DOTACION ROPA Y CALZADO</t>
  </si>
  <si>
    <t>PRIMA DE SERVICIO</t>
  </si>
  <si>
    <t>PRIMA EXTRALEGAL</t>
  </si>
  <si>
    <t>PRIMA DE VACACIONES</t>
  </si>
  <si>
    <t>VACACIONES</t>
  </si>
  <si>
    <t>CESANTIAS E INTERESES</t>
  </si>
  <si>
    <t>SALARIO TOTAL/HORA</t>
  </si>
  <si>
    <t>SALARIO TOTAL/DÍA</t>
  </si>
  <si>
    <t>NOMBRE DEL CARGO</t>
  </si>
  <si>
    <t>Almacenista</t>
  </si>
  <si>
    <t>Ayudante Almacenista</t>
  </si>
  <si>
    <t>Ayudante Eléctricista</t>
  </si>
  <si>
    <t>Ayudante Emp FO</t>
  </si>
  <si>
    <t>Ayudante Liniería</t>
  </si>
  <si>
    <t>Ayudante Metalmecánico</t>
  </si>
  <si>
    <t>Ayudante O.Civil</t>
  </si>
  <si>
    <t>Ayudante Pintura</t>
  </si>
  <si>
    <t>Dibujante - Digitador</t>
  </si>
  <si>
    <t>Director de Proyecto</t>
  </si>
  <si>
    <t>Empalmador de FO</t>
  </si>
  <si>
    <t>Gerente General</t>
  </si>
  <si>
    <t>Ingenierio Residente</t>
  </si>
  <si>
    <t>Oficial Eléctricista</t>
  </si>
  <si>
    <t>Oficial Metalmecánico</t>
  </si>
  <si>
    <t>Destonilladores</t>
  </si>
  <si>
    <t>Fusionadora de FO Fujikura 12S</t>
  </si>
  <si>
    <t>OTDR (Incluye VFL, Medidor Potencia y Bobina Lanzamiento)</t>
  </si>
  <si>
    <t>Malacate</t>
  </si>
  <si>
    <t>VALOR COMPRA</t>
  </si>
  <si>
    <t>IVA</t>
  </si>
  <si>
    <t>GANANCIA</t>
  </si>
  <si>
    <t>VALOR VENDIDO</t>
  </si>
  <si>
    <t>VALOR REAL</t>
  </si>
  <si>
    <t>Fotocelda</t>
  </si>
  <si>
    <t>RENDIMIENTO</t>
  </si>
  <si>
    <t>TOTAL TRANSPORTE:</t>
  </si>
  <si>
    <t>SISO</t>
  </si>
  <si>
    <t>VALOR PARCIAL</t>
  </si>
  <si>
    <t>Cordialmente,</t>
  </si>
  <si>
    <t>OBJETO
CONTRATO</t>
  </si>
  <si>
    <t>FECHA</t>
  </si>
  <si>
    <t>CAPITULO</t>
  </si>
  <si>
    <t>ITEM</t>
  </si>
  <si>
    <t>DESCRIPCIÓN</t>
  </si>
  <si>
    <t>ANALISIS DE PRECIOS UNITARIOS</t>
  </si>
  <si>
    <t>I. EQUIPO</t>
  </si>
  <si>
    <t>COSTO DIRECTO</t>
  </si>
  <si>
    <t>TARIFA</t>
  </si>
  <si>
    <t>PRECIO UNITARIO
(COP$)</t>
  </si>
  <si>
    <t>II. SUMINISTRO Y/O MATERIALES</t>
  </si>
  <si>
    <t>III. TRANSPORTES</t>
  </si>
  <si>
    <t>VOL O PESO</t>
  </si>
  <si>
    <t>DISTANCIA</t>
  </si>
  <si>
    <t>M3 ó T/Km</t>
  </si>
  <si>
    <t>IV. MANO DE OBRA</t>
  </si>
  <si>
    <t xml:space="preserve">COSTO   </t>
  </si>
  <si>
    <t>V. COSTOS INDIRECTOS</t>
  </si>
  <si>
    <t>PORCENTAJE</t>
  </si>
  <si>
    <t>VR. TOTAL</t>
  </si>
  <si>
    <t>IMPREVISTOS</t>
  </si>
  <si>
    <t>PRECIO UNITARIO TOTAL</t>
  </si>
  <si>
    <t>C.Material</t>
  </si>
  <si>
    <t>Unidad</t>
  </si>
  <si>
    <t>Ítem</t>
  </si>
  <si>
    <t>Descripción</t>
  </si>
  <si>
    <t>Cantidad</t>
  </si>
  <si>
    <t>TOTAL OBRA</t>
  </si>
  <si>
    <t>ÁLVARO NAVARRO C.</t>
  </si>
  <si>
    <t>Agradecemos su amable invitación a cotizar y quedamos atentos a resolver cualquier inquietud al respecto.</t>
  </si>
  <si>
    <t>PRESUPUESTO DE PROYECTOS</t>
  </si>
  <si>
    <t>ITEMS</t>
  </si>
  <si>
    <t>COSTO MENSUAL</t>
  </si>
  <si>
    <t>COSTO DIARIO</t>
  </si>
  <si>
    <t>MARGEN DE CONTRIBUCCION MENSUAL</t>
  </si>
  <si>
    <t>NOMBRE DE LA EMPRESA:</t>
  </si>
  <si>
    <t>EPP:</t>
  </si>
  <si>
    <t>NOMBRE DEL PROYECTO:</t>
  </si>
  <si>
    <t>EPP ESPECIAL:</t>
  </si>
  <si>
    <t>ULTIMA ACTUALIZACION DE PRECIOS</t>
  </si>
  <si>
    <t>DOTACION :</t>
  </si>
  <si>
    <t>REALIZADO POR:</t>
  </si>
  <si>
    <t>REQUERIMIENTOS LEGALES:</t>
  </si>
  <si>
    <t>REVISADO POR:</t>
  </si>
  <si>
    <t>OPCIONALES:</t>
  </si>
  <si>
    <t>APROBADO POR:</t>
  </si>
  <si>
    <t>EQUIPOS DE ALTURA:</t>
  </si>
  <si>
    <t>TOTAL PRESUPUESTO HSE:</t>
  </si>
  <si>
    <t>PLAN DE EMERGENCIA:</t>
  </si>
  <si>
    <t>TOTAL GASTO HSE:</t>
  </si>
  <si>
    <t>EQUIPOS ESPECIALES:</t>
  </si>
  <si>
    <t>GESTION DE AHORRO:</t>
  </si>
  <si>
    <t>GASTOS ADMINISTRATIVOS:</t>
  </si>
  <si>
    <t>INDICADOR DE CUMPLIMIENTO (%):</t>
  </si>
  <si>
    <t>TOTAL COSTO MENSUAL:</t>
  </si>
  <si>
    <t>NUMERO DE TRABAJADORES:</t>
  </si>
  <si>
    <t>TOTAL COSTO DURACION DEL PROYECTO:</t>
  </si>
  <si>
    <t>DURACION DEL PROYECTO MESES:</t>
  </si>
  <si>
    <t>TABLA DE COSTOS</t>
  </si>
  <si>
    <t>DURACION X MES O AMORTIZABLE</t>
  </si>
  <si>
    <t>COSTO X IVA INCLUIDO</t>
  </si>
  <si>
    <t>GASTOS X MES O AMORTIZACION</t>
  </si>
  <si>
    <t>EPP</t>
  </si>
  <si>
    <t>casco</t>
  </si>
  <si>
    <t>amortizable (12 meses)</t>
  </si>
  <si>
    <t>x</t>
  </si>
  <si>
    <t>gafas claras</t>
  </si>
  <si>
    <t>gafas oscuras</t>
  </si>
  <si>
    <t>protectores auditivos</t>
  </si>
  <si>
    <t>protectores nasobucal</t>
  </si>
  <si>
    <t>escafandra</t>
  </si>
  <si>
    <t>amortizable (3 meses)</t>
  </si>
  <si>
    <t>guantes de nitrilo</t>
  </si>
  <si>
    <t>guantes de carnaza</t>
  </si>
  <si>
    <t>TOTALES DE EPP</t>
  </si>
  <si>
    <t>EPP especiales</t>
  </si>
  <si>
    <t>botas pantaneras con punteras</t>
  </si>
  <si>
    <t>trajes taiveck A70 riesgo quimico biologico</t>
  </si>
  <si>
    <t>Monogafas</t>
  </si>
  <si>
    <t>amortizable (2 meses)</t>
  </si>
  <si>
    <t>careta pulidora</t>
  </si>
  <si>
    <t>guantes de carnaza largos de carnaza soldadura</t>
  </si>
  <si>
    <t>delantal de carnaza</t>
  </si>
  <si>
    <t>mascara doble filtro</t>
  </si>
  <si>
    <t>tapa oidos tipo copa</t>
  </si>
  <si>
    <t>amortizable (6 meses)</t>
  </si>
  <si>
    <t>chalecos reflectivos</t>
  </si>
  <si>
    <t>candados y etiquetas</t>
  </si>
  <si>
    <t>TOTAL EPP ESPECIALES</t>
  </si>
  <si>
    <t>DOTACION</t>
  </si>
  <si>
    <t>camisa dotacion</t>
  </si>
  <si>
    <t>amortizable 3 meses</t>
  </si>
  <si>
    <t>camisa dotacion bordados y reflectivos</t>
  </si>
  <si>
    <t>pantalon</t>
  </si>
  <si>
    <t>pantalon reflectivo</t>
  </si>
  <si>
    <t>botas dielectricas</t>
  </si>
  <si>
    <t>amortizable 6 meses</t>
  </si>
  <si>
    <t>TOTAL DOTACION</t>
  </si>
  <si>
    <t>REQUERIMIENTOS LEGALES</t>
  </si>
  <si>
    <t>curso de altura reentrenamiento</t>
  </si>
  <si>
    <t>amortizable 12 meses</t>
  </si>
  <si>
    <t>examenes ocupacionales ingreso nuevo trabajador</t>
  </si>
  <si>
    <t>examenes ocupacionales trabajador antiguo</t>
  </si>
  <si>
    <t>examenes ocupacionales retiro</t>
  </si>
  <si>
    <t>vacunas (cuadro tetano 3 ciclos)</t>
  </si>
  <si>
    <t>TOTAL REQUERIMIENTOS LEGALES</t>
  </si>
  <si>
    <t>OPCIONALES</t>
  </si>
  <si>
    <t>curso avanzado en altura</t>
  </si>
  <si>
    <t>curso coordinador de altura</t>
  </si>
  <si>
    <t>curso de plataforma articulares</t>
  </si>
  <si>
    <t>TOTAL OPCIONALES</t>
  </si>
  <si>
    <t>EQUIPOS DE ALTURA</t>
  </si>
  <si>
    <t>arnes dielectrico</t>
  </si>
  <si>
    <t>eslinga en Y</t>
  </si>
  <si>
    <t>eslinga con absorcion de choque</t>
  </si>
  <si>
    <t>tai off</t>
  </si>
  <si>
    <t>TOTAL EQUIPO DE ALTURA</t>
  </si>
  <si>
    <t>PLAN DE EMERGENCIA</t>
  </si>
  <si>
    <t>recarga extintor solkaflam</t>
  </si>
  <si>
    <t>recarga extintor multipropsito</t>
  </si>
  <si>
    <t>recarga del botiquin</t>
  </si>
  <si>
    <t>TOTAL PLAN DE EMERGENCIA</t>
  </si>
  <si>
    <t>EQUIPOS ESPECIALES</t>
  </si>
  <si>
    <t>calibracion alcoholimetro</t>
  </si>
  <si>
    <t>calibracion sonometro</t>
  </si>
  <si>
    <t>calibracion luxometro</t>
  </si>
  <si>
    <t>TOTAL EQUIPOS ESPECIALES</t>
  </si>
  <si>
    <t>GASTOS ADMINISTRATIVOS</t>
  </si>
  <si>
    <t>auditorias sistema de gestion (certificacion)</t>
  </si>
  <si>
    <t>amortizable (36 meses)</t>
  </si>
  <si>
    <t>fumigacion oficina</t>
  </si>
  <si>
    <t>disposicion de residuos oficina</t>
  </si>
  <si>
    <t>formatos papeleria</t>
  </si>
  <si>
    <t>otros</t>
  </si>
  <si>
    <t>TOTAL GASTOS ADMINISTRATIVOS</t>
  </si>
  <si>
    <t>TOTAL COSTO DEL DSISTEMA DE GESTION EN SEGURIDAD Y SALUD EN EL TRABAJO Y AMBIENTE MENSUAL</t>
  </si>
  <si>
    <t>TABLA DE RECARGOS Y HORAS EXTRAS SEGÚN SALARIO</t>
  </si>
  <si>
    <t>Cargo</t>
  </si>
  <si>
    <t>Salario</t>
  </si>
  <si>
    <t>Valor Hora</t>
  </si>
  <si>
    <t>Horas trabajadas</t>
  </si>
  <si>
    <t>Total costo horas</t>
  </si>
  <si>
    <t>Recardo nocturno</t>
  </si>
  <si>
    <t>Hora extra diurna</t>
  </si>
  <si>
    <t>Recargo dominical</t>
  </si>
  <si>
    <t>Total costo Horas</t>
  </si>
  <si>
    <t>Extra noctura o recargo domingical/festivo nocturo</t>
  </si>
  <si>
    <t>Hora extra dominical nocturna</t>
  </si>
  <si>
    <t>Total Costo horas</t>
  </si>
  <si>
    <t>Ingeniero</t>
  </si>
  <si>
    <t>Supervisor</t>
  </si>
  <si>
    <t>Tecnico electricista</t>
  </si>
  <si>
    <t>Auxiliar electricista</t>
  </si>
  <si>
    <t>El recargo nocturno es aquel que se paga al trabajador que desarrolla su jornada ordinaria en la noche, que en Colombia es entre las 9 de la noche y las 6 de la mañana del día siguiente.</t>
  </si>
  <si>
    <t>Hora extra es aquella hora que se trabaja adicional a las 10 horas diarias o a la jornada ordinaria pactada entre la partes.</t>
  </si>
  <si>
    <t xml:space="preserve">Recargo dominical </t>
  </si>
  <si>
    <t>El recargo dominical es aquel que se paga al trabajador que desarrolla su jornada ordinaria en dia domingo</t>
  </si>
  <si>
    <t>Recardo dominical nocturno</t>
  </si>
  <si>
    <t>Para que se configure una hora dominical o festiva nocturna el trabajador debe cumplir dos condiciones:
Trabajar la jornada ordinaria en un domingo o un festivo
Trabajar en horario nocturno (9pm – 6am)</t>
  </si>
  <si>
    <t>La hora extra nocturna dominical o festiva se configura cuando se cumplen tres condiciones:
Se trabaja en un domingo o festivo.
Se trabaja tiempo extra o suplementario
El trabajo extra se desarrolla en horario nocturno (9pm – 6am)</t>
  </si>
  <si>
    <t>Telefono</t>
  </si>
  <si>
    <t>Directorio</t>
  </si>
  <si>
    <t>Email</t>
  </si>
  <si>
    <t>CREDITO 30 DIAS</t>
  </si>
  <si>
    <t>CREDITO 90 DIAS</t>
  </si>
  <si>
    <t>CONDICIONES DE PAGO</t>
  </si>
  <si>
    <t>CREDITO 60 DIAS</t>
  </si>
  <si>
    <t>CREDITO 45 DIAS</t>
  </si>
  <si>
    <t>ANTICIPO 30%, 70% UNA VEZ FINALIZADA LA OBRA</t>
  </si>
  <si>
    <t>ANTICIPO 40%, 60% UNA VEZ FINALIZADA LA OBRA</t>
  </si>
  <si>
    <t>CONTADO</t>
  </si>
  <si>
    <t>MATERIAL</t>
  </si>
  <si>
    <t>MANO OBRA</t>
  </si>
  <si>
    <t>EQUIPO</t>
  </si>
  <si>
    <t>TRANSPORTE</t>
  </si>
  <si>
    <t>RETEFUENTE</t>
  </si>
  <si>
    <t>ICA</t>
  </si>
  <si>
    <t>RETEIVA</t>
  </si>
  <si>
    <t>DISEÑO</t>
  </si>
  <si>
    <t>SERVICIO</t>
  </si>
  <si>
    <t>ALQUILER EQUIPOS</t>
  </si>
  <si>
    <t>COMPRA</t>
  </si>
  <si>
    <t>CONSTRUCCION</t>
  </si>
  <si>
    <t>BARRANQUILLA</t>
  </si>
  <si>
    <t>SOLEDAD</t>
  </si>
  <si>
    <t xml:space="preserve">Fecha: Agosto 18.
Versión: 000                                                                                                                                                                                                                                                                                                                           Código: </t>
  </si>
  <si>
    <t>FORMATO DE COTIZACIÓN UCAPS</t>
  </si>
  <si>
    <t>Número de cotización: COT-</t>
  </si>
  <si>
    <t>ALCALDIA</t>
  </si>
  <si>
    <t>MOMPOX</t>
  </si>
  <si>
    <t>PROYECTO</t>
  </si>
  <si>
    <t>MODERNIZACION ALUMBRADO PUBLICO</t>
  </si>
  <si>
    <t xml:space="preserve">MUNICIPIO: </t>
  </si>
  <si>
    <t>FECHA:</t>
  </si>
  <si>
    <t>DURACION:</t>
  </si>
  <si>
    <t>ALCANCE:</t>
  </si>
  <si>
    <t>MODERNIZACION A TECNOLOGIA LED</t>
  </si>
  <si>
    <t>Aislador tipo carrete (ansi 53-2)</t>
  </si>
  <si>
    <t>Aislador Line post 23 kv</t>
  </si>
  <si>
    <t>Aislador suspensión polimerico 15kV</t>
  </si>
  <si>
    <t>Aislador tensor 3/8</t>
  </si>
  <si>
    <t>Alambre acero galvanizado 10 grado comun</t>
  </si>
  <si>
    <t>Alambre aluminio aislado # 8</t>
  </si>
  <si>
    <t>Alambre aluminio aislado # 6</t>
  </si>
  <si>
    <t>Amarra plastica de 100 mm</t>
  </si>
  <si>
    <t>Amarra plastica de 200 mm</t>
  </si>
  <si>
    <t>Amarra plastica de 300 mm</t>
  </si>
  <si>
    <t>Arandela plana redonda 1/2</t>
  </si>
  <si>
    <t>Arandela plana redonda 1/4</t>
  </si>
  <si>
    <t>Arandela Presion 1/2</t>
  </si>
  <si>
    <t>Arandela Presion 5/8</t>
  </si>
  <si>
    <t>Arandela cuadrada de 5/8 x 2 x 2</t>
  </si>
  <si>
    <t>Arandela cuadrada de 5/8 x 4 x 4</t>
  </si>
  <si>
    <t>Base para fotocelda con soporte en L</t>
  </si>
  <si>
    <t>Base para cortacircuito  en L</t>
  </si>
  <si>
    <t>Brazo metalico galvanizado 1 1/2", angulo 52°/0°, 2 metros, para soporte con collarin.</t>
  </si>
  <si>
    <t>Brazo metalico galvanizado 1 1/2", angulo 52°/0°, 1.5 metros, para soporte con collarin.</t>
  </si>
  <si>
    <t>Bloque anclaje de  400x300x100mm</t>
  </si>
  <si>
    <t>Cable de acero Galvanizado 3/8" extra alta resistencia</t>
  </si>
  <si>
    <t>Cable de acero Galvanizado 1/4" extra alta resistencia</t>
  </si>
  <si>
    <t>Cable ACSR 4 awg</t>
  </si>
  <si>
    <t>Cable ACSR 2 awg</t>
  </si>
  <si>
    <t>Cable AAAC 1/0 awg</t>
  </si>
  <si>
    <t>Cable poder manguera led</t>
  </si>
  <si>
    <t>Cable Aluminio THHW # 4 AWG S 8000</t>
  </si>
  <si>
    <t>Cable Aluminio THHW # 2 AWG S 8000</t>
  </si>
  <si>
    <t>Cable Aluminio THHW # 6 AWG S 8000</t>
  </si>
  <si>
    <t>Cable encauchetado 3 x 8 AWG</t>
  </si>
  <si>
    <t>Cable encauchetado 3 x 10 AWG</t>
  </si>
  <si>
    <t>Cable encauchetado 3 x 12 AWG</t>
  </si>
  <si>
    <t>Cable encauchetado 3 x 14 AWG</t>
  </si>
  <si>
    <t>Cable Cuadruplex 3 x 2 + 2 AWG Al autosoportado</t>
  </si>
  <si>
    <t>Cable Cuadruplex 3 x 4 + 4 AWG Al autosoportado</t>
  </si>
  <si>
    <t>Cable triplex 2 x 1/0 + 1/0 AWG Al autosoportado</t>
  </si>
  <si>
    <t>Cable triplex 2 x 2 + 2  AWG Al autosoportado</t>
  </si>
  <si>
    <t>Cable triplex 2 x 4 + 4  AWG Al autosoportado</t>
  </si>
  <si>
    <t>Cable #6 Cu forrado AWG THHN/THWN-2, 90 C°, 600 V.</t>
  </si>
  <si>
    <t>Cable #8 Cu forrado AWG THHN/THWN-2, 90 C°, 600 V.</t>
  </si>
  <si>
    <t>Cable de cu Desnudo # 2</t>
  </si>
  <si>
    <t>Cable de cu Desnudo # 8</t>
  </si>
  <si>
    <t>Caja radwelt 2x2 - 3 salidas 3/4</t>
  </si>
  <si>
    <t>Caja radwelt 4x4 - 3 salidas 3/4</t>
  </si>
  <si>
    <t xml:space="preserve">Caja prefabricada de 30x30 cm </t>
  </si>
  <si>
    <t xml:space="preserve">Caja prefabricada de 40x40 cm </t>
  </si>
  <si>
    <t>Capacete galvanizado de 2"</t>
  </si>
  <si>
    <t>Capacete galvanizado de 1 1/2"</t>
  </si>
  <si>
    <t>Capacete galvanizado de 1"</t>
  </si>
  <si>
    <t>Capacete galvanizado de 3/4"</t>
  </si>
  <si>
    <t>Cinta aislante  23</t>
  </si>
  <si>
    <t>Cinta aislante Super 33</t>
  </si>
  <si>
    <t xml:space="preserve">Cinta aislante temflex color rojo </t>
  </si>
  <si>
    <t>Cinta aislante temflex color blanco</t>
  </si>
  <si>
    <t>Cinta aislante temflex color verde</t>
  </si>
  <si>
    <t>Cinta señalizacion Amarillo negro peligro</t>
  </si>
  <si>
    <t>Cinta bandit 1/2" en acero marca eagle o similar</t>
  </si>
  <si>
    <t>Cinta bandit 5/8" en acero marca eagle o similar</t>
  </si>
  <si>
    <t>Cinta bandit 3/4" en acero marca eagle o similar</t>
  </si>
  <si>
    <t>Collarin de 5" a 6" una salida con tornillos 5/8 x 4"</t>
  </si>
  <si>
    <t>Collarin de 5" a 6" dos salidas con tornillos 5/8 x 4"</t>
  </si>
  <si>
    <t>Collarin de 6" a 7" una salida con tornillos 5/8 x 4"</t>
  </si>
  <si>
    <t>Collarin de 6" a 7" dos salidas con tornillos 5/8 x 4"</t>
  </si>
  <si>
    <t>Collarin de 7" a 8" una salida con tornillos 5/8 x 10"</t>
  </si>
  <si>
    <t>Collarin de 7" a 8" dos salidas con tornillos 5/8 x 10"</t>
  </si>
  <si>
    <t>Collarin de 8" a 9" Una salida con tornillos 5/8 x 4"</t>
  </si>
  <si>
    <t>Collarin de 8" a 9" dos salidas con tornillos 5/8 x 4"</t>
  </si>
  <si>
    <t>Collarin para transformador</t>
  </si>
  <si>
    <t>Platina de sujeccion para retenida</t>
  </si>
  <si>
    <t>Collarin antiescalante</t>
  </si>
  <si>
    <t>Conector de perforación CP120</t>
  </si>
  <si>
    <t>Conector de perforación CP70</t>
  </si>
  <si>
    <t>Conector ponchable AP1</t>
  </si>
  <si>
    <t>Conector ponchable AP2</t>
  </si>
  <si>
    <t>Conector ponchable en gel 6-2/ 14-8</t>
  </si>
  <si>
    <t>Conector resorte rojo</t>
  </si>
  <si>
    <t>Conector recto coraza 1 1/2"</t>
  </si>
  <si>
    <t>Conector recto coraza 1"</t>
  </si>
  <si>
    <t>Coraza LT 1 1/2"</t>
  </si>
  <si>
    <t>Coraza LT 1"</t>
  </si>
  <si>
    <t>Cruceta metalica autosoportada de 1,5 m</t>
  </si>
  <si>
    <t>Cruceta metalica autosoportada de 2,4 m</t>
  </si>
  <si>
    <t xml:space="preserve">Conduleta  1 1/2 LB                </t>
  </si>
  <si>
    <t xml:space="preserve">Conduleta 1 1/2 LL                 </t>
  </si>
  <si>
    <t xml:space="preserve">Conduleta 1 1/2 C </t>
  </si>
  <si>
    <t>Conduleta 1 1/2 LR</t>
  </si>
  <si>
    <t xml:space="preserve">Conduleta  1  LB                </t>
  </si>
  <si>
    <t xml:space="preserve">Conduleta 1  T </t>
  </si>
  <si>
    <t>Conduleta 1 LR</t>
  </si>
  <si>
    <t xml:space="preserve">Conduleta  3/4  LB                </t>
  </si>
  <si>
    <t xml:space="preserve">Conduleta 3/4  T </t>
  </si>
  <si>
    <t>Conduleta 3/4 LR</t>
  </si>
  <si>
    <t xml:space="preserve">Conduleta  1/2  LB                </t>
  </si>
  <si>
    <t xml:space="preserve">Conduleta 1/2  T </t>
  </si>
  <si>
    <t>Conduleta 1/2 LR</t>
  </si>
  <si>
    <t>Conector amovible P 4/0 - 2  S 6-4/0</t>
  </si>
  <si>
    <t>Conector ampac con estribo 1/0-2/0</t>
  </si>
  <si>
    <t xml:space="preserve">Conector varilla / Cable cobre </t>
  </si>
  <si>
    <t>Conector PVC 2"</t>
  </si>
  <si>
    <t>Conector PVC 1 1/2"</t>
  </si>
  <si>
    <t>Conector PVC 1"</t>
  </si>
  <si>
    <t>Conector PVC 3/4"</t>
  </si>
  <si>
    <t>Conector tipo H</t>
  </si>
  <si>
    <t>Conector compresion cobre 2-2</t>
  </si>
  <si>
    <t xml:space="preserve">Cortacircuito completo 15KVA 200A               </t>
  </si>
  <si>
    <t>Contrapeso tipo tuerca de ojo</t>
  </si>
  <si>
    <t>Curva PVC pesada de 2"</t>
  </si>
  <si>
    <t>Curva PVC pesada de 1 1/2"</t>
  </si>
  <si>
    <t>Curva PVC pesada de 1"</t>
  </si>
  <si>
    <t>Curva PVC pesada de 3/4"</t>
  </si>
  <si>
    <t>Descargadores de sobretension de 15Kv</t>
  </si>
  <si>
    <t>Esparrago de 5/8 x 12"</t>
  </si>
  <si>
    <t>Esparrago de 5/8 x 18"</t>
  </si>
  <si>
    <t>Escuadra 90 grados recta en acero o niquel de 50x50 mm</t>
  </si>
  <si>
    <t>Fusible de expulsión 0.4 (SR) tipo D</t>
  </si>
  <si>
    <t>Fusible de expulsión 2 (VS)</t>
  </si>
  <si>
    <t>Grapa tipo pistola 1/0</t>
  </si>
  <si>
    <t>Grapa tres pernos 1 1/2 x 3/8</t>
  </si>
  <si>
    <t>Grillete largo recto 5/8</t>
  </si>
  <si>
    <t>Guardacabo 5/8</t>
  </si>
  <si>
    <t>Hebilla bandit 5/8"</t>
  </si>
  <si>
    <t>Hebilla bandit 1/2"</t>
  </si>
  <si>
    <t>Hebilla bandit 3/4"</t>
  </si>
  <si>
    <t>Kit stavol para SPT</t>
  </si>
  <si>
    <t>Luminaria farol LED 31w</t>
  </si>
  <si>
    <t>Luminaria farol LED 62w</t>
  </si>
  <si>
    <t>Cinta led de 3,6w x 1m - 240V</t>
  </si>
  <si>
    <t>Medidor Monofasico 480/240</t>
  </si>
  <si>
    <t>Medidor Trifasico 480/240</t>
  </si>
  <si>
    <t>breaker 2 polo 15 amperios riel</t>
  </si>
  <si>
    <t>breaker 2 polo 20 amperios riel</t>
  </si>
  <si>
    <t>breaker 2 polo 40 amperios riel</t>
  </si>
  <si>
    <t>breaker 2 polo 60 amperios riel</t>
  </si>
  <si>
    <t>breaker 1 polo 20 amperios riel</t>
  </si>
  <si>
    <t>breaker 1 polo 50 amperios riel</t>
  </si>
  <si>
    <t>Pecha de un puesto ANSI 53-2</t>
  </si>
  <si>
    <t>Perno 5/8 x 4"</t>
  </si>
  <si>
    <t>Perno 5/8 x 10"</t>
  </si>
  <si>
    <t>Perno 5/8 x 12"</t>
  </si>
  <si>
    <t>Perno de ojo de 5/8 x 12</t>
  </si>
  <si>
    <t xml:space="preserve">Pinza de Retensión en baja tensión de Ø 4 a 22 mm </t>
  </si>
  <si>
    <t>Poste de 10 mts 510 KGF de fibra de vidrio</t>
  </si>
  <si>
    <t>Poste de 10 mts 750 KGF de fibra de vidrio</t>
  </si>
  <si>
    <t>Poste de 8 mts 510 KGF de fibra de vidrio</t>
  </si>
  <si>
    <t>Poste de 12 mts 510 KGF de fibra de vidrio</t>
  </si>
  <si>
    <t>Poste de 12 mts 750 KGF de fibra de vidrio</t>
  </si>
  <si>
    <t>Poste de 12 mts 350 KGF de fibra de vidrio</t>
  </si>
  <si>
    <t>Poste de 10 mts 750 KGF de concreto</t>
  </si>
  <si>
    <t>Poste de 12 mts 750 KGF de concreto</t>
  </si>
  <si>
    <t>Poste de 12 mts 1050 KGF de concreto</t>
  </si>
  <si>
    <t>Poste de 12 mts 1350 KGF de concreto</t>
  </si>
  <si>
    <t>Poste de 10 mts 750 KGF Translucido</t>
  </si>
  <si>
    <t>Poste de 10 mts 510 KGF Translucido</t>
  </si>
  <si>
    <t>Poste de 10 mts 350 KGF Translucido</t>
  </si>
  <si>
    <t>Poste de 12 mts 510 KGF Translucido</t>
  </si>
  <si>
    <t>Poste de 12 mts 750 KGF Translucido</t>
  </si>
  <si>
    <t>Prensa estopa 1/2</t>
  </si>
  <si>
    <t>Prensa estopa 3/4</t>
  </si>
  <si>
    <t>Reflector Led 110w</t>
  </si>
  <si>
    <t>Reflector Led 210w</t>
  </si>
  <si>
    <t>Reflector Led 35w</t>
  </si>
  <si>
    <t>Reflector Led 300w</t>
  </si>
  <si>
    <t>Reflector Led 400w</t>
  </si>
  <si>
    <t>Soldadura PVC x 1/8</t>
  </si>
  <si>
    <t>Tapon sellador para cable 2</t>
  </si>
  <si>
    <t>Tapon sellador para cable 4</t>
  </si>
  <si>
    <t>Tornillo y tuerca 5/8"x3"</t>
  </si>
  <si>
    <t>Tablero para medida directa con espacio para Interruptor</t>
  </si>
  <si>
    <t>Terminal aluminio cable # 1/0</t>
  </si>
  <si>
    <t>Terminal aluminio cable # 2</t>
  </si>
  <si>
    <t>Terminal aluminio cable # 4</t>
  </si>
  <si>
    <t>Transformador Monofasico 5 kVA 13200/480-240</t>
  </si>
  <si>
    <t>Transformador Monofasico 10 kVA 13200/480-240</t>
  </si>
  <si>
    <t>Transformador Monofasico 15 kVA 13200/480-240</t>
  </si>
  <si>
    <t>Tubo metálico IMC de 2" x 3 mts</t>
  </si>
  <si>
    <t>Tubo metálico IMC de 1 1/2" x 3 mts</t>
  </si>
  <si>
    <t>Tubo metálico IMC de 1" x 3 mts</t>
  </si>
  <si>
    <t>Tubo metálico IMC de 3/4" x 3 mts</t>
  </si>
  <si>
    <t>Tubo PVC pesado de 2" x 3 mts</t>
  </si>
  <si>
    <t>Tubo PVC pesado de 1 1/2" x 3 mts</t>
  </si>
  <si>
    <t>Tubo PVC pesado de 1" x 3 mts</t>
  </si>
  <si>
    <t>Tubo PVC pesado de 3/4" x 3 mts</t>
  </si>
  <si>
    <t>Union manguera led</t>
  </si>
  <si>
    <t>Unión IMC 1 1/2"</t>
  </si>
  <si>
    <t>Varilla corrugada 3/8" x  1 m</t>
  </si>
  <si>
    <t>Varilla corrugada 5/8" x 1 m</t>
  </si>
  <si>
    <t>Varilla cooperweld 5/8" x 2,4 m</t>
  </si>
  <si>
    <t>Varilla anclaje 5/8 x 1500mm</t>
  </si>
  <si>
    <t>SIESA</t>
  </si>
  <si>
    <t>Luminaria Led 150W Kingsun</t>
  </si>
  <si>
    <t>Luminaria Led 110W Kingsun</t>
  </si>
  <si>
    <t>Luminaria Led 35w Kingsun</t>
  </si>
  <si>
    <t>Luminaria Led 52w Kingsun</t>
  </si>
  <si>
    <t>Luminaria Led 75w Kingsun</t>
  </si>
  <si>
    <t>Luminaria LED 35w</t>
  </si>
  <si>
    <t>Luminaria LED 52w</t>
  </si>
  <si>
    <t>Luminaria LED 75w</t>
  </si>
  <si>
    <t>Luminaria Led 110w</t>
  </si>
  <si>
    <t>X</t>
  </si>
  <si>
    <t>Reflector LED 110w</t>
  </si>
  <si>
    <t>Reflector LED 210w</t>
  </si>
  <si>
    <t>Reflector LED 400w</t>
  </si>
  <si>
    <t>Farol LED 31w</t>
  </si>
  <si>
    <t>Farol LED 61w</t>
  </si>
  <si>
    <t>Luminarias</t>
  </si>
  <si>
    <t>Posteria</t>
  </si>
  <si>
    <t>Poste metalico de 3 metros para farol doble</t>
  </si>
  <si>
    <t>Poste de concreto 8mx350kgf</t>
  </si>
  <si>
    <t>Poste de concreto 8mx750kgf</t>
  </si>
  <si>
    <t>Poste metalico de 3m</t>
  </si>
  <si>
    <t>Cimentacion concreto 3000 psi</t>
  </si>
  <si>
    <t>Poste de 8 mts 510 KGF de concreto</t>
  </si>
  <si>
    <t>BALA LED de piso 14w, 1020lm</t>
  </si>
  <si>
    <t>CINTA LED 5w/m, 560lm/m</t>
  </si>
  <si>
    <t>SPOT LED 14w, 650lm</t>
  </si>
  <si>
    <t>WALLPACK LED 30w, 3180lm</t>
  </si>
  <si>
    <t>BAÑADOR LINEAL DE SOBREPONER 1 METRO, 45w, 4300lm</t>
  </si>
  <si>
    <t>SPOT LED 14w, 650lm EMPOTRABLE</t>
  </si>
  <si>
    <t>Caja radwelt octagonal - 3 salidas 3/4</t>
  </si>
  <si>
    <t>Silicona liquida</t>
  </si>
  <si>
    <t>Tapa redonda metalica para radwelt</t>
  </si>
  <si>
    <t>Accesorios de Fijacion</t>
  </si>
  <si>
    <t>Poste de concreto 8mx510kgf</t>
  </si>
  <si>
    <t>Poste metalico de 4 metros para reflectores</t>
  </si>
  <si>
    <t>Poste de 8 mts 750 KGF de concreto</t>
  </si>
  <si>
    <t>Poste metalico de 4m</t>
  </si>
  <si>
    <t>Cableado</t>
  </si>
  <si>
    <t>Instalacion de Red de baja tensión  3x14awg Cu en tubo PVC 1/2" subterraneo, para conexionado de BALAS DE PISO. Terreno en concreto, incluye resane y curado en concreto.</t>
  </si>
  <si>
    <t>Instalacion de tubería EMT de 1/2" con red 3x12 awg para instalacion de luminarias. Adosado en pared. Incluye instalacion de elementos de fijacion, soporte y conexionado</t>
  </si>
  <si>
    <t>Suministro e Instalacion de Red Aerea 2x6+6 AWG AL</t>
  </si>
  <si>
    <t>Suministro e Instalacion de Red Subterranea 2x4+4 AWG AL</t>
  </si>
  <si>
    <t xml:space="preserve">Cable Cu THHN-2 # 12 AWG </t>
  </si>
  <si>
    <t>Tubo metálico EMT de 1/2" x 3 mts</t>
  </si>
  <si>
    <t>Conector emt 1/2"</t>
  </si>
  <si>
    <t>Union Emt 1/2"</t>
  </si>
  <si>
    <t>Tubo metálico IMC de 1/2" x 3 mts</t>
  </si>
  <si>
    <t>Centro de transformacion</t>
  </si>
  <si>
    <t>Instalacion de CENTRO DE TRANSFORMACION, MONOFASICO, 5KVA, 13200-480/240 a Red de Media tension , TIPO HORIZONTAL, en poste existente</t>
  </si>
  <si>
    <t>Sistema de tierras</t>
  </si>
  <si>
    <t>Tablero y Medidores</t>
  </si>
  <si>
    <t>caja para control 20x40cm tipo exterior</t>
  </si>
  <si>
    <t>Instalación y montaje de gabinete de control y medida (alimentador a red bt existente). La instalacion del gabinete es empotrada en fachada existente (ver plano)</t>
  </si>
  <si>
    <t>Caja de paso tipo intemperie de 40x20x12</t>
  </si>
  <si>
    <t>Gabinete doble fondo 40x30x20</t>
  </si>
  <si>
    <t>Contactor de 2x20</t>
  </si>
  <si>
    <t>Timmer</t>
  </si>
  <si>
    <t>Cableado control</t>
  </si>
  <si>
    <t>Canaleta ranurada 25x30</t>
  </si>
  <si>
    <t>Glb</t>
  </si>
  <si>
    <t>Registro concreto 40x40x60</t>
  </si>
  <si>
    <t>DIRECTOR DE PROYECTOS</t>
  </si>
  <si>
    <t>Reflector Metal Halide 100w</t>
  </si>
  <si>
    <t>Reflector Metal Halide 150w</t>
  </si>
  <si>
    <t>Reflector Metal Halide 250w</t>
  </si>
  <si>
    <t>Reflector Metal Halide 400w</t>
  </si>
  <si>
    <t>Reflector Metal Halide 1000w</t>
  </si>
  <si>
    <t>Luminaria Sodio 70w</t>
  </si>
  <si>
    <t>Luminaria Sodio 150w</t>
  </si>
  <si>
    <t>Luminaria Sodio 250w</t>
  </si>
  <si>
    <t>Luminaria Sodio 400w</t>
  </si>
  <si>
    <t>Farol con luminaria sodio 70w</t>
  </si>
  <si>
    <t>Farol con luminaria sodio 150w</t>
  </si>
  <si>
    <t>Farol con luminaria incandescente 100w</t>
  </si>
  <si>
    <t>Luminaria con bombillo incandescente 100w</t>
  </si>
  <si>
    <t>Luminaria Mercurio 100w</t>
  </si>
  <si>
    <t>Luminaria Mixta 160w</t>
  </si>
  <si>
    <t>Farol con luminaria fluorescente 32w</t>
  </si>
  <si>
    <t>Luminaria con bombillo fluorescente 32w</t>
  </si>
  <si>
    <t>Luminaria con bombillo fluorescente 45w</t>
  </si>
  <si>
    <t>Luminaria con bombillo fluorescente 80w</t>
  </si>
  <si>
    <t>1.2</t>
  </si>
  <si>
    <t>1.3</t>
  </si>
  <si>
    <t>Poste metalico 5 metros para reflector</t>
  </si>
  <si>
    <t>Poste metalico 8 metros para luminaria cuadruple</t>
  </si>
  <si>
    <t>Poste metalico 12 metros para reflector</t>
  </si>
  <si>
    <t>Poste metalico de 5m</t>
  </si>
  <si>
    <t>Poste metalico de 8m</t>
  </si>
  <si>
    <t>Poste metalico de 12m</t>
  </si>
  <si>
    <t>3.10</t>
  </si>
  <si>
    <t xml:space="preserve">Cable Cu THHN-2 # 14 AWG </t>
  </si>
  <si>
    <t>Cable concentrico aluminio 8+8</t>
  </si>
  <si>
    <t>Canalizaciones</t>
  </si>
  <si>
    <t>Canalizacion con un ducto 1/2" PVC</t>
  </si>
  <si>
    <t>Canalizacion con un ducto 1" PVC</t>
  </si>
  <si>
    <t>Canalizacion con un ducto 1 1/2" PVC</t>
  </si>
  <si>
    <t>Canalizacion con un ducto 1" EMT</t>
  </si>
  <si>
    <t>Canalizacion con un ducto 1/2" EMT</t>
  </si>
  <si>
    <t>Canalizacion con un ducto 1/2" IMC</t>
  </si>
  <si>
    <t>Tubo PVC pesado de 1/2" x 3 mts</t>
  </si>
  <si>
    <t>Tubo metálico EMT de 1" x 3 mts</t>
  </si>
  <si>
    <t>Conector Emt 1"</t>
  </si>
  <si>
    <t>Unión EMT 1"</t>
  </si>
  <si>
    <t>Unión EMT 1/2"</t>
  </si>
  <si>
    <t>Conector Emt 1/2"</t>
  </si>
  <si>
    <t>1.4</t>
  </si>
  <si>
    <t>Reflector Led baja eficiencia 50w</t>
  </si>
  <si>
    <t>Reflector Led baja eficiencia 100w</t>
  </si>
  <si>
    <t>Reflector Led baja eficiencia 150w</t>
  </si>
  <si>
    <t>Reflector Led baja eficiencia 200w</t>
  </si>
  <si>
    <t>Luminaria con bombillo Led 20w</t>
  </si>
  <si>
    <t>Luminaria Led baja eficiencia 30w</t>
  </si>
  <si>
    <t>Luminaria Led baja eficiencia 60w</t>
  </si>
  <si>
    <t>Bala de piso Led 18w</t>
  </si>
  <si>
    <t>Spot Led 18w</t>
  </si>
  <si>
    <t>Luminaria con bombillo led 20w</t>
  </si>
  <si>
    <t>Luminaria Led 30w Sylvania</t>
  </si>
  <si>
    <t>Luminaria Led 60w Sylvania</t>
  </si>
  <si>
    <t>BALA LED de piso 18w</t>
  </si>
  <si>
    <t>SPOT LED 18w, 650lm</t>
  </si>
  <si>
    <t>Gabinete en poste</t>
  </si>
  <si>
    <t>Medidor 1f 3h</t>
  </si>
  <si>
    <t>Medidor 2f 3h</t>
  </si>
  <si>
    <t>Luminaria Metal Halide 70w</t>
  </si>
  <si>
    <t>Reflector Sodio 150w</t>
  </si>
  <si>
    <t>Reflector Sodio 400w</t>
  </si>
  <si>
    <t>Luminaria Led 150w</t>
  </si>
  <si>
    <t>Poste metalico 6 metros para luminaria</t>
  </si>
  <si>
    <t>Poste de concreto 12 metros x 750kg.f</t>
  </si>
  <si>
    <t>Poste de concreto 12 metros x 1050kg.f</t>
  </si>
  <si>
    <t>Poste metalico de 6m</t>
  </si>
  <si>
    <t>Cable encauchetado 3 x 6 AWG</t>
  </si>
  <si>
    <t>Instalacion de CENTRO DE TRANSFORMACION, MONOFASICO, 10KVA, 13200-480/240 a Red de Media tension , TIPO HORIZONTAL, en poste existente</t>
  </si>
  <si>
    <t>Instalacion de CENTRO DE TRANSFORMACION, MONOFASICO, 15KVA, 13200-480/240 a Red de Media tension , TIPO HORIZONTAL, en poste existente</t>
  </si>
  <si>
    <t>Retenida 90°</t>
  </si>
  <si>
    <t>RIOHACHA</t>
  </si>
  <si>
    <t>EXPANSION ALUMBRADO PUBLICO</t>
  </si>
  <si>
    <t>1.50</t>
  </si>
  <si>
    <t>Wall Washed Led 31w</t>
  </si>
  <si>
    <t>Reflector Led de 100w</t>
  </si>
  <si>
    <t>Reflector Led 100w</t>
  </si>
  <si>
    <t>Bañador Led 31w</t>
  </si>
  <si>
    <t>Poste de concreto 12 metros x 510kg.f</t>
  </si>
  <si>
    <t>Poste de 12 mts 510 KGF de concreto</t>
  </si>
  <si>
    <t>Poste de Metal de 10m</t>
  </si>
  <si>
    <t>Poste metalico de 10m</t>
  </si>
  <si>
    <t xml:space="preserve">Poste de Fibra de 12 m x 510KgF </t>
  </si>
  <si>
    <t xml:space="preserve">Poste de Fibra de 12 m x 750KgF </t>
  </si>
  <si>
    <t>Reflector Led de 300w</t>
  </si>
  <si>
    <t>2.20</t>
  </si>
  <si>
    <t>Poste metalico 8 metros</t>
  </si>
  <si>
    <t>Torre metalica 10 metros</t>
  </si>
  <si>
    <t>Poste de traslucido 10 metros</t>
  </si>
  <si>
    <t>Poste de concreto 10 metros x 510kg.f</t>
  </si>
  <si>
    <t>Poste de 10 mts 510 KGF de concreto</t>
  </si>
  <si>
    <t>Reflector Led 20w</t>
  </si>
  <si>
    <t>Reflector Led 160w onoff</t>
  </si>
  <si>
    <t>Luminaria Led 30w monoff</t>
  </si>
  <si>
    <t>Luminaria Led 45w monoff</t>
  </si>
  <si>
    <t>Luminaria Led 60w monoff</t>
  </si>
  <si>
    <t>Luminaria Led 80w monoff</t>
  </si>
  <si>
    <t>Luminaria Led 90w</t>
  </si>
  <si>
    <t>Luminaria Led 100w monoff</t>
  </si>
  <si>
    <t>Luminaria Led 120w monoff</t>
  </si>
  <si>
    <t>Luminaria Led 27.8w agm</t>
  </si>
  <si>
    <t>Luminaria Led 60.2w agm</t>
  </si>
  <si>
    <t>Luminaria Led 74.1w agm</t>
  </si>
  <si>
    <t>Luminaria Led 92.6w agm</t>
  </si>
  <si>
    <t>1.6</t>
  </si>
  <si>
    <t>Farol Led 80w Monoff</t>
  </si>
  <si>
    <t>LA DORADA</t>
  </si>
  <si>
    <t>Luminaria farol LED 80w Municipio</t>
  </si>
  <si>
    <t>SAN MARTIN DE LOBA</t>
  </si>
  <si>
    <t>NUEVA GRANADA</t>
  </si>
  <si>
    <t>Poste Melatico de 2,5m</t>
  </si>
  <si>
    <t xml:space="preserve">Poste metalico de 3 metros </t>
  </si>
  <si>
    <t>Poste de concreto 10 metros x 750kg.f</t>
  </si>
  <si>
    <t>3.2</t>
  </si>
  <si>
    <t>Luminaria Fluorescente de 100w</t>
  </si>
  <si>
    <t>Reflector de sodio de 200w</t>
  </si>
  <si>
    <t>Reflector Sodio 200w</t>
  </si>
  <si>
    <t>Reflector de baja eficia led de 400w</t>
  </si>
  <si>
    <t>Reflector Led baja eficiencia 400w</t>
  </si>
  <si>
    <t>Instalacion de CENTRO DE TRANSFORMACION, MONOFASICO, 50KVA, 13200-480/240 a Red de Media tension , TIPO HORIZONTAL, en poste existente</t>
  </si>
  <si>
    <t>Transformador Monofasico 50 kVA 13200/480-240</t>
  </si>
  <si>
    <t>PITALITO</t>
  </si>
  <si>
    <t>Luminaria Metal Halide 250w</t>
  </si>
  <si>
    <t>Luminaria Sodio 50w</t>
  </si>
  <si>
    <t>1.70</t>
  </si>
  <si>
    <t>Luminaria MH 250w</t>
  </si>
  <si>
    <t>Poste de fibra 10 metros x 750kg.f</t>
  </si>
  <si>
    <t>Poste de fibra 10 metros x 510kg.f</t>
  </si>
  <si>
    <t>COPEY</t>
  </si>
  <si>
    <t>MODERNIZACION DE PARQUES</t>
  </si>
  <si>
    <t>1 MES</t>
  </si>
  <si>
    <t>LOS PATIOS</t>
  </si>
  <si>
    <t>Torre metalica 20 metros</t>
  </si>
  <si>
    <t>Poste metalico de 20m</t>
  </si>
  <si>
    <t>Cable Aluminio THHW # 1/0 AWG S 8000</t>
  </si>
  <si>
    <t xml:space="preserve">Cable Cu THHN-2 # 10 AWG </t>
  </si>
  <si>
    <t>Cable #2 Cu forrado AWG THHN/THWN-2, 90 C°, 600 V.</t>
  </si>
  <si>
    <t>3.3</t>
  </si>
  <si>
    <t>Cable encauchetado 2 x 14 AWG</t>
  </si>
  <si>
    <t>Canalizacion con un ducto 1" IMC</t>
  </si>
  <si>
    <t>WALLPACK LED 60w, 3180lm</t>
  </si>
  <si>
    <t>Wallpack led de 50w</t>
  </si>
  <si>
    <t>BALA LED de piso 30w</t>
  </si>
  <si>
    <t>Bala led piso 30w</t>
  </si>
  <si>
    <t>Farol con bombillo led de 30-40W</t>
  </si>
  <si>
    <t>Luminaria Metal Halide 400w</t>
  </si>
  <si>
    <t>Luminaria MH 400w</t>
  </si>
  <si>
    <t>Instalacion de CENTRO DE TRANSFORMACION, MONOFASICO, 25KVA, 13200-480/240 a Red de Media tension , TIPO HORIZONTAL, en poste existente</t>
  </si>
  <si>
    <t>Instalacion de CENTRO DE TRANSFORMACION, TRIFASICO, 112,5KVA, 13200-480/240 a Red de Media tension , TIPO HORIZONTAL, en poste existente</t>
  </si>
  <si>
    <t>Transformador Monofasico 25 kVA 13200/480-240</t>
  </si>
  <si>
    <t>Transformador trifasico 112,5 kVA 13200/480-240</t>
  </si>
  <si>
    <t>Fusible de expulsión 8 (VS)</t>
  </si>
  <si>
    <t>Sistema de puesta a tierra Stavol</t>
  </si>
  <si>
    <t>Sistema de puesta a tierra Varilla cobre</t>
  </si>
  <si>
    <t>Poste concreto de 14 x 750 kgf</t>
  </si>
  <si>
    <t>Poste de 14 mts 750 KGF concreto</t>
  </si>
  <si>
    <t>Reflector tayrona 70W</t>
  </si>
  <si>
    <t>Reflector Sodio 70w</t>
  </si>
  <si>
    <t>Reflector con bombillo fluorescente 80W</t>
  </si>
  <si>
    <t>Reflector con bombillo fluorescente 100W</t>
  </si>
  <si>
    <t>Luminaria Metal Halide 100w</t>
  </si>
  <si>
    <t>CICUCO</t>
  </si>
  <si>
    <t>CLEMENCIA</t>
  </si>
  <si>
    <t>Poste concreto de 16 x 750 kgf</t>
  </si>
  <si>
    <t>Poste de 16 mts 750 KGF concreto</t>
  </si>
  <si>
    <t>Luminaria led 37 w Agm</t>
  </si>
  <si>
    <t>Luminaria Led 37w agm</t>
  </si>
  <si>
    <t>Cable encauchetado 2 x 16 AWG</t>
  </si>
  <si>
    <t>Poste metalico de 6m doble</t>
  </si>
  <si>
    <t>Poste de 9 mts 510 KGF de fibra de vidrio</t>
  </si>
  <si>
    <t>Poste de 9 mts750 KGF de fibra de vidrio</t>
  </si>
  <si>
    <t>Poste de 8 mts 750 KGF de fibra de vidrio</t>
  </si>
  <si>
    <t>Poste de 9 mts 510 KGF de concreto</t>
  </si>
  <si>
    <t>Poste de 8 mts 510 KGF Translucido</t>
  </si>
  <si>
    <t>Poste de 8 mts 750 KGF Translucido</t>
  </si>
  <si>
    <t>SAN PEDRO</t>
  </si>
  <si>
    <t>COSTO INGENIERIA</t>
  </si>
  <si>
    <t>COSTO DE ADMINISTRACION</t>
  </si>
  <si>
    <t>COSTOS INSPECTOR</t>
  </si>
  <si>
    <t>COSTOS DE INTERVENTORIA</t>
  </si>
  <si>
    <t>COSTOS FINANCIEROS</t>
  </si>
  <si>
    <t>TOTAL SUMINISTRO</t>
  </si>
  <si>
    <t>TOTAL IVA</t>
  </si>
  <si>
    <t>Reubicacion de luminaria</t>
  </si>
  <si>
    <t>Adecuacion de tapas en concreto yo metalicas</t>
  </si>
  <si>
    <t>MUNICIPIOS</t>
  </si>
  <si>
    <t>TIPO</t>
  </si>
  <si>
    <t>ORIGEN</t>
  </si>
  <si>
    <t>ABREGO</t>
  </si>
  <si>
    <t>BOMBILLAS</t>
  </si>
  <si>
    <t>FLUJO FINANCIERO INDEXADO</t>
  </si>
  <si>
    <t>AGUACHICA</t>
  </si>
  <si>
    <t>LUMINARIAS</t>
  </si>
  <si>
    <t>RESOLUCIÓN CREG 015 INDEXADO</t>
  </si>
  <si>
    <t>AGUSTÍN CODAZZI</t>
  </si>
  <si>
    <t>TRANSFORMADORES</t>
  </si>
  <si>
    <t>NUEVO</t>
  </si>
  <si>
    <t>ALTOS DEL ROSARIO</t>
  </si>
  <si>
    <t>POSTES</t>
  </si>
  <si>
    <t>ARJONA</t>
  </si>
  <si>
    <t>CÁMARAS Y CANALIZACIONES</t>
  </si>
  <si>
    <t>BARRANCO DE LOBA</t>
  </si>
  <si>
    <t>REDES</t>
  </si>
  <si>
    <t>BOSCONIA</t>
  </si>
  <si>
    <t>SISTEMA MEDICIÓN</t>
  </si>
  <si>
    <t>CALAMAR</t>
  </si>
  <si>
    <t>CARMEN DE BOLÍVAR</t>
  </si>
  <si>
    <t>CHIMICHAGUA</t>
  </si>
  <si>
    <t>CHIRIGUANÁ</t>
  </si>
  <si>
    <t>CONVENCIÓN</t>
  </si>
  <si>
    <t>CURUMANÍ</t>
  </si>
  <si>
    <t>EL COPEY</t>
  </si>
  <si>
    <t>EL PASO</t>
  </si>
  <si>
    <t>FACATATIVÁ</t>
  </si>
  <si>
    <t>GAMARRA</t>
  </si>
  <si>
    <t>HATILLO DE LOBA</t>
  </si>
  <si>
    <t>LA GLORIA</t>
  </si>
  <si>
    <t>LA PAZ</t>
  </si>
  <si>
    <t>MAGANGUÉ</t>
  </si>
  <si>
    <t>MARGARITA</t>
  </si>
  <si>
    <t>MARÍA LA BAJA</t>
  </si>
  <si>
    <t>NEIVA</t>
  </si>
  <si>
    <t>OCAÑA</t>
  </si>
  <si>
    <t>PAMPLONA</t>
  </si>
  <si>
    <t>PUERTO SANTANDER</t>
  </si>
  <si>
    <t>SAN ESTANISLAO</t>
  </si>
  <si>
    <t>SAN JACINTO</t>
  </si>
  <si>
    <t xml:space="preserve">SAN JOSÉ DE CÚCUTA </t>
  </si>
  <si>
    <t>SAN JUAN DEL CESAR</t>
  </si>
  <si>
    <t>SAN JUAN NEPOMUCENO</t>
  </si>
  <si>
    <t>SAN MARTÍN DE LOBA</t>
  </si>
  <si>
    <t>SANTA ROSA</t>
  </si>
  <si>
    <t>SARDINATA</t>
  </si>
  <si>
    <t>TALAIGUA NUEVO</t>
  </si>
  <si>
    <t>TIBÚ</t>
  </si>
  <si>
    <t>TURBACO</t>
  </si>
  <si>
    <t>TURBANA</t>
  </si>
  <si>
    <t>UBATÉ</t>
  </si>
  <si>
    <t>URUMITA</t>
  </si>
  <si>
    <t>VILLA DEL ROSARIO</t>
  </si>
  <si>
    <t>VILLANUEVA</t>
  </si>
  <si>
    <t>COSTO SUMINISTRO</t>
  </si>
  <si>
    <t>PROYECTO TIPO:</t>
  </si>
  <si>
    <t>MODERNIZACION Y EXPANSION ALUMBRADO PUBLICO</t>
  </si>
  <si>
    <t>Valor total</t>
  </si>
  <si>
    <t>Valor unitario</t>
  </si>
  <si>
    <t>PRESUPUESTO DE OBRA MUNICIPIO</t>
  </si>
  <si>
    <t>MUNICIPIO</t>
  </si>
  <si>
    <t xml:space="preserve">FECHA ELABORACIÓN </t>
  </si>
  <si>
    <t>DURACIÓN</t>
  </si>
  <si>
    <t>3 MESES</t>
  </si>
  <si>
    <t>ÍTEMS</t>
  </si>
  <si>
    <t>ACTIVIDADES</t>
  </si>
  <si>
    <t xml:space="preserve">CANTIDAD </t>
  </si>
  <si>
    <t xml:space="preserve">VALOR TOTAL </t>
  </si>
  <si>
    <t>COSTO DE ADMINISTRACIÓN</t>
  </si>
  <si>
    <t>IVA 19%</t>
  </si>
  <si>
    <t>IVA TOTAL</t>
  </si>
  <si>
    <t>SUMINISITRO DE MATERIALES</t>
  </si>
  <si>
    <t>SUB - TOTAL SUMINISTRO</t>
  </si>
  <si>
    <t>Red de baja tensión  3x14awg Cu en tubo PVC 1/2" subterraneo, para conexionado de BALAS DE PISO. Terreno en concreto, incluye resane y curado en concreto. X 500m</t>
  </si>
  <si>
    <t>Tubería EMT de 1/2" con red 3x12 awg para instalacion de luminarias. Adosado en pared. Incluye instalacion de elementos de fijacion, soporte y conexionado x 500 m</t>
  </si>
  <si>
    <t>Tubería IMC de 1/2" con red 3x12 awg para instalacion de luminarias. Adosado en pared. Incluye instalacion de elementos de fijacion, soporte y conexionado x 500m</t>
  </si>
  <si>
    <t>Red Aerea 2x6+6 AWG AL x 500m</t>
  </si>
  <si>
    <t>Red Aerea 2x2+2 AWG AL x 500m</t>
  </si>
  <si>
    <t>Red Aerea 2x4+4 AWG AL x 500m</t>
  </si>
  <si>
    <t>Red canalizada en cable aluminio 3 No 4 x 500m</t>
  </si>
  <si>
    <t>Red aerea en cable cobre 3 No 12 x 500m</t>
  </si>
  <si>
    <t>Red canalizada en cable cobre 2 No 12 x 500m</t>
  </si>
  <si>
    <t>Red aerea en cable cobre 3 No 14 x 500m</t>
  </si>
  <si>
    <t>Red canalizada en cable encauchetado 3x8 x 500m</t>
  </si>
  <si>
    <t>Red aérea en cable concentrico aluminio 8+8 AWG x500m</t>
  </si>
  <si>
    <t>Red canalizada en cable aluminio 3 No 2 x 500m</t>
  </si>
  <si>
    <t>Red aérea en cable encauchetado 3x6 x 500m</t>
  </si>
  <si>
    <t>Red aerea en cable multiplex 2x1/0+1/0 AWG AL x 500m</t>
  </si>
  <si>
    <t>Red aerea en cable AAAC 123 kcmil x 500m</t>
  </si>
  <si>
    <t>Cable serie 8000 AL #4 x500m</t>
  </si>
  <si>
    <t>Cable serie 8000 AL #6 x500m</t>
  </si>
  <si>
    <t>Red canalizada en cable aluminio 4 No 4 x500m</t>
  </si>
  <si>
    <t>Red Abierta 3#2 ACSR desnudo x 500m</t>
  </si>
  <si>
    <t>Red Aerea 3x2+2 AWG AL x 500m</t>
  </si>
  <si>
    <t>Red Abierta 2#4 ACSR desnudo x 500m</t>
  </si>
  <si>
    <t>Red canalizada en cable aluminio 1/0 x500m</t>
  </si>
  <si>
    <t>Red canalizada en cable cobre # 12 x 500m</t>
  </si>
  <si>
    <t>Red canalizada en cable cobre # 10 x 500m</t>
  </si>
  <si>
    <t>Red canalizada en cable cobre # 8 x 500m</t>
  </si>
  <si>
    <t>Red canalizada en cable cobre # 6 x 500 m</t>
  </si>
  <si>
    <t>Red canalizada en cable cobre # 2 x 500m</t>
  </si>
  <si>
    <t>Red canalizada en cable aluminio 2 x 500m</t>
  </si>
  <si>
    <t>Red Aerea en cable cobre 12 x500m</t>
  </si>
  <si>
    <t>Red Aerea en cable cobre 10 x 500m</t>
  </si>
  <si>
    <t>Red Aerea en cable cobre 8 x 500m</t>
  </si>
  <si>
    <t>Red en cable encauchetado 2x14 x 500m</t>
  </si>
  <si>
    <t>Red aerea en ASCR No 4x2 AWG x 500m</t>
  </si>
  <si>
    <t>7,10</t>
  </si>
  <si>
    <t>Canalizacion con un ducto 3/4" PVC</t>
  </si>
  <si>
    <t>Canalizacion con un ducto 2" PVC</t>
  </si>
  <si>
    <t>Canalizacion con un ducto 3/4" IMC</t>
  </si>
  <si>
    <t>Canalizacion con un ducto 2" IMC</t>
  </si>
  <si>
    <t>Tubo metálico IMC de 1 1/4" x 3 mts</t>
  </si>
  <si>
    <t>Tubo metálico EMT de 1 1/2" x 3 mts</t>
  </si>
  <si>
    <t>Tubo metálico EMT de 2" x 3 mts</t>
  </si>
  <si>
    <t>Tubo metálico EMT de 3/4" x 3 mts</t>
  </si>
  <si>
    <t>COSTO DE SUMINISTRO</t>
  </si>
  <si>
    <t>COSTO DE OBRA CIVIL</t>
  </si>
  <si>
    <t>COSTO MONTAJE</t>
  </si>
  <si>
    <t>COSTO TOTAL DE UC</t>
  </si>
  <si>
    <t>COSTO CIVIL</t>
  </si>
  <si>
    <t>Ucaps</t>
  </si>
  <si>
    <t>Luminaria led 106,5 w Agm</t>
  </si>
  <si>
    <t>Luminaria led 120.4 w Agm</t>
  </si>
  <si>
    <t>Luminaria led 150 w Agm</t>
  </si>
  <si>
    <t>Reflector Led de 500w</t>
  </si>
  <si>
    <t>1.80</t>
  </si>
  <si>
    <t>Luminaria Led 150W sed</t>
  </si>
  <si>
    <t>Luminaria Led 106,5W sed</t>
  </si>
  <si>
    <t>Luminaria Led 120,4W sed</t>
  </si>
  <si>
    <t>Luminaria Led 46.3w agm</t>
  </si>
  <si>
    <t>Reflector Led 500w</t>
  </si>
  <si>
    <t>Reflector Led de 70w agm</t>
  </si>
  <si>
    <t>Reflector Led de 150w Agm</t>
  </si>
  <si>
    <t>Reflector Led 70w</t>
  </si>
  <si>
    <t>Reflector Led 150w</t>
  </si>
  <si>
    <t>Poste concreto de 14 x 510 kgf</t>
  </si>
  <si>
    <t>Poste de 14 mts 510 KGF concreto</t>
  </si>
  <si>
    <t>Red Aerea 3x4+4 AWG AL x 500m</t>
  </si>
  <si>
    <t>Red Aerea 3x1/0+1/0 AWG AL x 500m</t>
  </si>
  <si>
    <t>Red Aerea 3x2/0+2/0 AWG AL x 500m</t>
  </si>
  <si>
    <t>Red Aerea 3x4/0+4/0 AWG AL x 500m</t>
  </si>
  <si>
    <t>Cable Cuadruplex 3 x 1/0 + 2 AWG Al autosoportado</t>
  </si>
  <si>
    <t>Cable Cuadruplex 3 x 4/0 + 2 AWG Al autosoportado</t>
  </si>
  <si>
    <t>Cable Cuadruplex 3 x 2/0 + 1/0 AWG Al autosoportado</t>
  </si>
  <si>
    <t>3.40</t>
  </si>
  <si>
    <t>Red subterránea con cable aislado de aluminio S8000 3 x 6AWG (2f+n) + 1 x 6AWG (t) x 500 MTS</t>
  </si>
  <si>
    <t>Red subterránea de baja tensión con cable aislado de aluminio S8000 3 x 4AWG (2f+n) + 1 x 6AWG (t) x 500 MT</t>
  </si>
  <si>
    <t>Red subterránea de baja tensión con cable aislado de aluminio S8000 3 x 1/0AWG (2f+n) + 1 x 4AWG (t) x 500 MTS</t>
  </si>
  <si>
    <t>Red subterránea de baja tensión con cable aislado de aluminio S8000 3 x 4/0AWG (2f+n) + 1 x 2AWG (t) x 500 MTS</t>
  </si>
  <si>
    <t>Cable Aluminio THHW # 4/0 AWG S 8000</t>
  </si>
  <si>
    <t>Cable Aluminio THHW # 2/0 AWG S 8000</t>
  </si>
  <si>
    <t>Cable encauchetado 3 x 14AWG  x 500 MT</t>
  </si>
  <si>
    <t>Red aérea de media tensión con cable AAAC 3 x 1/0 AWG x 500 MTS</t>
  </si>
  <si>
    <t>Canalizacion con un ducto 3" PVC</t>
  </si>
  <si>
    <t>Tubo PVC pesado de 3" x 3 mts</t>
  </si>
  <si>
    <t>4.10</t>
  </si>
  <si>
    <t>Instalacion de CENTRO DE TRANSFORMACION, TRIFASICO, 75KVA, 13200-480/240 a Red de Media tension , TIPO HORIZONTAL, en poste existente</t>
  </si>
  <si>
    <t>Medidor 1f 3h 480/240</t>
  </si>
  <si>
    <t>Medidor 2f 3h 480/240</t>
  </si>
  <si>
    <t>Medidor 2f 3h 220/110</t>
  </si>
  <si>
    <t>Transformador trifasico 75 kVA 13200/480-240</t>
  </si>
  <si>
    <t>Medidor Monofasico 240/120</t>
  </si>
  <si>
    <t>QUERY 1</t>
  </si>
  <si>
    <t>QUERY 2</t>
  </si>
  <si>
    <t>CONCAT</t>
  </si>
  <si>
    <t>ID_UNIDAD</t>
  </si>
  <si>
    <t>INSERT INTO materiales_2 (CODIGO, NOMBRE, COD_SIESA, ID_TIPO_UNIDAD, VALOR_UNITARIO, VALOR_COMPRA, IVA, VALOR_REAL, GANANCIA, VALOR_VENDIDO) VALUES (</t>
  </si>
  <si>
    <t>INSERT INTO equipos_2 (NOMBRE, ID_TIPO_EQUIPO, TARIFA_DIA, VALOR) VALUE (</t>
  </si>
  <si>
    <t>ID_TIPO_EQUIPO</t>
  </si>
  <si>
    <t>Camara Fotografica Digital</t>
  </si>
  <si>
    <t>Formaleta metalica bordillo</t>
  </si>
  <si>
    <t>Formaleta metalica camara 2F1</t>
  </si>
  <si>
    <t>Formaleta metalica camara P4</t>
  </si>
  <si>
    <t>Formaleta metalica camara prefabricada 40 x 40</t>
  </si>
  <si>
    <t>Llana metalica</t>
  </si>
  <si>
    <t>Odometro</t>
  </si>
  <si>
    <t>Equipo extraccion de nucleos</t>
  </si>
  <si>
    <t>Equipo perforacion dirigida</t>
  </si>
  <si>
    <t>Equipo perforacion neumatica</t>
  </si>
  <si>
    <t>Extension industrial 30 m</t>
  </si>
  <si>
    <t>ID_TABLA</t>
  </si>
  <si>
    <t>ID_DPTO</t>
  </si>
  <si>
    <t>ID_MPIO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</si>
</sst>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5" formatCode="&quot;$&quot;\ #,##0;\-&quot;$&quot;\ #,##0"/>
    <numFmt numFmtId="42" formatCode="_-&quot;$&quot;\ * #,##0_-;\-&quot;$&quot;\ * #,##0_-;_-&quot;$&quot;\ * &quot;-&quot;_-;_-@_-"/>
    <numFmt numFmtId="44" formatCode="_-&quot;$&quot;\ * #,##0.00_-;\-&quot;$&quot;\ * #,##0.00_-;_-&quot;$&quot;\ * &quot;-&quot;??_-;_-@_-"/>
    <numFmt numFmtId="43" formatCode="_-* #,##0.00_-;\-* #,##0.00_-;_-* &quot;-&quot;??_-;_-@_-"/>
    <numFmt numFmtId="164" formatCode="&quot;$&quot;#,##0;[Red]\-&quot;$&quot;#,##0"/>
    <numFmt numFmtId="165" formatCode="_-&quot;$&quot;* #,##0.00_-;\-&quot;$&quot;* #,##0.00_-;_-&quot;$&quot;* &quot;-&quot;??_-;_-@_-"/>
    <numFmt numFmtId="166" formatCode="#,##0\ &quot;€&quot;;\-#,##0\ &quot;€&quot;"/>
    <numFmt numFmtId="167" formatCode="#,##0.00\ &quot;€&quot;;[Red]\-#,##0.00\ &quot;€&quot;"/>
    <numFmt numFmtId="168" formatCode="_-* #,##0.00\ _€_-;\-* #,##0.00\ _€_-;_-* &quot;-&quot;??\ _€_-;_-@_-"/>
    <numFmt numFmtId="169" formatCode="_(&quot;$&quot;\ * #,##0_);_(&quot;$&quot;\ * \(#,##0\);_(&quot;$&quot;\ * &quot;-&quot;_);_(@_)"/>
    <numFmt numFmtId="170" formatCode="_(&quot;$&quot;\ * #,##0.00_);_(&quot;$&quot;\ * \(#,##0.00\);_(&quot;$&quot;\ * &quot;-&quot;??_);_(@_)"/>
    <numFmt numFmtId="171" formatCode="_(* #,##0.00_);_(* \(#,##0.00\);_(* &quot;-&quot;??_);_(@_)"/>
    <numFmt numFmtId="172" formatCode="&quot;$&quot;#.00"/>
    <numFmt numFmtId="173" formatCode="&quot;$&quot;\ #,##0;&quot;$&quot;\ \-#,##0"/>
    <numFmt numFmtId="174" formatCode="m\o\n\th\ d\,\ yyyy"/>
    <numFmt numFmtId="175" formatCode="_ [$€-2]\ * #,##0.00_ ;_ [$€-2]\ * \-#,##0.00_ ;_ [$€-2]\ * &quot;-&quot;??_ "/>
    <numFmt numFmtId="176" formatCode="#.00"/>
    <numFmt numFmtId="177" formatCode="#."/>
    <numFmt numFmtId="178" formatCode="_ * #,##0_ ;_ * \-#,##0_ ;_ * &quot;-&quot;_ ;_ @_ "/>
    <numFmt numFmtId="179" formatCode="_ * #,##0.00_ ;_ * \-#,##0.00_ ;_ * &quot;-&quot;??_ ;_ @_ "/>
    <numFmt numFmtId="180" formatCode="dd/mmm/yy"/>
    <numFmt numFmtId="181" formatCode="&quot;$&quot;#,##0"/>
    <numFmt numFmtId="182" formatCode="_ &quot;$&quot;\ * #,##0.00_ ;_ &quot;$&quot;\ * \-#,##0.00_ ;_ &quot;$&quot;\ * &quot;-&quot;??_ ;_ @_ "/>
    <numFmt numFmtId="183" formatCode="_-* #,##0.00\ _$_-;\-* #,##0.00\ _$_-;_-* &quot;-&quot;??\ _$_-;_-@_-"/>
    <numFmt numFmtId="184" formatCode="#,##0.00_);\-#,##0.00;&quot;&lt;Default Format&gt;&quot;"/>
    <numFmt numFmtId="185" formatCode="&quot;$&quot;#,##0_);\(&quot;$&quot;#,##0\)"/>
    <numFmt numFmtId="186" formatCode="General_)"/>
    <numFmt numFmtId="187" formatCode="%#.00"/>
    <numFmt numFmtId="188" formatCode="_(\$* #,##0.00_);_(\$* \(#,##0.00\);_(\$* &quot;-&quot;??_);_(@_)"/>
    <numFmt numFmtId="189" formatCode="_(&quot;$&quot;\ * #,##0.00_);_(&quot;$&quot;\ * \(#,##0.00\);_(&quot;$&quot;\ * &quot;-&quot;_);_(@_)"/>
    <numFmt numFmtId="190" formatCode="_(&quot;$&quot;\ * #,##0_);_(&quot;$&quot;\ * \(#,##0\);_(&quot;$&quot;\ * &quot;-&quot;??_);_(@_)"/>
    <numFmt numFmtId="191" formatCode="_(&quot;C$&quot;* #,##0.00_);_(&quot;C$&quot;* \(#,##0.00\);_(&quot;C$&quot;* &quot;-&quot;??_);_(@_)"/>
    <numFmt numFmtId="192" formatCode="&quot;$&quot;\ #,##0"/>
    <numFmt numFmtId="193" formatCode="[$$-240A]\ #,##0_ ;\-[$$-240A]\ #,##0\ "/>
    <numFmt numFmtId="194" formatCode="[$$-240A]\ #,##0.00_ ;\-[$$-240A]\ #,##0.00\ "/>
    <numFmt numFmtId="195" formatCode="#,##0.00\ ;&quot; (&quot;#,##0.00\);&quot; -&quot;#\ ;@\ "/>
    <numFmt numFmtId="196" formatCode="\$#,##0.0"/>
    <numFmt numFmtId="197" formatCode="\$#,##0.00"/>
    <numFmt numFmtId="198" formatCode="&quot;$ &quot;#,##0"/>
    <numFmt numFmtId="199" formatCode="[$$-300A]\ #,##0.00"/>
    <numFmt numFmtId="200" formatCode="[$-F800]dddd\,\ mmmm\ dd\,\ yyyy"/>
    <numFmt numFmtId="201" formatCode="[$$-240A]\ #,##0.00"/>
    <numFmt numFmtId="202" formatCode="[$$-240A]#,##0.00"/>
    <numFmt numFmtId="203" formatCode="&quot;$&quot;\ #,##0_);[Red]\(&quot;$&quot;\ #,##0\)"/>
    <numFmt numFmtId="204" formatCode="&quot;$&quot;\ #,##0.00_);[Red]\(&quot;$&quot;\ #,##0.00\)"/>
    <numFmt numFmtId="205" formatCode="_([$$-240A]\ * #,##0.00_);_([$$-240A]\ * \(#,##0.00\);_([$$-240A]\ * &quot;-&quot;??_);_(@_)"/>
    <numFmt numFmtId="206" formatCode="#,##0.0"/>
    <numFmt numFmtId="207" formatCode="\$#,##0"/>
    <numFmt numFmtId="208" formatCode="_-&quot;$&quot;* #,##0_-;\-&quot;$&quot;* #,##0_-;_-&quot;$&quot;* &quot;-&quot;??_-;_-@_-"/>
    <numFmt numFmtId="209" formatCode="0.0%"/>
    <numFmt numFmtId="210" formatCode="_-&quot;$&quot;\ * #,##0_-;\-&quot;$&quot;\ * #,##0_-;_-&quot;$&quot;\ * &quot;-&quot;??_-;_-@_-"/>
  </numFmts>
  <fonts count="12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charset val="134"/>
      <scheme val="minor"/>
    </font>
    <font>
      <sz val="11"/>
      <color theme="1"/>
      <name val="Arial"/>
      <family val="2"/>
    </font>
    <font>
      <sz val="10"/>
      <color rgb="FF000000"/>
      <name val="Arial"/>
      <family val="2"/>
    </font>
    <font>
      <sz val="10"/>
      <color theme="1"/>
      <name val="Arial"/>
      <family val="2"/>
    </font>
    <font>
      <sz val="10"/>
      <name val="Arial"/>
      <family val="2"/>
    </font>
    <font>
      <sz val="11"/>
      <name val="Arial"/>
      <family val="2"/>
    </font>
    <font>
      <sz val="11"/>
      <color indexed="8"/>
      <name val="Calibri"/>
      <family val="2"/>
    </font>
    <font>
      <sz val="10"/>
      <name val="Tahoma"/>
      <family val="2"/>
    </font>
    <font>
      <sz val="1"/>
      <color indexed="8"/>
      <name val="Courier"/>
      <family val="3"/>
    </font>
    <font>
      <b/>
      <sz val="18"/>
      <name val="Arial"/>
      <family val="2"/>
    </font>
    <font>
      <b/>
      <sz val="12"/>
      <name val="Arial"/>
      <family val="2"/>
    </font>
    <font>
      <b/>
      <sz val="1"/>
      <color indexed="8"/>
      <name val="Courier"/>
      <family val="3"/>
    </font>
    <font>
      <sz val="10"/>
      <color indexed="8"/>
      <name val="MS Sans Serif"/>
      <family val="2"/>
    </font>
    <font>
      <sz val="12"/>
      <name val="Courier"/>
      <family val="3"/>
    </font>
    <font>
      <sz val="10"/>
      <color indexed="8"/>
      <name val="Calibri"/>
      <family val="2"/>
    </font>
    <font>
      <b/>
      <sz val="10"/>
      <color theme="1"/>
      <name val="Arial"/>
      <family val="2"/>
    </font>
    <font>
      <sz val="10"/>
      <color rgb="FF000099"/>
      <name val="Arial"/>
      <family val="2"/>
    </font>
    <font>
      <sz val="10"/>
      <color indexed="8"/>
      <name val="Arial"/>
      <family val="2"/>
    </font>
    <font>
      <sz val="11"/>
      <color indexed="8"/>
      <name val="Arial Narrow"/>
      <family val="2"/>
    </font>
    <font>
      <sz val="11"/>
      <color rgb="FF002060"/>
      <name val="Calibri"/>
      <family val="2"/>
      <scheme val="minor"/>
    </font>
    <font>
      <sz val="9"/>
      <name val="Verdana"/>
      <family val="2"/>
    </font>
    <font>
      <sz val="9"/>
      <name val="Arial"/>
      <family val="2"/>
    </font>
    <font>
      <sz val="10"/>
      <color indexed="10"/>
      <name val="Arial"/>
      <family val="2"/>
    </font>
    <font>
      <b/>
      <sz val="8"/>
      <color theme="1"/>
      <name val="Arial"/>
      <family val="2"/>
    </font>
    <font>
      <b/>
      <sz val="16"/>
      <name val="Arial Narrow"/>
      <family val="2"/>
    </font>
    <font>
      <sz val="12"/>
      <name val="Arial Narrow"/>
      <family val="2"/>
    </font>
    <font>
      <u/>
      <sz val="11"/>
      <color theme="10"/>
      <name val="Calibri"/>
      <family val="2"/>
    </font>
    <font>
      <b/>
      <sz val="10"/>
      <name val="Arial Narrow"/>
      <family val="2"/>
    </font>
    <font>
      <sz val="9"/>
      <name val="Arial Narrow"/>
      <family val="2"/>
    </font>
    <font>
      <b/>
      <sz val="11"/>
      <name val="Arial Narrow"/>
      <family val="2"/>
    </font>
    <font>
      <sz val="10"/>
      <name val="Arial Narrow"/>
      <family val="2"/>
    </font>
    <font>
      <b/>
      <sz val="7"/>
      <name val="Arial Narrow"/>
      <family val="2"/>
    </font>
    <font>
      <sz val="11"/>
      <color theme="1"/>
      <name val="Arial Narrow"/>
      <family val="2"/>
    </font>
    <font>
      <sz val="8"/>
      <name val="Arial Narrow"/>
      <family val="2"/>
    </font>
    <font>
      <b/>
      <sz val="8"/>
      <color rgb="FFFF0000"/>
      <name val="Arial Narrow"/>
      <family val="2"/>
    </font>
    <font>
      <b/>
      <sz val="10"/>
      <color theme="1"/>
      <name val="Arial"/>
      <family val="2"/>
    </font>
    <font>
      <sz val="11"/>
      <color theme="1"/>
      <name val="Calibri"/>
      <family val="2"/>
      <scheme val="minor"/>
    </font>
    <font>
      <sz val="10"/>
      <color theme="1"/>
      <name val="Arial"/>
      <family val="2"/>
    </font>
    <font>
      <sz val="12"/>
      <name val="Arial"/>
      <family val="2"/>
    </font>
    <font>
      <sz val="10"/>
      <name val="Arial"/>
      <family val="2"/>
    </font>
    <font>
      <sz val="9"/>
      <name val="Tahoma"/>
      <family val="2"/>
    </font>
    <font>
      <sz val="10"/>
      <color rgb="FF000099"/>
      <name val="Arial"/>
      <family val="2"/>
    </font>
    <font>
      <b/>
      <sz val="12"/>
      <color theme="1" tint="0.499984740745262"/>
      <name val="Arial Narrow"/>
      <family val="2"/>
    </font>
    <font>
      <b/>
      <sz val="12"/>
      <color theme="1"/>
      <name val="Times New Roman"/>
      <family val="1"/>
    </font>
    <font>
      <sz val="12"/>
      <color theme="1"/>
      <name val="Times New Roman"/>
      <family val="1"/>
    </font>
    <font>
      <sz val="14"/>
      <color theme="1"/>
      <name val="Calibri"/>
      <family val="2"/>
      <scheme val="minor"/>
    </font>
    <font>
      <sz val="14"/>
      <name val="Arial Narrow"/>
      <family val="2"/>
    </font>
    <font>
      <sz val="14"/>
      <color theme="1"/>
      <name val="Times New Roman"/>
      <family val="1"/>
    </font>
    <font>
      <sz val="14"/>
      <color indexed="8"/>
      <name val="Arial Narrow"/>
      <family val="2"/>
    </font>
    <font>
      <b/>
      <sz val="14"/>
      <color theme="1"/>
      <name val="Times New Roman"/>
      <family val="1"/>
    </font>
    <font>
      <b/>
      <sz val="14"/>
      <name val="Arial Narrow"/>
      <family val="2"/>
    </font>
    <font>
      <sz val="14"/>
      <name val="Calibri"/>
      <family val="2"/>
      <scheme val="minor"/>
    </font>
    <font>
      <b/>
      <sz val="14"/>
      <name val="Calibri"/>
      <family val="2"/>
      <scheme val="minor"/>
    </font>
    <font>
      <b/>
      <sz val="14"/>
      <color rgb="FF000000"/>
      <name val="Calibri"/>
      <family val="2"/>
    </font>
    <font>
      <sz val="14"/>
      <color rgb="FF000000"/>
      <name val="Calibri"/>
      <family val="2"/>
    </font>
    <font>
      <sz val="11"/>
      <color rgb="FF000000"/>
      <name val="Calibri"/>
      <family val="2"/>
    </font>
    <font>
      <b/>
      <sz val="14"/>
      <color theme="1"/>
      <name val="Calibri"/>
      <family val="2"/>
      <scheme val="minor"/>
    </font>
    <font>
      <b/>
      <sz val="16"/>
      <color theme="1"/>
      <name val="Calibri"/>
      <family val="2"/>
      <scheme val="minor"/>
    </font>
    <font>
      <b/>
      <sz val="20"/>
      <color theme="1"/>
      <name val="Calibri"/>
      <family val="2"/>
      <scheme val="minor"/>
    </font>
    <font>
      <sz val="12"/>
      <color theme="1"/>
      <name val="Sansation"/>
    </font>
    <font>
      <b/>
      <sz val="12"/>
      <name val="Sansation"/>
    </font>
    <font>
      <b/>
      <sz val="14"/>
      <name val="Sansation"/>
    </font>
    <font>
      <b/>
      <sz val="12"/>
      <color theme="1" tint="0.499984740745262"/>
      <name val="Sansation"/>
    </font>
    <font>
      <b/>
      <sz val="16"/>
      <name val="Sansation"/>
    </font>
    <font>
      <sz val="11.5"/>
      <color theme="1"/>
      <name val="Calibri"/>
      <family val="2"/>
      <scheme val="minor"/>
    </font>
    <font>
      <b/>
      <sz val="11.5"/>
      <name val="Sansation"/>
    </font>
    <font>
      <sz val="11.5"/>
      <name val="Sansation"/>
    </font>
    <font>
      <sz val="11.5"/>
      <name val="Arial Narrow"/>
      <family val="2"/>
    </font>
    <font>
      <u/>
      <sz val="11.5"/>
      <color theme="10"/>
      <name val="Arial Narrow"/>
      <family val="2"/>
    </font>
    <font>
      <sz val="11.5"/>
      <color indexed="8"/>
      <name val="Arial Narrow"/>
      <family val="2"/>
    </font>
    <font>
      <sz val="12"/>
      <name val="Sansation"/>
    </font>
    <font>
      <b/>
      <sz val="12"/>
      <color theme="0"/>
      <name val="Sansation"/>
    </font>
    <font>
      <b/>
      <sz val="11.5"/>
      <color indexed="8"/>
      <name val="Arial Narrow"/>
      <family val="2"/>
    </font>
    <font>
      <sz val="11.5"/>
      <color rgb="FF000000"/>
      <name val="Sansation"/>
    </font>
    <font>
      <sz val="11.5"/>
      <color indexed="8"/>
      <name val="Sansation"/>
    </font>
    <font>
      <b/>
      <sz val="11.5"/>
      <color indexed="8"/>
      <name val="Sansation"/>
    </font>
    <font>
      <b/>
      <sz val="11.5"/>
      <color theme="0"/>
      <name val="Sansation"/>
    </font>
    <font>
      <sz val="12"/>
      <color indexed="8"/>
      <name val="Sansation"/>
    </font>
    <font>
      <b/>
      <sz val="12"/>
      <color theme="1"/>
      <name val="Sansation"/>
    </font>
    <font>
      <b/>
      <sz val="10"/>
      <name val="Arial"/>
      <family val="2"/>
    </font>
    <font>
      <sz val="11"/>
      <name val="Calibri"/>
      <family val="2"/>
      <scheme val="minor"/>
    </font>
    <font>
      <sz val="11"/>
      <color indexed="72"/>
      <name val="Calibri"/>
      <family val="2"/>
      <scheme val="minor"/>
    </font>
    <font>
      <sz val="10"/>
      <name val="Calibri"/>
      <family val="2"/>
      <scheme val="minor"/>
    </font>
    <font>
      <b/>
      <i/>
      <sz val="10"/>
      <color rgb="FFFF0000"/>
      <name val="Calibri"/>
      <family val="2"/>
      <scheme val="minor"/>
    </font>
    <font>
      <sz val="11"/>
      <color theme="1"/>
      <name val="Bahnschrift Light SemiCondensed"/>
      <family val="2"/>
    </font>
    <font>
      <sz val="12"/>
      <name val="Calibri"/>
      <family val="2"/>
      <scheme val="minor"/>
    </font>
    <font>
      <b/>
      <sz val="12"/>
      <color rgb="FF000000"/>
      <name val="Calibri"/>
      <family val="2"/>
    </font>
    <font>
      <sz val="12"/>
      <color rgb="FF000000"/>
      <name val="Calibri"/>
      <family val="2"/>
    </font>
    <font>
      <b/>
      <sz val="11"/>
      <color theme="1"/>
      <name val="Bahnschrift Light SemiCondensed"/>
      <family val="2"/>
    </font>
    <font>
      <sz val="11"/>
      <color theme="4"/>
      <name val="Bahnschrift Light SemiCondensed"/>
      <family val="2"/>
    </font>
    <font>
      <b/>
      <sz val="10"/>
      <name val="Sansation"/>
    </font>
    <font>
      <b/>
      <sz val="26"/>
      <color theme="1"/>
      <name val="Bahnschrift Light SemiCondensed"/>
      <family val="2"/>
    </font>
    <font>
      <b/>
      <sz val="14"/>
      <color theme="1"/>
      <name val="Bahnschrift Light SemiCondensed"/>
      <family val="2"/>
    </font>
    <font>
      <b/>
      <sz val="12"/>
      <color theme="1"/>
      <name val="Bahnschrift Light SemiCondensed"/>
      <family val="2"/>
    </font>
    <font>
      <b/>
      <sz val="14"/>
      <color theme="0"/>
      <name val="Bahnschrift Light SemiCondensed"/>
      <family val="2"/>
    </font>
    <font>
      <b/>
      <sz val="12"/>
      <color theme="0"/>
      <name val="Bahnschrift Light SemiCondensed"/>
      <family val="2"/>
    </font>
    <font>
      <sz val="14"/>
      <color theme="1"/>
      <name val="Bahnschrift Light SemiCondensed"/>
      <family val="2"/>
    </font>
    <font>
      <sz val="12"/>
      <name val="Bahnschrift Light SemiCondensed"/>
      <family val="2"/>
    </font>
    <font>
      <sz val="11"/>
      <name val="Bahnschrift Light SemiCondensed"/>
      <family val="2"/>
    </font>
    <font>
      <b/>
      <sz val="12"/>
      <name val="Bahnschrift Light SemiCondensed"/>
      <family val="2"/>
    </font>
    <font>
      <b/>
      <sz val="15"/>
      <color theme="3"/>
      <name val="Bahnschrift Light SemiCondensed"/>
      <family val="2"/>
    </font>
    <font>
      <b/>
      <sz val="11"/>
      <color theme="4"/>
      <name val="Bahnschrift Light SemiCondensed"/>
      <family val="2"/>
    </font>
    <font>
      <b/>
      <sz val="10"/>
      <color theme="1"/>
      <name val="Bahnschrift Light SemiCondensed"/>
      <family val="2"/>
    </font>
    <font>
      <b/>
      <sz val="10"/>
      <color theme="1"/>
      <name val="Calibri"/>
      <family val="2"/>
      <scheme val="minor"/>
    </font>
    <font>
      <sz val="10"/>
      <color theme="1"/>
      <name val="Calibri"/>
      <family val="2"/>
      <scheme val="minor"/>
    </font>
    <font>
      <b/>
      <sz val="10"/>
      <name val="Calibri"/>
      <family val="2"/>
      <scheme val="minor"/>
    </font>
    <font>
      <sz val="10"/>
      <color theme="1"/>
      <name val="Bahnschrift Light SemiCondensed"/>
      <family val="2"/>
    </font>
    <font>
      <sz val="10"/>
      <color theme="4"/>
      <name val="Bahnschrift Light SemiCondensed"/>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9"/>
        <bgColor indexed="64"/>
      </patternFill>
    </fill>
    <fill>
      <patternFill patternType="solid">
        <fgColor indexed="9"/>
        <bgColor indexed="26"/>
      </patternFill>
    </fill>
    <fill>
      <patternFill patternType="solid">
        <fgColor theme="0" tint="-4.9989318521683403E-2"/>
        <bgColor indexed="64"/>
      </patternFill>
    </fill>
    <fill>
      <patternFill patternType="solid">
        <fgColor rgb="FF00FFFF"/>
        <bgColor indexed="64"/>
      </patternFill>
    </fill>
    <fill>
      <patternFill patternType="solid">
        <fgColor rgb="FF00FF00"/>
        <bgColor indexed="64"/>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theme="5" tint="0.59999389629810485"/>
        <bgColor indexed="64"/>
      </patternFill>
    </fill>
    <fill>
      <patternFill patternType="solid">
        <fgColor rgb="FF2C384E"/>
        <bgColor indexed="64"/>
      </patternFill>
    </fill>
    <fill>
      <patternFill patternType="solid">
        <fgColor theme="3" tint="0.59999389629810485"/>
        <bgColor indexed="64"/>
      </patternFill>
    </fill>
    <fill>
      <patternFill patternType="solid">
        <fgColor theme="0" tint="-0.14999847407452621"/>
        <bgColor indexed="41"/>
      </patternFill>
    </fill>
    <fill>
      <patternFill patternType="solid">
        <fgColor rgb="FF92D050"/>
        <bgColor indexed="64"/>
      </patternFill>
    </fill>
    <fill>
      <patternFill patternType="solid">
        <fgColor theme="4"/>
        <bgColor indexed="64"/>
      </patternFill>
    </fill>
    <fill>
      <patternFill patternType="solid">
        <fgColor theme="2"/>
        <bgColor indexed="64"/>
      </patternFill>
    </fill>
    <fill>
      <patternFill patternType="solid">
        <fgColor theme="2" tint="-0.249977111117893"/>
        <bgColor indexed="64"/>
      </patternFill>
    </fill>
  </fills>
  <borders count="9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medium">
        <color indexed="64"/>
      </left>
      <right style="medium">
        <color indexed="8"/>
      </right>
      <top/>
      <bottom/>
      <diagonal/>
    </border>
    <border>
      <left style="medium">
        <color indexed="8"/>
      </left>
      <right style="medium">
        <color indexed="8"/>
      </right>
      <top/>
      <bottom/>
      <diagonal/>
    </border>
    <border>
      <left style="medium">
        <color indexed="8"/>
      </left>
      <right/>
      <top/>
      <bottom/>
      <diagonal/>
    </border>
    <border>
      <left/>
      <right/>
      <top/>
      <bottom style="thin">
        <color indexed="8"/>
      </bottom>
      <diagonal/>
    </border>
    <border>
      <left/>
      <right/>
      <top style="thin">
        <color indexed="8"/>
      </top>
      <bottom style="thin">
        <color indexed="8"/>
      </bottom>
      <diagonal/>
    </border>
    <border>
      <left style="thin">
        <color indexed="8"/>
      </left>
      <right style="thin">
        <color indexed="8"/>
      </right>
      <top/>
      <bottom style="thin">
        <color indexed="8"/>
      </bottom>
      <diagonal/>
    </border>
    <border>
      <left/>
      <right/>
      <top style="thin">
        <color indexed="8"/>
      </top>
      <bottom/>
      <diagonal/>
    </border>
    <border>
      <left/>
      <right style="thin">
        <color indexed="64"/>
      </right>
      <top style="thin">
        <color indexed="8"/>
      </top>
      <bottom style="thin">
        <color indexed="64"/>
      </bottom>
      <diagonal/>
    </border>
    <border>
      <left style="thin">
        <color indexed="64"/>
      </left>
      <right/>
      <top style="thin">
        <color indexed="64"/>
      </top>
      <bottom/>
      <diagonal/>
    </border>
    <border>
      <left style="thin">
        <color indexed="64"/>
      </left>
      <right style="thin">
        <color indexed="64"/>
      </right>
      <top style="thin">
        <color indexed="8"/>
      </top>
      <bottom style="thin">
        <color indexed="8"/>
      </bottom>
      <diagonal/>
    </border>
    <border>
      <left/>
      <right style="thin">
        <color indexed="64"/>
      </right>
      <top style="thin">
        <color indexed="8"/>
      </top>
      <bottom/>
      <diagonal/>
    </border>
    <border>
      <left style="thin">
        <color indexed="64"/>
      </left>
      <right style="thin">
        <color indexed="64"/>
      </right>
      <top/>
      <bottom/>
      <diagonal/>
    </border>
    <border>
      <left/>
      <right/>
      <top style="thin">
        <color theme="0" tint="-0.34998626667073579"/>
      </top>
      <bottom/>
      <diagonal/>
    </border>
    <border>
      <left style="thin">
        <color indexed="8"/>
      </left>
      <right style="thin">
        <color indexed="8"/>
      </right>
      <top/>
      <bottom/>
      <diagonal/>
    </border>
    <border>
      <left/>
      <right style="thin">
        <color indexed="8"/>
      </right>
      <top/>
      <bottom style="thin">
        <color indexed="8"/>
      </bottom>
      <diagonal/>
    </border>
    <border>
      <left/>
      <right/>
      <top style="thin">
        <color indexed="8"/>
      </top>
      <bottom style="thin">
        <color indexed="64"/>
      </bottom>
      <diagonal/>
    </border>
    <border>
      <left style="thin">
        <color indexed="8"/>
      </left>
      <right style="thin">
        <color indexed="64"/>
      </right>
      <top/>
      <bottom/>
      <diagonal/>
    </border>
    <border>
      <left style="thin">
        <color indexed="8"/>
      </left>
      <right style="thin">
        <color indexed="64"/>
      </right>
      <top style="thin">
        <color indexed="8"/>
      </top>
      <bottom/>
      <diagonal/>
    </border>
    <border>
      <left/>
      <right style="thin">
        <color indexed="64"/>
      </right>
      <top/>
      <bottom style="thin">
        <color indexed="8"/>
      </bottom>
      <diagonal/>
    </border>
    <border>
      <left style="medium">
        <color indexed="64"/>
      </left>
      <right/>
      <top style="thin">
        <color indexed="64"/>
      </top>
      <bottom/>
      <diagonal/>
    </border>
    <border>
      <left style="thin">
        <color indexed="64"/>
      </left>
      <right/>
      <top style="thin">
        <color indexed="8"/>
      </top>
      <bottom style="thin">
        <color indexed="8"/>
      </bottom>
      <diagonal/>
    </border>
    <border>
      <left style="thin">
        <color indexed="64"/>
      </left>
      <right/>
      <top/>
      <bottom style="thin">
        <color indexed="8"/>
      </bottom>
      <diagonal/>
    </border>
    <border>
      <left style="thin">
        <color indexed="64"/>
      </left>
      <right/>
      <top style="thin">
        <color indexed="8"/>
      </top>
      <bottom/>
      <diagonal/>
    </border>
    <border>
      <left style="thin">
        <color indexed="64"/>
      </left>
      <right style="thin">
        <color indexed="8"/>
      </right>
      <top style="thin">
        <color indexed="8"/>
      </top>
      <bottom style="thin">
        <color indexed="8"/>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top style="thin">
        <color indexed="64"/>
      </top>
      <bottom style="thin">
        <color theme="0" tint="-0.249977111117893"/>
      </bottom>
      <diagonal/>
    </border>
    <border>
      <left style="thin">
        <color indexed="64"/>
      </left>
      <right style="thin">
        <color indexed="64"/>
      </right>
      <top style="thin">
        <color indexed="64"/>
      </top>
      <bottom style="thin">
        <color theme="0" tint="-0.249977111117893"/>
      </bottom>
      <diagonal/>
    </border>
    <border>
      <left style="thin">
        <color indexed="64"/>
      </left>
      <right style="thin">
        <color indexed="64"/>
      </right>
      <top style="thin">
        <color theme="0" tint="-0.249977111117893"/>
      </top>
      <bottom/>
      <diagonal/>
    </border>
    <border>
      <left style="thin">
        <color indexed="64"/>
      </left>
      <right/>
      <top style="thin">
        <color theme="0" tint="-0.249977111117893"/>
      </top>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style="thin">
        <color theme="0" tint="-0.249977111117893"/>
      </top>
      <bottom style="thin">
        <color theme="0" tint="-0.249977111117893"/>
      </bottom>
      <diagonal/>
    </border>
    <border>
      <left/>
      <right style="thin">
        <color indexed="64"/>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style="thin">
        <color indexed="64"/>
      </top>
      <bottom style="thin">
        <color indexed="8"/>
      </bottom>
      <diagonal/>
    </border>
    <border>
      <left style="thin">
        <color theme="0" tint="-0.34998626667073579"/>
      </left>
      <right style="thin">
        <color theme="0" tint="-0.34998626667073579"/>
      </right>
      <top/>
      <bottom/>
      <diagonal/>
    </border>
    <border>
      <left style="thin">
        <color indexed="63"/>
      </left>
      <right style="thin">
        <color indexed="63"/>
      </right>
      <top/>
      <bottom style="thin">
        <color indexed="63"/>
      </bottom>
      <diagonal/>
    </border>
    <border>
      <left style="thin">
        <color indexed="63"/>
      </left>
      <right style="thin">
        <color indexed="63"/>
      </right>
      <top style="thin">
        <color indexed="63"/>
      </top>
      <bottom style="thin">
        <color indexed="63"/>
      </bottom>
      <diagonal/>
    </border>
    <border>
      <left style="thin">
        <color indexed="63"/>
      </left>
      <right/>
      <top style="thin">
        <color indexed="64"/>
      </top>
      <bottom style="thin">
        <color indexed="63"/>
      </bottom>
      <diagonal/>
    </border>
    <border>
      <left/>
      <right/>
      <top style="thin">
        <color indexed="64"/>
      </top>
      <bottom style="thin">
        <color indexed="63"/>
      </bottom>
      <diagonal/>
    </border>
    <border>
      <left/>
      <right style="thin">
        <color indexed="63"/>
      </right>
      <top style="thin">
        <color indexed="64"/>
      </top>
      <bottom style="thin">
        <color indexed="63"/>
      </bottom>
      <diagonal/>
    </border>
    <border>
      <left/>
      <right style="thin">
        <color indexed="64"/>
      </right>
      <top style="thin">
        <color indexed="64"/>
      </top>
      <bottom style="thin">
        <color theme="0" tint="-0.249977111117893"/>
      </bottom>
      <diagonal/>
    </border>
    <border>
      <left/>
      <right/>
      <top style="thin">
        <color indexed="64"/>
      </top>
      <bottom style="thin">
        <color theme="0" tint="-0.249977111117893"/>
      </bottom>
      <diagonal/>
    </border>
    <border>
      <left style="thin">
        <color indexed="63"/>
      </left>
      <right/>
      <top style="thin">
        <color indexed="63"/>
      </top>
      <bottom/>
      <diagonal/>
    </border>
    <border>
      <left/>
      <right/>
      <top style="thin">
        <color indexed="63"/>
      </top>
      <bottom/>
      <diagonal/>
    </border>
    <border>
      <left/>
      <right style="thin">
        <color indexed="63"/>
      </right>
      <top style="thin">
        <color indexed="6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3"/>
      </left>
      <right/>
      <top style="thin">
        <color indexed="63"/>
      </top>
      <bottom style="thin">
        <color indexed="63"/>
      </bottom>
      <diagonal/>
    </border>
    <border>
      <left/>
      <right/>
      <top style="thin">
        <color indexed="63"/>
      </top>
      <bottom style="thin">
        <color indexed="63"/>
      </bottom>
      <diagonal/>
    </border>
    <border>
      <left/>
      <right style="thin">
        <color rgb="FF000000"/>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thin">
        <color theme="0" tint="-0.249977111117893"/>
      </left>
      <right style="thin">
        <color theme="0" tint="-0.249977111117893"/>
      </right>
      <top style="thin">
        <color theme="0" tint="-0.249977111117893"/>
      </top>
      <bottom/>
      <diagonal/>
    </border>
  </borders>
  <cellStyleXfs count="157">
    <xf numFmtId="0" fontId="0" fillId="0" borderId="0"/>
    <xf numFmtId="170"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lignment vertical="center"/>
    </xf>
    <xf numFmtId="0" fontId="22" fillId="0" borderId="0"/>
    <xf numFmtId="168" fontId="22" fillId="0" borderId="0" applyFont="0" applyFill="0" applyBorder="0" applyAlignment="0" applyProtection="0"/>
    <xf numFmtId="182" fontId="22" fillId="0" borderId="0" applyFont="0" applyFill="0" applyBorder="0" applyAlignment="0" applyProtection="0"/>
    <xf numFmtId="181" fontId="25" fillId="0" borderId="0" applyFont="0" applyFill="0" applyBorder="0" applyAlignment="0" applyProtection="0"/>
    <xf numFmtId="180" fontId="22" fillId="0" borderId="0" applyFont="0" applyFill="0" applyBorder="0" applyAlignment="0" applyProtection="0"/>
    <xf numFmtId="167" fontId="22" fillId="0" borderId="0" applyFont="0" applyFill="0" applyBorder="0" applyAlignment="0" applyProtection="0"/>
    <xf numFmtId="179"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7" fontId="29" fillId="0" borderId="0">
      <protection locked="0"/>
    </xf>
    <xf numFmtId="177" fontId="29" fillId="0" borderId="0">
      <protection locked="0"/>
    </xf>
    <xf numFmtId="0" fontId="28" fillId="0" borderId="0" applyNumberFormat="0" applyFill="0" applyBorder="0" applyAlignment="0" applyProtection="0"/>
    <xf numFmtId="0" fontId="27" fillId="0" borderId="0" applyNumberFormat="0" applyFill="0" applyBorder="0" applyAlignment="0" applyProtection="0"/>
    <xf numFmtId="176" fontId="26" fillId="0" borderId="0">
      <protection locked="0"/>
    </xf>
    <xf numFmtId="2" fontId="22" fillId="0" borderId="0" applyFont="0" applyFill="0" applyBorder="0" applyAlignment="0" applyProtection="0"/>
    <xf numFmtId="0" fontId="22" fillId="0" borderId="0" applyFont="0" applyFill="0" applyBorder="0" applyAlignment="0" applyProtection="0"/>
    <xf numFmtId="175" fontId="22" fillId="0" borderId="0" applyFont="0" applyFill="0" applyBorder="0" applyAlignment="0" applyProtection="0"/>
    <xf numFmtId="0" fontId="28" fillId="0" borderId="0" applyNumberFormat="0" applyFill="0" applyBorder="0" applyAlignment="0" applyProtection="0"/>
    <xf numFmtId="174" fontId="26" fillId="0" borderId="0">
      <protection locked="0"/>
    </xf>
    <xf numFmtId="173" fontId="22" fillId="0" borderId="0" applyFill="0" applyBorder="0" applyAlignment="0" applyProtection="0"/>
    <xf numFmtId="172" fontId="26" fillId="0" borderId="0">
      <protection locked="0"/>
    </xf>
    <xf numFmtId="3" fontId="22" fillId="0" borderId="0" applyFill="0" applyBorder="0" applyAlignment="0" applyProtection="0"/>
    <xf numFmtId="4" fontId="26" fillId="0" borderId="0">
      <protection locked="0"/>
    </xf>
    <xf numFmtId="0" fontId="22" fillId="0" borderId="0"/>
    <xf numFmtId="0" fontId="22" fillId="0" borderId="0"/>
    <xf numFmtId="0" fontId="22" fillId="0" borderId="0"/>
    <xf numFmtId="171" fontId="24" fillId="0" borderId="0" applyFont="0" applyFill="0" applyBorder="0" applyAlignment="0" applyProtection="0"/>
    <xf numFmtId="0" fontId="24" fillId="8" borderId="8" applyNumberFormat="0" applyFont="0" applyAlignment="0" applyProtection="0"/>
    <xf numFmtId="166" fontId="30" fillId="0" borderId="0" applyFont="0" applyFill="0" applyBorder="0" applyAlignment="0" applyProtection="0"/>
    <xf numFmtId="179" fontId="22" fillId="0" borderId="0" applyFont="0" applyFill="0" applyBorder="0" applyAlignment="0" applyProtection="0"/>
    <xf numFmtId="174" fontId="22" fillId="0" borderId="0" applyFont="0" applyFill="0" applyBorder="0" applyAlignment="0" applyProtection="0"/>
    <xf numFmtId="183" fontId="22" fillId="0" borderId="0" applyFont="0" applyFill="0" applyBorder="0" applyAlignment="0" applyProtection="0"/>
    <xf numFmtId="43" fontId="22" fillId="0" borderId="0" applyFont="0" applyFill="0" applyBorder="0" applyAlignment="0" applyProtection="0"/>
    <xf numFmtId="171" fontId="1" fillId="0" borderId="0" applyFont="0" applyFill="0" applyBorder="0" applyAlignment="0" applyProtection="0"/>
    <xf numFmtId="43" fontId="24"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5" fillId="0" borderId="0" applyFont="0" applyFill="0" applyBorder="0" applyAlignment="0" applyProtection="0"/>
    <xf numFmtId="0" fontId="22" fillId="0" borderId="0" applyFont="0" applyFill="0" applyBorder="0" applyAlignment="0" applyProtection="0"/>
    <xf numFmtId="171" fontId="22" fillId="0" borderId="0" applyFont="0" applyFill="0" applyBorder="0" applyAlignment="0" applyProtection="0"/>
    <xf numFmtId="165" fontId="22" fillId="0" borderId="0" applyFont="0" applyFill="0" applyBorder="0" applyAlignment="0" applyProtection="0"/>
    <xf numFmtId="0" fontId="22" fillId="0" borderId="0" applyFont="0" applyFill="0" applyBorder="0" applyAlignment="0" applyProtection="0"/>
    <xf numFmtId="181" fontId="22" fillId="0" borderId="0" applyFont="0" applyFill="0" applyBorder="0" applyAlignment="0" applyProtection="0"/>
    <xf numFmtId="0" fontId="22"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82" fontId="22" fillId="0" borderId="0" applyNumberFormat="0" applyFill="0" applyBorder="0" applyAlignment="0" applyProtection="0"/>
    <xf numFmtId="170" fontId="1" fillId="0" borderId="0" applyFont="0" applyFill="0" applyBorder="0" applyAlignment="0" applyProtection="0"/>
    <xf numFmtId="182" fontId="22" fillId="0" borderId="0" applyFont="0" applyFill="0" applyBorder="0" applyAlignment="0" applyProtection="0"/>
    <xf numFmtId="165" fontId="22" fillId="0" borderId="0" applyFont="0" applyFill="0" applyBorder="0" applyAlignment="0" applyProtection="0"/>
    <xf numFmtId="182" fontId="22" fillId="0" borderId="0" applyFont="0" applyFill="0" applyBorder="0" applyAlignment="0" applyProtection="0"/>
    <xf numFmtId="182" fontId="22" fillId="0" borderId="0" applyFont="0" applyFill="0" applyBorder="0" applyAlignment="0" applyProtection="0"/>
    <xf numFmtId="165"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182" fontId="22" fillId="0" borderId="0" applyFont="0" applyFill="0" applyBorder="0" applyAlignment="0" applyProtection="0"/>
    <xf numFmtId="175" fontId="22" fillId="0" borderId="0" applyFont="0" applyFill="0" applyBorder="0" applyAlignment="0" applyProtection="0"/>
    <xf numFmtId="184" fontId="22" fillId="0" borderId="0" applyFont="0" applyFill="0" applyBorder="0" applyAlignment="0" applyProtection="0"/>
    <xf numFmtId="185" fontId="22" fillId="0" borderId="0" applyFont="0" applyFill="0" applyBorder="0" applyAlignment="0" applyProtection="0"/>
    <xf numFmtId="186" fontId="31" fillId="0" borderId="0"/>
    <xf numFmtId="0" fontId="22" fillId="0" borderId="0"/>
    <xf numFmtId="0" fontId="31" fillId="0" borderId="0"/>
    <xf numFmtId="0" fontId="22" fillId="0" borderId="0"/>
    <xf numFmtId="0" fontId="22" fillId="0" borderId="0"/>
    <xf numFmtId="0" fontId="32" fillId="0" borderId="0"/>
    <xf numFmtId="0" fontId="22" fillId="0" borderId="0">
      <alignment wrapText="1"/>
    </xf>
    <xf numFmtId="0" fontId="22" fillId="0" borderId="0"/>
    <xf numFmtId="0" fontId="1" fillId="0" borderId="0"/>
    <xf numFmtId="187" fontId="26" fillId="0" borderId="0">
      <protection locked="0"/>
    </xf>
    <xf numFmtId="188" fontId="23" fillId="0" borderId="0"/>
    <xf numFmtId="9" fontId="25"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xf numFmtId="9" fontId="25"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alignment wrapText="1"/>
    </xf>
    <xf numFmtId="9" fontId="24" fillId="0" borderId="0" applyFont="0" applyFill="0" applyBorder="0" applyAlignment="0" applyProtection="0"/>
    <xf numFmtId="9" fontId="22" fillId="0" borderId="0" applyFont="0" applyFill="0" applyBorder="0" applyAlignment="0" applyProtection="0">
      <alignment wrapText="1"/>
    </xf>
    <xf numFmtId="9" fontId="22" fillId="0" borderId="0" applyFont="0" applyFill="0" applyBorder="0" applyAlignment="0" applyProtection="0"/>
    <xf numFmtId="9" fontId="22" fillId="0" borderId="0" applyFont="0" applyFill="0" applyBorder="0" applyAlignment="0" applyProtection="0"/>
    <xf numFmtId="3" fontId="22" fillId="0" borderId="0" applyFont="0" applyFill="0" applyBorder="0" applyAlignment="0" applyProtection="0"/>
    <xf numFmtId="0" fontId="35" fillId="0" borderId="0"/>
    <xf numFmtId="0" fontId="22" fillId="0" borderId="0"/>
    <xf numFmtId="168" fontId="22" fillId="0" borderId="0" applyFont="0" applyFill="0" applyBorder="0" applyAlignment="0" applyProtection="0"/>
    <xf numFmtId="171" fontId="24" fillId="0" borderId="0" applyFont="0" applyFill="0" applyBorder="0" applyAlignment="0" applyProtection="0"/>
    <xf numFmtId="9" fontId="1" fillId="0" borderId="0" applyFont="0" applyFill="0" applyBorder="0" applyAlignment="0" applyProtection="0"/>
    <xf numFmtId="0" fontId="22" fillId="0" borderId="0"/>
    <xf numFmtId="191" fontId="22" fillId="0" borderId="0" applyFont="0" applyFill="0" applyBorder="0" applyAlignment="0" applyProtection="0"/>
    <xf numFmtId="0" fontId="44" fillId="0" borderId="0" applyNumberFormat="0" applyFill="0" applyBorder="0" applyAlignment="0" applyProtection="0">
      <alignment vertical="top"/>
      <protection locked="0"/>
    </xf>
    <xf numFmtId="0" fontId="22" fillId="0" borderId="0"/>
    <xf numFmtId="195" fontId="24" fillId="0" borderId="0" applyFill="0" applyBorder="0" applyAlignment="0" applyProtection="0"/>
    <xf numFmtId="0" fontId="22" fillId="0" borderId="0"/>
    <xf numFmtId="9" fontId="24" fillId="0" borderId="0" applyFill="0" applyBorder="0" applyAlignment="0" applyProtection="0"/>
    <xf numFmtId="43" fontId="24"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3" fontId="22"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5" fontId="22"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42" fontId="1" fillId="0" borderId="0" applyFont="0" applyFill="0" applyBorder="0" applyAlignment="0" applyProtection="0"/>
    <xf numFmtId="165" fontId="1" fillId="0" borderId="0" applyFont="0" applyFill="0" applyBorder="0" applyAlignment="0" applyProtection="0"/>
    <xf numFmtId="0" fontId="44" fillId="0" borderId="0" applyNumberFormat="0" applyFill="0" applyBorder="0" applyAlignment="0" applyProtection="0">
      <alignment vertical="top"/>
      <protection locked="0"/>
    </xf>
    <xf numFmtId="44" fontId="1" fillId="0" borderId="0" applyFont="0" applyFill="0" applyBorder="0" applyAlignment="0" applyProtection="0"/>
    <xf numFmtId="43" fontId="1" fillId="0" borderId="0" applyFont="0" applyFill="0" applyBorder="0" applyAlignment="0" applyProtection="0"/>
  </cellStyleXfs>
  <cellXfs count="628">
    <xf numFmtId="0" fontId="0" fillId="0" borderId="0" xfId="0"/>
    <xf numFmtId="0" fontId="0" fillId="0" borderId="13" xfId="0" applyBorder="1"/>
    <xf numFmtId="0" fontId="38" fillId="34" borderId="0" xfId="0" applyFont="1" applyFill="1" applyAlignment="1">
      <alignment horizontal="center" vertical="center" wrapText="1"/>
    </xf>
    <xf numFmtId="0" fontId="19" fillId="34" borderId="0" xfId="0" applyFont="1" applyFill="1"/>
    <xf numFmtId="0" fontId="19" fillId="0" borderId="0" xfId="0" applyFont="1"/>
    <xf numFmtId="0" fontId="0" fillId="0" borderId="13" xfId="0" applyBorder="1" applyAlignment="1">
      <alignment horizontal="center"/>
    </xf>
    <xf numFmtId="0" fontId="19" fillId="0" borderId="17" xfId="0" applyFont="1" applyBorder="1" applyAlignment="1">
      <alignment horizontal="center"/>
    </xf>
    <xf numFmtId="0" fontId="0" fillId="0" borderId="13" xfId="0" applyBorder="1" applyAlignment="1">
      <alignment horizontal="justify" vertical="center" wrapText="1"/>
    </xf>
    <xf numFmtId="0" fontId="33" fillId="34" borderId="13" xfId="0" applyFont="1" applyFill="1" applyBorder="1" applyAlignment="1">
      <alignment horizontal="center" vertical="center"/>
    </xf>
    <xf numFmtId="0" fontId="0" fillId="34" borderId="0" xfId="0" applyFill="1" applyAlignment="1">
      <alignment vertical="center"/>
    </xf>
    <xf numFmtId="0" fontId="33" fillId="34" borderId="11" xfId="0" applyFont="1" applyFill="1" applyBorder="1" applyAlignment="1">
      <alignment horizontal="center" vertical="center"/>
    </xf>
    <xf numFmtId="0" fontId="33" fillId="34" borderId="17" xfId="0" applyFont="1" applyFill="1" applyBorder="1" applyAlignment="1">
      <alignment horizontal="center" vertical="center"/>
    </xf>
    <xf numFmtId="170" fontId="33" fillId="34" borderId="21" xfId="1" applyFont="1" applyFill="1" applyBorder="1" applyAlignment="1">
      <alignment horizontal="center" vertical="center"/>
    </xf>
    <xf numFmtId="0" fontId="21" fillId="34" borderId="11" xfId="0" applyFont="1" applyFill="1" applyBorder="1" applyAlignment="1">
      <alignment horizontal="left" vertical="center"/>
    </xf>
    <xf numFmtId="0" fontId="21" fillId="34" borderId="17" xfId="0" applyFont="1" applyFill="1" applyBorder="1" applyAlignment="1">
      <alignment horizontal="center" vertical="center"/>
    </xf>
    <xf numFmtId="170" fontId="34" fillId="34" borderId="21" xfId="1" applyFont="1" applyFill="1" applyBorder="1" applyAlignment="1">
      <alignment horizontal="center" vertical="center"/>
    </xf>
    <xf numFmtId="0" fontId="22" fillId="34" borderId="11" xfId="43" applyFill="1" applyBorder="1" applyAlignment="1">
      <alignment vertical="center" wrapText="1"/>
    </xf>
    <xf numFmtId="170" fontId="34" fillId="34" borderId="21" xfId="1" applyFont="1" applyFill="1" applyBorder="1" applyAlignment="1">
      <alignment vertical="center"/>
    </xf>
    <xf numFmtId="0" fontId="22" fillId="34" borderId="16" xfId="43" applyFill="1" applyBorder="1" applyAlignment="1">
      <alignment vertical="center" wrapText="1"/>
    </xf>
    <xf numFmtId="0" fontId="21" fillId="34" borderId="13" xfId="0" applyFont="1" applyFill="1" applyBorder="1" applyAlignment="1">
      <alignment horizontal="center" vertical="center"/>
    </xf>
    <xf numFmtId="170" fontId="34" fillId="34" borderId="14" xfId="1" applyFont="1" applyFill="1" applyBorder="1" applyAlignment="1">
      <alignment vertical="center"/>
    </xf>
    <xf numFmtId="0" fontId="36" fillId="34" borderId="13" xfId="130" applyFont="1" applyFill="1" applyBorder="1" applyAlignment="1">
      <alignment horizontal="left" vertical="center" wrapText="1"/>
    </xf>
    <xf numFmtId="170" fontId="34" fillId="34" borderId="13" xfId="1" applyFont="1" applyFill="1" applyBorder="1" applyAlignment="1">
      <alignment vertical="center"/>
    </xf>
    <xf numFmtId="169" fontId="21" fillId="34" borderId="13" xfId="0" applyNumberFormat="1" applyFont="1" applyFill="1" applyBorder="1" applyAlignment="1">
      <alignment horizontal="center" vertical="center"/>
    </xf>
    <xf numFmtId="0" fontId="20" fillId="34" borderId="16" xfId="43" applyFont="1" applyFill="1" applyBorder="1" applyAlignment="1">
      <alignment vertical="center" wrapText="1"/>
    </xf>
    <xf numFmtId="0" fontId="22" fillId="34" borderId="16" xfId="43" applyFill="1" applyBorder="1" applyAlignment="1">
      <alignment vertical="center"/>
    </xf>
    <xf numFmtId="0" fontId="35" fillId="34" borderId="16" xfId="43" applyFont="1" applyFill="1" applyBorder="1" applyAlignment="1">
      <alignment vertical="center" wrapText="1"/>
    </xf>
    <xf numFmtId="0" fontId="20" fillId="34" borderId="0" xfId="43" applyFont="1" applyFill="1" applyAlignment="1">
      <alignment vertical="center" wrapText="1"/>
    </xf>
    <xf numFmtId="0" fontId="22" fillId="34" borderId="13" xfId="0" applyFont="1" applyFill="1" applyBorder="1" applyAlignment="1">
      <alignment vertical="center" wrapText="1"/>
    </xf>
    <xf numFmtId="0" fontId="21" fillId="34" borderId="13" xfId="0" applyFont="1" applyFill="1" applyBorder="1" applyAlignment="1">
      <alignment horizontal="left" vertical="center" wrapText="1"/>
    </xf>
    <xf numFmtId="0" fontId="21" fillId="34" borderId="13" xfId="0" applyFont="1" applyFill="1" applyBorder="1" applyAlignment="1">
      <alignment vertical="center" wrapText="1"/>
    </xf>
    <xf numFmtId="0" fontId="22" fillId="34" borderId="0" xfId="43" applyFill="1" applyAlignment="1">
      <alignment vertical="center" wrapText="1"/>
    </xf>
    <xf numFmtId="0" fontId="22" fillId="34" borderId="16" xfId="131" applyFill="1" applyBorder="1" applyAlignment="1">
      <alignment horizontal="justify" vertical="center" wrapText="1"/>
    </xf>
    <xf numFmtId="0" fontId="22" fillId="34" borderId="0" xfId="43" applyFill="1" applyAlignment="1">
      <alignment vertical="center"/>
    </xf>
    <xf numFmtId="0" fontId="21" fillId="34" borderId="16" xfId="0" applyFont="1" applyFill="1" applyBorder="1" applyAlignment="1">
      <alignment vertical="center" wrapText="1"/>
    </xf>
    <xf numFmtId="0" fontId="35" fillId="34" borderId="0" xfId="43" applyFont="1" applyFill="1" applyAlignment="1">
      <alignment vertical="center" wrapText="1"/>
    </xf>
    <xf numFmtId="0" fontId="22" fillId="34" borderId="20" xfId="43" applyFill="1" applyBorder="1" applyAlignment="1">
      <alignment vertical="center" wrapText="1"/>
    </xf>
    <xf numFmtId="0" fontId="35" fillId="34" borderId="16" xfId="43" applyFont="1" applyFill="1" applyBorder="1" applyAlignment="1">
      <alignment vertical="center"/>
    </xf>
    <xf numFmtId="0" fontId="22" fillId="34" borderId="20" xfId="43" applyFill="1" applyBorder="1" applyAlignment="1">
      <alignment vertical="center"/>
    </xf>
    <xf numFmtId="0" fontId="20" fillId="34" borderId="20" xfId="43" applyFont="1" applyFill="1" applyBorder="1" applyAlignment="1">
      <alignment vertical="center" wrapText="1"/>
    </xf>
    <xf numFmtId="170" fontId="37" fillId="34" borderId="13" xfId="0" applyNumberFormat="1" applyFont="1" applyFill="1" applyBorder="1" applyAlignment="1">
      <alignment vertical="center"/>
    </xf>
    <xf numFmtId="0" fontId="21" fillId="34" borderId="18" xfId="0" applyFont="1" applyFill="1" applyBorder="1" applyAlignment="1">
      <alignment horizontal="center" vertical="center"/>
    </xf>
    <xf numFmtId="170" fontId="34" fillId="34" borderId="22" xfId="1" applyFont="1" applyFill="1" applyBorder="1" applyAlignment="1">
      <alignment vertical="center"/>
    </xf>
    <xf numFmtId="0" fontId="39" fillId="34" borderId="0" xfId="0" applyFont="1" applyFill="1" applyAlignment="1">
      <alignment horizontal="left" vertical="center"/>
    </xf>
    <xf numFmtId="170" fontId="0" fillId="34" borderId="0" xfId="1" applyFont="1" applyFill="1" applyAlignment="1">
      <alignment vertical="center"/>
    </xf>
    <xf numFmtId="0" fontId="22" fillId="0" borderId="13" xfId="43" applyBorder="1" applyAlignment="1">
      <alignment horizontal="center" vertical="center"/>
    </xf>
    <xf numFmtId="0" fontId="22" fillId="34" borderId="13" xfId="43" applyFill="1" applyBorder="1" applyAlignment="1">
      <alignment horizontal="center" vertical="center"/>
    </xf>
    <xf numFmtId="170" fontId="0" fillId="34" borderId="0" xfId="0" applyNumberFormat="1" applyFill="1" applyAlignment="1">
      <alignment vertical="center"/>
    </xf>
    <xf numFmtId="0" fontId="0" fillId="34" borderId="13" xfId="0" applyFill="1" applyBorder="1" applyAlignment="1">
      <alignment vertical="center"/>
    </xf>
    <xf numFmtId="2" fontId="0" fillId="34" borderId="13" xfId="0" applyNumberFormat="1" applyFill="1" applyBorder="1" applyAlignment="1">
      <alignment vertical="center"/>
    </xf>
    <xf numFmtId="190" fontId="0" fillId="0" borderId="0" xfId="1" applyNumberFormat="1" applyFont="1"/>
    <xf numFmtId="190" fontId="19" fillId="0" borderId="13" xfId="1" applyNumberFormat="1" applyFont="1" applyBorder="1"/>
    <xf numFmtId="0" fontId="41" fillId="35" borderId="13" xfId="0" applyFont="1" applyFill="1" applyBorder="1" applyAlignment="1">
      <alignment horizontal="center" wrapText="1"/>
    </xf>
    <xf numFmtId="0" fontId="21" fillId="35" borderId="13" xfId="131" applyFont="1" applyFill="1" applyBorder="1" applyAlignment="1">
      <alignment horizontal="justify" vertical="center" wrapText="1"/>
    </xf>
    <xf numFmtId="0" fontId="19" fillId="35" borderId="17" xfId="0" applyFont="1" applyFill="1" applyBorder="1" applyAlignment="1">
      <alignment horizontal="center"/>
    </xf>
    <xf numFmtId="169" fontId="0" fillId="0" borderId="0" xfId="0" applyNumberFormat="1"/>
    <xf numFmtId="0" fontId="22" fillId="36" borderId="13" xfId="0" applyFont="1" applyFill="1" applyBorder="1" applyProtection="1">
      <protection locked="0"/>
    </xf>
    <xf numFmtId="1" fontId="0" fillId="0" borderId="0" xfId="0" applyNumberFormat="1"/>
    <xf numFmtId="9" fontId="0" fillId="0" borderId="0" xfId="134" applyFont="1"/>
    <xf numFmtId="189" fontId="0" fillId="0" borderId="0" xfId="0" applyNumberFormat="1"/>
    <xf numFmtId="0" fontId="45" fillId="37" borderId="26" xfId="138" applyFont="1" applyFill="1" applyBorder="1" applyAlignment="1">
      <alignment horizontal="center" vertical="center" wrapText="1"/>
    </xf>
    <xf numFmtId="0" fontId="45" fillId="37" borderId="25" xfId="138" applyFont="1" applyFill="1" applyBorder="1" applyAlignment="1">
      <alignment horizontal="center" vertical="center"/>
    </xf>
    <xf numFmtId="0" fontId="48" fillId="37" borderId="31" xfId="138" applyFont="1" applyFill="1" applyBorder="1"/>
    <xf numFmtId="195" fontId="48" fillId="37" borderId="31" xfId="139" applyFont="1" applyFill="1" applyBorder="1"/>
    <xf numFmtId="0" fontId="48" fillId="0" borderId="32" xfId="138" applyFont="1" applyBorder="1" applyAlignment="1">
      <alignment horizontal="center" vertical="center"/>
    </xf>
    <xf numFmtId="0" fontId="48" fillId="37" borderId="33" xfId="138" applyFont="1" applyFill="1" applyBorder="1"/>
    <xf numFmtId="195" fontId="48" fillId="37" borderId="33" xfId="139" applyFont="1" applyFill="1" applyBorder="1"/>
    <xf numFmtId="195" fontId="48" fillId="0" borderId="13" xfId="139" applyFont="1" applyBorder="1" applyAlignment="1">
      <alignment horizontal="center" vertical="center"/>
    </xf>
    <xf numFmtId="197" fontId="48" fillId="37" borderId="25" xfId="138" applyNumberFormat="1" applyFont="1" applyFill="1" applyBorder="1"/>
    <xf numFmtId="9" fontId="48" fillId="37" borderId="31" xfId="141" applyFont="1" applyFill="1" applyBorder="1" applyAlignment="1">
      <alignment horizontal="center"/>
    </xf>
    <xf numFmtId="198" fontId="48" fillId="37" borderId="25" xfId="138" applyNumberFormat="1" applyFont="1" applyFill="1" applyBorder="1"/>
    <xf numFmtId="0" fontId="48" fillId="37" borderId="30" xfId="138" applyFont="1" applyFill="1" applyBorder="1"/>
    <xf numFmtId="195" fontId="48" fillId="37" borderId="30" xfId="139" applyFont="1" applyFill="1" applyBorder="1"/>
    <xf numFmtId="0" fontId="48" fillId="37" borderId="0" xfId="138" applyFont="1" applyFill="1"/>
    <xf numFmtId="195" fontId="48" fillId="37" borderId="0" xfId="139" applyFont="1" applyFill="1"/>
    <xf numFmtId="197" fontId="48" fillId="37" borderId="33" xfId="138" applyNumberFormat="1" applyFont="1" applyFill="1" applyBorder="1"/>
    <xf numFmtId="196" fontId="48" fillId="37" borderId="33" xfId="138" applyNumberFormat="1" applyFont="1" applyFill="1" applyBorder="1"/>
    <xf numFmtId="197" fontId="45" fillId="37" borderId="20" xfId="138" applyNumberFormat="1" applyFont="1" applyFill="1" applyBorder="1" applyAlignment="1">
      <alignment horizontal="center" vertical="center"/>
    </xf>
    <xf numFmtId="197" fontId="45" fillId="37" borderId="19" xfId="138" applyNumberFormat="1" applyFont="1" applyFill="1" applyBorder="1" applyAlignment="1">
      <alignment vertical="center"/>
    </xf>
    <xf numFmtId="0" fontId="36" fillId="0" borderId="0" xfId="43" applyFont="1"/>
    <xf numFmtId="0" fontId="50" fillId="0" borderId="0" xfId="0" applyFont="1"/>
    <xf numFmtId="0" fontId="47" fillId="34" borderId="12" xfId="43" applyFont="1" applyFill="1" applyBorder="1" applyAlignment="1">
      <alignment horizontal="left" vertical="center"/>
    </xf>
    <xf numFmtId="0" fontId="46" fillId="34" borderId="0" xfId="43" applyFont="1" applyFill="1" applyAlignment="1">
      <alignment vertical="center"/>
    </xf>
    <xf numFmtId="0" fontId="45" fillId="34" borderId="0" xfId="43" applyFont="1" applyFill="1" applyAlignment="1">
      <alignment horizontal="left" vertical="center"/>
    </xf>
    <xf numFmtId="0" fontId="51" fillId="34" borderId="0" xfId="43" applyFont="1" applyFill="1" applyAlignment="1">
      <alignment horizontal="center" vertical="center"/>
    </xf>
    <xf numFmtId="170" fontId="51" fillId="0" borderId="14" xfId="1" applyFont="1" applyBorder="1" applyAlignment="1">
      <alignment vertical="center"/>
    </xf>
    <xf numFmtId="2" fontId="51" fillId="0" borderId="13" xfId="1" applyNumberFormat="1" applyFont="1" applyBorder="1" applyAlignment="1">
      <alignment vertical="center"/>
    </xf>
    <xf numFmtId="169" fontId="45" fillId="0" borderId="14" xfId="43" applyNumberFormat="1" applyFont="1" applyBorder="1" applyAlignment="1">
      <alignment vertical="center"/>
    </xf>
    <xf numFmtId="0" fontId="51" fillId="0" borderId="13" xfId="43" applyFont="1" applyBorder="1" applyAlignment="1">
      <alignment horizontal="center" vertical="center" wrapText="1"/>
    </xf>
    <xf numFmtId="170" fontId="51" fillId="0" borderId="13" xfId="1" applyFont="1" applyBorder="1" applyAlignment="1">
      <alignment horizontal="center" vertical="center" wrapText="1"/>
    </xf>
    <xf numFmtId="0" fontId="51" fillId="0" borderId="13" xfId="1" applyNumberFormat="1" applyFont="1" applyBorder="1" applyAlignment="1">
      <alignment vertical="center"/>
    </xf>
    <xf numFmtId="2" fontId="51" fillId="0" borderId="15" xfId="43" applyNumberFormat="1" applyFont="1" applyBorder="1" applyAlignment="1">
      <alignment vertical="center" wrapText="1"/>
    </xf>
    <xf numFmtId="2" fontId="51" fillId="0" borderId="14" xfId="43" applyNumberFormat="1" applyFont="1" applyBorder="1" applyAlignment="1">
      <alignment vertical="center" wrapText="1"/>
    </xf>
    <xf numFmtId="170" fontId="51" fillId="0" borderId="13" xfId="1" applyFont="1" applyBorder="1" applyAlignment="1">
      <alignment vertical="center"/>
    </xf>
    <xf numFmtId="169" fontId="51" fillId="0" borderId="13" xfId="43" applyNumberFormat="1" applyFont="1" applyBorder="1" applyAlignment="1">
      <alignment vertical="center"/>
    </xf>
    <xf numFmtId="169" fontId="45" fillId="0" borderId="13" xfId="43" applyNumberFormat="1" applyFont="1" applyBorder="1" applyAlignment="1">
      <alignment vertical="center"/>
    </xf>
    <xf numFmtId="0" fontId="46" fillId="0" borderId="15" xfId="43" applyFont="1" applyBorder="1" applyAlignment="1">
      <alignment vertical="center"/>
    </xf>
    <xf numFmtId="0" fontId="46" fillId="0" borderId="14" xfId="43" applyFont="1" applyBorder="1" applyAlignment="1">
      <alignment vertical="center"/>
    </xf>
    <xf numFmtId="0" fontId="46" fillId="0" borderId="13" xfId="43" applyFont="1" applyBorder="1" applyAlignment="1">
      <alignment vertical="center"/>
    </xf>
    <xf numFmtId="0" fontId="48" fillId="0" borderId="13" xfId="43" applyFont="1" applyBorder="1" applyAlignment="1">
      <alignment horizontal="center" vertical="center"/>
    </xf>
    <xf numFmtId="0" fontId="48" fillId="0" borderId="15" xfId="43" applyFont="1" applyBorder="1" applyAlignment="1">
      <alignment vertical="center" wrapText="1"/>
    </xf>
    <xf numFmtId="0" fontId="48" fillId="0" borderId="13" xfId="43" applyFont="1" applyBorder="1" applyAlignment="1">
      <alignment vertical="center" wrapText="1"/>
    </xf>
    <xf numFmtId="0" fontId="48" fillId="37" borderId="33" xfId="138" applyFont="1" applyFill="1" applyBorder="1" applyAlignment="1">
      <alignment horizontal="left" vertical="center" wrapText="1"/>
    </xf>
    <xf numFmtId="0" fontId="48" fillId="37" borderId="31" xfId="138" applyFont="1" applyFill="1" applyBorder="1" applyAlignment="1">
      <alignment horizontal="left" vertical="center" wrapText="1"/>
    </xf>
    <xf numFmtId="0" fontId="45" fillId="37" borderId="36" xfId="138" applyFont="1" applyFill="1" applyBorder="1" applyAlignment="1">
      <alignment horizontal="center" vertical="center"/>
    </xf>
    <xf numFmtId="2" fontId="0" fillId="0" borderId="0" xfId="0" applyNumberFormat="1"/>
    <xf numFmtId="169" fontId="45" fillId="0" borderId="21" xfId="43" applyNumberFormat="1" applyFont="1" applyBorder="1" applyAlignment="1">
      <alignment vertical="center"/>
    </xf>
    <xf numFmtId="189" fontId="51" fillId="0" borderId="21" xfId="43" applyNumberFormat="1" applyFont="1" applyBorder="1" applyAlignment="1">
      <alignment vertical="center"/>
    </xf>
    <xf numFmtId="189" fontId="51" fillId="0" borderId="37" xfId="43" applyNumberFormat="1" applyFont="1" applyBorder="1" applyAlignment="1">
      <alignment vertical="center"/>
    </xf>
    <xf numFmtId="0" fontId="49" fillId="0" borderId="38" xfId="43" applyFont="1" applyBorder="1" applyAlignment="1">
      <alignment vertical="center"/>
    </xf>
    <xf numFmtId="189" fontId="51" fillId="0" borderId="17" xfId="43" applyNumberFormat="1" applyFont="1" applyBorder="1" applyAlignment="1">
      <alignment vertical="center"/>
    </xf>
    <xf numFmtId="189" fontId="51" fillId="0" borderId="38" xfId="43" applyNumberFormat="1" applyFont="1" applyBorder="1" applyAlignment="1">
      <alignment vertical="center"/>
    </xf>
    <xf numFmtId="189" fontId="51" fillId="0" borderId="13" xfId="43" applyNumberFormat="1" applyFont="1" applyBorder="1" applyAlignment="1">
      <alignment vertical="center"/>
    </xf>
    <xf numFmtId="0" fontId="54" fillId="34" borderId="0" xfId="0" applyFont="1" applyFill="1" applyAlignment="1">
      <alignment vertical="center"/>
    </xf>
    <xf numFmtId="0" fontId="55" fillId="34" borderId="13" xfId="0" applyFont="1" applyFill="1" applyBorder="1" applyAlignment="1">
      <alignment horizontal="center" vertical="center"/>
    </xf>
    <xf numFmtId="0" fontId="57" fillId="34" borderId="0" xfId="114" applyFont="1" applyFill="1" applyAlignment="1">
      <alignment vertical="center"/>
    </xf>
    <xf numFmtId="0" fontId="53" fillId="34" borderId="13" xfId="0" applyFont="1" applyFill="1" applyBorder="1" applyAlignment="1">
      <alignment horizontal="center" vertical="center"/>
    </xf>
    <xf numFmtId="44" fontId="0" fillId="0" borderId="0" xfId="0" applyNumberFormat="1"/>
    <xf numFmtId="0" fontId="0" fillId="0" borderId="35" xfId="0" applyBorder="1"/>
    <xf numFmtId="0" fontId="0" fillId="0" borderId="22" xfId="0" applyBorder="1"/>
    <xf numFmtId="9" fontId="0" fillId="0" borderId="0" xfId="0" applyNumberFormat="1"/>
    <xf numFmtId="9" fontId="0" fillId="0" borderId="0" xfId="0" applyNumberFormat="1" applyAlignment="1">
      <alignment horizontal="right"/>
    </xf>
    <xf numFmtId="199" fontId="0" fillId="0" borderId="0" xfId="0" applyNumberFormat="1"/>
    <xf numFmtId="192" fontId="0" fillId="0" borderId="0" xfId="0" applyNumberFormat="1"/>
    <xf numFmtId="0" fontId="0" fillId="0" borderId="12" xfId="0" applyBorder="1"/>
    <xf numFmtId="9" fontId="17" fillId="0" borderId="0" xfId="0" applyNumberFormat="1" applyFont="1"/>
    <xf numFmtId="9" fontId="17" fillId="0" borderId="0" xfId="0" applyNumberFormat="1" applyFont="1" applyAlignment="1">
      <alignment horizontal="right"/>
    </xf>
    <xf numFmtId="0" fontId="17" fillId="0" borderId="0" xfId="0" applyFont="1"/>
    <xf numFmtId="199" fontId="17" fillId="0" borderId="0" xfId="0" applyNumberFormat="1" applyFont="1"/>
    <xf numFmtId="9" fontId="61" fillId="0" borderId="0" xfId="0" applyNumberFormat="1" applyFont="1" applyAlignment="1">
      <alignment horizontal="center" vertical="center" wrapText="1"/>
    </xf>
    <xf numFmtId="0" fontId="62" fillId="0" borderId="0" xfId="0" applyFont="1" applyAlignment="1">
      <alignment horizontal="center" vertical="center" wrapText="1"/>
    </xf>
    <xf numFmtId="0" fontId="61" fillId="0" borderId="0" xfId="0" applyFont="1" applyAlignment="1">
      <alignment horizontal="center" vertical="center" wrapText="1"/>
    </xf>
    <xf numFmtId="192" fontId="61" fillId="0" borderId="0" xfId="0" applyNumberFormat="1" applyFont="1" applyAlignment="1">
      <alignment horizontal="center" vertical="center" wrapText="1"/>
    </xf>
    <xf numFmtId="0" fontId="42" fillId="0" borderId="19" xfId="0" applyFont="1" applyBorder="1"/>
    <xf numFmtId="9" fontId="62" fillId="0" borderId="0" xfId="0" applyNumberFormat="1" applyFont="1" applyAlignment="1">
      <alignment horizontal="justify" vertical="center" wrapText="1"/>
    </xf>
    <xf numFmtId="192" fontId="62" fillId="0" borderId="0" xfId="0" applyNumberFormat="1" applyFont="1" applyAlignment="1">
      <alignment horizontal="center" vertical="center" wrapText="1"/>
    </xf>
    <xf numFmtId="0" fontId="63" fillId="0" borderId="0" xfId="0" applyFont="1" applyAlignment="1">
      <alignment vertical="center"/>
    </xf>
    <xf numFmtId="9" fontId="63" fillId="0" borderId="0" xfId="0" applyNumberFormat="1" applyFont="1" applyAlignment="1">
      <alignment vertical="center"/>
    </xf>
    <xf numFmtId="9" fontId="65" fillId="0" borderId="0" xfId="0" applyNumberFormat="1" applyFont="1" applyAlignment="1">
      <alignment horizontal="justify" vertical="center" wrapText="1"/>
    </xf>
    <xf numFmtId="0" fontId="65" fillId="0" borderId="0" xfId="0" applyFont="1" applyAlignment="1">
      <alignment horizontal="center" vertical="center" wrapText="1"/>
    </xf>
    <xf numFmtId="164" fontId="65" fillId="0" borderId="0" xfId="0" applyNumberFormat="1" applyFont="1" applyAlignment="1">
      <alignment horizontal="center" vertical="center" wrapText="1"/>
    </xf>
    <xf numFmtId="192" fontId="65" fillId="0" borderId="0" xfId="0" applyNumberFormat="1" applyFont="1" applyAlignment="1">
      <alignment horizontal="center" vertical="center" wrapText="1"/>
    </xf>
    <xf numFmtId="3" fontId="63" fillId="0" borderId="0" xfId="0" applyNumberFormat="1" applyFont="1" applyAlignment="1">
      <alignment vertical="center"/>
    </xf>
    <xf numFmtId="9" fontId="63" fillId="0" borderId="0" xfId="0" applyNumberFormat="1" applyFont="1" applyAlignment="1">
      <alignment horizontal="right" vertical="center"/>
    </xf>
    <xf numFmtId="200" fontId="64" fillId="0" borderId="0" xfId="0" applyNumberFormat="1" applyFont="1" applyAlignment="1" applyProtection="1">
      <alignment vertical="center"/>
      <protection locked="0"/>
    </xf>
    <xf numFmtId="0" fontId="66" fillId="0" borderId="0" xfId="0" applyFont="1" applyAlignment="1">
      <alignment vertical="center"/>
    </xf>
    <xf numFmtId="0" fontId="67" fillId="0" borderId="0" xfId="0" applyFont="1" applyAlignment="1">
      <alignment horizontal="center" vertical="center" wrapText="1"/>
    </xf>
    <xf numFmtId="192" fontId="67" fillId="0" borderId="0" xfId="0" applyNumberFormat="1" applyFont="1" applyAlignment="1">
      <alignment horizontal="center" vertical="center" wrapText="1"/>
    </xf>
    <xf numFmtId="192" fontId="63" fillId="0" borderId="0" xfId="0" applyNumberFormat="1" applyFont="1" applyAlignment="1">
      <alignment vertical="center"/>
    </xf>
    <xf numFmtId="0" fontId="63" fillId="0" borderId="0" xfId="0" applyFont="1"/>
    <xf numFmtId="0" fontId="63" fillId="0" borderId="12" xfId="0" applyFont="1" applyBorder="1"/>
    <xf numFmtId="0" fontId="43" fillId="0" borderId="19" xfId="0" applyFont="1" applyBorder="1" applyAlignment="1">
      <alignment horizontal="center"/>
    </xf>
    <xf numFmtId="9" fontId="63" fillId="0" borderId="0" xfId="0" applyNumberFormat="1" applyFont="1" applyAlignment="1">
      <alignment horizontal="right"/>
    </xf>
    <xf numFmtId="3" fontId="63" fillId="0" borderId="0" xfId="0" applyNumberFormat="1" applyFont="1"/>
    <xf numFmtId="192" fontId="63" fillId="0" borderId="0" xfId="0" applyNumberFormat="1" applyFont="1"/>
    <xf numFmtId="0" fontId="68" fillId="0" borderId="19" xfId="0" applyFont="1" applyBorder="1" applyAlignment="1">
      <alignment horizontal="center" vertical="center"/>
    </xf>
    <xf numFmtId="194" fontId="69" fillId="0" borderId="0" xfId="0" applyNumberFormat="1" applyFont="1"/>
    <xf numFmtId="9" fontId="63" fillId="0" borderId="0" xfId="0" applyNumberFormat="1" applyFont="1"/>
    <xf numFmtId="194" fontId="70" fillId="0" borderId="0" xfId="0" applyNumberFormat="1" applyFont="1" applyAlignment="1">
      <alignment horizontal="center"/>
    </xf>
    <xf numFmtId="9" fontId="71" fillId="0" borderId="0" xfId="0" applyNumberFormat="1" applyFont="1" applyAlignment="1">
      <alignment vertical="center"/>
    </xf>
    <xf numFmtId="192" fontId="71" fillId="0" borderId="0" xfId="0" applyNumberFormat="1" applyFont="1" applyAlignment="1">
      <alignment vertical="center"/>
    </xf>
    <xf numFmtId="0" fontId="71" fillId="0" borderId="0" xfId="0" applyFont="1" applyAlignment="1">
      <alignment horizontal="center" vertical="center" wrapText="1"/>
    </xf>
    <xf numFmtId="194" fontId="69" fillId="0" borderId="0" xfId="0" applyNumberFormat="1" applyFont="1" applyAlignment="1">
      <alignment vertical="center"/>
    </xf>
    <xf numFmtId="192" fontId="66" fillId="0" borderId="0" xfId="0" applyNumberFormat="1" applyFont="1" applyAlignment="1">
      <alignment vertical="center" wrapText="1"/>
    </xf>
    <xf numFmtId="201" fontId="72" fillId="0" borderId="0" xfId="0" applyNumberFormat="1" applyFont="1" applyAlignment="1">
      <alignment vertical="center"/>
    </xf>
    <xf numFmtId="202" fontId="71" fillId="0" borderId="0" xfId="0" applyNumberFormat="1" applyFont="1" applyAlignment="1">
      <alignment vertical="center"/>
    </xf>
    <xf numFmtId="0" fontId="72" fillId="0" borderId="0" xfId="0" applyFont="1" applyAlignment="1">
      <alignment vertical="center"/>
    </xf>
    <xf numFmtId="0" fontId="71" fillId="0" borderId="0" xfId="0" applyFont="1" applyAlignment="1">
      <alignment vertical="center"/>
    </xf>
    <xf numFmtId="0" fontId="68" fillId="0" borderId="0" xfId="0" applyFont="1" applyAlignment="1">
      <alignment vertical="center"/>
    </xf>
    <xf numFmtId="0" fontId="36" fillId="0" borderId="0" xfId="0" applyFont="1"/>
    <xf numFmtId="9" fontId="73" fillId="0" borderId="0" xfId="0" applyNumberFormat="1" applyFont="1" applyAlignment="1">
      <alignment vertical="center"/>
    </xf>
    <xf numFmtId="0" fontId="73" fillId="0" borderId="0" xfId="0" applyFont="1" applyAlignment="1">
      <alignment horizontal="center" vertical="center"/>
    </xf>
    <xf numFmtId="0" fontId="73" fillId="0" borderId="0" xfId="0" applyFont="1" applyAlignment="1">
      <alignment vertical="center" wrapText="1"/>
    </xf>
    <xf numFmtId="192" fontId="73" fillId="0" borderId="0" xfId="0" applyNumberFormat="1" applyFont="1" applyAlignment="1">
      <alignment vertical="center"/>
    </xf>
    <xf numFmtId="203" fontId="73" fillId="0" borderId="0" xfId="0" applyNumberFormat="1" applyFont="1" applyAlignment="1">
      <alignment vertical="center"/>
    </xf>
    <xf numFmtId="204" fontId="73" fillId="0" borderId="0" xfId="0" applyNumberFormat="1" applyFont="1" applyAlignment="1">
      <alignment horizontal="right" vertical="center"/>
    </xf>
    <xf numFmtId="3" fontId="0" fillId="0" borderId="0" xfId="0" applyNumberFormat="1"/>
    <xf numFmtId="0" fontId="73" fillId="0" borderId="0" xfId="0" applyFont="1" applyAlignment="1">
      <alignment vertical="center"/>
    </xf>
    <xf numFmtId="0" fontId="16" fillId="0" borderId="0" xfId="0" applyFont="1"/>
    <xf numFmtId="3" fontId="14" fillId="0" borderId="0" xfId="0" applyNumberFormat="1" applyFont="1"/>
    <xf numFmtId="205" fontId="0" fillId="0" borderId="0" xfId="0" applyNumberFormat="1"/>
    <xf numFmtId="197" fontId="48" fillId="37" borderId="40" xfId="138" applyNumberFormat="1" applyFont="1" applyFill="1" applyBorder="1" applyAlignment="1">
      <alignment horizontal="center"/>
    </xf>
    <xf numFmtId="196" fontId="48" fillId="37" borderId="0" xfId="138" applyNumberFormat="1" applyFont="1" applyFill="1" applyAlignment="1">
      <alignment horizontal="center"/>
    </xf>
    <xf numFmtId="195" fontId="48" fillId="37" borderId="16" xfId="139" applyFont="1" applyFill="1" applyBorder="1"/>
    <xf numFmtId="197" fontId="48" fillId="37" borderId="16" xfId="138" applyNumberFormat="1" applyFont="1" applyFill="1" applyBorder="1"/>
    <xf numFmtId="196" fontId="48" fillId="37" borderId="16" xfId="138" applyNumberFormat="1" applyFont="1" applyFill="1" applyBorder="1"/>
    <xf numFmtId="0" fontId="48" fillId="37" borderId="16" xfId="138" applyFont="1" applyFill="1" applyBorder="1"/>
    <xf numFmtId="196" fontId="46" fillId="0" borderId="13" xfId="138" applyNumberFormat="1" applyFont="1" applyBorder="1" applyAlignment="1">
      <alignment horizontal="center"/>
    </xf>
    <xf numFmtId="0" fontId="48" fillId="0" borderId="41" xfId="138" applyFont="1" applyBorder="1" applyAlignment="1">
      <alignment horizontal="center" vertical="center"/>
    </xf>
    <xf numFmtId="196" fontId="48" fillId="0" borderId="30" xfId="138" applyNumberFormat="1" applyFont="1" applyBorder="1" applyAlignment="1">
      <alignment horizontal="center" vertical="center"/>
    </xf>
    <xf numFmtId="0" fontId="48" fillId="37" borderId="42" xfId="138" applyFont="1" applyFill="1" applyBorder="1"/>
    <xf numFmtId="0" fontId="50" fillId="0" borderId="11" xfId="0" applyFont="1" applyBorder="1"/>
    <xf numFmtId="0" fontId="48" fillId="37" borderId="42" xfId="138" applyFont="1" applyFill="1" applyBorder="1" applyAlignment="1">
      <alignment vertical="center"/>
    </xf>
    <xf numFmtId="197" fontId="48" fillId="37" borderId="19" xfId="138" applyNumberFormat="1" applyFont="1" applyFill="1" applyBorder="1"/>
    <xf numFmtId="197" fontId="48" fillId="37" borderId="43" xfId="138" applyNumberFormat="1" applyFont="1" applyFill="1" applyBorder="1"/>
    <xf numFmtId="197" fontId="45" fillId="37" borderId="19" xfId="138" applyNumberFormat="1" applyFont="1" applyFill="1" applyBorder="1"/>
    <xf numFmtId="0" fontId="49" fillId="0" borderId="19" xfId="43" applyFont="1" applyBorder="1" applyAlignment="1">
      <alignment vertical="center"/>
    </xf>
    <xf numFmtId="14" fontId="48" fillId="37" borderId="44" xfId="138" applyNumberFormat="1" applyFont="1" applyFill="1" applyBorder="1" applyAlignment="1">
      <alignment horizontal="center" vertical="center"/>
    </xf>
    <xf numFmtId="197" fontId="48" fillId="0" borderId="34" xfId="138" applyNumberFormat="1" applyFont="1" applyBorder="1"/>
    <xf numFmtId="0" fontId="48" fillId="37" borderId="45" xfId="138" applyFont="1" applyFill="1" applyBorder="1" applyAlignment="1">
      <alignment horizontal="center" wrapText="1"/>
    </xf>
    <xf numFmtId="0" fontId="36" fillId="0" borderId="20" xfId="43" applyFont="1" applyBorder="1"/>
    <xf numFmtId="0" fontId="48" fillId="36" borderId="46" xfId="138" applyFont="1" applyFill="1" applyBorder="1"/>
    <xf numFmtId="0" fontId="48" fillId="36" borderId="20" xfId="138" applyFont="1" applyFill="1" applyBorder="1"/>
    <xf numFmtId="171" fontId="48" fillId="36" borderId="20" xfId="72" applyFont="1" applyFill="1" applyBorder="1"/>
    <xf numFmtId="0" fontId="48" fillId="37" borderId="47" xfId="138" applyFont="1" applyFill="1" applyBorder="1" applyAlignment="1">
      <alignment horizontal="left"/>
    </xf>
    <xf numFmtId="0" fontId="48" fillId="37" borderId="48" xfId="138" applyFont="1" applyFill="1" applyBorder="1" applyAlignment="1">
      <alignment horizontal="left"/>
    </xf>
    <xf numFmtId="0" fontId="48" fillId="37" borderId="49" xfId="138" applyFont="1" applyFill="1" applyBorder="1"/>
    <xf numFmtId="0" fontId="48" fillId="37" borderId="12" xfId="138" applyFont="1" applyFill="1" applyBorder="1"/>
    <xf numFmtId="0" fontId="45" fillId="37" borderId="15" xfId="138" applyFont="1" applyFill="1" applyBorder="1"/>
    <xf numFmtId="2" fontId="45" fillId="37" borderId="50" xfId="138" applyNumberFormat="1" applyFont="1" applyFill="1" applyBorder="1" applyAlignment="1">
      <alignment vertical="center" wrapText="1"/>
    </xf>
    <xf numFmtId="0" fontId="45" fillId="37" borderId="50" xfId="138" applyFont="1" applyFill="1" applyBorder="1" applyAlignment="1">
      <alignment vertical="center"/>
    </xf>
    <xf numFmtId="0" fontId="45" fillId="37" borderId="49" xfId="138" applyFont="1" applyFill="1" applyBorder="1" applyAlignment="1">
      <alignment vertical="center"/>
    </xf>
    <xf numFmtId="0" fontId="45" fillId="37" borderId="49" xfId="138" applyFont="1" applyFill="1" applyBorder="1"/>
    <xf numFmtId="2" fontId="51" fillId="0" borderId="13" xfId="43" applyNumberFormat="1" applyFont="1" applyBorder="1" applyAlignment="1">
      <alignment vertical="center" wrapText="1"/>
    </xf>
    <xf numFmtId="207" fontId="45" fillId="37" borderId="18" xfId="138" applyNumberFormat="1" applyFont="1" applyFill="1" applyBorder="1"/>
    <xf numFmtId="0" fontId="55" fillId="34" borderId="15" xfId="0" applyFont="1" applyFill="1" applyBorder="1" applyAlignment="1">
      <alignment horizontal="center" vertical="center"/>
    </xf>
    <xf numFmtId="0" fontId="53" fillId="34" borderId="15" xfId="114" applyFont="1" applyFill="1" applyBorder="1" applyAlignment="1">
      <alignment horizontal="center" vertical="center"/>
    </xf>
    <xf numFmtId="0" fontId="55" fillId="34" borderId="13" xfId="0" applyFont="1" applyFill="1" applyBorder="1" applyAlignment="1">
      <alignment horizontal="left" vertical="center"/>
    </xf>
    <xf numFmtId="0" fontId="51" fillId="0" borderId="13" xfId="43" applyFont="1" applyBorder="1" applyAlignment="1">
      <alignment vertical="center"/>
    </xf>
    <xf numFmtId="0" fontId="16" fillId="38" borderId="53" xfId="0" applyFont="1" applyFill="1" applyBorder="1" applyAlignment="1">
      <alignment horizontal="center"/>
    </xf>
    <xf numFmtId="0" fontId="0" fillId="0" borderId="53" xfId="0" applyBorder="1" applyAlignment="1">
      <alignment horizontal="center"/>
    </xf>
    <xf numFmtId="0" fontId="16" fillId="38" borderId="54" xfId="0" applyFont="1" applyFill="1" applyBorder="1" applyAlignment="1">
      <alignment horizontal="center"/>
    </xf>
    <xf numFmtId="3" fontId="0" fillId="39" borderId="54" xfId="0" applyNumberFormat="1" applyFill="1" applyBorder="1" applyAlignment="1">
      <alignment horizontal="center"/>
    </xf>
    <xf numFmtId="3" fontId="0" fillId="40" borderId="54" xfId="0" applyNumberFormat="1" applyFill="1" applyBorder="1" applyAlignment="1">
      <alignment horizontal="center" vertical="center"/>
    </xf>
    <xf numFmtId="0" fontId="0" fillId="0" borderId="54" xfId="0" applyBorder="1" applyAlignment="1">
      <alignment horizontal="center"/>
    </xf>
    <xf numFmtId="3" fontId="0" fillId="40" borderId="54" xfId="0" applyNumberFormat="1" applyFill="1" applyBorder="1" applyAlignment="1">
      <alignment horizontal="center"/>
    </xf>
    <xf numFmtId="3" fontId="16" fillId="41" borderId="54" xfId="0" applyNumberFormat="1" applyFont="1" applyFill="1" applyBorder="1" applyAlignment="1">
      <alignment horizontal="center"/>
    </xf>
    <xf numFmtId="0" fontId="0" fillId="42" borderId="54" xfId="0" applyFill="1" applyBorder="1" applyAlignment="1">
      <alignment horizontal="center"/>
    </xf>
    <xf numFmtId="0" fontId="16" fillId="38" borderId="55" xfId="0" applyFont="1" applyFill="1" applyBorder="1" applyAlignment="1">
      <alignment horizontal="center"/>
    </xf>
    <xf numFmtId="3" fontId="0" fillId="39" borderId="55" xfId="0" applyNumberFormat="1" applyFill="1" applyBorder="1" applyAlignment="1">
      <alignment horizontal="center"/>
    </xf>
    <xf numFmtId="3" fontId="0" fillId="40" borderId="55" xfId="0" applyNumberFormat="1" applyFill="1" applyBorder="1" applyAlignment="1">
      <alignment horizontal="center" vertical="center"/>
    </xf>
    <xf numFmtId="0" fontId="74" fillId="39" borderId="54" xfId="0" applyFont="1" applyFill="1" applyBorder="1" applyAlignment="1">
      <alignment horizontal="center"/>
    </xf>
    <xf numFmtId="0" fontId="74" fillId="39" borderId="55" xfId="0" applyFont="1" applyFill="1" applyBorder="1" applyAlignment="1">
      <alignment horizontal="center"/>
    </xf>
    <xf numFmtId="0" fontId="16" fillId="38" borderId="64" xfId="0" applyFont="1" applyFill="1" applyBorder="1" applyAlignment="1">
      <alignment horizontal="center" vertical="center" wrapText="1"/>
    </xf>
    <xf numFmtId="0" fontId="0" fillId="35" borderId="13" xfId="0" applyFill="1" applyBorder="1"/>
    <xf numFmtId="0" fontId="0" fillId="35" borderId="13" xfId="0" applyFill="1" applyBorder="1" applyAlignment="1">
      <alignment horizontal="center" vertical="center"/>
    </xf>
    <xf numFmtId="3" fontId="0" fillId="40" borderId="13" xfId="0" applyNumberFormat="1" applyFill="1" applyBorder="1" applyAlignment="1">
      <alignment horizontal="center"/>
    </xf>
    <xf numFmtId="3" fontId="0" fillId="35" borderId="13" xfId="0" applyNumberFormat="1" applyFill="1" applyBorder="1" applyAlignment="1">
      <alignment horizontal="center"/>
    </xf>
    <xf numFmtId="208" fontId="0" fillId="0" borderId="0" xfId="153" applyNumberFormat="1" applyFont="1" applyAlignment="1">
      <alignment horizontal="center"/>
    </xf>
    <xf numFmtId="0" fontId="0" fillId="0" borderId="13" xfId="0" applyBorder="1" applyAlignment="1">
      <alignment horizontal="center" vertical="center"/>
    </xf>
    <xf numFmtId="3" fontId="0" fillId="0" borderId="13" xfId="0" applyNumberFormat="1" applyBorder="1" applyAlignment="1">
      <alignment horizontal="center"/>
    </xf>
    <xf numFmtId="0" fontId="0" fillId="43" borderId="13" xfId="0" applyFill="1" applyBorder="1" applyAlignment="1">
      <alignment horizontal="center"/>
    </xf>
    <xf numFmtId="3" fontId="0" fillId="43" borderId="13" xfId="0" applyNumberFormat="1" applyFill="1" applyBorder="1" applyAlignment="1">
      <alignment horizontal="center"/>
    </xf>
    <xf numFmtId="3" fontId="16" fillId="40" borderId="13" xfId="0" applyNumberFormat="1" applyFont="1" applyFill="1" applyBorder="1" applyAlignment="1">
      <alignment horizontal="center"/>
    </xf>
    <xf numFmtId="0" fontId="0" fillId="0" borderId="0" xfId="0" applyAlignment="1">
      <alignment horizontal="center" vertical="center"/>
    </xf>
    <xf numFmtId="0" fontId="0" fillId="38" borderId="14" xfId="0" applyFill="1" applyBorder="1"/>
    <xf numFmtId="0" fontId="0" fillId="38" borderId="13" xfId="0" applyFill="1" applyBorder="1" applyAlignment="1">
      <alignment horizontal="center" vertical="center"/>
    </xf>
    <xf numFmtId="3" fontId="0" fillId="38" borderId="13" xfId="0" applyNumberFormat="1" applyFill="1" applyBorder="1" applyAlignment="1">
      <alignment horizontal="center"/>
    </xf>
    <xf numFmtId="0" fontId="0" fillId="0" borderId="14" xfId="0" applyBorder="1"/>
    <xf numFmtId="0" fontId="0" fillId="38" borderId="18" xfId="0" applyFill="1" applyBorder="1" applyAlignment="1">
      <alignment horizontal="center" vertical="center"/>
    </xf>
    <xf numFmtId="3" fontId="0" fillId="38" borderId="18" xfId="0" applyNumberFormat="1" applyFill="1" applyBorder="1" applyAlignment="1">
      <alignment horizontal="center"/>
    </xf>
    <xf numFmtId="3" fontId="0" fillId="0" borderId="18" xfId="0" applyNumberFormat="1" applyBorder="1" applyAlignment="1">
      <alignment horizontal="center"/>
    </xf>
    <xf numFmtId="0" fontId="0" fillId="38" borderId="13" xfId="0" applyFill="1" applyBorder="1"/>
    <xf numFmtId="0" fontId="0" fillId="43" borderId="14" xfId="0" applyFill="1" applyBorder="1" applyAlignment="1">
      <alignment horizontal="center"/>
    </xf>
    <xf numFmtId="3" fontId="0" fillId="0" borderId="13" xfId="0" applyNumberFormat="1" applyBorder="1"/>
    <xf numFmtId="0" fontId="0" fillId="34" borderId="13" xfId="0" applyFill="1" applyBorder="1"/>
    <xf numFmtId="0" fontId="0" fillId="34" borderId="13" xfId="0" applyFill="1" applyBorder="1" applyAlignment="1">
      <alignment horizontal="center" vertical="center"/>
    </xf>
    <xf numFmtId="3" fontId="0" fillId="34" borderId="13" xfId="0" applyNumberFormat="1" applyFill="1" applyBorder="1" applyAlignment="1">
      <alignment horizontal="center"/>
    </xf>
    <xf numFmtId="0" fontId="0" fillId="38" borderId="13" xfId="0" applyFill="1" applyBorder="1" applyAlignment="1">
      <alignment horizontal="center"/>
    </xf>
    <xf numFmtId="0" fontId="16" fillId="44" borderId="13" xfId="0" applyFont="1" applyFill="1" applyBorder="1" applyAlignment="1">
      <alignment horizontal="center" vertical="center" wrapText="1"/>
    </xf>
    <xf numFmtId="0" fontId="16" fillId="45" borderId="13" xfId="0" applyFont="1" applyFill="1" applyBorder="1" applyAlignment="1">
      <alignment horizontal="center" vertical="center" wrapText="1"/>
    </xf>
    <xf numFmtId="0" fontId="16" fillId="46" borderId="13" xfId="0" applyFont="1" applyFill="1" applyBorder="1" applyAlignment="1">
      <alignment horizontal="center" vertical="center" wrapText="1"/>
    </xf>
    <xf numFmtId="0" fontId="16" fillId="47" borderId="13" xfId="0" applyFont="1" applyFill="1" applyBorder="1" applyAlignment="1">
      <alignment horizontal="center" vertical="center" wrapText="1"/>
    </xf>
    <xf numFmtId="0" fontId="16" fillId="48" borderId="13" xfId="0" applyFont="1" applyFill="1" applyBorder="1" applyAlignment="1">
      <alignment horizontal="center" vertical="center" wrapText="1"/>
    </xf>
    <xf numFmtId="9" fontId="16" fillId="44" borderId="13" xfId="134" applyFont="1" applyFill="1" applyBorder="1" applyAlignment="1">
      <alignment horizontal="center"/>
    </xf>
    <xf numFmtId="9" fontId="16" fillId="45" borderId="13" xfId="0" applyNumberFormat="1" applyFont="1" applyFill="1" applyBorder="1" applyAlignment="1">
      <alignment horizontal="center"/>
    </xf>
    <xf numFmtId="9" fontId="16" fillId="46" borderId="13" xfId="0" applyNumberFormat="1" applyFont="1" applyFill="1" applyBorder="1" applyAlignment="1">
      <alignment horizontal="center"/>
    </xf>
    <xf numFmtId="9" fontId="16" fillId="47" borderId="13" xfId="0" applyNumberFormat="1" applyFont="1" applyFill="1" applyBorder="1" applyAlignment="1">
      <alignment horizontal="center"/>
    </xf>
    <xf numFmtId="9" fontId="16" fillId="48" borderId="13" xfId="0" applyNumberFormat="1" applyFont="1" applyFill="1" applyBorder="1" applyAlignment="1">
      <alignment horizontal="center"/>
    </xf>
    <xf numFmtId="208" fontId="0" fillId="0" borderId="13" xfId="153" applyNumberFormat="1" applyFont="1" applyBorder="1" applyAlignment="1">
      <alignment horizontal="center"/>
    </xf>
    <xf numFmtId="165" fontId="0" fillId="35" borderId="13" xfId="153" applyFont="1" applyFill="1" applyBorder="1" applyAlignment="1">
      <alignment vertical="center" wrapText="1"/>
    </xf>
    <xf numFmtId="3" fontId="0" fillId="44" borderId="13" xfId="0" applyNumberFormat="1" applyFill="1" applyBorder="1" applyAlignment="1">
      <alignment horizontal="center"/>
    </xf>
    <xf numFmtId="3" fontId="0" fillId="49" borderId="13" xfId="0" applyNumberFormat="1" applyFill="1" applyBorder="1" applyAlignment="1">
      <alignment horizontal="center"/>
    </xf>
    <xf numFmtId="3" fontId="0" fillId="46" borderId="13" xfId="0" applyNumberFormat="1" applyFill="1" applyBorder="1" applyAlignment="1">
      <alignment horizontal="center"/>
    </xf>
    <xf numFmtId="3" fontId="0" fillId="47" borderId="13" xfId="0" applyNumberFormat="1" applyFill="1" applyBorder="1" applyAlignment="1">
      <alignment horizontal="center"/>
    </xf>
    <xf numFmtId="3" fontId="0" fillId="48" borderId="13" xfId="0" applyNumberFormat="1" applyFill="1" applyBorder="1" applyAlignment="1">
      <alignment horizontal="center"/>
    </xf>
    <xf numFmtId="0" fontId="0" fillId="0" borderId="17" xfId="0" applyBorder="1" applyAlignment="1">
      <alignment vertical="center" wrapText="1"/>
    </xf>
    <xf numFmtId="0" fontId="54" fillId="34" borderId="0" xfId="0" applyFont="1" applyFill="1" applyAlignment="1">
      <alignment horizontal="left" vertical="center"/>
    </xf>
    <xf numFmtId="0" fontId="48" fillId="37" borderId="66" xfId="138" applyFont="1" applyFill="1" applyBorder="1" applyAlignment="1">
      <alignment vertical="center" wrapText="1"/>
    </xf>
    <xf numFmtId="0" fontId="0" fillId="0" borderId="66" xfId="0" applyBorder="1"/>
    <xf numFmtId="0" fontId="48" fillId="37" borderId="67" xfId="138" applyFont="1" applyFill="1" applyBorder="1" applyAlignment="1">
      <alignment vertical="center" wrapText="1"/>
    </xf>
    <xf numFmtId="0" fontId="0" fillId="0" borderId="39" xfId="0" applyBorder="1"/>
    <xf numFmtId="0" fontId="0" fillId="0" borderId="67" xfId="0" applyBorder="1"/>
    <xf numFmtId="0" fontId="0" fillId="0" borderId="67" xfId="0" applyBorder="1" applyAlignment="1">
      <alignment horizontal="left"/>
    </xf>
    <xf numFmtId="0" fontId="44" fillId="0" borderId="67" xfId="137" applyBorder="1" applyAlignment="1" applyProtection="1"/>
    <xf numFmtId="9" fontId="0" fillId="0" borderId="67" xfId="0" applyNumberFormat="1" applyBorder="1"/>
    <xf numFmtId="209" fontId="0" fillId="0" borderId="67" xfId="0" applyNumberFormat="1" applyBorder="1" applyAlignment="1">
      <alignment horizontal="right"/>
    </xf>
    <xf numFmtId="0" fontId="60" fillId="0" borderId="19" xfId="0" applyFont="1" applyBorder="1" applyAlignment="1">
      <alignment horizontal="center" vertical="center" wrapText="1"/>
    </xf>
    <xf numFmtId="0" fontId="77" fillId="0" borderId="20" xfId="0" applyFont="1" applyBorder="1"/>
    <xf numFmtId="0" fontId="78" fillId="0" borderId="35" xfId="0" applyFont="1" applyBorder="1" applyAlignment="1">
      <alignment vertical="center"/>
    </xf>
    <xf numFmtId="0" fontId="78" fillId="0" borderId="20" xfId="0" applyFont="1" applyBorder="1" applyAlignment="1">
      <alignment vertical="center"/>
    </xf>
    <xf numFmtId="0" fontId="78" fillId="0" borderId="12" xfId="0" applyFont="1" applyBorder="1" applyAlignment="1">
      <alignment vertical="center"/>
    </xf>
    <xf numFmtId="0" fontId="78" fillId="0" borderId="0" xfId="0" applyFont="1" applyAlignment="1">
      <alignment vertical="center"/>
    </xf>
    <xf numFmtId="0" fontId="78" fillId="0" borderId="10" xfId="0" applyFont="1" applyBorder="1" applyAlignment="1">
      <alignment vertical="center"/>
    </xf>
    <xf numFmtId="0" fontId="78" fillId="0" borderId="11" xfId="0" applyFont="1" applyBorder="1" applyAlignment="1">
      <alignment vertical="center"/>
    </xf>
    <xf numFmtId="0" fontId="78" fillId="0" borderId="20" xfId="0" applyFont="1" applyBorder="1"/>
    <xf numFmtId="0" fontId="82" fillId="0" borderId="12" xfId="0" applyFont="1" applyBorder="1" applyAlignment="1">
      <alignment vertical="center"/>
    </xf>
    <xf numFmtId="200" fontId="85" fillId="0" borderId="19" xfId="0" applyNumberFormat="1" applyFont="1" applyBorder="1" applyAlignment="1" applyProtection="1">
      <alignment horizontal="left" vertical="center"/>
      <protection locked="0"/>
    </xf>
    <xf numFmtId="0" fontId="85" fillId="0" borderId="19" xfId="0" applyFont="1" applyBorder="1" applyAlignment="1">
      <alignment vertical="center"/>
    </xf>
    <xf numFmtId="0" fontId="86" fillId="0" borderId="19" xfId="154" applyFont="1" applyBorder="1" applyAlignment="1" applyProtection="1">
      <alignment vertical="center"/>
    </xf>
    <xf numFmtId="0" fontId="87" fillId="0" borderId="19" xfId="0" applyFont="1" applyBorder="1" applyAlignment="1">
      <alignment vertical="center"/>
    </xf>
    <xf numFmtId="0" fontId="82" fillId="0" borderId="12" xfId="0" applyFont="1" applyBorder="1"/>
    <xf numFmtId="0" fontId="90" fillId="0" borderId="19" xfId="0" applyFont="1" applyBorder="1" applyAlignment="1">
      <alignment horizontal="center" vertical="center" wrapText="1"/>
    </xf>
    <xf numFmtId="0" fontId="91" fillId="0" borderId="65" xfId="0" applyFont="1" applyBorder="1" applyAlignment="1">
      <alignment horizontal="center" vertical="center"/>
    </xf>
    <xf numFmtId="0" fontId="84" fillId="0" borderId="17" xfId="0" applyFont="1" applyBorder="1" applyAlignment="1">
      <alignment horizontal="center" vertical="center" wrapText="1"/>
    </xf>
    <xf numFmtId="192" fontId="92" fillId="0" borderId="17" xfId="0" applyNumberFormat="1" applyFont="1" applyBorder="1" applyAlignment="1">
      <alignment horizontal="right" vertical="center" wrapText="1"/>
    </xf>
    <xf numFmtId="192" fontId="92" fillId="0" borderId="17" xfId="0" applyNumberFormat="1" applyFont="1" applyBorder="1" applyAlignment="1">
      <alignment horizontal="right" vertical="center"/>
    </xf>
    <xf numFmtId="192" fontId="87" fillId="0" borderId="19" xfId="0" applyNumberFormat="1" applyFont="1" applyBorder="1" applyAlignment="1">
      <alignment vertical="center"/>
    </xf>
    <xf numFmtId="193" fontId="93" fillId="0" borderId="13" xfId="95" applyNumberFormat="1" applyFont="1" applyBorder="1" applyAlignment="1">
      <alignment horizontal="right" vertical="center" wrapText="1"/>
    </xf>
    <xf numFmtId="193" fontId="90" fillId="0" borderId="19" xfId="95" applyNumberFormat="1" applyFont="1" applyBorder="1" applyAlignment="1">
      <alignment horizontal="right" vertical="center" wrapText="1"/>
    </xf>
    <xf numFmtId="0" fontId="84" fillId="0" borderId="0" xfId="0" applyFont="1" applyAlignment="1">
      <alignment horizontal="center" vertical="center"/>
    </xf>
    <xf numFmtId="0" fontId="85" fillId="0" borderId="19" xfId="0" applyFont="1" applyBorder="1" applyAlignment="1">
      <alignment horizontal="center" vertical="center"/>
    </xf>
    <xf numFmtId="0" fontId="85" fillId="0" borderId="19" xfId="0" applyFont="1" applyBorder="1" applyAlignment="1">
      <alignment horizontal="left" vertical="top" wrapText="1"/>
    </xf>
    <xf numFmtId="0" fontId="85" fillId="0" borderId="19" xfId="0" applyFont="1" applyBorder="1" applyAlignment="1">
      <alignment horizontal="left" vertical="center"/>
    </xf>
    <xf numFmtId="0" fontId="88" fillId="0" borderId="0" xfId="0" applyFont="1" applyAlignment="1">
      <alignment horizontal="left" vertical="center"/>
    </xf>
    <xf numFmtId="0" fontId="64" fillId="0" borderId="19" xfId="0" applyFont="1" applyBorder="1" applyAlignment="1">
      <alignment horizontal="left" vertical="center"/>
    </xf>
    <xf numFmtId="0" fontId="95" fillId="0" borderId="0" xfId="0" applyFont="1"/>
    <xf numFmtId="0" fontId="66" fillId="0" borderId="19" xfId="0" applyFont="1" applyBorder="1"/>
    <xf numFmtId="0" fontId="36" fillId="0" borderId="19" xfId="0" applyFont="1" applyBorder="1"/>
    <xf numFmtId="0" fontId="0" fillId="50" borderId="12" xfId="0" applyFill="1" applyBorder="1"/>
    <xf numFmtId="0" fontId="77" fillId="50" borderId="0" xfId="0" applyFont="1" applyFill="1"/>
    <xf numFmtId="0" fontId="96" fillId="50" borderId="0" xfId="0" applyFont="1" applyFill="1"/>
    <xf numFmtId="0" fontId="16" fillId="50" borderId="19" xfId="0" applyFont="1" applyFill="1" applyBorder="1"/>
    <xf numFmtId="0" fontId="88" fillId="0" borderId="16" xfId="0" applyFont="1" applyBorder="1"/>
    <xf numFmtId="0" fontId="84" fillId="0" borderId="16" xfId="0" applyFont="1" applyBorder="1" applyAlignment="1">
      <alignment horizontal="center" vertical="center"/>
    </xf>
    <xf numFmtId="0" fontId="79" fillId="0" borderId="20" xfId="0" applyFont="1" applyBorder="1" applyAlignment="1">
      <alignment vertical="center"/>
    </xf>
    <xf numFmtId="0" fontId="79" fillId="0" borderId="0" xfId="0" applyFont="1" applyAlignment="1">
      <alignment vertical="center"/>
    </xf>
    <xf numFmtId="0" fontId="79" fillId="0" borderId="11" xfId="0" applyFont="1" applyBorder="1" applyAlignment="1">
      <alignment vertical="center"/>
    </xf>
    <xf numFmtId="0" fontId="48" fillId="37" borderId="76" xfId="138" applyFont="1" applyFill="1" applyBorder="1" applyAlignment="1">
      <alignment horizontal="center" vertical="center" wrapText="1"/>
    </xf>
    <xf numFmtId="0" fontId="0" fillId="0" borderId="78" xfId="0" applyBorder="1"/>
    <xf numFmtId="0" fontId="0" fillId="0" borderId="79" xfId="0" applyBorder="1"/>
    <xf numFmtId="0" fontId="0" fillId="0" borderId="79" xfId="0" applyBorder="1" applyAlignment="1">
      <alignment horizontal="left"/>
    </xf>
    <xf numFmtId="0" fontId="44" fillId="0" borderId="0" xfId="137" applyAlignment="1" applyProtection="1"/>
    <xf numFmtId="0" fontId="22" fillId="0" borderId="81" xfId="0" applyFont="1" applyBorder="1" applyAlignment="1">
      <alignment horizontal="center" vertical="center"/>
    </xf>
    <xf numFmtId="1" fontId="21" fillId="0" borderId="81" xfId="0" applyNumberFormat="1" applyFont="1" applyBorder="1" applyAlignment="1">
      <alignment horizontal="center" vertical="center"/>
    </xf>
    <xf numFmtId="1" fontId="22" fillId="0" borderId="81" xfId="0" applyNumberFormat="1" applyFont="1" applyBorder="1" applyAlignment="1">
      <alignment horizontal="center" vertical="center"/>
    </xf>
    <xf numFmtId="0" fontId="79" fillId="0" borderId="20" xfId="0" applyFont="1" applyBorder="1" applyAlignment="1">
      <alignment horizontal="center" vertical="center"/>
    </xf>
    <xf numFmtId="0" fontId="79" fillId="0" borderId="0" xfId="0" applyFont="1" applyAlignment="1">
      <alignment horizontal="center" vertical="center"/>
    </xf>
    <xf numFmtId="0" fontId="79" fillId="0" borderId="11" xfId="0" applyFont="1" applyBorder="1" applyAlignment="1">
      <alignment horizontal="center" vertical="center"/>
    </xf>
    <xf numFmtId="0" fontId="97" fillId="52" borderId="80" xfId="0" applyFont="1" applyFill="1" applyBorder="1" applyAlignment="1">
      <alignment horizontal="center" vertical="center"/>
    </xf>
    <xf numFmtId="0" fontId="22" fillId="52" borderId="80" xfId="0" applyFont="1" applyFill="1" applyBorder="1" applyAlignment="1">
      <alignment horizontal="center" vertical="center"/>
    </xf>
    <xf numFmtId="1" fontId="22" fillId="52" borderId="80" xfId="0" applyNumberFormat="1" applyFont="1" applyFill="1" applyBorder="1" applyAlignment="1">
      <alignment horizontal="center" vertical="center"/>
    </xf>
    <xf numFmtId="0" fontId="83" fillId="51" borderId="13" xfId="0" applyFont="1" applyFill="1" applyBorder="1" applyAlignment="1">
      <alignment horizontal="center" vertical="center" wrapText="1"/>
    </xf>
    <xf numFmtId="0" fontId="83" fillId="51" borderId="13" xfId="0" applyFont="1" applyFill="1" applyBorder="1" applyAlignment="1">
      <alignment horizontal="center" vertical="center"/>
    </xf>
    <xf numFmtId="192" fontId="83" fillId="51" borderId="13" xfId="0" applyNumberFormat="1" applyFont="1" applyFill="1" applyBorder="1" applyAlignment="1">
      <alignment horizontal="center" vertical="center" wrapText="1"/>
    </xf>
    <xf numFmtId="0" fontId="77" fillId="51" borderId="0" xfId="0" applyFont="1" applyFill="1"/>
    <xf numFmtId="0" fontId="96" fillId="51" borderId="0" xfId="0" applyFont="1" applyFill="1"/>
    <xf numFmtId="0" fontId="0" fillId="51" borderId="12" xfId="0" applyFill="1" applyBorder="1"/>
    <xf numFmtId="0" fontId="16" fillId="51" borderId="19" xfId="0" applyFont="1" applyFill="1" applyBorder="1"/>
    <xf numFmtId="0" fontId="77" fillId="51" borderId="11" xfId="0" applyFont="1" applyFill="1" applyBorder="1"/>
    <xf numFmtId="0" fontId="0" fillId="51" borderId="21" xfId="0" applyFill="1" applyBorder="1"/>
    <xf numFmtId="0" fontId="0" fillId="51" borderId="10" xfId="0" applyFill="1" applyBorder="1"/>
    <xf numFmtId="0" fontId="52" fillId="34" borderId="45" xfId="43" applyFont="1" applyFill="1" applyBorder="1" applyAlignment="1">
      <alignment horizontal="center" vertical="center"/>
    </xf>
    <xf numFmtId="0" fontId="50" fillId="0" borderId="19" xfId="0" applyFont="1" applyBorder="1"/>
    <xf numFmtId="0" fontId="0" fillId="0" borderId="13" xfId="0" applyBorder="1" applyAlignment="1">
      <alignment horizontal="left" vertical="center"/>
    </xf>
    <xf numFmtId="0" fontId="99" fillId="53" borderId="13" xfId="0" applyFont="1" applyFill="1" applyBorder="1" applyAlignment="1" applyProtection="1">
      <alignment horizontal="center" vertical="center"/>
      <protection locked="0"/>
    </xf>
    <xf numFmtId="0" fontId="98" fillId="0" borderId="13" xfId="0" applyFont="1" applyBorder="1" applyAlignment="1">
      <alignment vertical="center"/>
    </xf>
    <xf numFmtId="0" fontId="99" fillId="36" borderId="13" xfId="0" applyFont="1" applyFill="1" applyBorder="1" applyAlignment="1" applyProtection="1">
      <alignment horizontal="center" vertical="center"/>
      <protection locked="0"/>
    </xf>
    <xf numFmtId="0" fontId="98" fillId="42" borderId="13" xfId="0" applyFont="1" applyFill="1" applyBorder="1" applyAlignment="1">
      <alignment vertical="center"/>
    </xf>
    <xf numFmtId="206" fontId="48" fillId="37" borderId="44" xfId="138" applyNumberFormat="1" applyFont="1" applyFill="1" applyBorder="1" applyAlignment="1">
      <alignment horizontal="left" vertical="center"/>
    </xf>
    <xf numFmtId="197" fontId="45" fillId="37" borderId="0" xfId="138" applyNumberFormat="1" applyFont="1" applyFill="1" applyAlignment="1">
      <alignment vertical="center"/>
    </xf>
    <xf numFmtId="197" fontId="45" fillId="37" borderId="0" xfId="138" applyNumberFormat="1" applyFont="1" applyFill="1" applyAlignment="1">
      <alignment horizontal="center" vertical="center"/>
    </xf>
    <xf numFmtId="207" fontId="45" fillId="37" borderId="0" xfId="138" applyNumberFormat="1" applyFont="1" applyFill="1"/>
    <xf numFmtId="4" fontId="48" fillId="37" borderId="44" xfId="138" applyNumberFormat="1" applyFont="1" applyFill="1" applyBorder="1" applyAlignment="1">
      <alignment horizontal="left" vertical="center"/>
    </xf>
    <xf numFmtId="0" fontId="100" fillId="0" borderId="0" xfId="0" applyFont="1"/>
    <xf numFmtId="0" fontId="21" fillId="34" borderId="13" xfId="0" applyFont="1" applyFill="1" applyBorder="1" applyAlignment="1">
      <alignment horizontal="left" vertical="center"/>
    </xf>
    <xf numFmtId="0" fontId="100" fillId="0" borderId="13" xfId="0" applyFont="1" applyBorder="1"/>
    <xf numFmtId="0" fontId="100" fillId="0" borderId="13" xfId="0" applyFont="1" applyBorder="1" applyAlignment="1">
      <alignment horizontal="center"/>
    </xf>
    <xf numFmtId="43" fontId="101" fillId="0" borderId="13" xfId="0" applyNumberFormat="1" applyFont="1" applyBorder="1" applyAlignment="1">
      <alignment horizontal="center"/>
    </xf>
    <xf numFmtId="210" fontId="0" fillId="0" borderId="0" xfId="155" applyNumberFormat="1" applyFont="1"/>
    <xf numFmtId="0" fontId="100" fillId="0" borderId="87" xfId="0" applyFont="1" applyBorder="1" applyAlignment="1">
      <alignment vertical="center"/>
    </xf>
    <xf numFmtId="0" fontId="100" fillId="0" borderId="88" xfId="0" applyFont="1" applyBorder="1" applyAlignment="1">
      <alignment vertical="center"/>
    </xf>
    <xf numFmtId="0" fontId="100" fillId="0" borderId="89" xfId="0" applyFont="1" applyBorder="1" applyAlignment="1">
      <alignment vertical="center"/>
    </xf>
    <xf numFmtId="207" fontId="45" fillId="37" borderId="19" xfId="138" applyNumberFormat="1" applyFont="1" applyFill="1" applyBorder="1"/>
    <xf numFmtId="0" fontId="100" fillId="0" borderId="38" xfId="0" applyFont="1" applyBorder="1"/>
    <xf numFmtId="9" fontId="71" fillId="0" borderId="0" xfId="134" applyFont="1" applyAlignment="1">
      <alignment vertical="center"/>
    </xf>
    <xf numFmtId="9" fontId="71" fillId="0" borderId="0" xfId="134" applyFont="1" applyAlignment="1">
      <alignment horizontal="center" vertical="center" wrapText="1"/>
    </xf>
    <xf numFmtId="9" fontId="63" fillId="0" borderId="0" xfId="134" applyFont="1"/>
    <xf numFmtId="0" fontId="63" fillId="0" borderId="0" xfId="0" applyFont="1" applyAlignment="1">
      <alignment wrapText="1"/>
    </xf>
    <xf numFmtId="0" fontId="102" fillId="0" borderId="0" xfId="0" applyFont="1" applyAlignment="1">
      <alignment horizontal="center"/>
    </xf>
    <xf numFmtId="0" fontId="74" fillId="0" borderId="0" xfId="0" applyFont="1"/>
    <xf numFmtId="9" fontId="104" fillId="0" borderId="0" xfId="0" applyNumberFormat="1" applyFont="1" applyAlignment="1">
      <alignment vertical="center"/>
    </xf>
    <xf numFmtId="0" fontId="105" fillId="0" borderId="0" xfId="0" applyFont="1" applyAlignment="1">
      <alignment vertical="center"/>
    </xf>
    <xf numFmtId="0" fontId="104" fillId="0" borderId="0" xfId="0" applyFont="1" applyAlignment="1">
      <alignment vertical="center"/>
    </xf>
    <xf numFmtId="193" fontId="103" fillId="0" borderId="0" xfId="0" applyNumberFormat="1" applyFont="1" applyAlignment="1">
      <alignment vertical="center"/>
    </xf>
    <xf numFmtId="0" fontId="106" fillId="0" borderId="0" xfId="0" applyFont="1"/>
    <xf numFmtId="0" fontId="106" fillId="0" borderId="0" xfId="0" applyFont="1" applyAlignment="1">
      <alignment horizontal="center"/>
    </xf>
    <xf numFmtId="0" fontId="102" fillId="0" borderId="0" xfId="0" applyFont="1"/>
    <xf numFmtId="10" fontId="102" fillId="0" borderId="0" xfId="134" applyNumberFormat="1" applyFont="1" applyAlignment="1">
      <alignment horizontal="center"/>
    </xf>
    <xf numFmtId="10" fontId="107" fillId="0" borderId="0" xfId="134" applyNumberFormat="1" applyFont="1" applyAlignment="1">
      <alignment horizontal="center"/>
    </xf>
    <xf numFmtId="10" fontId="107" fillId="0" borderId="0" xfId="0" applyNumberFormat="1" applyFont="1" applyAlignment="1">
      <alignment horizontal="center"/>
    </xf>
    <xf numFmtId="10" fontId="102" fillId="0" borderId="0" xfId="0" applyNumberFormat="1" applyFont="1" applyAlignment="1">
      <alignment horizontal="center"/>
    </xf>
    <xf numFmtId="10" fontId="102" fillId="0" borderId="0" xfId="134" applyNumberFormat="1" applyFont="1"/>
    <xf numFmtId="0" fontId="108" fillId="51" borderId="13" xfId="0" applyFont="1" applyFill="1" applyBorder="1" applyAlignment="1">
      <alignment horizontal="center" vertical="center" wrapText="1"/>
    </xf>
    <xf numFmtId="9" fontId="63" fillId="0" borderId="0" xfId="134" applyFont="1" applyAlignment="1">
      <alignment horizontal="center"/>
    </xf>
    <xf numFmtId="0" fontId="63" fillId="0" borderId="0" xfId="0" applyFont="1" applyAlignment="1">
      <alignment horizontal="center"/>
    </xf>
    <xf numFmtId="9" fontId="63" fillId="0" borderId="0" xfId="0" applyNumberFormat="1" applyFont="1" applyAlignment="1">
      <alignment horizontal="center"/>
    </xf>
    <xf numFmtId="0" fontId="60" fillId="0" borderId="38" xfId="0" applyFont="1" applyBorder="1" applyAlignment="1">
      <alignment horizontal="center" vertical="center" wrapText="1"/>
    </xf>
    <xf numFmtId="0" fontId="106" fillId="34" borderId="90" xfId="0" applyFont="1" applyFill="1" applyBorder="1" applyAlignment="1">
      <alignment horizontal="center" vertical="center"/>
    </xf>
    <xf numFmtId="0" fontId="102" fillId="34" borderId="90" xfId="0" applyFont="1" applyFill="1" applyBorder="1" applyAlignment="1">
      <alignment horizontal="left" vertical="center" wrapText="1"/>
    </xf>
    <xf numFmtId="0" fontId="112" fillId="54" borderId="90" xfId="0" applyFont="1" applyFill="1" applyBorder="1" applyAlignment="1">
      <alignment horizontal="center" vertical="center"/>
    </xf>
    <xf numFmtId="0" fontId="113" fillId="54" borderId="90" xfId="0" applyFont="1" applyFill="1" applyBorder="1" applyAlignment="1">
      <alignment horizontal="center" vertical="center"/>
    </xf>
    <xf numFmtId="0" fontId="110" fillId="55" borderId="90" xfId="0" applyFont="1" applyFill="1" applyBorder="1" applyAlignment="1">
      <alignment horizontal="center" vertical="center"/>
    </xf>
    <xf numFmtId="0" fontId="110" fillId="55" borderId="90" xfId="0" applyFont="1" applyFill="1" applyBorder="1" applyAlignment="1">
      <alignment vertical="center"/>
    </xf>
    <xf numFmtId="0" fontId="114" fillId="55" borderId="90" xfId="0" applyFont="1" applyFill="1" applyBorder="1" applyAlignment="1">
      <alignment vertical="center"/>
    </xf>
    <xf numFmtId="0" fontId="115" fillId="34" borderId="90" xfId="0" applyFont="1" applyFill="1" applyBorder="1" applyAlignment="1">
      <alignment horizontal="center" vertical="center"/>
    </xf>
    <xf numFmtId="0" fontId="116" fillId="34" borderId="90" xfId="0" applyFont="1" applyFill="1" applyBorder="1" applyAlignment="1">
      <alignment vertical="center"/>
    </xf>
    <xf numFmtId="0" fontId="102" fillId="34" borderId="90" xfId="0" applyFont="1" applyFill="1" applyBorder="1" applyAlignment="1">
      <alignment horizontal="center" vertical="center"/>
    </xf>
    <xf numFmtId="43" fontId="102" fillId="34" borderId="90" xfId="0" applyNumberFormat="1" applyFont="1" applyFill="1" applyBorder="1" applyAlignment="1">
      <alignment vertical="center"/>
    </xf>
    <xf numFmtId="0" fontId="116" fillId="34" borderId="90" xfId="0" applyFont="1" applyFill="1" applyBorder="1" applyAlignment="1">
      <alignment vertical="center" wrapText="1"/>
    </xf>
    <xf numFmtId="43" fontId="117" fillId="0" borderId="90" xfId="156" applyFont="1" applyFill="1" applyBorder="1" applyAlignment="1">
      <alignment vertical="center"/>
    </xf>
    <xf numFmtId="43" fontId="106" fillId="0" borderId="0" xfId="0" applyNumberFormat="1" applyFont="1"/>
    <xf numFmtId="43" fontId="111" fillId="0" borderId="90" xfId="156" applyFont="1" applyFill="1" applyBorder="1" applyAlignment="1">
      <alignment vertical="center"/>
    </xf>
    <xf numFmtId="43" fontId="110" fillId="0" borderId="90" xfId="156" applyFont="1" applyFill="1" applyBorder="1" applyAlignment="1">
      <alignment vertical="center"/>
    </xf>
    <xf numFmtId="0" fontId="106" fillId="0" borderId="13" xfId="0" applyFont="1" applyBorder="1" applyAlignment="1">
      <alignment horizontal="center" vertical="center" wrapText="1"/>
    </xf>
    <xf numFmtId="10" fontId="102" fillId="0" borderId="13" xfId="134" applyNumberFormat="1" applyFont="1" applyBorder="1" applyAlignment="1">
      <alignment horizontal="center"/>
    </xf>
    <xf numFmtId="10" fontId="107" fillId="0" borderId="13" xfId="134" applyNumberFormat="1" applyFont="1" applyBorder="1" applyAlignment="1">
      <alignment horizontal="center"/>
    </xf>
    <xf numFmtId="10" fontId="107" fillId="0" borderId="13" xfId="0" applyNumberFormat="1" applyFont="1" applyBorder="1" applyAlignment="1">
      <alignment horizontal="center"/>
    </xf>
    <xf numFmtId="43" fontId="102" fillId="0" borderId="13" xfId="156" applyFont="1" applyBorder="1" applyAlignment="1">
      <alignment vertical="center"/>
    </xf>
    <xf numFmtId="0" fontId="120" fillId="0" borderId="13" xfId="0" applyFont="1" applyBorder="1" applyAlignment="1">
      <alignment horizontal="center" vertical="center" wrapText="1"/>
    </xf>
    <xf numFmtId="0" fontId="106" fillId="0" borderId="0" xfId="0" applyFont="1" applyAlignment="1">
      <alignment horizontal="center" vertical="center" wrapText="1"/>
    </xf>
    <xf numFmtId="10" fontId="102" fillId="0" borderId="0" xfId="134" applyNumberFormat="1" applyFont="1" applyBorder="1" applyAlignment="1">
      <alignment horizontal="center"/>
    </xf>
    <xf numFmtId="10" fontId="107" fillId="0" borderId="0" xfId="134" applyNumberFormat="1" applyFont="1" applyBorder="1" applyAlignment="1">
      <alignment horizontal="center"/>
    </xf>
    <xf numFmtId="43" fontId="102" fillId="0" borderId="0" xfId="156" applyFont="1" applyBorder="1" applyAlignment="1">
      <alignment vertical="center"/>
    </xf>
    <xf numFmtId="17" fontId="118" fillId="34" borderId="96" xfId="3" applyNumberFormat="1" applyFont="1" applyFill="1" applyBorder="1"/>
    <xf numFmtId="0" fontId="119" fillId="34" borderId="96" xfId="0" applyFont="1" applyFill="1" applyBorder="1" applyAlignment="1">
      <alignment horizontal="center"/>
    </xf>
    <xf numFmtId="0" fontId="119" fillId="34" borderId="96" xfId="0" applyFont="1" applyFill="1" applyBorder="1"/>
    <xf numFmtId="10" fontId="102" fillId="34" borderId="96" xfId="0" applyNumberFormat="1" applyFont="1" applyFill="1" applyBorder="1" applyAlignment="1">
      <alignment horizontal="center"/>
    </xf>
    <xf numFmtId="10" fontId="102" fillId="34" borderId="96" xfId="134" applyNumberFormat="1" applyFont="1" applyFill="1" applyBorder="1" applyAlignment="1">
      <alignment horizontal="center"/>
    </xf>
    <xf numFmtId="0" fontId="102" fillId="34" borderId="96" xfId="0" applyFont="1" applyFill="1" applyBorder="1"/>
    <xf numFmtId="43" fontId="102" fillId="34" borderId="96" xfId="156" applyFont="1" applyFill="1" applyBorder="1"/>
    <xf numFmtId="0" fontId="115" fillId="34" borderId="96" xfId="0" applyFont="1" applyFill="1" applyBorder="1" applyAlignment="1">
      <alignment horizontal="center" vertical="center"/>
    </xf>
    <xf numFmtId="0" fontId="116" fillId="34" borderId="96" xfId="0" applyFont="1" applyFill="1" applyBorder="1" applyAlignment="1">
      <alignment vertical="center"/>
    </xf>
    <xf numFmtId="0" fontId="102" fillId="34" borderId="96" xfId="0" applyFont="1" applyFill="1" applyBorder="1" applyAlignment="1">
      <alignment horizontal="center" vertical="center"/>
    </xf>
    <xf numFmtId="43" fontId="102" fillId="34" borderId="96" xfId="0" applyNumberFormat="1" applyFont="1" applyFill="1" applyBorder="1" applyAlignment="1">
      <alignment vertical="center"/>
    </xf>
    <xf numFmtId="43" fontId="111" fillId="34" borderId="96" xfId="156" applyFont="1" applyFill="1" applyBorder="1" applyAlignment="1">
      <alignment vertical="center"/>
    </xf>
    <xf numFmtId="43" fontId="110" fillId="0" borderId="96" xfId="156" applyFont="1" applyFill="1" applyBorder="1" applyAlignment="1">
      <alignment vertical="center"/>
    </xf>
    <xf numFmtId="0" fontId="102" fillId="0" borderId="96" xfId="0" applyFont="1" applyBorder="1"/>
    <xf numFmtId="43" fontId="102" fillId="56" borderId="96" xfId="156" applyFont="1" applyFill="1" applyBorder="1"/>
    <xf numFmtId="0" fontId="111" fillId="0" borderId="91" xfId="0" applyFont="1" applyBorder="1" applyAlignment="1">
      <alignment horizontal="right" vertical="center"/>
    </xf>
    <xf numFmtId="0" fontId="111" fillId="0" borderId="75" xfId="0" applyFont="1" applyBorder="1" applyAlignment="1">
      <alignment horizontal="right" vertical="center"/>
    </xf>
    <xf numFmtId="0" fontId="111" fillId="0" borderId="92" xfId="0" applyFont="1" applyBorder="1" applyAlignment="1">
      <alignment horizontal="right" vertical="center"/>
    </xf>
    <xf numFmtId="0" fontId="110" fillId="0" borderId="91" xfId="0" applyFont="1" applyBorder="1" applyAlignment="1">
      <alignment horizontal="right" vertical="center"/>
    </xf>
    <xf numFmtId="0" fontId="110" fillId="0" borderId="75" xfId="0" applyFont="1" applyBorder="1" applyAlignment="1">
      <alignment horizontal="right" vertical="center"/>
    </xf>
    <xf numFmtId="0" fontId="110" fillId="0" borderId="92" xfId="0" applyFont="1" applyBorder="1" applyAlignment="1">
      <alignment horizontal="right" vertical="center"/>
    </xf>
    <xf numFmtId="0" fontId="109" fillId="34" borderId="90" xfId="0" applyFont="1" applyFill="1" applyBorder="1" applyAlignment="1">
      <alignment horizontal="center" vertical="center"/>
    </xf>
    <xf numFmtId="0" fontId="110" fillId="34" borderId="90" xfId="0" applyFont="1" applyFill="1" applyBorder="1" applyAlignment="1">
      <alignment horizontal="left" vertical="center"/>
    </xf>
    <xf numFmtId="0" fontId="111" fillId="34" borderId="91" xfId="0" applyFont="1" applyFill="1" applyBorder="1" applyAlignment="1">
      <alignment horizontal="center" vertical="center"/>
    </xf>
    <xf numFmtId="0" fontId="111" fillId="34" borderId="92" xfId="0" applyFont="1" applyFill="1" applyBorder="1" applyAlignment="1">
      <alignment horizontal="center" vertical="center"/>
    </xf>
    <xf numFmtId="14" fontId="110" fillId="34" borderId="91" xfId="0" applyNumberFormat="1" applyFont="1" applyFill="1" applyBorder="1" applyAlignment="1">
      <alignment horizontal="center" vertical="center"/>
    </xf>
    <xf numFmtId="14" fontId="110" fillId="34" borderId="92" xfId="0" applyNumberFormat="1" applyFont="1" applyFill="1" applyBorder="1" applyAlignment="1">
      <alignment horizontal="center" vertical="center"/>
    </xf>
    <xf numFmtId="0" fontId="102" fillId="34" borderId="90" xfId="0" applyFont="1" applyFill="1" applyBorder="1" applyAlignment="1">
      <alignment horizontal="left" vertical="center"/>
    </xf>
    <xf numFmtId="0" fontId="117" fillId="0" borderId="91" xfId="0" applyFont="1" applyBorder="1" applyAlignment="1">
      <alignment horizontal="right" vertical="center"/>
    </xf>
    <xf numFmtId="0" fontId="117" fillId="0" borderId="75" xfId="0" applyFont="1" applyBorder="1" applyAlignment="1">
      <alignment horizontal="right" vertical="center"/>
    </xf>
    <xf numFmtId="0" fontId="117" fillId="0" borderId="92" xfId="0" applyFont="1" applyBorder="1" applyAlignment="1">
      <alignment horizontal="right" vertical="center"/>
    </xf>
    <xf numFmtId="0" fontId="100" fillId="0" borderId="87" xfId="0" applyFont="1" applyBorder="1" applyAlignment="1">
      <alignment horizontal="left" vertical="center" wrapText="1"/>
    </xf>
    <xf numFmtId="0" fontId="100" fillId="0" borderId="88" xfId="0" applyFont="1" applyBorder="1" applyAlignment="1">
      <alignment horizontal="left" vertical="center" wrapText="1"/>
    </xf>
    <xf numFmtId="0" fontId="100" fillId="0" borderId="89" xfId="0" applyFont="1" applyBorder="1" applyAlignment="1">
      <alignment horizontal="left" vertical="center" wrapText="1"/>
    </xf>
    <xf numFmtId="0" fontId="100" fillId="0" borderId="93" xfId="0" applyFont="1" applyBorder="1" applyAlignment="1">
      <alignment horizontal="left" vertical="center" wrapText="1"/>
    </xf>
    <xf numFmtId="0" fontId="100" fillId="0" borderId="94" xfId="0" applyFont="1" applyBorder="1" applyAlignment="1">
      <alignment horizontal="left" vertical="center" wrapText="1"/>
    </xf>
    <xf numFmtId="0" fontId="100" fillId="0" borderId="95" xfId="0" applyFont="1" applyBorder="1" applyAlignment="1">
      <alignment horizontal="left" vertical="center" wrapText="1"/>
    </xf>
    <xf numFmtId="0" fontId="100" fillId="0" borderId="87" xfId="0" applyFont="1" applyBorder="1" applyAlignment="1">
      <alignment horizontal="left" vertical="center"/>
    </xf>
    <xf numFmtId="0" fontId="100" fillId="0" borderId="88" xfId="0" applyFont="1" applyBorder="1" applyAlignment="1">
      <alignment horizontal="left" vertical="center"/>
    </xf>
    <xf numFmtId="0" fontId="100" fillId="0" borderId="89" xfId="0" applyFont="1" applyBorder="1" applyAlignment="1">
      <alignment horizontal="left" vertical="center"/>
    </xf>
    <xf numFmtId="0" fontId="33" fillId="35" borderId="82" xfId="0" applyFont="1" applyFill="1" applyBorder="1" applyAlignment="1">
      <alignment horizontal="left" vertical="center" wrapText="1"/>
    </xf>
    <xf numFmtId="0" fontId="33" fillId="35" borderId="83" xfId="0" applyFont="1" applyFill="1" applyBorder="1" applyAlignment="1">
      <alignment horizontal="left" vertical="center" wrapText="1"/>
    </xf>
    <xf numFmtId="0" fontId="33" fillId="35" borderId="84" xfId="0" applyFont="1" applyFill="1" applyBorder="1" applyAlignment="1">
      <alignment horizontal="left" vertical="center" wrapText="1"/>
    </xf>
    <xf numFmtId="204" fontId="73" fillId="0" borderId="0" xfId="0" applyNumberFormat="1" applyFont="1" applyAlignment="1">
      <alignment horizontal="right" vertical="center"/>
    </xf>
    <xf numFmtId="0" fontId="66" fillId="0" borderId="0" xfId="0" applyFont="1" applyAlignment="1">
      <alignment horizontal="left" vertical="center"/>
    </xf>
    <xf numFmtId="0" fontId="89" fillId="50" borderId="15" xfId="0" applyFont="1" applyFill="1" applyBorder="1" applyAlignment="1">
      <alignment horizontal="center" vertical="center"/>
    </xf>
    <xf numFmtId="0" fontId="89" fillId="50" borderId="16" xfId="0" applyFont="1" applyFill="1" applyBorder="1" applyAlignment="1">
      <alignment horizontal="center" vertical="center"/>
    </xf>
    <xf numFmtId="0" fontId="89" fillId="50" borderId="14" xfId="0" applyFont="1" applyFill="1" applyBorder="1" applyAlignment="1">
      <alignment horizontal="center" vertical="center"/>
    </xf>
    <xf numFmtId="0" fontId="83" fillId="51" borderId="13" xfId="0" applyFont="1" applyFill="1" applyBorder="1" applyAlignment="1">
      <alignment horizontal="center" vertical="center" wrapText="1"/>
    </xf>
    <xf numFmtId="0" fontId="94" fillId="50" borderId="13" xfId="0" applyFont="1" applyFill="1" applyBorder="1" applyAlignment="1">
      <alignment horizontal="center" vertical="center"/>
    </xf>
    <xf numFmtId="0" fontId="83" fillId="51" borderId="15" xfId="0" applyFont="1" applyFill="1" applyBorder="1" applyAlignment="1">
      <alignment horizontal="center" vertical="center"/>
    </xf>
    <xf numFmtId="0" fontId="83" fillId="51" borderId="16" xfId="0" applyFont="1" applyFill="1" applyBorder="1" applyAlignment="1">
      <alignment horizontal="center" vertical="center"/>
    </xf>
    <xf numFmtId="0" fontId="83" fillId="51" borderId="14" xfId="0" applyFont="1" applyFill="1" applyBorder="1" applyAlignment="1">
      <alignment horizontal="center" vertical="center"/>
    </xf>
    <xf numFmtId="0" fontId="83" fillId="0" borderId="38" xfId="0" applyFont="1" applyBorder="1" applyAlignment="1">
      <alignment horizontal="left" vertical="center"/>
    </xf>
    <xf numFmtId="0" fontId="83" fillId="0" borderId="12" xfId="0" applyFont="1" applyBorder="1" applyAlignment="1">
      <alignment horizontal="left" vertical="center"/>
    </xf>
    <xf numFmtId="0" fontId="84" fillId="0" borderId="86" xfId="0" applyFont="1" applyBorder="1" applyAlignment="1">
      <alignment horizontal="left" vertical="center"/>
    </xf>
    <xf numFmtId="0" fontId="84" fillId="0" borderId="85" xfId="0" applyFont="1" applyBorder="1" applyAlignment="1">
      <alignment horizontal="left" vertical="center"/>
    </xf>
    <xf numFmtId="0" fontId="84" fillId="0" borderId="0" xfId="0" applyFont="1" applyAlignment="1">
      <alignment horizontal="left" vertical="center"/>
    </xf>
    <xf numFmtId="0" fontId="84" fillId="0" borderId="19" xfId="0" applyFont="1" applyBorder="1" applyAlignment="1">
      <alignment horizontal="left" vertical="center"/>
    </xf>
    <xf numFmtId="200" fontId="84" fillId="0" borderId="75" xfId="0" applyNumberFormat="1" applyFont="1" applyBorder="1" applyAlignment="1">
      <alignment horizontal="left" vertical="center"/>
    </xf>
    <xf numFmtId="200" fontId="84" fillId="0" borderId="74" xfId="0" applyNumberFormat="1" applyFont="1" applyBorder="1" applyAlignment="1">
      <alignment horizontal="left" vertical="center"/>
    </xf>
    <xf numFmtId="0" fontId="84" fillId="0" borderId="75" xfId="0" applyFont="1" applyBorder="1" applyAlignment="1">
      <alignment horizontal="left" vertical="center"/>
    </xf>
    <xf numFmtId="0" fontId="84" fillId="0" borderId="74" xfId="0" applyFont="1" applyBorder="1" applyAlignment="1">
      <alignment horizontal="left" vertical="center"/>
    </xf>
    <xf numFmtId="0" fontId="79" fillId="0" borderId="20" xfId="0" applyFont="1" applyBorder="1" applyAlignment="1">
      <alignment horizontal="center" vertical="center"/>
    </xf>
    <xf numFmtId="0" fontId="79" fillId="0" borderId="0" xfId="0" applyFont="1" applyAlignment="1">
      <alignment horizontal="center" vertical="center"/>
    </xf>
    <xf numFmtId="0" fontId="79" fillId="0" borderId="11" xfId="0" applyFont="1" applyBorder="1" applyAlignment="1">
      <alignment horizontal="center" vertical="center"/>
    </xf>
    <xf numFmtId="0" fontId="83" fillId="0" borderId="73" xfId="0" applyFont="1" applyBorder="1" applyAlignment="1">
      <alignment horizontal="left" vertical="center"/>
    </xf>
    <xf numFmtId="0" fontId="83" fillId="0" borderId="72" xfId="0" applyFont="1" applyBorder="1" applyAlignment="1">
      <alignment horizontal="left" vertical="center"/>
    </xf>
    <xf numFmtId="0" fontId="84" fillId="0" borderId="0" xfId="0" applyFont="1" applyAlignment="1">
      <alignment horizontal="left" vertical="top" wrapText="1"/>
    </xf>
    <xf numFmtId="0" fontId="81" fillId="51" borderId="15" xfId="0" applyFont="1" applyFill="1" applyBorder="1" applyAlignment="1">
      <alignment horizontal="center" vertical="center"/>
    </xf>
    <xf numFmtId="0" fontId="81" fillId="51" borderId="16" xfId="0" applyFont="1" applyFill="1" applyBorder="1" applyAlignment="1">
      <alignment horizontal="center" vertical="center"/>
    </xf>
    <xf numFmtId="0" fontId="81" fillId="51" borderId="14" xfId="0" applyFont="1" applyFill="1" applyBorder="1" applyAlignment="1">
      <alignment horizontal="center" vertical="center"/>
    </xf>
    <xf numFmtId="0" fontId="83" fillId="0" borderId="69" xfId="0" applyFont="1" applyBorder="1" applyAlignment="1">
      <alignment horizontal="left" vertical="center"/>
    </xf>
    <xf numFmtId="0" fontId="83" fillId="0" borderId="68" xfId="0" applyFont="1" applyBorder="1" applyAlignment="1">
      <alignment horizontal="left" vertical="center"/>
    </xf>
    <xf numFmtId="0" fontId="83" fillId="0" borderId="70" xfId="0" applyFont="1" applyBorder="1" applyAlignment="1">
      <alignment horizontal="left" vertical="center"/>
    </xf>
    <xf numFmtId="0" fontId="83" fillId="0" borderId="71" xfId="0" applyFont="1" applyBorder="1" applyAlignment="1">
      <alignment horizontal="left" vertical="center"/>
    </xf>
    <xf numFmtId="0" fontId="80" fillId="0" borderId="22" xfId="0" applyFont="1" applyBorder="1" applyAlignment="1">
      <alignment horizontal="center" vertical="center" wrapText="1"/>
    </xf>
    <xf numFmtId="0" fontId="80" fillId="0" borderId="19" xfId="0" applyFont="1" applyBorder="1" applyAlignment="1">
      <alignment horizontal="center" vertical="center" wrapText="1"/>
    </xf>
    <xf numFmtId="0" fontId="80" fillId="0" borderId="21" xfId="0" applyFont="1" applyBorder="1" applyAlignment="1">
      <alignment horizontal="center" vertical="center" wrapText="1"/>
    </xf>
    <xf numFmtId="0" fontId="111" fillId="34" borderId="96" xfId="0" applyFont="1" applyFill="1" applyBorder="1" applyAlignment="1">
      <alignment horizontal="right" vertical="center"/>
    </xf>
    <xf numFmtId="0" fontId="110" fillId="0" borderId="96" xfId="0" applyFont="1" applyBorder="1" applyAlignment="1">
      <alignment horizontal="right" vertical="center"/>
    </xf>
    <xf numFmtId="0" fontId="109" fillId="34" borderId="97" xfId="0" applyFont="1" applyFill="1" applyBorder="1" applyAlignment="1">
      <alignment horizontal="center" vertical="center"/>
    </xf>
    <xf numFmtId="0" fontId="46" fillId="0" borderId="15" xfId="43" applyFont="1" applyBorder="1" applyAlignment="1">
      <alignment horizontal="left" vertical="center" wrapText="1"/>
    </xf>
    <xf numFmtId="0" fontId="46" fillId="0" borderId="14" xfId="43" applyFont="1" applyBorder="1" applyAlignment="1">
      <alignment horizontal="left" vertical="center" wrapText="1"/>
    </xf>
    <xf numFmtId="189" fontId="51" fillId="0" borderId="15" xfId="43" applyNumberFormat="1" applyFont="1" applyBorder="1" applyAlignment="1">
      <alignment horizontal="center" vertical="center"/>
    </xf>
    <xf numFmtId="189" fontId="51" fillId="0" borderId="16" xfId="43" applyNumberFormat="1" applyFont="1" applyBorder="1" applyAlignment="1">
      <alignment horizontal="center" vertical="center"/>
    </xf>
    <xf numFmtId="0" fontId="51" fillId="0" borderId="15" xfId="43" applyFont="1" applyBorder="1" applyAlignment="1">
      <alignment horizontal="left" vertical="center" wrapText="1"/>
    </xf>
    <xf numFmtId="0" fontId="51" fillId="0" borderId="14" xfId="43" applyFont="1" applyBorder="1" applyAlignment="1">
      <alignment horizontal="left" vertical="center" wrapText="1"/>
    </xf>
    <xf numFmtId="0" fontId="47" fillId="34" borderId="13" xfId="43" applyFont="1" applyFill="1" applyBorder="1" applyAlignment="1">
      <alignment horizontal="right" vertical="center"/>
    </xf>
    <xf numFmtId="0" fontId="48" fillId="37" borderId="24" xfId="138" applyFont="1" applyFill="1" applyBorder="1" applyAlignment="1">
      <alignment horizontal="center"/>
    </xf>
    <xf numFmtId="0" fontId="48" fillId="37" borderId="29" xfId="138" applyFont="1" applyFill="1" applyBorder="1" applyAlignment="1">
      <alignment horizontal="center"/>
    </xf>
    <xf numFmtId="197" fontId="45" fillId="37" borderId="35" xfId="138" applyNumberFormat="1" applyFont="1" applyFill="1" applyBorder="1" applyAlignment="1">
      <alignment horizontal="center" vertical="center"/>
    </xf>
    <xf numFmtId="197" fontId="45" fillId="37" borderId="16" xfId="138" applyNumberFormat="1" applyFont="1" applyFill="1" applyBorder="1" applyAlignment="1">
      <alignment horizontal="center" vertical="center"/>
    </xf>
    <xf numFmtId="0" fontId="51" fillId="0" borderId="15" xfId="43" applyFont="1" applyBorder="1" applyAlignment="1">
      <alignment horizontal="center" vertical="center" wrapText="1"/>
    </xf>
    <xf numFmtId="0" fontId="51" fillId="0" borderId="14" xfId="43" applyFont="1" applyBorder="1" applyAlignment="1">
      <alignment horizontal="center" vertical="center" wrapText="1"/>
    </xf>
    <xf numFmtId="189" fontId="51" fillId="0" borderId="14" xfId="43" applyNumberFormat="1" applyFont="1" applyBorder="1" applyAlignment="1">
      <alignment horizontal="center" vertical="center"/>
    </xf>
    <xf numFmtId="0" fontId="47" fillId="0" borderId="15" xfId="43" applyFont="1" applyBorder="1" applyAlignment="1">
      <alignment horizontal="right" vertical="center"/>
    </xf>
    <xf numFmtId="0" fontId="47" fillId="0" borderId="16" xfId="43" applyFont="1" applyBorder="1" applyAlignment="1">
      <alignment horizontal="right" vertical="center"/>
    </xf>
    <xf numFmtId="0" fontId="47" fillId="0" borderId="14" xfId="43" applyFont="1" applyBorder="1" applyAlignment="1">
      <alignment horizontal="right" vertical="center"/>
    </xf>
    <xf numFmtId="0" fontId="47" fillId="0" borderId="15" xfId="43" applyFont="1" applyBorder="1" applyAlignment="1">
      <alignment horizontal="left" vertical="center"/>
    </xf>
    <xf numFmtId="0" fontId="47" fillId="0" borderId="16" xfId="43" applyFont="1" applyBorder="1" applyAlignment="1">
      <alignment horizontal="left" vertical="center"/>
    </xf>
    <xf numFmtId="0" fontId="47" fillId="0" borderId="20" xfId="43" applyFont="1" applyBorder="1" applyAlignment="1">
      <alignment horizontal="left" vertical="center"/>
    </xf>
    <xf numFmtId="0" fontId="47" fillId="0" borderId="22" xfId="43" applyFont="1" applyBorder="1" applyAlignment="1">
      <alignment horizontal="left" vertical="center"/>
    </xf>
    <xf numFmtId="0" fontId="46" fillId="0" borderId="15" xfId="43" applyFont="1" applyBorder="1" applyAlignment="1">
      <alignment horizontal="center" vertical="center"/>
    </xf>
    <xf numFmtId="0" fontId="46" fillId="0" borderId="14" xfId="43" applyFont="1" applyBorder="1" applyAlignment="1">
      <alignment horizontal="center" vertical="center"/>
    </xf>
    <xf numFmtId="0" fontId="46" fillId="0" borderId="13" xfId="43" applyFont="1" applyBorder="1" applyAlignment="1">
      <alignment horizontal="center" vertical="center"/>
    </xf>
    <xf numFmtId="2" fontId="51" fillId="0" borderId="15" xfId="1" applyNumberFormat="1" applyFont="1" applyBorder="1" applyAlignment="1">
      <alignment horizontal="center" vertical="center"/>
    </xf>
    <xf numFmtId="2" fontId="51" fillId="0" borderId="14" xfId="1" applyNumberFormat="1" applyFont="1" applyBorder="1" applyAlignment="1">
      <alignment horizontal="center" vertical="center"/>
    </xf>
    <xf numFmtId="0" fontId="47" fillId="0" borderId="35" xfId="43" applyFont="1" applyBorder="1" applyAlignment="1">
      <alignment horizontal="right" vertical="center"/>
    </xf>
    <xf numFmtId="0" fontId="47" fillId="0" borderId="20" xfId="43" applyFont="1" applyBorder="1" applyAlignment="1">
      <alignment horizontal="right" vertical="center"/>
    </xf>
    <xf numFmtId="0" fontId="46" fillId="0" borderId="16" xfId="43" applyFont="1" applyBorder="1" applyAlignment="1">
      <alignment horizontal="center" vertical="center"/>
    </xf>
    <xf numFmtId="0" fontId="46" fillId="0" borderId="15" xfId="43" applyFont="1" applyBorder="1" applyAlignment="1">
      <alignment horizontal="center" vertical="center" wrapText="1"/>
    </xf>
    <xf numFmtId="0" fontId="46" fillId="0" borderId="14" xfId="43" applyFont="1" applyBorder="1" applyAlignment="1">
      <alignment horizontal="center" vertical="center" wrapText="1"/>
    </xf>
    <xf numFmtId="0" fontId="45" fillId="37" borderId="27" xfId="138" applyFont="1" applyFill="1" applyBorder="1" applyAlignment="1">
      <alignment horizontal="center" vertical="center"/>
    </xf>
    <xf numFmtId="0" fontId="45" fillId="37" borderId="28" xfId="138" applyFont="1" applyFill="1" applyBorder="1" applyAlignment="1">
      <alignment horizontal="center" vertical="center"/>
    </xf>
    <xf numFmtId="0" fontId="45" fillId="37" borderId="29" xfId="138" applyFont="1" applyFill="1" applyBorder="1" applyAlignment="1">
      <alignment horizontal="center" vertical="center"/>
    </xf>
    <xf numFmtId="2" fontId="45" fillId="37" borderId="50" xfId="138" applyNumberFormat="1" applyFont="1" applyFill="1" applyBorder="1" applyAlignment="1">
      <alignment horizontal="left" vertical="center" wrapText="1"/>
    </xf>
    <xf numFmtId="2" fontId="45" fillId="37" borderId="50" xfId="138" applyNumberFormat="1" applyFont="1" applyFill="1" applyBorder="1" applyAlignment="1">
      <alignment horizontal="left" vertical="center"/>
    </xf>
    <xf numFmtId="0" fontId="47" fillId="37" borderId="25" xfId="138" applyFont="1" applyFill="1" applyBorder="1" applyAlignment="1">
      <alignment horizontal="left" vertical="center" wrapText="1"/>
    </xf>
    <xf numFmtId="0" fontId="45" fillId="37" borderId="44" xfId="138" applyFont="1" applyFill="1" applyBorder="1" applyAlignment="1">
      <alignment horizontal="center" vertical="center"/>
    </xf>
    <xf numFmtId="0" fontId="48" fillId="37" borderId="25" xfId="138" applyFont="1" applyFill="1" applyBorder="1" applyAlignment="1">
      <alignment horizontal="left" vertical="center" wrapText="1"/>
    </xf>
    <xf numFmtId="0" fontId="48" fillId="37" borderId="76" xfId="138" applyFont="1" applyFill="1" applyBorder="1" applyAlignment="1">
      <alignment horizontal="center" vertical="center" wrapText="1"/>
    </xf>
    <xf numFmtId="0" fontId="48" fillId="37" borderId="31" xfId="138" applyFont="1" applyFill="1" applyBorder="1" applyAlignment="1">
      <alignment horizontal="center" vertical="center" wrapText="1"/>
    </xf>
    <xf numFmtId="0" fontId="48" fillId="37" borderId="77" xfId="138" applyFont="1" applyFill="1" applyBorder="1" applyAlignment="1">
      <alignment horizontal="center" vertical="center" wrapText="1"/>
    </xf>
    <xf numFmtId="0" fontId="48" fillId="37" borderId="13" xfId="138" applyFont="1" applyFill="1" applyBorder="1" applyAlignment="1">
      <alignment horizontal="center" vertical="center"/>
    </xf>
    <xf numFmtId="0" fontId="51" fillId="0" borderId="16" xfId="43" applyFont="1" applyBorder="1" applyAlignment="1">
      <alignment horizontal="center" vertical="center" wrapText="1"/>
    </xf>
    <xf numFmtId="0" fontId="47" fillId="0" borderId="10" xfId="43" applyFont="1" applyBorder="1" applyAlignment="1">
      <alignment horizontal="left" vertical="center"/>
    </xf>
    <xf numFmtId="0" fontId="47" fillId="0" borderId="11" xfId="43" applyFont="1" applyBorder="1" applyAlignment="1">
      <alignment horizontal="left" vertical="center"/>
    </xf>
    <xf numFmtId="0" fontId="47" fillId="0" borderId="19" xfId="43" applyFont="1" applyBorder="1" applyAlignment="1">
      <alignment horizontal="left" vertical="center"/>
    </xf>
    <xf numFmtId="0" fontId="48" fillId="0" borderId="15" xfId="43" applyFont="1" applyBorder="1" applyAlignment="1">
      <alignment horizontal="center" vertical="center"/>
    </xf>
    <xf numFmtId="0" fontId="48" fillId="0" borderId="14" xfId="43" applyFont="1" applyBorder="1" applyAlignment="1">
      <alignment horizontal="center" vertical="center"/>
    </xf>
    <xf numFmtId="0" fontId="48" fillId="0" borderId="13" xfId="43" applyFont="1" applyBorder="1" applyAlignment="1">
      <alignment horizontal="center" vertical="center" wrapText="1"/>
    </xf>
    <xf numFmtId="0" fontId="74" fillId="38" borderId="13" xfId="0" applyFont="1" applyFill="1" applyBorder="1" applyAlignment="1">
      <alignment horizontal="center" vertical="center"/>
    </xf>
    <xf numFmtId="0" fontId="0" fillId="43" borderId="13" xfId="0" applyFill="1" applyBorder="1" applyAlignment="1">
      <alignment horizontal="center"/>
    </xf>
    <xf numFmtId="0" fontId="16" fillId="38" borderId="51" xfId="0" applyFont="1" applyFill="1" applyBorder="1" applyAlignment="1">
      <alignment horizontal="center"/>
    </xf>
    <xf numFmtId="0" fontId="16" fillId="38" borderId="52" xfId="0" applyFont="1" applyFill="1" applyBorder="1" applyAlignment="1">
      <alignment horizontal="center"/>
    </xf>
    <xf numFmtId="0" fontId="16" fillId="41" borderId="56" xfId="0" applyFont="1" applyFill="1" applyBorder="1" applyAlignment="1">
      <alignment horizontal="center" vertical="center"/>
    </xf>
    <xf numFmtId="0" fontId="16" fillId="41" borderId="57" xfId="0" applyFont="1" applyFill="1" applyBorder="1" applyAlignment="1">
      <alignment horizontal="center" vertical="center"/>
    </xf>
    <xf numFmtId="0" fontId="16" fillId="41" borderId="58" xfId="0" applyFont="1" applyFill="1" applyBorder="1" applyAlignment="1">
      <alignment horizontal="center" vertical="center"/>
    </xf>
    <xf numFmtId="0" fontId="16" fillId="41" borderId="60" xfId="0" applyFont="1" applyFill="1" applyBorder="1" applyAlignment="1">
      <alignment horizontal="center" vertical="center"/>
    </xf>
    <xf numFmtId="0" fontId="16" fillId="41" borderId="61" xfId="0" applyFont="1" applyFill="1" applyBorder="1" applyAlignment="1">
      <alignment horizontal="center" vertical="center"/>
    </xf>
    <xf numFmtId="0" fontId="16" fillId="41" borderId="62" xfId="0" applyFont="1" applyFill="1" applyBorder="1" applyAlignment="1">
      <alignment horizontal="center" vertical="center"/>
    </xf>
    <xf numFmtId="3" fontId="75" fillId="41" borderId="59" xfId="0" applyNumberFormat="1" applyFont="1" applyFill="1" applyBorder="1" applyAlignment="1">
      <alignment horizontal="center" vertical="center"/>
    </xf>
    <xf numFmtId="3" fontId="75" fillId="41" borderId="63" xfId="0" applyNumberFormat="1" applyFont="1" applyFill="1" applyBorder="1" applyAlignment="1">
      <alignment horizontal="center" vertical="center"/>
    </xf>
    <xf numFmtId="0" fontId="74" fillId="38" borderId="18" xfId="0" applyFont="1" applyFill="1" applyBorder="1" applyAlignment="1">
      <alignment horizontal="center" vertical="center"/>
    </xf>
    <xf numFmtId="0" fontId="74" fillId="38" borderId="38" xfId="0" applyFont="1" applyFill="1" applyBorder="1" applyAlignment="1">
      <alignment horizontal="center" vertical="center"/>
    </xf>
    <xf numFmtId="0" fontId="74" fillId="38" borderId="17" xfId="0" applyFont="1" applyFill="1" applyBorder="1" applyAlignment="1">
      <alignment horizontal="center" vertical="center"/>
    </xf>
    <xf numFmtId="0" fontId="0" fillId="43" borderId="15" xfId="0" applyFill="1" applyBorder="1" applyAlignment="1">
      <alignment horizontal="center"/>
    </xf>
    <xf numFmtId="0" fontId="0" fillId="43" borderId="14" xfId="0" applyFill="1" applyBorder="1" applyAlignment="1">
      <alignment horizontal="center"/>
    </xf>
    <xf numFmtId="0" fontId="16" fillId="40" borderId="13" xfId="0" applyFont="1" applyFill="1" applyBorder="1" applyAlignment="1">
      <alignment horizontal="center"/>
    </xf>
    <xf numFmtId="0" fontId="16" fillId="48" borderId="18" xfId="0" applyFont="1" applyFill="1" applyBorder="1" applyAlignment="1">
      <alignment horizontal="center" vertical="center" wrapText="1"/>
    </xf>
    <xf numFmtId="0" fontId="16" fillId="48" borderId="17" xfId="0" applyFont="1" applyFill="1" applyBorder="1" applyAlignment="1">
      <alignment horizontal="center" vertical="center" wrapText="1"/>
    </xf>
    <xf numFmtId="0" fontId="76" fillId="35" borderId="13" xfId="0" applyFont="1" applyFill="1" applyBorder="1" applyAlignment="1">
      <alignment horizontal="center" vertical="center"/>
    </xf>
    <xf numFmtId="0" fontId="16" fillId="35" borderId="18" xfId="0" applyFont="1" applyFill="1" applyBorder="1" applyAlignment="1">
      <alignment horizontal="center" vertical="center"/>
    </xf>
    <xf numFmtId="0" fontId="16" fillId="35" borderId="17" xfId="0" applyFont="1" applyFill="1" applyBorder="1" applyAlignment="1">
      <alignment horizontal="center" vertical="center"/>
    </xf>
    <xf numFmtId="0" fontId="16" fillId="35" borderId="18" xfId="0" applyFont="1" applyFill="1" applyBorder="1" applyAlignment="1">
      <alignment horizontal="center" vertical="center" wrapText="1"/>
    </xf>
    <xf numFmtId="0" fontId="16" fillId="35" borderId="17" xfId="0" applyFont="1" applyFill="1" applyBorder="1" applyAlignment="1">
      <alignment horizontal="center" vertical="center" wrapText="1"/>
    </xf>
    <xf numFmtId="0" fontId="16" fillId="44" borderId="18" xfId="0" applyFont="1" applyFill="1" applyBorder="1" applyAlignment="1">
      <alignment horizontal="center" vertical="center" wrapText="1"/>
    </xf>
    <xf numFmtId="0" fontId="16" fillId="44" borderId="17" xfId="0" applyFont="1" applyFill="1" applyBorder="1" applyAlignment="1">
      <alignment horizontal="center" vertical="center" wrapText="1"/>
    </xf>
    <xf numFmtId="0" fontId="16" fillId="45" borderId="18" xfId="0" applyFont="1" applyFill="1" applyBorder="1" applyAlignment="1">
      <alignment horizontal="center" vertical="center" wrapText="1"/>
    </xf>
    <xf numFmtId="0" fontId="16" fillId="45" borderId="17" xfId="0" applyFont="1" applyFill="1" applyBorder="1" applyAlignment="1">
      <alignment horizontal="center" vertical="center" wrapText="1"/>
    </xf>
    <xf numFmtId="0" fontId="16" fillId="46" borderId="18" xfId="0" applyFont="1" applyFill="1" applyBorder="1" applyAlignment="1">
      <alignment horizontal="center" vertical="center" wrapText="1"/>
    </xf>
    <xf numFmtId="0" fontId="16" fillId="46" borderId="17" xfId="0" applyFont="1" applyFill="1" applyBorder="1" applyAlignment="1">
      <alignment horizontal="center" vertical="center" wrapText="1"/>
    </xf>
    <xf numFmtId="0" fontId="16" fillId="47" borderId="18" xfId="0" applyFont="1" applyFill="1" applyBorder="1" applyAlignment="1">
      <alignment horizontal="center" vertical="center" wrapText="1"/>
    </xf>
    <xf numFmtId="0" fontId="16" fillId="47" borderId="17" xfId="0" applyFont="1" applyFill="1" applyBorder="1" applyAlignment="1">
      <alignment horizontal="center" vertical="center" wrapText="1"/>
    </xf>
    <xf numFmtId="0" fontId="0" fillId="0" borderId="13" xfId="0" applyBorder="1" applyAlignment="1">
      <alignment horizontal="left" wrapText="1"/>
    </xf>
    <xf numFmtId="0" fontId="16" fillId="44" borderId="13" xfId="0" applyFont="1" applyFill="1" applyBorder="1" applyAlignment="1">
      <alignment horizontal="center" vertical="center" wrapText="1"/>
    </xf>
    <xf numFmtId="0" fontId="16" fillId="45" borderId="13" xfId="0" applyFont="1" applyFill="1" applyBorder="1" applyAlignment="1">
      <alignment horizontal="center" vertical="center" wrapText="1"/>
    </xf>
    <xf numFmtId="0" fontId="0" fillId="0" borderId="67" xfId="0" applyBorder="1" applyAlignment="1">
      <alignment horizontal="center"/>
    </xf>
    <xf numFmtId="0" fontId="0" fillId="34" borderId="0" xfId="0" applyFont="1" applyFill="1" applyAlignment="1">
      <alignment vertical="center"/>
    </xf>
    <xf numFmtId="0" fontId="33" fillId="0" borderId="13" xfId="0" applyFont="1" applyFill="1" applyBorder="1" applyAlignment="1">
      <alignment horizontal="center" vertical="center"/>
    </xf>
    <xf numFmtId="0" fontId="99" fillId="0" borderId="13" xfId="0" applyFont="1" applyFill="1" applyBorder="1" applyAlignment="1" applyProtection="1">
      <alignment horizontal="center" vertical="center"/>
      <protection locked="0"/>
    </xf>
    <xf numFmtId="0" fontId="21" fillId="0" borderId="13" xfId="0" applyFont="1" applyFill="1" applyBorder="1" applyAlignment="1">
      <alignment horizontal="center" vertical="center"/>
    </xf>
    <xf numFmtId="0" fontId="0" fillId="0" borderId="0" xfId="0" applyFont="1" applyFill="1" applyAlignment="1">
      <alignment vertical="center"/>
    </xf>
    <xf numFmtId="1" fontId="53" fillId="34" borderId="13" xfId="0" applyNumberFormat="1" applyFont="1" applyFill="1" applyBorder="1" applyAlignment="1">
      <alignment horizontal="center" vertical="center"/>
    </xf>
    <xf numFmtId="1" fontId="55" fillId="34" borderId="13" xfId="1" applyNumberFormat="1" applyFont="1" applyFill="1" applyBorder="1" applyAlignment="1">
      <alignment horizontal="center" vertical="center"/>
    </xf>
    <xf numFmtId="1" fontId="54" fillId="34" borderId="0" xfId="0" applyNumberFormat="1" applyFont="1" applyFill="1" applyAlignment="1">
      <alignment vertical="center"/>
    </xf>
    <xf numFmtId="1" fontId="56" fillId="34" borderId="13" xfId="136" applyNumberFormat="1" applyFont="1" applyFill="1" applyBorder="1" applyAlignment="1">
      <alignment vertical="center"/>
    </xf>
    <xf numFmtId="1" fontId="57" fillId="34" borderId="0" xfId="114" applyNumberFormat="1" applyFont="1" applyFill="1" applyAlignment="1">
      <alignment vertical="center"/>
    </xf>
    <xf numFmtId="1" fontId="58" fillId="34" borderId="0" xfId="114" applyNumberFormat="1" applyFont="1" applyFill="1" applyAlignment="1">
      <alignment horizontal="center" vertical="center"/>
    </xf>
    <xf numFmtId="1" fontId="56" fillId="34" borderId="0" xfId="136" applyNumberFormat="1" applyFont="1" applyFill="1" applyAlignment="1">
      <alignment vertical="center"/>
    </xf>
    <xf numFmtId="1" fontId="54" fillId="34" borderId="0" xfId="100" applyNumberFormat="1" applyFont="1" applyFill="1" applyAlignment="1">
      <alignment vertical="center"/>
    </xf>
    <xf numFmtId="1" fontId="22" fillId="34" borderId="0" xfId="114" applyNumberFormat="1" applyFill="1" applyAlignment="1">
      <alignment vertical="center"/>
    </xf>
    <xf numFmtId="1" fontId="59" fillId="34" borderId="13" xfId="1" applyNumberFormat="1" applyFont="1" applyFill="1" applyBorder="1" applyAlignment="1">
      <alignment vertical="center"/>
    </xf>
    <xf numFmtId="1" fontId="0" fillId="0" borderId="0" xfId="1" applyNumberFormat="1" applyFont="1"/>
    <xf numFmtId="0" fontId="121" fillId="33" borderId="13" xfId="0" applyFont="1" applyFill="1" applyBorder="1" applyAlignment="1">
      <alignment horizontal="center"/>
    </xf>
    <xf numFmtId="0" fontId="122" fillId="0" borderId="0" xfId="0" applyFont="1"/>
    <xf numFmtId="0" fontId="122" fillId="0" borderId="13" xfId="0" applyFont="1" applyBorder="1" applyAlignment="1">
      <alignment horizontal="center"/>
    </xf>
    <xf numFmtId="0" fontId="123" fillId="0" borderId="13" xfId="0" applyFont="1" applyBorder="1" applyAlignment="1">
      <alignment horizontal="center"/>
    </xf>
    <xf numFmtId="190" fontId="122" fillId="0" borderId="13" xfId="1" applyNumberFormat="1" applyFont="1" applyBorder="1"/>
    <xf numFmtId="0" fontId="122" fillId="0" borderId="13" xfId="0" applyFont="1" applyBorder="1"/>
    <xf numFmtId="0" fontId="122" fillId="0" borderId="21" xfId="0" applyFont="1" applyBorder="1"/>
    <xf numFmtId="0" fontId="122" fillId="0" borderId="23" xfId="0" applyFont="1" applyBorder="1"/>
    <xf numFmtId="0" fontId="122" fillId="0" borderId="13" xfId="0" applyFont="1" applyBorder="1" applyAlignment="1">
      <alignment wrapText="1"/>
    </xf>
    <xf numFmtId="0" fontId="122" fillId="0" borderId="0" xfId="0" applyFont="1" applyAlignment="1">
      <alignment horizontal="center"/>
    </xf>
    <xf numFmtId="0" fontId="120" fillId="0" borderId="0" xfId="0" applyFont="1"/>
    <xf numFmtId="0" fontId="124" fillId="0" borderId="0" xfId="0" applyFont="1"/>
    <xf numFmtId="9" fontId="120" fillId="0" borderId="0" xfId="134" applyFont="1" applyAlignment="1">
      <alignment horizontal="center"/>
    </xf>
    <xf numFmtId="9" fontId="124" fillId="0" borderId="0" xfId="134" applyFont="1" applyAlignment="1">
      <alignment horizontal="center"/>
    </xf>
    <xf numFmtId="9" fontId="125" fillId="0" borderId="0" xfId="134" applyFont="1" applyAlignment="1">
      <alignment horizontal="center"/>
    </xf>
    <xf numFmtId="9" fontId="122" fillId="0" borderId="0" xfId="134" applyFont="1"/>
    <xf numFmtId="0" fontId="120" fillId="0" borderId="0" xfId="0" applyFont="1" applyAlignment="1">
      <alignment vertical="center"/>
    </xf>
    <xf numFmtId="10" fontId="124" fillId="0" borderId="0" xfId="134" applyNumberFormat="1" applyFont="1" applyAlignment="1">
      <alignment vertical="center"/>
    </xf>
    <xf numFmtId="0" fontId="122" fillId="0" borderId="0" xfId="0" applyFont="1" applyAlignment="1">
      <alignment vertical="center"/>
    </xf>
  </cellXfs>
  <cellStyles count="157">
    <cellStyle name="0,0_x000d__x000a_NA_x000d__x000a_" xfId="71" xr:uid="{00000000-0005-0000-0000-000000000000}"/>
    <cellStyle name="0,0_x000d__x000a_NA_x000d__x000a_ 2" xfId="70" xr:uid="{00000000-0005-0000-0000-000001000000}"/>
    <cellStyle name="0,0_x000d__x000a_NA_x000d__x000a__270309 PRESUPUESTO MONIQUIRA CONS" xfId="69" xr:uid="{00000000-0005-0000-0000-000002000000}"/>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Comma" xfId="68" xr:uid="{00000000-0005-0000-0000-000019000000}"/>
    <cellStyle name="Comma0" xfId="67" xr:uid="{00000000-0005-0000-0000-00001A000000}"/>
    <cellStyle name="Currency" xfId="66" xr:uid="{00000000-0005-0000-0000-00001B000000}"/>
    <cellStyle name="Currency0" xfId="65" xr:uid="{00000000-0005-0000-0000-00001C000000}"/>
    <cellStyle name="Date" xfId="64" xr:uid="{00000000-0005-0000-0000-00001D000000}"/>
    <cellStyle name="Encabezado 1" xfId="3" xr:uid="{00000000-0005-0000-0000-00001E000000}"/>
    <cellStyle name="Encabezado 2" xfId="63" xr:uid="{00000000-0005-0000-0000-00001F000000}"/>
    <cellStyle name="Encabezado 4" xfId="6"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Euro" xfId="62" xr:uid="{00000000-0005-0000-0000-000028000000}"/>
    <cellStyle name="Fecha" xfId="61" xr:uid="{00000000-0005-0000-0000-000029000000}"/>
    <cellStyle name="Fijo" xfId="60" xr:uid="{00000000-0005-0000-0000-00002A000000}"/>
    <cellStyle name="Fixed" xfId="59" xr:uid="{00000000-0005-0000-0000-00002B000000}"/>
    <cellStyle name="Heading 1" xfId="58" xr:uid="{00000000-0005-0000-0000-00002C000000}"/>
    <cellStyle name="Heading 2" xfId="57" xr:uid="{00000000-0005-0000-0000-00002D000000}"/>
    <cellStyle name="Heading1" xfId="56" xr:uid="{00000000-0005-0000-0000-00002E000000}"/>
    <cellStyle name="Heading2" xfId="55" xr:uid="{00000000-0005-0000-0000-00002F000000}"/>
    <cellStyle name="Hipervínculo" xfId="137" builtinId="8"/>
    <cellStyle name="Hipervínculo 2" xfId="154" xr:uid="{00000000-0005-0000-0000-000031000000}"/>
    <cellStyle name="Incorrecto" xfId="8" builtinId="27" customBuiltin="1"/>
    <cellStyle name="Millares" xfId="156" builtinId="3"/>
    <cellStyle name="Millares [0] 2" xfId="54" xr:uid="{00000000-0005-0000-0000-000034000000}"/>
    <cellStyle name="Millares [0] 2 2" xfId="53" xr:uid="{00000000-0005-0000-0000-000035000000}"/>
    <cellStyle name="Millares [0] 3" xfId="52" xr:uid="{00000000-0005-0000-0000-000036000000}"/>
    <cellStyle name="Millares [0] 3 2" xfId="51" xr:uid="{00000000-0005-0000-0000-000037000000}"/>
    <cellStyle name="Millares [0] 4" xfId="50" xr:uid="{00000000-0005-0000-0000-000038000000}"/>
    <cellStyle name="Millares 10" xfId="49" xr:uid="{00000000-0005-0000-0000-000039000000}"/>
    <cellStyle name="Millares 11" xfId="48" xr:uid="{00000000-0005-0000-0000-00003A000000}"/>
    <cellStyle name="Millares 12" xfId="47" xr:uid="{00000000-0005-0000-0000-00003B000000}"/>
    <cellStyle name="Millares 13" xfId="151" xr:uid="{00000000-0005-0000-0000-00003C000000}"/>
    <cellStyle name="Millares 2" xfId="44" xr:uid="{00000000-0005-0000-0000-00003D000000}"/>
    <cellStyle name="Millares 2 2" xfId="45" xr:uid="{00000000-0005-0000-0000-00003E000000}"/>
    <cellStyle name="Millares 2 2 2" xfId="74" xr:uid="{00000000-0005-0000-0000-00003F000000}"/>
    <cellStyle name="Millares 2 3" xfId="75" xr:uid="{00000000-0005-0000-0000-000040000000}"/>
    <cellStyle name="Millares 2 4" xfId="76" xr:uid="{00000000-0005-0000-0000-000041000000}"/>
    <cellStyle name="Millares 2 4 2" xfId="77" xr:uid="{00000000-0005-0000-0000-000042000000}"/>
    <cellStyle name="Millares 2 5" xfId="46" xr:uid="{00000000-0005-0000-0000-000043000000}"/>
    <cellStyle name="Millares 2 6" xfId="132" xr:uid="{00000000-0005-0000-0000-000044000000}"/>
    <cellStyle name="Millares 3" xfId="72" xr:uid="{00000000-0005-0000-0000-000045000000}"/>
    <cellStyle name="Millares 3 2" xfId="79" xr:uid="{00000000-0005-0000-0000-000046000000}"/>
    <cellStyle name="Millares 3 2 2" xfId="139" xr:uid="{00000000-0005-0000-0000-000047000000}"/>
    <cellStyle name="Millares 3 2 3" xfId="144" xr:uid="{00000000-0005-0000-0000-000048000000}"/>
    <cellStyle name="Millares 3 3" xfId="78" xr:uid="{00000000-0005-0000-0000-000049000000}"/>
    <cellStyle name="Millares 3 3 2" xfId="143" xr:uid="{00000000-0005-0000-0000-00004A000000}"/>
    <cellStyle name="Millares 3 4" xfId="133" xr:uid="{00000000-0005-0000-0000-00004B000000}"/>
    <cellStyle name="Millares 3 4 2" xfId="150" xr:uid="{00000000-0005-0000-0000-00004C000000}"/>
    <cellStyle name="Millares 3 5" xfId="142" xr:uid="{00000000-0005-0000-0000-00004D000000}"/>
    <cellStyle name="Millares 35" xfId="80" xr:uid="{00000000-0005-0000-0000-00004E000000}"/>
    <cellStyle name="Millares 35 2" xfId="145" xr:uid="{00000000-0005-0000-0000-00004F000000}"/>
    <cellStyle name="Millares 4" xfId="81" xr:uid="{00000000-0005-0000-0000-000050000000}"/>
    <cellStyle name="Millares 4 2" xfId="82" xr:uid="{00000000-0005-0000-0000-000051000000}"/>
    <cellStyle name="Millares 5" xfId="83" xr:uid="{00000000-0005-0000-0000-000052000000}"/>
    <cellStyle name="Millares 5 2" xfId="84" xr:uid="{00000000-0005-0000-0000-000053000000}"/>
    <cellStyle name="Millares 6" xfId="85" xr:uid="{00000000-0005-0000-0000-000054000000}"/>
    <cellStyle name="Millares 6 2" xfId="146" xr:uid="{00000000-0005-0000-0000-000055000000}"/>
    <cellStyle name="Millares 7" xfId="86" xr:uid="{00000000-0005-0000-0000-000056000000}"/>
    <cellStyle name="Millares 7 2" xfId="87" xr:uid="{00000000-0005-0000-0000-000057000000}"/>
    <cellStyle name="Millares 7 2 2" xfId="88" xr:uid="{00000000-0005-0000-0000-000058000000}"/>
    <cellStyle name="Millares 7 3" xfId="89" xr:uid="{00000000-0005-0000-0000-000059000000}"/>
    <cellStyle name="Millares 8" xfId="90" xr:uid="{00000000-0005-0000-0000-00005A000000}"/>
    <cellStyle name="Millares 8 2" xfId="91" xr:uid="{00000000-0005-0000-0000-00005B000000}"/>
    <cellStyle name="Millares 8 2 2" xfId="148" xr:uid="{00000000-0005-0000-0000-00005C000000}"/>
    <cellStyle name="Millares 8 3" xfId="147" xr:uid="{00000000-0005-0000-0000-00005D000000}"/>
    <cellStyle name="Millares 9" xfId="92" xr:uid="{00000000-0005-0000-0000-00005E000000}"/>
    <cellStyle name="Millares 9 2" xfId="93" xr:uid="{00000000-0005-0000-0000-00005F000000}"/>
    <cellStyle name="Moneda" xfId="1" builtinId="4"/>
    <cellStyle name="Moneda [0] 2" xfId="152" xr:uid="{00000000-0005-0000-0000-000061000000}"/>
    <cellStyle name="Moneda 10" xfId="153" xr:uid="{00000000-0005-0000-0000-000062000000}"/>
    <cellStyle name="Moneda 11" xfId="155" xr:uid="{00000000-0005-0000-0000-000063000000}"/>
    <cellStyle name="Moneda 2" xfId="94" xr:uid="{00000000-0005-0000-0000-000064000000}"/>
    <cellStyle name="Moneda 2 2" xfId="95" xr:uid="{00000000-0005-0000-0000-000065000000}"/>
    <cellStyle name="Moneda 2 3" xfId="96" xr:uid="{00000000-0005-0000-0000-000066000000}"/>
    <cellStyle name="Moneda 3" xfId="97" xr:uid="{00000000-0005-0000-0000-000067000000}"/>
    <cellStyle name="Moneda 3 2" xfId="98" xr:uid="{00000000-0005-0000-0000-000068000000}"/>
    <cellStyle name="Moneda 4" xfId="99" xr:uid="{00000000-0005-0000-0000-000069000000}"/>
    <cellStyle name="Moneda 5" xfId="100" xr:uid="{00000000-0005-0000-0000-00006A000000}"/>
    <cellStyle name="Moneda 5 2" xfId="101" xr:uid="{00000000-0005-0000-0000-00006B000000}"/>
    <cellStyle name="Moneda 5 3" xfId="102" xr:uid="{00000000-0005-0000-0000-00006C000000}"/>
    <cellStyle name="Moneda 6" xfId="103" xr:uid="{00000000-0005-0000-0000-00006D000000}"/>
    <cellStyle name="Moneda 7" xfId="104" xr:uid="{00000000-0005-0000-0000-00006E000000}"/>
    <cellStyle name="Moneda 8" xfId="105" xr:uid="{00000000-0005-0000-0000-00006F000000}"/>
    <cellStyle name="Moneda 9" xfId="136" xr:uid="{00000000-0005-0000-0000-000070000000}"/>
    <cellStyle name="Moneda0" xfId="106" xr:uid="{00000000-0005-0000-0000-000071000000}"/>
    <cellStyle name="Moneda0 2" xfId="149" xr:uid="{00000000-0005-0000-0000-000072000000}"/>
    <cellStyle name="Neutral" xfId="9" builtinId="28" customBuiltin="1"/>
    <cellStyle name="Normal" xfId="0" builtinId="0"/>
    <cellStyle name="Normal 2" xfId="42" xr:uid="{00000000-0005-0000-0000-000075000000}"/>
    <cellStyle name="Normal 2 2" xfId="43" xr:uid="{00000000-0005-0000-0000-000076000000}"/>
    <cellStyle name="Normal 2 2 2" xfId="138" xr:uid="{00000000-0005-0000-0000-000077000000}"/>
    <cellStyle name="Normal 2 2 2 2" xfId="140" xr:uid="{00000000-0005-0000-0000-000078000000}"/>
    <cellStyle name="Normal 3" xfId="107" xr:uid="{00000000-0005-0000-0000-000079000000}"/>
    <cellStyle name="Normal 3 2" xfId="108" xr:uid="{00000000-0005-0000-0000-00007A000000}"/>
    <cellStyle name="Normal 3 3" xfId="109" xr:uid="{00000000-0005-0000-0000-00007B000000}"/>
    <cellStyle name="Normal 4" xfId="110" xr:uid="{00000000-0005-0000-0000-00007C000000}"/>
    <cellStyle name="Normal 5" xfId="111" xr:uid="{00000000-0005-0000-0000-00007D000000}"/>
    <cellStyle name="Normal 50" xfId="112" xr:uid="{00000000-0005-0000-0000-00007E000000}"/>
    <cellStyle name="Normal 6" xfId="113" xr:uid="{00000000-0005-0000-0000-00007F000000}"/>
    <cellStyle name="Normal 7" xfId="114" xr:uid="{00000000-0005-0000-0000-000080000000}"/>
    <cellStyle name="Normal 8" xfId="115" xr:uid="{00000000-0005-0000-0000-000081000000}"/>
    <cellStyle name="Normal 9" xfId="135" xr:uid="{00000000-0005-0000-0000-000082000000}"/>
    <cellStyle name="Normal_APUS-HEYMOCOL 2" xfId="131" xr:uid="{00000000-0005-0000-0000-000083000000}"/>
    <cellStyle name="Normal_Hoja1" xfId="130" xr:uid="{00000000-0005-0000-0000-000084000000}"/>
    <cellStyle name="Notas 2" xfId="73" xr:uid="{00000000-0005-0000-0000-000085000000}"/>
    <cellStyle name="Percent" xfId="116" xr:uid="{00000000-0005-0000-0000-000086000000}"/>
    <cellStyle name="Pesos" xfId="117" xr:uid="{00000000-0005-0000-0000-000087000000}"/>
    <cellStyle name="Porcentaje" xfId="134" builtinId="5"/>
    <cellStyle name="Porcentaje 3" xfId="141" xr:uid="{00000000-0005-0000-0000-000089000000}"/>
    <cellStyle name="Porcentual 2" xfId="118" xr:uid="{00000000-0005-0000-0000-00008A000000}"/>
    <cellStyle name="Porcentual 2 2" xfId="119" xr:uid="{00000000-0005-0000-0000-00008B000000}"/>
    <cellStyle name="Porcentual 2 3" xfId="120" xr:uid="{00000000-0005-0000-0000-00008C000000}"/>
    <cellStyle name="Porcentual 3" xfId="121" xr:uid="{00000000-0005-0000-0000-00008D000000}"/>
    <cellStyle name="Porcentual 4" xfId="122" xr:uid="{00000000-0005-0000-0000-00008E000000}"/>
    <cellStyle name="Porcentual 4 2" xfId="123" xr:uid="{00000000-0005-0000-0000-00008F000000}"/>
    <cellStyle name="Porcentual 5" xfId="124" xr:uid="{00000000-0005-0000-0000-000090000000}"/>
    <cellStyle name="Porcentual 5 2" xfId="125" xr:uid="{00000000-0005-0000-0000-000091000000}"/>
    <cellStyle name="Porcentual 6" xfId="126" xr:uid="{00000000-0005-0000-0000-000092000000}"/>
    <cellStyle name="Porcentual 6 2" xfId="127" xr:uid="{00000000-0005-0000-0000-000093000000}"/>
    <cellStyle name="Porcentual 7" xfId="128" xr:uid="{00000000-0005-0000-0000-000094000000}"/>
    <cellStyle name="Punto0" xfId="129" xr:uid="{00000000-0005-0000-0000-000095000000}"/>
    <cellStyle name="Salida" xfId="11" builtinId="21" customBuiltin="1"/>
    <cellStyle name="Texto de advertencia" xfId="15" builtinId="11" customBuiltin="1"/>
    <cellStyle name="Texto explicativo" xfId="16" builtinId="53" customBuiltin="1"/>
    <cellStyle name="Título" xfId="2" builtinId="15" customBuiltin="1"/>
    <cellStyle name="Título 2" xfId="4" builtinId="17" customBuiltin="1"/>
    <cellStyle name="Título 3" xfId="5" builtinId="18" customBuiltin="1"/>
    <cellStyle name="Total" xfId="17" builtinId="25" customBuiltin="1"/>
  </cellStyles>
  <dxfs count="142">
    <dxf>
      <fill>
        <patternFill>
          <bgColor rgb="FFFF0000"/>
        </patternFill>
      </fill>
    </dxf>
    <dxf>
      <border>
        <left style="thin">
          <color indexed="64"/>
        </left>
        <right style="thin">
          <color indexed="64"/>
        </right>
        <top style="thin">
          <color indexed="64"/>
        </top>
        <bottom style="thin">
          <color indexed="64"/>
        </bottom>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hair">
          <color indexed="64"/>
        </left>
        <right style="hair">
          <color indexed="64"/>
        </right>
        <top style="hair">
          <color indexed="64"/>
        </top>
        <bottom style="hair">
          <color indexed="64"/>
        </bottom>
      </border>
    </dxf>
    <dxf>
      <border>
        <left style="thin">
          <color indexed="64"/>
        </left>
        <right style="thin">
          <color indexed="64"/>
        </right>
        <top style="thin">
          <color indexed="64"/>
        </top>
        <bottom style="thin">
          <color indexed="64"/>
        </bottom>
      </border>
    </dxf>
    <dxf>
      <fill>
        <patternFill>
          <bgColor rgb="FFFF0000"/>
        </patternFill>
      </fill>
    </dxf>
    <dxf>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2</xdr:col>
      <xdr:colOff>44823</xdr:colOff>
      <xdr:row>215</xdr:row>
      <xdr:rowOff>89648</xdr:rowOff>
    </xdr:from>
    <xdr:to>
      <xdr:col>4</xdr:col>
      <xdr:colOff>837773</xdr:colOff>
      <xdr:row>218</xdr:row>
      <xdr:rowOff>202171</xdr:rowOff>
    </xdr:to>
    <xdr:pic>
      <xdr:nvPicPr>
        <xdr:cNvPr id="4" name="1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694764" y="11116236"/>
          <a:ext cx="2267644" cy="818494"/>
        </a:xfrm>
        <a:prstGeom prst="rect">
          <a:avLst/>
        </a:prstGeom>
      </xdr:spPr>
    </xdr:pic>
    <xdr:clientData/>
  </xdr:twoCellAnchor>
  <xdr:twoCellAnchor editAs="oneCell">
    <xdr:from>
      <xdr:col>2</xdr:col>
      <xdr:colOff>333375</xdr:colOff>
      <xdr:row>1</xdr:row>
      <xdr:rowOff>45590</xdr:rowOff>
    </xdr:from>
    <xdr:to>
      <xdr:col>4</xdr:col>
      <xdr:colOff>285750</xdr:colOff>
      <xdr:row>4</xdr:row>
      <xdr:rowOff>148933</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988219" y="247996"/>
          <a:ext cx="1428750" cy="11034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8572</xdr:row>
          <xdr:rowOff>0</xdr:rowOff>
        </xdr:from>
        <xdr:to>
          <xdr:col>3</xdr:col>
          <xdr:colOff>60960</xdr:colOff>
          <xdr:row>8573</xdr:row>
          <xdr:rowOff>60960</xdr:rowOff>
        </xdr:to>
        <xdr:sp macro="" textlink="">
          <xdr:nvSpPr>
            <xdr:cNvPr id="2051" name="Tempcombo"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66676</xdr:colOff>
      <xdr:row>2</xdr:row>
      <xdr:rowOff>28574</xdr:rowOff>
    </xdr:from>
    <xdr:to>
      <xdr:col>0</xdr:col>
      <xdr:colOff>1099834</xdr:colOff>
      <xdr:row>4</xdr:row>
      <xdr:rowOff>205617</xdr:rowOff>
    </xdr:to>
    <xdr:pic>
      <xdr:nvPicPr>
        <xdr:cNvPr id="124" name="Imagen 123">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1"/>
        <a:stretch>
          <a:fillRect/>
        </a:stretch>
      </xdr:blipFill>
      <xdr:spPr>
        <a:xfrm>
          <a:off x="66676" y="447674"/>
          <a:ext cx="1033158" cy="577093"/>
        </a:xfrm>
        <a:prstGeom prst="rect">
          <a:avLst/>
        </a:prstGeom>
      </xdr:spPr>
    </xdr:pic>
    <xdr:clientData/>
  </xdr:twoCellAnchor>
  <xdr:oneCellAnchor>
    <xdr:from>
      <xdr:col>0</xdr:col>
      <xdr:colOff>66676</xdr:colOff>
      <xdr:row>54</xdr:row>
      <xdr:rowOff>28574</xdr:rowOff>
    </xdr:from>
    <xdr:ext cx="1033158" cy="577093"/>
    <xdr:pic>
      <xdr:nvPicPr>
        <xdr:cNvPr id="125" name="Imagen 124">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a:stretch>
          <a:fillRect/>
        </a:stretch>
      </xdr:blipFill>
      <xdr:spPr>
        <a:xfrm>
          <a:off x="66676" y="447674"/>
          <a:ext cx="1033158" cy="577093"/>
        </a:xfrm>
        <a:prstGeom prst="rect">
          <a:avLst/>
        </a:prstGeom>
      </xdr:spPr>
    </xdr:pic>
    <xdr:clientData/>
  </xdr:oneCellAnchor>
  <xdr:oneCellAnchor>
    <xdr:from>
      <xdr:col>0</xdr:col>
      <xdr:colOff>66676</xdr:colOff>
      <xdr:row>105</xdr:row>
      <xdr:rowOff>28574</xdr:rowOff>
    </xdr:from>
    <xdr:ext cx="1033158" cy="577093"/>
    <xdr:pic>
      <xdr:nvPicPr>
        <xdr:cNvPr id="126" name="Imagen 125">
          <a:extLst>
            <a:ext uri="{FF2B5EF4-FFF2-40B4-BE49-F238E27FC236}">
              <a16:creationId xmlns:a16="http://schemas.microsoft.com/office/drawing/2014/main" id="{00000000-0008-0000-0300-00007E000000}"/>
            </a:ext>
          </a:extLst>
        </xdr:cNvPr>
        <xdr:cNvPicPr>
          <a:picLocks noChangeAspect="1"/>
        </xdr:cNvPicPr>
      </xdr:nvPicPr>
      <xdr:blipFill>
        <a:blip xmlns:r="http://schemas.openxmlformats.org/officeDocument/2006/relationships" r:embed="rId1"/>
        <a:stretch>
          <a:fillRect/>
        </a:stretch>
      </xdr:blipFill>
      <xdr:spPr>
        <a:xfrm>
          <a:off x="66676" y="12077699"/>
          <a:ext cx="1033158" cy="577093"/>
        </a:xfrm>
        <a:prstGeom prst="rect">
          <a:avLst/>
        </a:prstGeom>
      </xdr:spPr>
    </xdr:pic>
    <xdr:clientData/>
  </xdr:oneCellAnchor>
  <xdr:oneCellAnchor>
    <xdr:from>
      <xdr:col>0</xdr:col>
      <xdr:colOff>66676</xdr:colOff>
      <xdr:row>156</xdr:row>
      <xdr:rowOff>28574</xdr:rowOff>
    </xdr:from>
    <xdr:ext cx="1033158" cy="577093"/>
    <xdr:pic>
      <xdr:nvPicPr>
        <xdr:cNvPr id="127" name="Imagen 126">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1"/>
        <a:stretch>
          <a:fillRect/>
        </a:stretch>
      </xdr:blipFill>
      <xdr:spPr>
        <a:xfrm>
          <a:off x="66676" y="23498174"/>
          <a:ext cx="1033158" cy="577093"/>
        </a:xfrm>
        <a:prstGeom prst="rect">
          <a:avLst/>
        </a:prstGeom>
      </xdr:spPr>
    </xdr:pic>
    <xdr:clientData/>
  </xdr:oneCellAnchor>
  <xdr:oneCellAnchor>
    <xdr:from>
      <xdr:col>0</xdr:col>
      <xdr:colOff>66676</xdr:colOff>
      <xdr:row>207</xdr:row>
      <xdr:rowOff>28574</xdr:rowOff>
    </xdr:from>
    <xdr:ext cx="1033158" cy="577093"/>
    <xdr:pic>
      <xdr:nvPicPr>
        <xdr:cNvPr id="128" name="Imagen 127">
          <a:extLst>
            <a:ext uri="{FF2B5EF4-FFF2-40B4-BE49-F238E27FC236}">
              <a16:creationId xmlns:a16="http://schemas.microsoft.com/office/drawing/2014/main" id="{00000000-0008-0000-0300-000080000000}"/>
            </a:ext>
          </a:extLst>
        </xdr:cNvPr>
        <xdr:cNvPicPr>
          <a:picLocks noChangeAspect="1"/>
        </xdr:cNvPicPr>
      </xdr:nvPicPr>
      <xdr:blipFill>
        <a:blip xmlns:r="http://schemas.openxmlformats.org/officeDocument/2006/relationships" r:embed="rId1"/>
        <a:stretch>
          <a:fillRect/>
        </a:stretch>
      </xdr:blipFill>
      <xdr:spPr>
        <a:xfrm>
          <a:off x="66676" y="34918649"/>
          <a:ext cx="1033158" cy="577093"/>
        </a:xfrm>
        <a:prstGeom prst="rect">
          <a:avLst/>
        </a:prstGeom>
      </xdr:spPr>
    </xdr:pic>
    <xdr:clientData/>
  </xdr:oneCellAnchor>
  <xdr:oneCellAnchor>
    <xdr:from>
      <xdr:col>0</xdr:col>
      <xdr:colOff>66676</xdr:colOff>
      <xdr:row>258</xdr:row>
      <xdr:rowOff>28574</xdr:rowOff>
    </xdr:from>
    <xdr:ext cx="1033158" cy="577093"/>
    <xdr:pic>
      <xdr:nvPicPr>
        <xdr:cNvPr id="129" name="Imagen 128">
          <a:extLst>
            <a:ext uri="{FF2B5EF4-FFF2-40B4-BE49-F238E27FC236}">
              <a16:creationId xmlns:a16="http://schemas.microsoft.com/office/drawing/2014/main" id="{00000000-0008-0000-0300-000081000000}"/>
            </a:ext>
          </a:extLst>
        </xdr:cNvPr>
        <xdr:cNvPicPr>
          <a:picLocks noChangeAspect="1"/>
        </xdr:cNvPicPr>
      </xdr:nvPicPr>
      <xdr:blipFill>
        <a:blip xmlns:r="http://schemas.openxmlformats.org/officeDocument/2006/relationships" r:embed="rId1"/>
        <a:stretch>
          <a:fillRect/>
        </a:stretch>
      </xdr:blipFill>
      <xdr:spPr>
        <a:xfrm>
          <a:off x="66676" y="46339124"/>
          <a:ext cx="1033158" cy="577093"/>
        </a:xfrm>
        <a:prstGeom prst="rect">
          <a:avLst/>
        </a:prstGeom>
      </xdr:spPr>
    </xdr:pic>
    <xdr:clientData/>
  </xdr:oneCellAnchor>
  <xdr:oneCellAnchor>
    <xdr:from>
      <xdr:col>0</xdr:col>
      <xdr:colOff>66676</xdr:colOff>
      <xdr:row>309</xdr:row>
      <xdr:rowOff>28574</xdr:rowOff>
    </xdr:from>
    <xdr:ext cx="1033158" cy="577093"/>
    <xdr:pic>
      <xdr:nvPicPr>
        <xdr:cNvPr id="130" name="Imagen 129">
          <a:extLst>
            <a:ext uri="{FF2B5EF4-FFF2-40B4-BE49-F238E27FC236}">
              <a16:creationId xmlns:a16="http://schemas.microsoft.com/office/drawing/2014/main" id="{00000000-0008-0000-0300-000082000000}"/>
            </a:ext>
          </a:extLst>
        </xdr:cNvPr>
        <xdr:cNvPicPr>
          <a:picLocks noChangeAspect="1"/>
        </xdr:cNvPicPr>
      </xdr:nvPicPr>
      <xdr:blipFill>
        <a:blip xmlns:r="http://schemas.openxmlformats.org/officeDocument/2006/relationships" r:embed="rId1"/>
        <a:stretch>
          <a:fillRect/>
        </a:stretch>
      </xdr:blipFill>
      <xdr:spPr>
        <a:xfrm>
          <a:off x="66676" y="57759599"/>
          <a:ext cx="1033158" cy="577093"/>
        </a:xfrm>
        <a:prstGeom prst="rect">
          <a:avLst/>
        </a:prstGeom>
      </xdr:spPr>
    </xdr:pic>
    <xdr:clientData/>
  </xdr:oneCellAnchor>
  <xdr:oneCellAnchor>
    <xdr:from>
      <xdr:col>0</xdr:col>
      <xdr:colOff>66676</xdr:colOff>
      <xdr:row>360</xdr:row>
      <xdr:rowOff>28574</xdr:rowOff>
    </xdr:from>
    <xdr:ext cx="1033158" cy="577093"/>
    <xdr:pic>
      <xdr:nvPicPr>
        <xdr:cNvPr id="131" name="Imagen 130">
          <a:extLst>
            <a:ext uri="{FF2B5EF4-FFF2-40B4-BE49-F238E27FC236}">
              <a16:creationId xmlns:a16="http://schemas.microsoft.com/office/drawing/2014/main" id="{00000000-0008-0000-0300-000083000000}"/>
            </a:ext>
          </a:extLst>
        </xdr:cNvPr>
        <xdr:cNvPicPr>
          <a:picLocks noChangeAspect="1"/>
        </xdr:cNvPicPr>
      </xdr:nvPicPr>
      <xdr:blipFill>
        <a:blip xmlns:r="http://schemas.openxmlformats.org/officeDocument/2006/relationships" r:embed="rId1"/>
        <a:stretch>
          <a:fillRect/>
        </a:stretch>
      </xdr:blipFill>
      <xdr:spPr>
        <a:xfrm>
          <a:off x="66676" y="69180074"/>
          <a:ext cx="1033158" cy="577093"/>
        </a:xfrm>
        <a:prstGeom prst="rect">
          <a:avLst/>
        </a:prstGeom>
      </xdr:spPr>
    </xdr:pic>
    <xdr:clientData/>
  </xdr:oneCellAnchor>
  <xdr:oneCellAnchor>
    <xdr:from>
      <xdr:col>0</xdr:col>
      <xdr:colOff>66676</xdr:colOff>
      <xdr:row>411</xdr:row>
      <xdr:rowOff>28574</xdr:rowOff>
    </xdr:from>
    <xdr:ext cx="1033158" cy="577093"/>
    <xdr:pic>
      <xdr:nvPicPr>
        <xdr:cNvPr id="132" name="Imagen 131">
          <a:extLst>
            <a:ext uri="{FF2B5EF4-FFF2-40B4-BE49-F238E27FC236}">
              <a16:creationId xmlns:a16="http://schemas.microsoft.com/office/drawing/2014/main" id="{00000000-0008-0000-0300-000084000000}"/>
            </a:ext>
          </a:extLst>
        </xdr:cNvPr>
        <xdr:cNvPicPr>
          <a:picLocks noChangeAspect="1"/>
        </xdr:cNvPicPr>
      </xdr:nvPicPr>
      <xdr:blipFill>
        <a:blip xmlns:r="http://schemas.openxmlformats.org/officeDocument/2006/relationships" r:embed="rId1"/>
        <a:stretch>
          <a:fillRect/>
        </a:stretch>
      </xdr:blipFill>
      <xdr:spPr>
        <a:xfrm>
          <a:off x="66676" y="80600549"/>
          <a:ext cx="1033158" cy="577093"/>
        </a:xfrm>
        <a:prstGeom prst="rect">
          <a:avLst/>
        </a:prstGeom>
      </xdr:spPr>
    </xdr:pic>
    <xdr:clientData/>
  </xdr:oneCellAnchor>
  <xdr:oneCellAnchor>
    <xdr:from>
      <xdr:col>0</xdr:col>
      <xdr:colOff>66676</xdr:colOff>
      <xdr:row>462</xdr:row>
      <xdr:rowOff>28574</xdr:rowOff>
    </xdr:from>
    <xdr:ext cx="1033158" cy="577093"/>
    <xdr:pic>
      <xdr:nvPicPr>
        <xdr:cNvPr id="133" name="Imagen 132">
          <a:extLst>
            <a:ext uri="{FF2B5EF4-FFF2-40B4-BE49-F238E27FC236}">
              <a16:creationId xmlns:a16="http://schemas.microsoft.com/office/drawing/2014/main" id="{00000000-0008-0000-0300-000085000000}"/>
            </a:ext>
          </a:extLst>
        </xdr:cNvPr>
        <xdr:cNvPicPr>
          <a:picLocks noChangeAspect="1"/>
        </xdr:cNvPicPr>
      </xdr:nvPicPr>
      <xdr:blipFill>
        <a:blip xmlns:r="http://schemas.openxmlformats.org/officeDocument/2006/relationships" r:embed="rId1"/>
        <a:stretch>
          <a:fillRect/>
        </a:stretch>
      </xdr:blipFill>
      <xdr:spPr>
        <a:xfrm>
          <a:off x="66676" y="92021024"/>
          <a:ext cx="1033158" cy="577093"/>
        </a:xfrm>
        <a:prstGeom prst="rect">
          <a:avLst/>
        </a:prstGeom>
      </xdr:spPr>
    </xdr:pic>
    <xdr:clientData/>
  </xdr:oneCellAnchor>
  <xdr:oneCellAnchor>
    <xdr:from>
      <xdr:col>0</xdr:col>
      <xdr:colOff>66676</xdr:colOff>
      <xdr:row>4248</xdr:row>
      <xdr:rowOff>28574</xdr:rowOff>
    </xdr:from>
    <xdr:ext cx="1033158" cy="577093"/>
    <xdr:pic>
      <xdr:nvPicPr>
        <xdr:cNvPr id="134" name="Imagen 133">
          <a:extLst>
            <a:ext uri="{FF2B5EF4-FFF2-40B4-BE49-F238E27FC236}">
              <a16:creationId xmlns:a16="http://schemas.microsoft.com/office/drawing/2014/main" id="{00000000-0008-0000-0300-000086000000}"/>
            </a:ext>
          </a:extLst>
        </xdr:cNvPr>
        <xdr:cNvPicPr>
          <a:picLocks noChangeAspect="1"/>
        </xdr:cNvPicPr>
      </xdr:nvPicPr>
      <xdr:blipFill>
        <a:blip xmlns:r="http://schemas.openxmlformats.org/officeDocument/2006/relationships" r:embed="rId1"/>
        <a:stretch>
          <a:fillRect/>
        </a:stretch>
      </xdr:blipFill>
      <xdr:spPr>
        <a:xfrm>
          <a:off x="66676" y="103441499"/>
          <a:ext cx="1033158" cy="577093"/>
        </a:xfrm>
        <a:prstGeom prst="rect">
          <a:avLst/>
        </a:prstGeom>
      </xdr:spPr>
    </xdr:pic>
    <xdr:clientData/>
  </xdr:oneCellAnchor>
  <xdr:oneCellAnchor>
    <xdr:from>
      <xdr:col>0</xdr:col>
      <xdr:colOff>66676</xdr:colOff>
      <xdr:row>4299</xdr:row>
      <xdr:rowOff>28574</xdr:rowOff>
    </xdr:from>
    <xdr:ext cx="1033158" cy="577093"/>
    <xdr:pic>
      <xdr:nvPicPr>
        <xdr:cNvPr id="135" name="Imagen 134">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1"/>
        <a:stretch>
          <a:fillRect/>
        </a:stretch>
      </xdr:blipFill>
      <xdr:spPr>
        <a:xfrm>
          <a:off x="66676" y="114861974"/>
          <a:ext cx="1033158" cy="577093"/>
        </a:xfrm>
        <a:prstGeom prst="rect">
          <a:avLst/>
        </a:prstGeom>
      </xdr:spPr>
    </xdr:pic>
    <xdr:clientData/>
  </xdr:oneCellAnchor>
  <xdr:oneCellAnchor>
    <xdr:from>
      <xdr:col>0</xdr:col>
      <xdr:colOff>66676</xdr:colOff>
      <xdr:row>4350</xdr:row>
      <xdr:rowOff>28574</xdr:rowOff>
    </xdr:from>
    <xdr:ext cx="1033158" cy="577093"/>
    <xdr:pic>
      <xdr:nvPicPr>
        <xdr:cNvPr id="136" name="Imagen 135">
          <a:extLst>
            <a:ext uri="{FF2B5EF4-FFF2-40B4-BE49-F238E27FC236}">
              <a16:creationId xmlns:a16="http://schemas.microsoft.com/office/drawing/2014/main" id="{00000000-0008-0000-0300-000088000000}"/>
            </a:ext>
          </a:extLst>
        </xdr:cNvPr>
        <xdr:cNvPicPr>
          <a:picLocks noChangeAspect="1"/>
        </xdr:cNvPicPr>
      </xdr:nvPicPr>
      <xdr:blipFill>
        <a:blip xmlns:r="http://schemas.openxmlformats.org/officeDocument/2006/relationships" r:embed="rId1"/>
        <a:stretch>
          <a:fillRect/>
        </a:stretch>
      </xdr:blipFill>
      <xdr:spPr>
        <a:xfrm>
          <a:off x="66676" y="126282449"/>
          <a:ext cx="1033158" cy="577093"/>
        </a:xfrm>
        <a:prstGeom prst="rect">
          <a:avLst/>
        </a:prstGeom>
      </xdr:spPr>
    </xdr:pic>
    <xdr:clientData/>
  </xdr:oneCellAnchor>
  <xdr:oneCellAnchor>
    <xdr:from>
      <xdr:col>0</xdr:col>
      <xdr:colOff>66676</xdr:colOff>
      <xdr:row>514</xdr:row>
      <xdr:rowOff>28574</xdr:rowOff>
    </xdr:from>
    <xdr:ext cx="1033158" cy="577093"/>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a:stretch>
          <a:fillRect/>
        </a:stretch>
      </xdr:blipFill>
      <xdr:spPr>
        <a:xfrm>
          <a:off x="66676" y="103441499"/>
          <a:ext cx="1033158" cy="577093"/>
        </a:xfrm>
        <a:prstGeom prst="rect">
          <a:avLst/>
        </a:prstGeom>
      </xdr:spPr>
    </xdr:pic>
    <xdr:clientData/>
  </xdr:oneCellAnchor>
  <xdr:oneCellAnchor>
    <xdr:from>
      <xdr:col>0</xdr:col>
      <xdr:colOff>66676</xdr:colOff>
      <xdr:row>565</xdr:row>
      <xdr:rowOff>28574</xdr:rowOff>
    </xdr:from>
    <xdr:ext cx="1033158" cy="577093"/>
    <xdr:pic>
      <xdr:nvPicPr>
        <xdr:cNvPr id="17" name="Imagen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1"/>
        <a:stretch>
          <a:fillRect/>
        </a:stretch>
      </xdr:blipFill>
      <xdr:spPr>
        <a:xfrm>
          <a:off x="66676" y="115052474"/>
          <a:ext cx="1033158" cy="577093"/>
        </a:xfrm>
        <a:prstGeom prst="rect">
          <a:avLst/>
        </a:prstGeom>
      </xdr:spPr>
    </xdr:pic>
    <xdr:clientData/>
  </xdr:oneCellAnchor>
  <xdr:oneCellAnchor>
    <xdr:from>
      <xdr:col>0</xdr:col>
      <xdr:colOff>66676</xdr:colOff>
      <xdr:row>616</xdr:row>
      <xdr:rowOff>28574</xdr:rowOff>
    </xdr:from>
    <xdr:ext cx="1033158" cy="577093"/>
    <xdr:pic>
      <xdr:nvPicPr>
        <xdr:cNvPr id="18" name="Imagen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
        <a:stretch>
          <a:fillRect/>
        </a:stretch>
      </xdr:blipFill>
      <xdr:spPr>
        <a:xfrm>
          <a:off x="66676" y="126472949"/>
          <a:ext cx="1033158" cy="577093"/>
        </a:xfrm>
        <a:prstGeom prst="rect">
          <a:avLst/>
        </a:prstGeom>
      </xdr:spPr>
    </xdr:pic>
    <xdr:clientData/>
  </xdr:oneCellAnchor>
  <xdr:oneCellAnchor>
    <xdr:from>
      <xdr:col>0</xdr:col>
      <xdr:colOff>66676</xdr:colOff>
      <xdr:row>667</xdr:row>
      <xdr:rowOff>28574</xdr:rowOff>
    </xdr:from>
    <xdr:ext cx="1033158" cy="577093"/>
    <xdr:pic>
      <xdr:nvPicPr>
        <xdr:cNvPr id="19" name="Imagen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66676" y="137893424"/>
          <a:ext cx="1033158" cy="577093"/>
        </a:xfrm>
        <a:prstGeom prst="rect">
          <a:avLst/>
        </a:prstGeom>
      </xdr:spPr>
    </xdr:pic>
    <xdr:clientData/>
  </xdr:oneCellAnchor>
  <xdr:oneCellAnchor>
    <xdr:from>
      <xdr:col>0</xdr:col>
      <xdr:colOff>66676</xdr:colOff>
      <xdr:row>718</xdr:row>
      <xdr:rowOff>28574</xdr:rowOff>
    </xdr:from>
    <xdr:ext cx="1033158" cy="577093"/>
    <xdr:pic>
      <xdr:nvPicPr>
        <xdr:cNvPr id="20" name="Imagen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
        <a:stretch>
          <a:fillRect/>
        </a:stretch>
      </xdr:blipFill>
      <xdr:spPr>
        <a:xfrm>
          <a:off x="66676" y="149313899"/>
          <a:ext cx="1033158" cy="577093"/>
        </a:xfrm>
        <a:prstGeom prst="rect">
          <a:avLst/>
        </a:prstGeom>
      </xdr:spPr>
    </xdr:pic>
    <xdr:clientData/>
  </xdr:oneCellAnchor>
  <xdr:oneCellAnchor>
    <xdr:from>
      <xdr:col>0</xdr:col>
      <xdr:colOff>66676</xdr:colOff>
      <xdr:row>769</xdr:row>
      <xdr:rowOff>28574</xdr:rowOff>
    </xdr:from>
    <xdr:ext cx="1033158" cy="577093"/>
    <xdr:pic>
      <xdr:nvPicPr>
        <xdr:cNvPr id="21" name="Imagen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
        <a:stretch>
          <a:fillRect/>
        </a:stretch>
      </xdr:blipFill>
      <xdr:spPr>
        <a:xfrm>
          <a:off x="66676" y="160734374"/>
          <a:ext cx="1033158" cy="577093"/>
        </a:xfrm>
        <a:prstGeom prst="rect">
          <a:avLst/>
        </a:prstGeom>
      </xdr:spPr>
    </xdr:pic>
    <xdr:clientData/>
  </xdr:oneCellAnchor>
  <xdr:oneCellAnchor>
    <xdr:from>
      <xdr:col>0</xdr:col>
      <xdr:colOff>66676</xdr:colOff>
      <xdr:row>4401</xdr:row>
      <xdr:rowOff>28574</xdr:rowOff>
    </xdr:from>
    <xdr:ext cx="1033158" cy="577093"/>
    <xdr:pic>
      <xdr:nvPicPr>
        <xdr:cNvPr id="22" name="Imagen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a:stretch>
          <a:fillRect/>
        </a:stretch>
      </xdr:blipFill>
      <xdr:spPr>
        <a:xfrm>
          <a:off x="66676" y="206797274"/>
          <a:ext cx="1033158" cy="577093"/>
        </a:xfrm>
        <a:prstGeom prst="rect">
          <a:avLst/>
        </a:prstGeom>
      </xdr:spPr>
    </xdr:pic>
    <xdr:clientData/>
  </xdr:oneCellAnchor>
  <xdr:oneCellAnchor>
    <xdr:from>
      <xdr:col>0</xdr:col>
      <xdr:colOff>66676</xdr:colOff>
      <xdr:row>4452</xdr:row>
      <xdr:rowOff>28574</xdr:rowOff>
    </xdr:from>
    <xdr:ext cx="1033158" cy="577093"/>
    <xdr:pic>
      <xdr:nvPicPr>
        <xdr:cNvPr id="23" name="Imagen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1"/>
        <a:stretch>
          <a:fillRect/>
        </a:stretch>
      </xdr:blipFill>
      <xdr:spPr>
        <a:xfrm>
          <a:off x="66676" y="218217749"/>
          <a:ext cx="1033158" cy="577093"/>
        </a:xfrm>
        <a:prstGeom prst="rect">
          <a:avLst/>
        </a:prstGeom>
      </xdr:spPr>
    </xdr:pic>
    <xdr:clientData/>
  </xdr:oneCellAnchor>
  <xdr:oneCellAnchor>
    <xdr:from>
      <xdr:col>0</xdr:col>
      <xdr:colOff>66676</xdr:colOff>
      <xdr:row>4504</xdr:row>
      <xdr:rowOff>28574</xdr:rowOff>
    </xdr:from>
    <xdr:ext cx="1033158" cy="577093"/>
    <xdr:pic>
      <xdr:nvPicPr>
        <xdr:cNvPr id="25" name="Imagen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1"/>
        <a:stretch>
          <a:fillRect/>
        </a:stretch>
      </xdr:blipFill>
      <xdr:spPr>
        <a:xfrm>
          <a:off x="66676" y="183956324"/>
          <a:ext cx="1033158" cy="577093"/>
        </a:xfrm>
        <a:prstGeom prst="rect">
          <a:avLst/>
        </a:prstGeom>
      </xdr:spPr>
    </xdr:pic>
    <xdr:clientData/>
  </xdr:oneCellAnchor>
  <xdr:oneCellAnchor>
    <xdr:from>
      <xdr:col>0</xdr:col>
      <xdr:colOff>66676</xdr:colOff>
      <xdr:row>5680</xdr:row>
      <xdr:rowOff>28574</xdr:rowOff>
    </xdr:from>
    <xdr:ext cx="1033158" cy="577093"/>
    <xdr:pic>
      <xdr:nvPicPr>
        <xdr:cNvPr id="26" name="Imagen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1"/>
        <a:stretch>
          <a:fillRect/>
        </a:stretch>
      </xdr:blipFill>
      <xdr:spPr>
        <a:xfrm>
          <a:off x="66676" y="241249199"/>
          <a:ext cx="1033158" cy="577093"/>
        </a:xfrm>
        <a:prstGeom prst="rect">
          <a:avLst/>
        </a:prstGeom>
      </xdr:spPr>
    </xdr:pic>
    <xdr:clientData/>
  </xdr:oneCellAnchor>
  <xdr:oneCellAnchor>
    <xdr:from>
      <xdr:col>0</xdr:col>
      <xdr:colOff>66676</xdr:colOff>
      <xdr:row>5732</xdr:row>
      <xdr:rowOff>28574</xdr:rowOff>
    </xdr:from>
    <xdr:ext cx="1033158" cy="577093"/>
    <xdr:pic>
      <xdr:nvPicPr>
        <xdr:cNvPr id="27" name="Imagen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
        <a:stretch>
          <a:fillRect/>
        </a:stretch>
      </xdr:blipFill>
      <xdr:spPr>
        <a:xfrm>
          <a:off x="66676" y="252669674"/>
          <a:ext cx="1033158" cy="577093"/>
        </a:xfrm>
        <a:prstGeom prst="rect">
          <a:avLst/>
        </a:prstGeom>
      </xdr:spPr>
    </xdr:pic>
    <xdr:clientData/>
  </xdr:oneCellAnchor>
  <xdr:oneCellAnchor>
    <xdr:from>
      <xdr:col>0</xdr:col>
      <xdr:colOff>66676</xdr:colOff>
      <xdr:row>5784</xdr:row>
      <xdr:rowOff>28574</xdr:rowOff>
    </xdr:from>
    <xdr:ext cx="1033158" cy="577093"/>
    <xdr:pic>
      <xdr:nvPicPr>
        <xdr:cNvPr id="28" name="Imagen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1"/>
        <a:stretch>
          <a:fillRect/>
        </a:stretch>
      </xdr:blipFill>
      <xdr:spPr>
        <a:xfrm>
          <a:off x="66676" y="264280649"/>
          <a:ext cx="1033158" cy="577093"/>
        </a:xfrm>
        <a:prstGeom prst="rect">
          <a:avLst/>
        </a:prstGeom>
      </xdr:spPr>
    </xdr:pic>
    <xdr:clientData/>
  </xdr:oneCellAnchor>
  <xdr:oneCellAnchor>
    <xdr:from>
      <xdr:col>0</xdr:col>
      <xdr:colOff>66676</xdr:colOff>
      <xdr:row>5836</xdr:row>
      <xdr:rowOff>28574</xdr:rowOff>
    </xdr:from>
    <xdr:ext cx="1033158" cy="577093"/>
    <xdr:pic>
      <xdr:nvPicPr>
        <xdr:cNvPr id="29" name="Imagen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1"/>
        <a:stretch>
          <a:fillRect/>
        </a:stretch>
      </xdr:blipFill>
      <xdr:spPr>
        <a:xfrm>
          <a:off x="66676" y="275891624"/>
          <a:ext cx="1033158" cy="577093"/>
        </a:xfrm>
        <a:prstGeom prst="rect">
          <a:avLst/>
        </a:prstGeom>
      </xdr:spPr>
    </xdr:pic>
    <xdr:clientData/>
  </xdr:oneCellAnchor>
  <xdr:oneCellAnchor>
    <xdr:from>
      <xdr:col>0</xdr:col>
      <xdr:colOff>66676</xdr:colOff>
      <xdr:row>5888</xdr:row>
      <xdr:rowOff>28574</xdr:rowOff>
    </xdr:from>
    <xdr:ext cx="1033158" cy="577093"/>
    <xdr:pic>
      <xdr:nvPicPr>
        <xdr:cNvPr id="30" name="Imagen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
        <a:stretch>
          <a:fillRect/>
        </a:stretch>
      </xdr:blipFill>
      <xdr:spPr>
        <a:xfrm>
          <a:off x="66676" y="287502599"/>
          <a:ext cx="1033158" cy="577093"/>
        </a:xfrm>
        <a:prstGeom prst="rect">
          <a:avLst/>
        </a:prstGeom>
      </xdr:spPr>
    </xdr:pic>
    <xdr:clientData/>
  </xdr:oneCellAnchor>
  <xdr:oneCellAnchor>
    <xdr:from>
      <xdr:col>0</xdr:col>
      <xdr:colOff>66676</xdr:colOff>
      <xdr:row>5940</xdr:row>
      <xdr:rowOff>28574</xdr:rowOff>
    </xdr:from>
    <xdr:ext cx="1033158" cy="577093"/>
    <xdr:pic>
      <xdr:nvPicPr>
        <xdr:cNvPr id="31" name="Imagen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1"/>
        <a:stretch>
          <a:fillRect/>
        </a:stretch>
      </xdr:blipFill>
      <xdr:spPr>
        <a:xfrm>
          <a:off x="66676" y="299113574"/>
          <a:ext cx="1033158" cy="577093"/>
        </a:xfrm>
        <a:prstGeom prst="rect">
          <a:avLst/>
        </a:prstGeom>
      </xdr:spPr>
    </xdr:pic>
    <xdr:clientData/>
  </xdr:oneCellAnchor>
  <xdr:oneCellAnchor>
    <xdr:from>
      <xdr:col>0</xdr:col>
      <xdr:colOff>66676</xdr:colOff>
      <xdr:row>5992</xdr:row>
      <xdr:rowOff>28574</xdr:rowOff>
    </xdr:from>
    <xdr:ext cx="1033158" cy="577093"/>
    <xdr:pic>
      <xdr:nvPicPr>
        <xdr:cNvPr id="32" name="Imagen 3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
        <a:stretch>
          <a:fillRect/>
        </a:stretch>
      </xdr:blipFill>
      <xdr:spPr>
        <a:xfrm>
          <a:off x="66676" y="310724549"/>
          <a:ext cx="1033158" cy="577093"/>
        </a:xfrm>
        <a:prstGeom prst="rect">
          <a:avLst/>
        </a:prstGeom>
      </xdr:spPr>
    </xdr:pic>
    <xdr:clientData/>
  </xdr:oneCellAnchor>
  <xdr:oneCellAnchor>
    <xdr:from>
      <xdr:col>0</xdr:col>
      <xdr:colOff>66676</xdr:colOff>
      <xdr:row>6044</xdr:row>
      <xdr:rowOff>28574</xdr:rowOff>
    </xdr:from>
    <xdr:ext cx="1033158" cy="577093"/>
    <xdr:pic>
      <xdr:nvPicPr>
        <xdr:cNvPr id="33" name="Imagen 32">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1"/>
        <a:stretch>
          <a:fillRect/>
        </a:stretch>
      </xdr:blipFill>
      <xdr:spPr>
        <a:xfrm>
          <a:off x="66676" y="322335524"/>
          <a:ext cx="1033158" cy="577093"/>
        </a:xfrm>
        <a:prstGeom prst="rect">
          <a:avLst/>
        </a:prstGeom>
      </xdr:spPr>
    </xdr:pic>
    <xdr:clientData/>
  </xdr:oneCellAnchor>
  <xdr:oneCellAnchor>
    <xdr:from>
      <xdr:col>0</xdr:col>
      <xdr:colOff>66676</xdr:colOff>
      <xdr:row>8026</xdr:row>
      <xdr:rowOff>28574</xdr:rowOff>
    </xdr:from>
    <xdr:ext cx="1033158" cy="577093"/>
    <xdr:pic>
      <xdr:nvPicPr>
        <xdr:cNvPr id="34" name="Imagen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1"/>
        <a:stretch>
          <a:fillRect/>
        </a:stretch>
      </xdr:blipFill>
      <xdr:spPr>
        <a:xfrm>
          <a:off x="66676" y="333946499"/>
          <a:ext cx="1033158" cy="577093"/>
        </a:xfrm>
        <a:prstGeom prst="rect">
          <a:avLst/>
        </a:prstGeom>
      </xdr:spPr>
    </xdr:pic>
    <xdr:clientData/>
  </xdr:oneCellAnchor>
  <xdr:oneCellAnchor>
    <xdr:from>
      <xdr:col>0</xdr:col>
      <xdr:colOff>66676</xdr:colOff>
      <xdr:row>8608</xdr:row>
      <xdr:rowOff>28574</xdr:rowOff>
    </xdr:from>
    <xdr:ext cx="1033158" cy="577093"/>
    <xdr:pic>
      <xdr:nvPicPr>
        <xdr:cNvPr id="35" name="Imagen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1"/>
        <a:stretch>
          <a:fillRect/>
        </a:stretch>
      </xdr:blipFill>
      <xdr:spPr>
        <a:xfrm>
          <a:off x="66676" y="345557474"/>
          <a:ext cx="1033158" cy="577093"/>
        </a:xfrm>
        <a:prstGeom prst="rect">
          <a:avLst/>
        </a:prstGeom>
      </xdr:spPr>
    </xdr:pic>
    <xdr:clientData/>
  </xdr:oneCellAnchor>
  <xdr:oneCellAnchor>
    <xdr:from>
      <xdr:col>0</xdr:col>
      <xdr:colOff>66676</xdr:colOff>
      <xdr:row>8776</xdr:row>
      <xdr:rowOff>28574</xdr:rowOff>
    </xdr:from>
    <xdr:ext cx="1033158" cy="577093"/>
    <xdr:pic>
      <xdr:nvPicPr>
        <xdr:cNvPr id="36" name="Imagen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
        <a:stretch>
          <a:fillRect/>
        </a:stretch>
      </xdr:blipFill>
      <xdr:spPr>
        <a:xfrm>
          <a:off x="66676" y="357739949"/>
          <a:ext cx="1033158" cy="577093"/>
        </a:xfrm>
        <a:prstGeom prst="rect">
          <a:avLst/>
        </a:prstGeom>
      </xdr:spPr>
    </xdr:pic>
    <xdr:clientData/>
  </xdr:oneCellAnchor>
  <xdr:oneCellAnchor>
    <xdr:from>
      <xdr:col>0</xdr:col>
      <xdr:colOff>66676</xdr:colOff>
      <xdr:row>8828</xdr:row>
      <xdr:rowOff>28574</xdr:rowOff>
    </xdr:from>
    <xdr:ext cx="1033158" cy="577093"/>
    <xdr:pic>
      <xdr:nvPicPr>
        <xdr:cNvPr id="37" name="Imagen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1"/>
        <a:stretch>
          <a:fillRect/>
        </a:stretch>
      </xdr:blipFill>
      <xdr:spPr>
        <a:xfrm>
          <a:off x="66676" y="369922424"/>
          <a:ext cx="1033158" cy="577093"/>
        </a:xfrm>
        <a:prstGeom prst="rect">
          <a:avLst/>
        </a:prstGeom>
      </xdr:spPr>
    </xdr:pic>
    <xdr:clientData/>
  </xdr:oneCellAnchor>
  <xdr:oneCellAnchor>
    <xdr:from>
      <xdr:col>0</xdr:col>
      <xdr:colOff>66676</xdr:colOff>
      <xdr:row>8663</xdr:row>
      <xdr:rowOff>28574</xdr:rowOff>
    </xdr:from>
    <xdr:ext cx="1033158" cy="577093"/>
    <xdr:pic>
      <xdr:nvPicPr>
        <xdr:cNvPr id="38" name="Imagen 37">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1"/>
        <a:stretch>
          <a:fillRect/>
        </a:stretch>
      </xdr:blipFill>
      <xdr:spPr>
        <a:xfrm>
          <a:off x="66676" y="357739949"/>
          <a:ext cx="1033158" cy="577093"/>
        </a:xfrm>
        <a:prstGeom prst="rect">
          <a:avLst/>
        </a:prstGeom>
      </xdr:spPr>
    </xdr:pic>
    <xdr:clientData/>
  </xdr:oneCellAnchor>
  <xdr:oneCellAnchor>
    <xdr:from>
      <xdr:col>0</xdr:col>
      <xdr:colOff>66676</xdr:colOff>
      <xdr:row>821</xdr:row>
      <xdr:rowOff>28574</xdr:rowOff>
    </xdr:from>
    <xdr:ext cx="1033158" cy="577093"/>
    <xdr:pic>
      <xdr:nvPicPr>
        <xdr:cNvPr id="40" name="Imagen 39">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1"/>
        <a:stretch>
          <a:fillRect/>
        </a:stretch>
      </xdr:blipFill>
      <xdr:spPr>
        <a:xfrm>
          <a:off x="66676" y="57759599"/>
          <a:ext cx="1033158" cy="577093"/>
        </a:xfrm>
        <a:prstGeom prst="rect">
          <a:avLst/>
        </a:prstGeom>
      </xdr:spPr>
    </xdr:pic>
    <xdr:clientData/>
  </xdr:oneCellAnchor>
  <xdr:oneCellAnchor>
    <xdr:from>
      <xdr:col>0</xdr:col>
      <xdr:colOff>66676</xdr:colOff>
      <xdr:row>1080</xdr:row>
      <xdr:rowOff>28574</xdr:rowOff>
    </xdr:from>
    <xdr:ext cx="1033158" cy="577093"/>
    <xdr:pic>
      <xdr:nvPicPr>
        <xdr:cNvPr id="41" name="Imagen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1"/>
        <a:stretch>
          <a:fillRect/>
        </a:stretch>
      </xdr:blipFill>
      <xdr:spPr>
        <a:xfrm>
          <a:off x="66676" y="183575324"/>
          <a:ext cx="1033158" cy="577093"/>
        </a:xfrm>
        <a:prstGeom prst="rect">
          <a:avLst/>
        </a:prstGeom>
      </xdr:spPr>
    </xdr:pic>
    <xdr:clientData/>
  </xdr:oneCellAnchor>
  <xdr:oneCellAnchor>
    <xdr:from>
      <xdr:col>0</xdr:col>
      <xdr:colOff>66676</xdr:colOff>
      <xdr:row>872</xdr:row>
      <xdr:rowOff>28574</xdr:rowOff>
    </xdr:from>
    <xdr:ext cx="1033158" cy="577093"/>
    <xdr:pic>
      <xdr:nvPicPr>
        <xdr:cNvPr id="42" name="Imagen 41">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1"/>
        <a:stretch>
          <a:fillRect/>
        </a:stretch>
      </xdr:blipFill>
      <xdr:spPr>
        <a:xfrm>
          <a:off x="66676" y="183765824"/>
          <a:ext cx="1033158" cy="577093"/>
        </a:xfrm>
        <a:prstGeom prst="rect">
          <a:avLst/>
        </a:prstGeom>
      </xdr:spPr>
    </xdr:pic>
    <xdr:clientData/>
  </xdr:oneCellAnchor>
  <xdr:oneCellAnchor>
    <xdr:from>
      <xdr:col>0</xdr:col>
      <xdr:colOff>66676</xdr:colOff>
      <xdr:row>923</xdr:row>
      <xdr:rowOff>28574</xdr:rowOff>
    </xdr:from>
    <xdr:ext cx="1033158" cy="577093"/>
    <xdr:pic>
      <xdr:nvPicPr>
        <xdr:cNvPr id="43" name="Imagen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1"/>
        <a:stretch>
          <a:fillRect/>
        </a:stretch>
      </xdr:blipFill>
      <xdr:spPr>
        <a:xfrm>
          <a:off x="66676" y="195186299"/>
          <a:ext cx="1033158" cy="577093"/>
        </a:xfrm>
        <a:prstGeom prst="rect">
          <a:avLst/>
        </a:prstGeom>
      </xdr:spPr>
    </xdr:pic>
    <xdr:clientData/>
  </xdr:oneCellAnchor>
  <xdr:oneCellAnchor>
    <xdr:from>
      <xdr:col>0</xdr:col>
      <xdr:colOff>66676</xdr:colOff>
      <xdr:row>974</xdr:row>
      <xdr:rowOff>28574</xdr:rowOff>
    </xdr:from>
    <xdr:ext cx="1033158" cy="577093"/>
    <xdr:pic>
      <xdr:nvPicPr>
        <xdr:cNvPr id="44" name="Imagen 43">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1"/>
        <a:stretch>
          <a:fillRect/>
        </a:stretch>
      </xdr:blipFill>
      <xdr:spPr>
        <a:xfrm>
          <a:off x="66676" y="206606774"/>
          <a:ext cx="1033158" cy="577093"/>
        </a:xfrm>
        <a:prstGeom prst="rect">
          <a:avLst/>
        </a:prstGeom>
      </xdr:spPr>
    </xdr:pic>
    <xdr:clientData/>
  </xdr:oneCellAnchor>
  <xdr:oneCellAnchor>
    <xdr:from>
      <xdr:col>0</xdr:col>
      <xdr:colOff>66676</xdr:colOff>
      <xdr:row>1025</xdr:row>
      <xdr:rowOff>28574</xdr:rowOff>
    </xdr:from>
    <xdr:ext cx="1033158" cy="577093"/>
    <xdr:pic>
      <xdr:nvPicPr>
        <xdr:cNvPr id="45" name="Imagen 44">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1"/>
        <a:stretch>
          <a:fillRect/>
        </a:stretch>
      </xdr:blipFill>
      <xdr:spPr>
        <a:xfrm>
          <a:off x="66676" y="218036774"/>
          <a:ext cx="1033158" cy="577093"/>
        </a:xfrm>
        <a:prstGeom prst="rect">
          <a:avLst/>
        </a:prstGeom>
      </xdr:spPr>
    </xdr:pic>
    <xdr:clientData/>
  </xdr:oneCellAnchor>
  <xdr:oneCellAnchor>
    <xdr:from>
      <xdr:col>0</xdr:col>
      <xdr:colOff>66676</xdr:colOff>
      <xdr:row>1131</xdr:row>
      <xdr:rowOff>28574</xdr:rowOff>
    </xdr:from>
    <xdr:ext cx="1033158" cy="577093"/>
    <xdr:pic>
      <xdr:nvPicPr>
        <xdr:cNvPr id="46" name="Imagen 45">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1"/>
        <a:stretch>
          <a:fillRect/>
        </a:stretch>
      </xdr:blipFill>
      <xdr:spPr>
        <a:xfrm>
          <a:off x="66676" y="241687349"/>
          <a:ext cx="1033158" cy="577093"/>
        </a:xfrm>
        <a:prstGeom prst="rect">
          <a:avLst/>
        </a:prstGeom>
      </xdr:spPr>
    </xdr:pic>
    <xdr:clientData/>
  </xdr:oneCellAnchor>
  <xdr:oneCellAnchor>
    <xdr:from>
      <xdr:col>0</xdr:col>
      <xdr:colOff>66676</xdr:colOff>
      <xdr:row>1182</xdr:row>
      <xdr:rowOff>28574</xdr:rowOff>
    </xdr:from>
    <xdr:ext cx="1033158" cy="577093"/>
    <xdr:pic>
      <xdr:nvPicPr>
        <xdr:cNvPr id="47" name="Imagen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
        <a:stretch>
          <a:fillRect/>
        </a:stretch>
      </xdr:blipFill>
      <xdr:spPr>
        <a:xfrm>
          <a:off x="66676" y="253107824"/>
          <a:ext cx="1033158" cy="577093"/>
        </a:xfrm>
        <a:prstGeom prst="rect">
          <a:avLst/>
        </a:prstGeom>
      </xdr:spPr>
    </xdr:pic>
    <xdr:clientData/>
  </xdr:oneCellAnchor>
  <xdr:oneCellAnchor>
    <xdr:from>
      <xdr:col>0</xdr:col>
      <xdr:colOff>66676</xdr:colOff>
      <xdr:row>1233</xdr:row>
      <xdr:rowOff>28574</xdr:rowOff>
    </xdr:from>
    <xdr:ext cx="1033158" cy="577093"/>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
        <a:stretch>
          <a:fillRect/>
        </a:stretch>
      </xdr:blipFill>
      <xdr:spPr>
        <a:xfrm>
          <a:off x="66676" y="264528299"/>
          <a:ext cx="1033158" cy="577093"/>
        </a:xfrm>
        <a:prstGeom prst="rect">
          <a:avLst/>
        </a:prstGeom>
      </xdr:spPr>
    </xdr:pic>
    <xdr:clientData/>
  </xdr:oneCellAnchor>
  <xdr:oneCellAnchor>
    <xdr:from>
      <xdr:col>0</xdr:col>
      <xdr:colOff>66676</xdr:colOff>
      <xdr:row>1284</xdr:row>
      <xdr:rowOff>28574</xdr:rowOff>
    </xdr:from>
    <xdr:ext cx="1033158" cy="577093"/>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
        <a:stretch>
          <a:fillRect/>
        </a:stretch>
      </xdr:blipFill>
      <xdr:spPr>
        <a:xfrm>
          <a:off x="66676" y="92021024"/>
          <a:ext cx="1033158" cy="577093"/>
        </a:xfrm>
        <a:prstGeom prst="rect">
          <a:avLst/>
        </a:prstGeom>
      </xdr:spPr>
    </xdr:pic>
    <xdr:clientData/>
  </xdr:oneCellAnchor>
  <xdr:oneCellAnchor>
    <xdr:from>
      <xdr:col>0</xdr:col>
      <xdr:colOff>66676</xdr:colOff>
      <xdr:row>1335</xdr:row>
      <xdr:rowOff>28574</xdr:rowOff>
    </xdr:from>
    <xdr:ext cx="1033158" cy="577093"/>
    <xdr:pic>
      <xdr:nvPicPr>
        <xdr:cNvPr id="51" name="Imagen 50">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1"/>
        <a:stretch>
          <a:fillRect/>
        </a:stretch>
      </xdr:blipFill>
      <xdr:spPr>
        <a:xfrm>
          <a:off x="66676" y="287369249"/>
          <a:ext cx="1033158" cy="577093"/>
        </a:xfrm>
        <a:prstGeom prst="rect">
          <a:avLst/>
        </a:prstGeom>
      </xdr:spPr>
    </xdr:pic>
    <xdr:clientData/>
  </xdr:oneCellAnchor>
  <xdr:oneCellAnchor>
    <xdr:from>
      <xdr:col>0</xdr:col>
      <xdr:colOff>66676</xdr:colOff>
      <xdr:row>1386</xdr:row>
      <xdr:rowOff>28574</xdr:rowOff>
    </xdr:from>
    <xdr:ext cx="1033158" cy="577093"/>
    <xdr:pic>
      <xdr:nvPicPr>
        <xdr:cNvPr id="52" name="Imagen 51">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1"/>
        <a:stretch>
          <a:fillRect/>
        </a:stretch>
      </xdr:blipFill>
      <xdr:spPr>
        <a:xfrm>
          <a:off x="66676" y="298789724"/>
          <a:ext cx="1033158" cy="577093"/>
        </a:xfrm>
        <a:prstGeom prst="rect">
          <a:avLst/>
        </a:prstGeom>
      </xdr:spPr>
    </xdr:pic>
    <xdr:clientData/>
  </xdr:oneCellAnchor>
  <xdr:oneCellAnchor>
    <xdr:from>
      <xdr:col>0</xdr:col>
      <xdr:colOff>66676</xdr:colOff>
      <xdr:row>1437</xdr:row>
      <xdr:rowOff>28574</xdr:rowOff>
    </xdr:from>
    <xdr:ext cx="1033158" cy="577093"/>
    <xdr:pic>
      <xdr:nvPicPr>
        <xdr:cNvPr id="54" name="Imagen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1"/>
        <a:stretch>
          <a:fillRect/>
        </a:stretch>
      </xdr:blipFill>
      <xdr:spPr>
        <a:xfrm>
          <a:off x="66676" y="253107824"/>
          <a:ext cx="1033158" cy="577093"/>
        </a:xfrm>
        <a:prstGeom prst="rect">
          <a:avLst/>
        </a:prstGeom>
      </xdr:spPr>
    </xdr:pic>
    <xdr:clientData/>
  </xdr:oneCellAnchor>
  <xdr:oneCellAnchor>
    <xdr:from>
      <xdr:col>0</xdr:col>
      <xdr:colOff>66676</xdr:colOff>
      <xdr:row>1488</xdr:row>
      <xdr:rowOff>28574</xdr:rowOff>
    </xdr:from>
    <xdr:ext cx="1033158" cy="577093"/>
    <xdr:pic>
      <xdr:nvPicPr>
        <xdr:cNvPr id="55" name="Imagen 54">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1"/>
        <a:stretch>
          <a:fillRect/>
        </a:stretch>
      </xdr:blipFill>
      <xdr:spPr>
        <a:xfrm>
          <a:off x="66676" y="321630674"/>
          <a:ext cx="1033158" cy="577093"/>
        </a:xfrm>
        <a:prstGeom prst="rect">
          <a:avLst/>
        </a:prstGeom>
      </xdr:spPr>
    </xdr:pic>
    <xdr:clientData/>
  </xdr:oneCellAnchor>
  <xdr:oneCellAnchor>
    <xdr:from>
      <xdr:col>0</xdr:col>
      <xdr:colOff>66676</xdr:colOff>
      <xdr:row>1539</xdr:row>
      <xdr:rowOff>28574</xdr:rowOff>
    </xdr:from>
    <xdr:ext cx="1033158" cy="577093"/>
    <xdr:pic>
      <xdr:nvPicPr>
        <xdr:cNvPr id="56" name="Imagen 55">
          <a:extLst>
            <a:ext uri="{FF2B5EF4-FFF2-40B4-BE49-F238E27FC236}">
              <a16:creationId xmlns:a16="http://schemas.microsoft.com/office/drawing/2014/main" id="{00000000-0008-0000-0300-000038000000}"/>
            </a:ext>
          </a:extLst>
        </xdr:cNvPr>
        <xdr:cNvPicPr>
          <a:picLocks noChangeAspect="1"/>
        </xdr:cNvPicPr>
      </xdr:nvPicPr>
      <xdr:blipFill>
        <a:blip xmlns:r="http://schemas.openxmlformats.org/officeDocument/2006/relationships" r:embed="rId1"/>
        <a:stretch>
          <a:fillRect/>
        </a:stretch>
      </xdr:blipFill>
      <xdr:spPr>
        <a:xfrm>
          <a:off x="66676" y="333051149"/>
          <a:ext cx="1033158" cy="577093"/>
        </a:xfrm>
        <a:prstGeom prst="rect">
          <a:avLst/>
        </a:prstGeom>
      </xdr:spPr>
    </xdr:pic>
    <xdr:clientData/>
  </xdr:oneCellAnchor>
  <xdr:oneCellAnchor>
    <xdr:from>
      <xdr:col>0</xdr:col>
      <xdr:colOff>66676</xdr:colOff>
      <xdr:row>1590</xdr:row>
      <xdr:rowOff>28574</xdr:rowOff>
    </xdr:from>
    <xdr:ext cx="1033158" cy="577093"/>
    <xdr:pic>
      <xdr:nvPicPr>
        <xdr:cNvPr id="57" name="Imagen 56">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1"/>
        <a:stretch>
          <a:fillRect/>
        </a:stretch>
      </xdr:blipFill>
      <xdr:spPr>
        <a:xfrm>
          <a:off x="66676" y="344471624"/>
          <a:ext cx="1033158" cy="577093"/>
        </a:xfrm>
        <a:prstGeom prst="rect">
          <a:avLst/>
        </a:prstGeom>
      </xdr:spPr>
    </xdr:pic>
    <xdr:clientData/>
  </xdr:oneCellAnchor>
  <xdr:oneCellAnchor>
    <xdr:from>
      <xdr:col>0</xdr:col>
      <xdr:colOff>66676</xdr:colOff>
      <xdr:row>1641</xdr:row>
      <xdr:rowOff>28574</xdr:rowOff>
    </xdr:from>
    <xdr:ext cx="1033158" cy="577093"/>
    <xdr:pic>
      <xdr:nvPicPr>
        <xdr:cNvPr id="58" name="Imagen 57">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1"/>
        <a:stretch>
          <a:fillRect/>
        </a:stretch>
      </xdr:blipFill>
      <xdr:spPr>
        <a:xfrm>
          <a:off x="66676" y="355892099"/>
          <a:ext cx="1033158" cy="577093"/>
        </a:xfrm>
        <a:prstGeom prst="rect">
          <a:avLst/>
        </a:prstGeom>
      </xdr:spPr>
    </xdr:pic>
    <xdr:clientData/>
  </xdr:oneCellAnchor>
  <xdr:oneCellAnchor>
    <xdr:from>
      <xdr:col>0</xdr:col>
      <xdr:colOff>66676</xdr:colOff>
      <xdr:row>1693</xdr:row>
      <xdr:rowOff>28574</xdr:rowOff>
    </xdr:from>
    <xdr:ext cx="1033158" cy="577093"/>
    <xdr:pic>
      <xdr:nvPicPr>
        <xdr:cNvPr id="59" name="Imagen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1"/>
        <a:stretch>
          <a:fillRect/>
        </a:stretch>
      </xdr:blipFill>
      <xdr:spPr>
        <a:xfrm>
          <a:off x="66676" y="367312574"/>
          <a:ext cx="1033158" cy="577093"/>
        </a:xfrm>
        <a:prstGeom prst="rect">
          <a:avLst/>
        </a:prstGeom>
      </xdr:spPr>
    </xdr:pic>
    <xdr:clientData/>
  </xdr:oneCellAnchor>
  <xdr:oneCellAnchor>
    <xdr:from>
      <xdr:col>0</xdr:col>
      <xdr:colOff>66676</xdr:colOff>
      <xdr:row>1744</xdr:row>
      <xdr:rowOff>28574</xdr:rowOff>
    </xdr:from>
    <xdr:ext cx="1033158" cy="577093"/>
    <xdr:pic>
      <xdr:nvPicPr>
        <xdr:cNvPr id="60" name="Imagen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1"/>
        <a:stretch>
          <a:fillRect/>
        </a:stretch>
      </xdr:blipFill>
      <xdr:spPr>
        <a:xfrm>
          <a:off x="66676" y="378923549"/>
          <a:ext cx="1033158" cy="577093"/>
        </a:xfrm>
        <a:prstGeom prst="rect">
          <a:avLst/>
        </a:prstGeom>
      </xdr:spPr>
    </xdr:pic>
    <xdr:clientData/>
  </xdr:oneCellAnchor>
  <xdr:oneCellAnchor>
    <xdr:from>
      <xdr:col>0</xdr:col>
      <xdr:colOff>66676</xdr:colOff>
      <xdr:row>4555</xdr:row>
      <xdr:rowOff>28574</xdr:rowOff>
    </xdr:from>
    <xdr:ext cx="1033158" cy="577093"/>
    <xdr:pic>
      <xdr:nvPicPr>
        <xdr:cNvPr id="61" name="Imagen 60">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1"/>
        <a:stretch>
          <a:fillRect/>
        </a:stretch>
      </xdr:blipFill>
      <xdr:spPr>
        <a:xfrm>
          <a:off x="66676" y="459438374"/>
          <a:ext cx="1033158" cy="577093"/>
        </a:xfrm>
        <a:prstGeom prst="rect">
          <a:avLst/>
        </a:prstGeom>
      </xdr:spPr>
    </xdr:pic>
    <xdr:clientData/>
  </xdr:oneCellAnchor>
  <xdr:oneCellAnchor>
    <xdr:from>
      <xdr:col>0</xdr:col>
      <xdr:colOff>66676</xdr:colOff>
      <xdr:row>4606</xdr:row>
      <xdr:rowOff>28574</xdr:rowOff>
    </xdr:from>
    <xdr:ext cx="1033158" cy="577093"/>
    <xdr:pic>
      <xdr:nvPicPr>
        <xdr:cNvPr id="62" name="Imagen 61">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1"/>
        <a:stretch>
          <a:fillRect/>
        </a:stretch>
      </xdr:blipFill>
      <xdr:spPr>
        <a:xfrm>
          <a:off x="66676" y="470858849"/>
          <a:ext cx="1033158" cy="577093"/>
        </a:xfrm>
        <a:prstGeom prst="rect">
          <a:avLst/>
        </a:prstGeom>
      </xdr:spPr>
    </xdr:pic>
    <xdr:clientData/>
  </xdr:oneCellAnchor>
  <xdr:oneCellAnchor>
    <xdr:from>
      <xdr:col>0</xdr:col>
      <xdr:colOff>66676</xdr:colOff>
      <xdr:row>4657</xdr:row>
      <xdr:rowOff>28574</xdr:rowOff>
    </xdr:from>
    <xdr:ext cx="1033158" cy="577093"/>
    <xdr:pic>
      <xdr:nvPicPr>
        <xdr:cNvPr id="63" name="Imagen 62">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1"/>
        <a:stretch>
          <a:fillRect/>
        </a:stretch>
      </xdr:blipFill>
      <xdr:spPr>
        <a:xfrm>
          <a:off x="66676" y="482279324"/>
          <a:ext cx="1033158" cy="577093"/>
        </a:xfrm>
        <a:prstGeom prst="rect">
          <a:avLst/>
        </a:prstGeom>
      </xdr:spPr>
    </xdr:pic>
    <xdr:clientData/>
  </xdr:oneCellAnchor>
  <xdr:oneCellAnchor>
    <xdr:from>
      <xdr:col>0</xdr:col>
      <xdr:colOff>66676</xdr:colOff>
      <xdr:row>6096</xdr:row>
      <xdr:rowOff>28574</xdr:rowOff>
    </xdr:from>
    <xdr:ext cx="1033158" cy="577093"/>
    <xdr:pic>
      <xdr:nvPicPr>
        <xdr:cNvPr id="64" name="Imagen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1"/>
        <a:stretch>
          <a:fillRect/>
        </a:stretch>
      </xdr:blipFill>
      <xdr:spPr>
        <a:xfrm>
          <a:off x="66676" y="586968599"/>
          <a:ext cx="1033158" cy="577093"/>
        </a:xfrm>
        <a:prstGeom prst="rect">
          <a:avLst/>
        </a:prstGeom>
      </xdr:spPr>
    </xdr:pic>
    <xdr:clientData/>
  </xdr:oneCellAnchor>
  <xdr:oneCellAnchor>
    <xdr:from>
      <xdr:col>0</xdr:col>
      <xdr:colOff>66676</xdr:colOff>
      <xdr:row>6147</xdr:row>
      <xdr:rowOff>28574</xdr:rowOff>
    </xdr:from>
    <xdr:ext cx="1033158" cy="577093"/>
    <xdr:pic>
      <xdr:nvPicPr>
        <xdr:cNvPr id="65" name="Imagen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1"/>
        <a:stretch>
          <a:fillRect/>
        </a:stretch>
      </xdr:blipFill>
      <xdr:spPr>
        <a:xfrm>
          <a:off x="66676" y="598579574"/>
          <a:ext cx="1033158" cy="577093"/>
        </a:xfrm>
        <a:prstGeom prst="rect">
          <a:avLst/>
        </a:prstGeom>
      </xdr:spPr>
    </xdr:pic>
    <xdr:clientData/>
  </xdr:oneCellAnchor>
  <xdr:oneCellAnchor>
    <xdr:from>
      <xdr:col>0</xdr:col>
      <xdr:colOff>66676</xdr:colOff>
      <xdr:row>6199</xdr:row>
      <xdr:rowOff>28574</xdr:rowOff>
    </xdr:from>
    <xdr:ext cx="1033158" cy="577093"/>
    <xdr:pic>
      <xdr:nvPicPr>
        <xdr:cNvPr id="66" name="Imagen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1"/>
        <a:stretch>
          <a:fillRect/>
        </a:stretch>
      </xdr:blipFill>
      <xdr:spPr>
        <a:xfrm>
          <a:off x="66676" y="610000049"/>
          <a:ext cx="1033158" cy="577093"/>
        </a:xfrm>
        <a:prstGeom prst="rect">
          <a:avLst/>
        </a:prstGeom>
      </xdr:spPr>
    </xdr:pic>
    <xdr:clientData/>
  </xdr:oneCellAnchor>
  <xdr:oneCellAnchor>
    <xdr:from>
      <xdr:col>0</xdr:col>
      <xdr:colOff>66676</xdr:colOff>
      <xdr:row>6251</xdr:row>
      <xdr:rowOff>28574</xdr:rowOff>
    </xdr:from>
    <xdr:ext cx="1033158" cy="577093"/>
    <xdr:pic>
      <xdr:nvPicPr>
        <xdr:cNvPr id="67" name="Imagen 66">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1"/>
        <a:stretch>
          <a:fillRect/>
        </a:stretch>
      </xdr:blipFill>
      <xdr:spPr>
        <a:xfrm>
          <a:off x="66676" y="621591974"/>
          <a:ext cx="1033158" cy="577093"/>
        </a:xfrm>
        <a:prstGeom prst="rect">
          <a:avLst/>
        </a:prstGeom>
      </xdr:spPr>
    </xdr:pic>
    <xdr:clientData/>
  </xdr:oneCellAnchor>
  <xdr:oneCellAnchor>
    <xdr:from>
      <xdr:col>0</xdr:col>
      <xdr:colOff>66676</xdr:colOff>
      <xdr:row>6303</xdr:row>
      <xdr:rowOff>28574</xdr:rowOff>
    </xdr:from>
    <xdr:ext cx="1033158" cy="577093"/>
    <xdr:pic>
      <xdr:nvPicPr>
        <xdr:cNvPr id="68" name="Imagen 67">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1"/>
        <a:stretch>
          <a:fillRect/>
        </a:stretch>
      </xdr:blipFill>
      <xdr:spPr>
        <a:xfrm>
          <a:off x="66676" y="633183899"/>
          <a:ext cx="1033158" cy="577093"/>
        </a:xfrm>
        <a:prstGeom prst="rect">
          <a:avLst/>
        </a:prstGeom>
      </xdr:spPr>
    </xdr:pic>
    <xdr:clientData/>
  </xdr:oneCellAnchor>
  <xdr:oneCellAnchor>
    <xdr:from>
      <xdr:col>0</xdr:col>
      <xdr:colOff>66676</xdr:colOff>
      <xdr:row>8935</xdr:row>
      <xdr:rowOff>28574</xdr:rowOff>
    </xdr:from>
    <xdr:ext cx="1033158" cy="577093"/>
    <xdr:pic>
      <xdr:nvPicPr>
        <xdr:cNvPr id="69" name="Imagen 68">
          <a:extLst>
            <a:ext uri="{FF2B5EF4-FFF2-40B4-BE49-F238E27FC236}">
              <a16:creationId xmlns:a16="http://schemas.microsoft.com/office/drawing/2014/main" id="{00000000-0008-0000-0300-000045000000}"/>
            </a:ext>
          </a:extLst>
        </xdr:cNvPr>
        <xdr:cNvPicPr>
          <a:picLocks noChangeAspect="1"/>
        </xdr:cNvPicPr>
      </xdr:nvPicPr>
      <xdr:blipFill>
        <a:blip xmlns:r="http://schemas.openxmlformats.org/officeDocument/2006/relationships" r:embed="rId1"/>
        <a:stretch>
          <a:fillRect/>
        </a:stretch>
      </xdr:blipFill>
      <xdr:spPr>
        <a:xfrm>
          <a:off x="66676" y="706050149"/>
          <a:ext cx="1033158" cy="577093"/>
        </a:xfrm>
        <a:prstGeom prst="rect">
          <a:avLst/>
        </a:prstGeom>
      </xdr:spPr>
    </xdr:pic>
    <xdr:clientData/>
  </xdr:oneCellAnchor>
  <xdr:oneCellAnchor>
    <xdr:from>
      <xdr:col>0</xdr:col>
      <xdr:colOff>66676</xdr:colOff>
      <xdr:row>8987</xdr:row>
      <xdr:rowOff>28574</xdr:rowOff>
    </xdr:from>
    <xdr:ext cx="1033158" cy="577093"/>
    <xdr:pic>
      <xdr:nvPicPr>
        <xdr:cNvPr id="70" name="Imagen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1"/>
        <a:stretch>
          <a:fillRect/>
        </a:stretch>
      </xdr:blipFill>
      <xdr:spPr>
        <a:xfrm>
          <a:off x="66676" y="718423124"/>
          <a:ext cx="1033158" cy="577093"/>
        </a:xfrm>
        <a:prstGeom prst="rect">
          <a:avLst/>
        </a:prstGeom>
      </xdr:spPr>
    </xdr:pic>
    <xdr:clientData/>
  </xdr:oneCellAnchor>
  <xdr:oneCellAnchor>
    <xdr:from>
      <xdr:col>0</xdr:col>
      <xdr:colOff>66676</xdr:colOff>
      <xdr:row>9039</xdr:row>
      <xdr:rowOff>28574</xdr:rowOff>
    </xdr:from>
    <xdr:ext cx="1033158" cy="577093"/>
    <xdr:pic>
      <xdr:nvPicPr>
        <xdr:cNvPr id="71" name="Imagen 70">
          <a:extLst>
            <a:ext uri="{FF2B5EF4-FFF2-40B4-BE49-F238E27FC236}">
              <a16:creationId xmlns:a16="http://schemas.microsoft.com/office/drawing/2014/main" id="{00000000-0008-0000-0300-000047000000}"/>
            </a:ext>
          </a:extLst>
        </xdr:cNvPr>
        <xdr:cNvPicPr>
          <a:picLocks noChangeAspect="1"/>
        </xdr:cNvPicPr>
      </xdr:nvPicPr>
      <xdr:blipFill>
        <a:blip xmlns:r="http://schemas.openxmlformats.org/officeDocument/2006/relationships" r:embed="rId1"/>
        <a:stretch>
          <a:fillRect/>
        </a:stretch>
      </xdr:blipFill>
      <xdr:spPr>
        <a:xfrm>
          <a:off x="66676" y="730034099"/>
          <a:ext cx="1033158" cy="577093"/>
        </a:xfrm>
        <a:prstGeom prst="rect">
          <a:avLst/>
        </a:prstGeom>
      </xdr:spPr>
    </xdr:pic>
    <xdr:clientData/>
  </xdr:oneCellAnchor>
  <xdr:oneCellAnchor>
    <xdr:from>
      <xdr:col>0</xdr:col>
      <xdr:colOff>66676</xdr:colOff>
      <xdr:row>9092</xdr:row>
      <xdr:rowOff>28574</xdr:rowOff>
    </xdr:from>
    <xdr:ext cx="1033158" cy="577093"/>
    <xdr:pic>
      <xdr:nvPicPr>
        <xdr:cNvPr id="72" name="Imagen 71">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1"/>
        <a:stretch>
          <a:fillRect/>
        </a:stretch>
      </xdr:blipFill>
      <xdr:spPr>
        <a:xfrm>
          <a:off x="66676" y="741645074"/>
          <a:ext cx="1033158" cy="577093"/>
        </a:xfrm>
        <a:prstGeom prst="rect">
          <a:avLst/>
        </a:prstGeom>
      </xdr:spPr>
    </xdr:pic>
    <xdr:clientData/>
  </xdr:oneCellAnchor>
  <xdr:oneCellAnchor>
    <xdr:from>
      <xdr:col>0</xdr:col>
      <xdr:colOff>66676</xdr:colOff>
      <xdr:row>9144</xdr:row>
      <xdr:rowOff>28574</xdr:rowOff>
    </xdr:from>
    <xdr:ext cx="1033158" cy="577093"/>
    <xdr:pic>
      <xdr:nvPicPr>
        <xdr:cNvPr id="73" name="Imagen 72">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1"/>
        <a:stretch>
          <a:fillRect/>
        </a:stretch>
      </xdr:blipFill>
      <xdr:spPr>
        <a:xfrm>
          <a:off x="66676" y="753446549"/>
          <a:ext cx="1033158" cy="577093"/>
        </a:xfrm>
        <a:prstGeom prst="rect">
          <a:avLst/>
        </a:prstGeom>
      </xdr:spPr>
    </xdr:pic>
    <xdr:clientData/>
  </xdr:oneCellAnchor>
  <xdr:oneCellAnchor>
    <xdr:from>
      <xdr:col>0</xdr:col>
      <xdr:colOff>66676</xdr:colOff>
      <xdr:row>9196</xdr:row>
      <xdr:rowOff>28574</xdr:rowOff>
    </xdr:from>
    <xdr:ext cx="1033158" cy="577093"/>
    <xdr:pic>
      <xdr:nvPicPr>
        <xdr:cNvPr id="74" name="Imagen 73">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1"/>
        <a:stretch>
          <a:fillRect/>
        </a:stretch>
      </xdr:blipFill>
      <xdr:spPr>
        <a:xfrm>
          <a:off x="66676" y="765057524"/>
          <a:ext cx="1033158" cy="577093"/>
        </a:xfrm>
        <a:prstGeom prst="rect">
          <a:avLst/>
        </a:prstGeom>
      </xdr:spPr>
    </xdr:pic>
    <xdr:clientData/>
  </xdr:oneCellAnchor>
  <xdr:oneCellAnchor>
    <xdr:from>
      <xdr:col>0</xdr:col>
      <xdr:colOff>66676</xdr:colOff>
      <xdr:row>1795</xdr:row>
      <xdr:rowOff>28574</xdr:rowOff>
    </xdr:from>
    <xdr:ext cx="1033158" cy="577093"/>
    <xdr:pic>
      <xdr:nvPicPr>
        <xdr:cNvPr id="75" name="Imagen 74">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1"/>
        <a:stretch>
          <a:fillRect/>
        </a:stretch>
      </xdr:blipFill>
      <xdr:spPr>
        <a:xfrm>
          <a:off x="66676" y="390344024"/>
          <a:ext cx="1033158" cy="577093"/>
        </a:xfrm>
        <a:prstGeom prst="rect">
          <a:avLst/>
        </a:prstGeom>
      </xdr:spPr>
    </xdr:pic>
    <xdr:clientData/>
  </xdr:oneCellAnchor>
  <xdr:oneCellAnchor>
    <xdr:from>
      <xdr:col>0</xdr:col>
      <xdr:colOff>66676</xdr:colOff>
      <xdr:row>1846</xdr:row>
      <xdr:rowOff>28574</xdr:rowOff>
    </xdr:from>
    <xdr:ext cx="1033158" cy="577093"/>
    <xdr:pic>
      <xdr:nvPicPr>
        <xdr:cNvPr id="76" name="Imagen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
        <a:stretch>
          <a:fillRect/>
        </a:stretch>
      </xdr:blipFill>
      <xdr:spPr>
        <a:xfrm>
          <a:off x="66676" y="401764499"/>
          <a:ext cx="1033158" cy="577093"/>
        </a:xfrm>
        <a:prstGeom prst="rect">
          <a:avLst/>
        </a:prstGeom>
      </xdr:spPr>
    </xdr:pic>
    <xdr:clientData/>
  </xdr:oneCellAnchor>
  <xdr:oneCellAnchor>
    <xdr:from>
      <xdr:col>0</xdr:col>
      <xdr:colOff>66676</xdr:colOff>
      <xdr:row>1897</xdr:row>
      <xdr:rowOff>28574</xdr:rowOff>
    </xdr:from>
    <xdr:ext cx="1033158" cy="577093"/>
    <xdr:pic>
      <xdr:nvPicPr>
        <xdr:cNvPr id="77" name="Imagen 76">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1"/>
        <a:stretch>
          <a:fillRect/>
        </a:stretch>
      </xdr:blipFill>
      <xdr:spPr>
        <a:xfrm>
          <a:off x="66676" y="413184974"/>
          <a:ext cx="1033158" cy="577093"/>
        </a:xfrm>
        <a:prstGeom prst="rect">
          <a:avLst/>
        </a:prstGeom>
      </xdr:spPr>
    </xdr:pic>
    <xdr:clientData/>
  </xdr:oneCellAnchor>
  <xdr:oneCellAnchor>
    <xdr:from>
      <xdr:col>0</xdr:col>
      <xdr:colOff>66676</xdr:colOff>
      <xdr:row>1948</xdr:row>
      <xdr:rowOff>28574</xdr:rowOff>
    </xdr:from>
    <xdr:ext cx="1033158" cy="577093"/>
    <xdr:pic>
      <xdr:nvPicPr>
        <xdr:cNvPr id="78" name="Imagen 77">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1"/>
        <a:stretch>
          <a:fillRect/>
        </a:stretch>
      </xdr:blipFill>
      <xdr:spPr>
        <a:xfrm>
          <a:off x="66676" y="424605449"/>
          <a:ext cx="1033158" cy="577093"/>
        </a:xfrm>
        <a:prstGeom prst="rect">
          <a:avLst/>
        </a:prstGeom>
      </xdr:spPr>
    </xdr:pic>
    <xdr:clientData/>
  </xdr:oneCellAnchor>
  <xdr:oneCellAnchor>
    <xdr:from>
      <xdr:col>0</xdr:col>
      <xdr:colOff>66676</xdr:colOff>
      <xdr:row>1999</xdr:row>
      <xdr:rowOff>28574</xdr:rowOff>
    </xdr:from>
    <xdr:ext cx="1033158" cy="577093"/>
    <xdr:pic>
      <xdr:nvPicPr>
        <xdr:cNvPr id="79" name="Imagen 78">
          <a:extLst>
            <a:ext uri="{FF2B5EF4-FFF2-40B4-BE49-F238E27FC236}">
              <a16:creationId xmlns:a16="http://schemas.microsoft.com/office/drawing/2014/main" id="{00000000-0008-0000-0300-00004F000000}"/>
            </a:ext>
          </a:extLst>
        </xdr:cNvPr>
        <xdr:cNvPicPr>
          <a:picLocks noChangeAspect="1"/>
        </xdr:cNvPicPr>
      </xdr:nvPicPr>
      <xdr:blipFill>
        <a:blip xmlns:r="http://schemas.openxmlformats.org/officeDocument/2006/relationships" r:embed="rId1"/>
        <a:stretch>
          <a:fillRect/>
        </a:stretch>
      </xdr:blipFill>
      <xdr:spPr>
        <a:xfrm>
          <a:off x="66676" y="390344024"/>
          <a:ext cx="1033158" cy="577093"/>
        </a:xfrm>
        <a:prstGeom prst="rect">
          <a:avLst/>
        </a:prstGeom>
      </xdr:spPr>
    </xdr:pic>
    <xdr:clientData/>
  </xdr:oneCellAnchor>
  <xdr:oneCellAnchor>
    <xdr:from>
      <xdr:col>0</xdr:col>
      <xdr:colOff>66676</xdr:colOff>
      <xdr:row>2050</xdr:row>
      <xdr:rowOff>28574</xdr:rowOff>
    </xdr:from>
    <xdr:ext cx="1033158" cy="577093"/>
    <xdr:pic>
      <xdr:nvPicPr>
        <xdr:cNvPr id="80" name="Imagen 79">
          <a:extLst>
            <a:ext uri="{FF2B5EF4-FFF2-40B4-BE49-F238E27FC236}">
              <a16:creationId xmlns:a16="http://schemas.microsoft.com/office/drawing/2014/main" id="{00000000-0008-0000-0300-000050000000}"/>
            </a:ext>
          </a:extLst>
        </xdr:cNvPr>
        <xdr:cNvPicPr>
          <a:picLocks noChangeAspect="1"/>
        </xdr:cNvPicPr>
      </xdr:nvPicPr>
      <xdr:blipFill>
        <a:blip xmlns:r="http://schemas.openxmlformats.org/officeDocument/2006/relationships" r:embed="rId1"/>
        <a:stretch>
          <a:fillRect/>
        </a:stretch>
      </xdr:blipFill>
      <xdr:spPr>
        <a:xfrm>
          <a:off x="66676" y="447446399"/>
          <a:ext cx="1033158" cy="577093"/>
        </a:xfrm>
        <a:prstGeom prst="rect">
          <a:avLst/>
        </a:prstGeom>
      </xdr:spPr>
    </xdr:pic>
    <xdr:clientData/>
  </xdr:oneCellAnchor>
  <xdr:oneCellAnchor>
    <xdr:from>
      <xdr:col>0</xdr:col>
      <xdr:colOff>66676</xdr:colOff>
      <xdr:row>2101</xdr:row>
      <xdr:rowOff>28574</xdr:rowOff>
    </xdr:from>
    <xdr:ext cx="1033158" cy="577093"/>
    <xdr:pic>
      <xdr:nvPicPr>
        <xdr:cNvPr id="81" name="Imagen 80">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1"/>
        <a:stretch>
          <a:fillRect/>
        </a:stretch>
      </xdr:blipFill>
      <xdr:spPr>
        <a:xfrm>
          <a:off x="66676" y="458866874"/>
          <a:ext cx="1033158" cy="577093"/>
        </a:xfrm>
        <a:prstGeom prst="rect">
          <a:avLst/>
        </a:prstGeom>
      </xdr:spPr>
    </xdr:pic>
    <xdr:clientData/>
  </xdr:oneCellAnchor>
  <xdr:oneCellAnchor>
    <xdr:from>
      <xdr:col>0</xdr:col>
      <xdr:colOff>66676</xdr:colOff>
      <xdr:row>2152</xdr:row>
      <xdr:rowOff>28574</xdr:rowOff>
    </xdr:from>
    <xdr:ext cx="1033158" cy="577093"/>
    <xdr:pic>
      <xdr:nvPicPr>
        <xdr:cNvPr id="82" name="Imagen 81">
          <a:extLst>
            <a:ext uri="{FF2B5EF4-FFF2-40B4-BE49-F238E27FC236}">
              <a16:creationId xmlns:a16="http://schemas.microsoft.com/office/drawing/2014/main" id="{00000000-0008-0000-0300-000052000000}"/>
            </a:ext>
          </a:extLst>
        </xdr:cNvPr>
        <xdr:cNvPicPr>
          <a:picLocks noChangeAspect="1"/>
        </xdr:cNvPicPr>
      </xdr:nvPicPr>
      <xdr:blipFill>
        <a:blip xmlns:r="http://schemas.openxmlformats.org/officeDocument/2006/relationships" r:embed="rId1"/>
        <a:stretch>
          <a:fillRect/>
        </a:stretch>
      </xdr:blipFill>
      <xdr:spPr>
        <a:xfrm>
          <a:off x="66676" y="115052474"/>
          <a:ext cx="1033158" cy="577093"/>
        </a:xfrm>
        <a:prstGeom prst="rect">
          <a:avLst/>
        </a:prstGeom>
      </xdr:spPr>
    </xdr:pic>
    <xdr:clientData/>
  </xdr:oneCellAnchor>
  <xdr:oneCellAnchor>
    <xdr:from>
      <xdr:col>0</xdr:col>
      <xdr:colOff>66676</xdr:colOff>
      <xdr:row>2204</xdr:row>
      <xdr:rowOff>28574</xdr:rowOff>
    </xdr:from>
    <xdr:ext cx="1033158" cy="577093"/>
    <xdr:pic>
      <xdr:nvPicPr>
        <xdr:cNvPr id="84" name="Imagen 83">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1"/>
        <a:stretch>
          <a:fillRect/>
        </a:stretch>
      </xdr:blipFill>
      <xdr:spPr>
        <a:xfrm>
          <a:off x="66676" y="137893424"/>
          <a:ext cx="1033158" cy="577093"/>
        </a:xfrm>
        <a:prstGeom prst="rect">
          <a:avLst/>
        </a:prstGeom>
      </xdr:spPr>
    </xdr:pic>
    <xdr:clientData/>
  </xdr:oneCellAnchor>
  <xdr:oneCellAnchor>
    <xdr:from>
      <xdr:col>0</xdr:col>
      <xdr:colOff>66676</xdr:colOff>
      <xdr:row>8880</xdr:row>
      <xdr:rowOff>28574</xdr:rowOff>
    </xdr:from>
    <xdr:ext cx="1033158" cy="577093"/>
    <xdr:pic>
      <xdr:nvPicPr>
        <xdr:cNvPr id="85" name="Imagen 84">
          <a:extLst>
            <a:ext uri="{FF2B5EF4-FFF2-40B4-BE49-F238E27FC236}">
              <a16:creationId xmlns:a16="http://schemas.microsoft.com/office/drawing/2014/main" id="{00000000-0008-0000-0300-000055000000}"/>
            </a:ext>
          </a:extLst>
        </xdr:cNvPr>
        <xdr:cNvPicPr>
          <a:picLocks noChangeAspect="1"/>
        </xdr:cNvPicPr>
      </xdr:nvPicPr>
      <xdr:blipFill>
        <a:blip xmlns:r="http://schemas.openxmlformats.org/officeDocument/2006/relationships" r:embed="rId1"/>
        <a:stretch>
          <a:fillRect/>
        </a:stretch>
      </xdr:blipFill>
      <xdr:spPr>
        <a:xfrm>
          <a:off x="66676" y="809405924"/>
          <a:ext cx="1033158" cy="577093"/>
        </a:xfrm>
        <a:prstGeom prst="rect">
          <a:avLst/>
        </a:prstGeom>
      </xdr:spPr>
    </xdr:pic>
    <xdr:clientData/>
  </xdr:oneCellAnchor>
  <xdr:oneCellAnchor>
    <xdr:from>
      <xdr:col>0</xdr:col>
      <xdr:colOff>66676</xdr:colOff>
      <xdr:row>8081</xdr:row>
      <xdr:rowOff>28574</xdr:rowOff>
    </xdr:from>
    <xdr:ext cx="1033158" cy="577093"/>
    <xdr:pic>
      <xdr:nvPicPr>
        <xdr:cNvPr id="83" name="Imagen 82">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1"/>
        <a:stretch>
          <a:fillRect/>
        </a:stretch>
      </xdr:blipFill>
      <xdr:spPr>
        <a:xfrm>
          <a:off x="66676" y="760485524"/>
          <a:ext cx="1033158" cy="577093"/>
        </a:xfrm>
        <a:prstGeom prst="rect">
          <a:avLst/>
        </a:prstGeom>
      </xdr:spPr>
    </xdr:pic>
    <xdr:clientData/>
  </xdr:oneCellAnchor>
  <xdr:oneCellAnchor>
    <xdr:from>
      <xdr:col>0</xdr:col>
      <xdr:colOff>66676</xdr:colOff>
      <xdr:row>8128</xdr:row>
      <xdr:rowOff>28574</xdr:rowOff>
    </xdr:from>
    <xdr:ext cx="1033158" cy="577093"/>
    <xdr:pic>
      <xdr:nvPicPr>
        <xdr:cNvPr id="86" name="Imagen 85">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1"/>
        <a:stretch>
          <a:fillRect/>
        </a:stretch>
      </xdr:blipFill>
      <xdr:spPr>
        <a:xfrm>
          <a:off x="66676" y="772667999"/>
          <a:ext cx="1033158" cy="577093"/>
        </a:xfrm>
        <a:prstGeom prst="rect">
          <a:avLst/>
        </a:prstGeom>
      </xdr:spPr>
    </xdr:pic>
    <xdr:clientData/>
  </xdr:oneCellAnchor>
  <xdr:oneCellAnchor>
    <xdr:from>
      <xdr:col>0</xdr:col>
      <xdr:colOff>66676</xdr:colOff>
      <xdr:row>2255</xdr:row>
      <xdr:rowOff>28574</xdr:rowOff>
    </xdr:from>
    <xdr:ext cx="1033158" cy="577093"/>
    <xdr:pic>
      <xdr:nvPicPr>
        <xdr:cNvPr id="87" name="Imagen 86">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1"/>
        <a:stretch>
          <a:fillRect/>
        </a:stretch>
      </xdr:blipFill>
      <xdr:spPr>
        <a:xfrm>
          <a:off x="66676" y="493318799"/>
          <a:ext cx="1033158" cy="577093"/>
        </a:xfrm>
        <a:prstGeom prst="rect">
          <a:avLst/>
        </a:prstGeom>
      </xdr:spPr>
    </xdr:pic>
    <xdr:clientData/>
  </xdr:oneCellAnchor>
  <xdr:oneCellAnchor>
    <xdr:from>
      <xdr:col>0</xdr:col>
      <xdr:colOff>66676</xdr:colOff>
      <xdr:row>2306</xdr:row>
      <xdr:rowOff>28574</xdr:rowOff>
    </xdr:from>
    <xdr:ext cx="1033158" cy="577093"/>
    <xdr:pic>
      <xdr:nvPicPr>
        <xdr:cNvPr id="88" name="Imagen 87">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1"/>
        <a:stretch>
          <a:fillRect/>
        </a:stretch>
      </xdr:blipFill>
      <xdr:spPr>
        <a:xfrm>
          <a:off x="66676" y="504739274"/>
          <a:ext cx="1033158" cy="577093"/>
        </a:xfrm>
        <a:prstGeom prst="rect">
          <a:avLst/>
        </a:prstGeom>
      </xdr:spPr>
    </xdr:pic>
    <xdr:clientData/>
  </xdr:oneCellAnchor>
  <xdr:oneCellAnchor>
    <xdr:from>
      <xdr:col>0</xdr:col>
      <xdr:colOff>66676</xdr:colOff>
      <xdr:row>2357</xdr:row>
      <xdr:rowOff>28574</xdr:rowOff>
    </xdr:from>
    <xdr:ext cx="1033158" cy="577093"/>
    <xdr:pic>
      <xdr:nvPicPr>
        <xdr:cNvPr id="89" name="Imagen 88">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1"/>
        <a:stretch>
          <a:fillRect/>
        </a:stretch>
      </xdr:blipFill>
      <xdr:spPr>
        <a:xfrm>
          <a:off x="66676" y="516159749"/>
          <a:ext cx="1033158" cy="577093"/>
        </a:xfrm>
        <a:prstGeom prst="rect">
          <a:avLst/>
        </a:prstGeom>
      </xdr:spPr>
    </xdr:pic>
    <xdr:clientData/>
  </xdr:oneCellAnchor>
  <xdr:oneCellAnchor>
    <xdr:from>
      <xdr:col>0</xdr:col>
      <xdr:colOff>66676</xdr:colOff>
      <xdr:row>2408</xdr:row>
      <xdr:rowOff>28574</xdr:rowOff>
    </xdr:from>
    <xdr:ext cx="1033158" cy="577093"/>
    <xdr:pic>
      <xdr:nvPicPr>
        <xdr:cNvPr id="90" name="Imagen 89">
          <a:extLst>
            <a:ext uri="{FF2B5EF4-FFF2-40B4-BE49-F238E27FC236}">
              <a16:creationId xmlns:a16="http://schemas.microsoft.com/office/drawing/2014/main" id="{00000000-0008-0000-0300-00005A000000}"/>
            </a:ext>
          </a:extLst>
        </xdr:cNvPr>
        <xdr:cNvPicPr>
          <a:picLocks noChangeAspect="1"/>
        </xdr:cNvPicPr>
      </xdr:nvPicPr>
      <xdr:blipFill>
        <a:blip xmlns:r="http://schemas.openxmlformats.org/officeDocument/2006/relationships" r:embed="rId1"/>
        <a:stretch>
          <a:fillRect/>
        </a:stretch>
      </xdr:blipFill>
      <xdr:spPr>
        <a:xfrm>
          <a:off x="66676" y="527580224"/>
          <a:ext cx="1033158" cy="577093"/>
        </a:xfrm>
        <a:prstGeom prst="rect">
          <a:avLst/>
        </a:prstGeom>
      </xdr:spPr>
    </xdr:pic>
    <xdr:clientData/>
  </xdr:oneCellAnchor>
  <xdr:oneCellAnchor>
    <xdr:from>
      <xdr:col>0</xdr:col>
      <xdr:colOff>66676</xdr:colOff>
      <xdr:row>4708</xdr:row>
      <xdr:rowOff>28574</xdr:rowOff>
    </xdr:from>
    <xdr:ext cx="1033158" cy="577093"/>
    <xdr:pic>
      <xdr:nvPicPr>
        <xdr:cNvPr id="91" name="Imagen 90">
          <a:extLst>
            <a:ext uri="{FF2B5EF4-FFF2-40B4-BE49-F238E27FC236}">
              <a16:creationId xmlns:a16="http://schemas.microsoft.com/office/drawing/2014/main" id="{00000000-0008-0000-0300-00005B000000}"/>
            </a:ext>
          </a:extLst>
        </xdr:cNvPr>
        <xdr:cNvPicPr>
          <a:picLocks noChangeAspect="1"/>
        </xdr:cNvPicPr>
      </xdr:nvPicPr>
      <xdr:blipFill>
        <a:blip xmlns:r="http://schemas.openxmlformats.org/officeDocument/2006/relationships" r:embed="rId1"/>
        <a:stretch>
          <a:fillRect/>
        </a:stretch>
      </xdr:blipFill>
      <xdr:spPr>
        <a:xfrm>
          <a:off x="66676" y="642356474"/>
          <a:ext cx="1033158" cy="577093"/>
        </a:xfrm>
        <a:prstGeom prst="rect">
          <a:avLst/>
        </a:prstGeom>
      </xdr:spPr>
    </xdr:pic>
    <xdr:clientData/>
  </xdr:oneCellAnchor>
  <xdr:oneCellAnchor>
    <xdr:from>
      <xdr:col>0</xdr:col>
      <xdr:colOff>66676</xdr:colOff>
      <xdr:row>4759</xdr:row>
      <xdr:rowOff>28574</xdr:rowOff>
    </xdr:from>
    <xdr:ext cx="1033158" cy="577093"/>
    <xdr:pic>
      <xdr:nvPicPr>
        <xdr:cNvPr id="92" name="Imagen 91">
          <a:extLst>
            <a:ext uri="{FF2B5EF4-FFF2-40B4-BE49-F238E27FC236}">
              <a16:creationId xmlns:a16="http://schemas.microsoft.com/office/drawing/2014/main" id="{00000000-0008-0000-0300-00005C000000}"/>
            </a:ext>
          </a:extLst>
        </xdr:cNvPr>
        <xdr:cNvPicPr>
          <a:picLocks noChangeAspect="1"/>
        </xdr:cNvPicPr>
      </xdr:nvPicPr>
      <xdr:blipFill>
        <a:blip xmlns:r="http://schemas.openxmlformats.org/officeDocument/2006/relationships" r:embed="rId1"/>
        <a:stretch>
          <a:fillRect/>
        </a:stretch>
      </xdr:blipFill>
      <xdr:spPr>
        <a:xfrm>
          <a:off x="66676" y="596484074"/>
          <a:ext cx="1033158" cy="577093"/>
        </a:xfrm>
        <a:prstGeom prst="rect">
          <a:avLst/>
        </a:prstGeom>
      </xdr:spPr>
    </xdr:pic>
    <xdr:clientData/>
  </xdr:oneCellAnchor>
  <xdr:oneCellAnchor>
    <xdr:from>
      <xdr:col>0</xdr:col>
      <xdr:colOff>66676</xdr:colOff>
      <xdr:row>4810</xdr:row>
      <xdr:rowOff>28574</xdr:rowOff>
    </xdr:from>
    <xdr:ext cx="1033158" cy="577093"/>
    <xdr:pic>
      <xdr:nvPicPr>
        <xdr:cNvPr id="93" name="Imagen 92">
          <a:extLst>
            <a:ext uri="{FF2B5EF4-FFF2-40B4-BE49-F238E27FC236}">
              <a16:creationId xmlns:a16="http://schemas.microsoft.com/office/drawing/2014/main" id="{00000000-0008-0000-0300-00005D000000}"/>
            </a:ext>
          </a:extLst>
        </xdr:cNvPr>
        <xdr:cNvPicPr>
          <a:picLocks noChangeAspect="1"/>
        </xdr:cNvPicPr>
      </xdr:nvPicPr>
      <xdr:blipFill>
        <a:blip xmlns:r="http://schemas.openxmlformats.org/officeDocument/2006/relationships" r:embed="rId1"/>
        <a:stretch>
          <a:fillRect/>
        </a:stretch>
      </xdr:blipFill>
      <xdr:spPr>
        <a:xfrm>
          <a:off x="66676" y="665197424"/>
          <a:ext cx="1033158" cy="577093"/>
        </a:xfrm>
        <a:prstGeom prst="rect">
          <a:avLst/>
        </a:prstGeom>
      </xdr:spPr>
    </xdr:pic>
    <xdr:clientData/>
  </xdr:oneCellAnchor>
  <xdr:oneCellAnchor>
    <xdr:from>
      <xdr:col>0</xdr:col>
      <xdr:colOff>66676</xdr:colOff>
      <xdr:row>6355</xdr:row>
      <xdr:rowOff>28574</xdr:rowOff>
    </xdr:from>
    <xdr:ext cx="1033158" cy="577093"/>
    <xdr:pic>
      <xdr:nvPicPr>
        <xdr:cNvPr id="94" name="Imagen 93">
          <a:extLst>
            <a:ext uri="{FF2B5EF4-FFF2-40B4-BE49-F238E27FC236}">
              <a16:creationId xmlns:a16="http://schemas.microsoft.com/office/drawing/2014/main" id="{00000000-0008-0000-0300-00005E000000}"/>
            </a:ext>
          </a:extLst>
        </xdr:cNvPr>
        <xdr:cNvPicPr>
          <a:picLocks noChangeAspect="1"/>
        </xdr:cNvPicPr>
      </xdr:nvPicPr>
      <xdr:blipFill>
        <a:blip xmlns:r="http://schemas.openxmlformats.org/officeDocument/2006/relationships" r:embed="rId1"/>
        <a:stretch>
          <a:fillRect/>
        </a:stretch>
      </xdr:blipFill>
      <xdr:spPr>
        <a:xfrm>
          <a:off x="66676" y="746474249"/>
          <a:ext cx="1033158" cy="577093"/>
        </a:xfrm>
        <a:prstGeom prst="rect">
          <a:avLst/>
        </a:prstGeom>
      </xdr:spPr>
    </xdr:pic>
    <xdr:clientData/>
  </xdr:oneCellAnchor>
  <xdr:oneCellAnchor>
    <xdr:from>
      <xdr:col>0</xdr:col>
      <xdr:colOff>66676</xdr:colOff>
      <xdr:row>6407</xdr:row>
      <xdr:rowOff>28574</xdr:rowOff>
    </xdr:from>
    <xdr:ext cx="1033158" cy="577093"/>
    <xdr:pic>
      <xdr:nvPicPr>
        <xdr:cNvPr id="95" name="Imagen 94">
          <a:extLst>
            <a:ext uri="{FF2B5EF4-FFF2-40B4-BE49-F238E27FC236}">
              <a16:creationId xmlns:a16="http://schemas.microsoft.com/office/drawing/2014/main" id="{00000000-0008-0000-0300-00005F000000}"/>
            </a:ext>
          </a:extLst>
        </xdr:cNvPr>
        <xdr:cNvPicPr>
          <a:picLocks noChangeAspect="1"/>
        </xdr:cNvPicPr>
      </xdr:nvPicPr>
      <xdr:blipFill>
        <a:blip xmlns:r="http://schemas.openxmlformats.org/officeDocument/2006/relationships" r:embed="rId1"/>
        <a:stretch>
          <a:fillRect/>
        </a:stretch>
      </xdr:blipFill>
      <xdr:spPr>
        <a:xfrm>
          <a:off x="66676" y="839095349"/>
          <a:ext cx="1033158" cy="577093"/>
        </a:xfrm>
        <a:prstGeom prst="rect">
          <a:avLst/>
        </a:prstGeom>
      </xdr:spPr>
    </xdr:pic>
    <xdr:clientData/>
  </xdr:oneCellAnchor>
  <xdr:oneCellAnchor>
    <xdr:from>
      <xdr:col>0</xdr:col>
      <xdr:colOff>66676</xdr:colOff>
      <xdr:row>6459</xdr:row>
      <xdr:rowOff>28574</xdr:rowOff>
    </xdr:from>
    <xdr:ext cx="1033158" cy="577093"/>
    <xdr:pic>
      <xdr:nvPicPr>
        <xdr:cNvPr id="96" name="Imagen 95">
          <a:extLst>
            <a:ext uri="{FF2B5EF4-FFF2-40B4-BE49-F238E27FC236}">
              <a16:creationId xmlns:a16="http://schemas.microsoft.com/office/drawing/2014/main" id="{00000000-0008-0000-0300-000060000000}"/>
            </a:ext>
          </a:extLst>
        </xdr:cNvPr>
        <xdr:cNvPicPr>
          <a:picLocks noChangeAspect="1"/>
        </xdr:cNvPicPr>
      </xdr:nvPicPr>
      <xdr:blipFill>
        <a:blip xmlns:r="http://schemas.openxmlformats.org/officeDocument/2006/relationships" r:embed="rId1"/>
        <a:stretch>
          <a:fillRect/>
        </a:stretch>
      </xdr:blipFill>
      <xdr:spPr>
        <a:xfrm>
          <a:off x="66676" y="850706324"/>
          <a:ext cx="1033158" cy="577093"/>
        </a:xfrm>
        <a:prstGeom prst="rect">
          <a:avLst/>
        </a:prstGeom>
      </xdr:spPr>
    </xdr:pic>
    <xdr:clientData/>
  </xdr:oneCellAnchor>
  <xdr:oneCellAnchor>
    <xdr:from>
      <xdr:col>0</xdr:col>
      <xdr:colOff>66676</xdr:colOff>
      <xdr:row>8175</xdr:row>
      <xdr:rowOff>28574</xdr:rowOff>
    </xdr:from>
    <xdr:ext cx="1033158" cy="577093"/>
    <xdr:pic>
      <xdr:nvPicPr>
        <xdr:cNvPr id="97" name="Imagen 96">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1"/>
        <a:stretch>
          <a:fillRect/>
        </a:stretch>
      </xdr:blipFill>
      <xdr:spPr>
        <a:xfrm>
          <a:off x="66676" y="874118774"/>
          <a:ext cx="1033158" cy="577093"/>
        </a:xfrm>
        <a:prstGeom prst="rect">
          <a:avLst/>
        </a:prstGeom>
      </xdr:spPr>
    </xdr:pic>
    <xdr:clientData/>
  </xdr:oneCellAnchor>
  <xdr:oneCellAnchor>
    <xdr:from>
      <xdr:col>0</xdr:col>
      <xdr:colOff>66676</xdr:colOff>
      <xdr:row>8230</xdr:row>
      <xdr:rowOff>28574</xdr:rowOff>
    </xdr:from>
    <xdr:ext cx="1033158" cy="577093"/>
    <xdr:pic>
      <xdr:nvPicPr>
        <xdr:cNvPr id="98" name="Imagen 97">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1"/>
        <a:stretch>
          <a:fillRect/>
        </a:stretch>
      </xdr:blipFill>
      <xdr:spPr>
        <a:xfrm>
          <a:off x="66676" y="907446749"/>
          <a:ext cx="1033158" cy="577093"/>
        </a:xfrm>
        <a:prstGeom prst="rect">
          <a:avLst/>
        </a:prstGeom>
      </xdr:spPr>
    </xdr:pic>
    <xdr:clientData/>
  </xdr:oneCellAnchor>
  <xdr:oneCellAnchor>
    <xdr:from>
      <xdr:col>0</xdr:col>
      <xdr:colOff>66676</xdr:colOff>
      <xdr:row>8285</xdr:row>
      <xdr:rowOff>28574</xdr:rowOff>
    </xdr:from>
    <xdr:ext cx="1033158" cy="577093"/>
    <xdr:pic>
      <xdr:nvPicPr>
        <xdr:cNvPr id="99" name="Imagen 98">
          <a:extLst>
            <a:ext uri="{FF2B5EF4-FFF2-40B4-BE49-F238E27FC236}">
              <a16:creationId xmlns:a16="http://schemas.microsoft.com/office/drawing/2014/main" id="{00000000-0008-0000-0300-000063000000}"/>
            </a:ext>
          </a:extLst>
        </xdr:cNvPr>
        <xdr:cNvPicPr>
          <a:picLocks noChangeAspect="1"/>
        </xdr:cNvPicPr>
      </xdr:nvPicPr>
      <xdr:blipFill>
        <a:blip xmlns:r="http://schemas.openxmlformats.org/officeDocument/2006/relationships" r:embed="rId1"/>
        <a:stretch>
          <a:fillRect/>
        </a:stretch>
      </xdr:blipFill>
      <xdr:spPr>
        <a:xfrm>
          <a:off x="66676" y="919629224"/>
          <a:ext cx="1033158" cy="577093"/>
        </a:xfrm>
        <a:prstGeom prst="rect">
          <a:avLst/>
        </a:prstGeom>
      </xdr:spPr>
    </xdr:pic>
    <xdr:clientData/>
  </xdr:oneCellAnchor>
  <xdr:oneCellAnchor>
    <xdr:from>
      <xdr:col>0</xdr:col>
      <xdr:colOff>66676</xdr:colOff>
      <xdr:row>2459</xdr:row>
      <xdr:rowOff>28574</xdr:rowOff>
    </xdr:from>
    <xdr:ext cx="1033158" cy="577093"/>
    <xdr:pic>
      <xdr:nvPicPr>
        <xdr:cNvPr id="100" name="Imagen 99">
          <a:extLst>
            <a:ext uri="{FF2B5EF4-FFF2-40B4-BE49-F238E27FC236}">
              <a16:creationId xmlns:a16="http://schemas.microsoft.com/office/drawing/2014/main" id="{00000000-0008-0000-0300-000064000000}"/>
            </a:ext>
          </a:extLst>
        </xdr:cNvPr>
        <xdr:cNvPicPr>
          <a:picLocks noChangeAspect="1"/>
        </xdr:cNvPicPr>
      </xdr:nvPicPr>
      <xdr:blipFill>
        <a:blip xmlns:r="http://schemas.openxmlformats.org/officeDocument/2006/relationships" r:embed="rId1"/>
        <a:stretch>
          <a:fillRect/>
        </a:stretch>
      </xdr:blipFill>
      <xdr:spPr>
        <a:xfrm>
          <a:off x="66676" y="539000699"/>
          <a:ext cx="1033158" cy="577093"/>
        </a:xfrm>
        <a:prstGeom prst="rect">
          <a:avLst/>
        </a:prstGeom>
      </xdr:spPr>
    </xdr:pic>
    <xdr:clientData/>
  </xdr:oneCellAnchor>
  <xdr:oneCellAnchor>
    <xdr:from>
      <xdr:col>0</xdr:col>
      <xdr:colOff>66676</xdr:colOff>
      <xdr:row>2510</xdr:row>
      <xdr:rowOff>28574</xdr:rowOff>
    </xdr:from>
    <xdr:ext cx="1033158" cy="577093"/>
    <xdr:pic>
      <xdr:nvPicPr>
        <xdr:cNvPr id="101" name="Imagen 100">
          <a:extLst>
            <a:ext uri="{FF2B5EF4-FFF2-40B4-BE49-F238E27FC236}">
              <a16:creationId xmlns:a16="http://schemas.microsoft.com/office/drawing/2014/main" id="{00000000-0008-0000-0300-000065000000}"/>
            </a:ext>
          </a:extLst>
        </xdr:cNvPr>
        <xdr:cNvPicPr>
          <a:picLocks noChangeAspect="1"/>
        </xdr:cNvPicPr>
      </xdr:nvPicPr>
      <xdr:blipFill>
        <a:blip xmlns:r="http://schemas.openxmlformats.org/officeDocument/2006/relationships" r:embed="rId1"/>
        <a:stretch>
          <a:fillRect/>
        </a:stretch>
      </xdr:blipFill>
      <xdr:spPr>
        <a:xfrm>
          <a:off x="66676" y="424605449"/>
          <a:ext cx="1033158" cy="577093"/>
        </a:xfrm>
        <a:prstGeom prst="rect">
          <a:avLst/>
        </a:prstGeom>
      </xdr:spPr>
    </xdr:pic>
    <xdr:clientData/>
  </xdr:oneCellAnchor>
  <xdr:oneCellAnchor>
    <xdr:from>
      <xdr:col>0</xdr:col>
      <xdr:colOff>66676</xdr:colOff>
      <xdr:row>4861</xdr:row>
      <xdr:rowOff>28574</xdr:rowOff>
    </xdr:from>
    <xdr:ext cx="1033158" cy="577093"/>
    <xdr:pic>
      <xdr:nvPicPr>
        <xdr:cNvPr id="102" name="Imagen 10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1"/>
        <a:stretch>
          <a:fillRect/>
        </a:stretch>
      </xdr:blipFill>
      <xdr:spPr>
        <a:xfrm>
          <a:off x="66676" y="699839849"/>
          <a:ext cx="1033158" cy="577093"/>
        </a:xfrm>
        <a:prstGeom prst="rect">
          <a:avLst/>
        </a:prstGeom>
      </xdr:spPr>
    </xdr:pic>
    <xdr:clientData/>
  </xdr:oneCellAnchor>
  <xdr:oneCellAnchor>
    <xdr:from>
      <xdr:col>0</xdr:col>
      <xdr:colOff>66676</xdr:colOff>
      <xdr:row>4912</xdr:row>
      <xdr:rowOff>28574</xdr:rowOff>
    </xdr:from>
    <xdr:ext cx="1033158" cy="577093"/>
    <xdr:pic>
      <xdr:nvPicPr>
        <xdr:cNvPr id="103" name="Imagen 102">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
        <a:stretch>
          <a:fillRect/>
        </a:stretch>
      </xdr:blipFill>
      <xdr:spPr>
        <a:xfrm>
          <a:off x="66676" y="665578424"/>
          <a:ext cx="1033158" cy="577093"/>
        </a:xfrm>
        <a:prstGeom prst="rect">
          <a:avLst/>
        </a:prstGeom>
      </xdr:spPr>
    </xdr:pic>
    <xdr:clientData/>
  </xdr:oneCellAnchor>
  <xdr:oneCellAnchor>
    <xdr:from>
      <xdr:col>0</xdr:col>
      <xdr:colOff>66676</xdr:colOff>
      <xdr:row>6511</xdr:row>
      <xdr:rowOff>28574</xdr:rowOff>
    </xdr:from>
    <xdr:ext cx="1033158" cy="577093"/>
    <xdr:pic>
      <xdr:nvPicPr>
        <xdr:cNvPr id="104" name="Imagen 103">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1"/>
        <a:stretch>
          <a:fillRect/>
        </a:stretch>
      </xdr:blipFill>
      <xdr:spPr>
        <a:xfrm>
          <a:off x="66676" y="850001474"/>
          <a:ext cx="1033158" cy="577093"/>
        </a:xfrm>
        <a:prstGeom prst="rect">
          <a:avLst/>
        </a:prstGeom>
      </xdr:spPr>
    </xdr:pic>
    <xdr:clientData/>
  </xdr:oneCellAnchor>
  <xdr:oneCellAnchor>
    <xdr:from>
      <xdr:col>0</xdr:col>
      <xdr:colOff>66676</xdr:colOff>
      <xdr:row>6564</xdr:row>
      <xdr:rowOff>28574</xdr:rowOff>
    </xdr:from>
    <xdr:ext cx="1033158" cy="577093"/>
    <xdr:pic>
      <xdr:nvPicPr>
        <xdr:cNvPr id="105" name="Imagen 104">
          <a:extLst>
            <a:ext uri="{FF2B5EF4-FFF2-40B4-BE49-F238E27FC236}">
              <a16:creationId xmlns:a16="http://schemas.microsoft.com/office/drawing/2014/main" id="{00000000-0008-0000-0300-000069000000}"/>
            </a:ext>
          </a:extLst>
        </xdr:cNvPr>
        <xdr:cNvPicPr>
          <a:picLocks noChangeAspect="1"/>
        </xdr:cNvPicPr>
      </xdr:nvPicPr>
      <xdr:blipFill>
        <a:blip xmlns:r="http://schemas.openxmlformats.org/officeDocument/2006/relationships" r:embed="rId1"/>
        <a:stretch>
          <a:fillRect/>
        </a:stretch>
      </xdr:blipFill>
      <xdr:spPr>
        <a:xfrm>
          <a:off x="66676" y="919610174"/>
          <a:ext cx="1033158" cy="577093"/>
        </a:xfrm>
        <a:prstGeom prst="rect">
          <a:avLst/>
        </a:prstGeom>
      </xdr:spPr>
    </xdr:pic>
    <xdr:clientData/>
  </xdr:oneCellAnchor>
  <xdr:oneCellAnchor>
    <xdr:from>
      <xdr:col>0</xdr:col>
      <xdr:colOff>66676</xdr:colOff>
      <xdr:row>4963</xdr:row>
      <xdr:rowOff>28574</xdr:rowOff>
    </xdr:from>
    <xdr:ext cx="1033158" cy="577093"/>
    <xdr:pic>
      <xdr:nvPicPr>
        <xdr:cNvPr id="106" name="Imagen 105">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1"/>
        <a:stretch>
          <a:fillRect/>
        </a:stretch>
      </xdr:blipFill>
      <xdr:spPr>
        <a:xfrm>
          <a:off x="66676" y="722680799"/>
          <a:ext cx="1033158" cy="577093"/>
        </a:xfrm>
        <a:prstGeom prst="rect">
          <a:avLst/>
        </a:prstGeom>
      </xdr:spPr>
    </xdr:pic>
    <xdr:clientData/>
  </xdr:oneCellAnchor>
  <xdr:oneCellAnchor>
    <xdr:from>
      <xdr:col>0</xdr:col>
      <xdr:colOff>66676</xdr:colOff>
      <xdr:row>5014</xdr:row>
      <xdr:rowOff>28574</xdr:rowOff>
    </xdr:from>
    <xdr:ext cx="1033158" cy="577093"/>
    <xdr:pic>
      <xdr:nvPicPr>
        <xdr:cNvPr id="107" name="Imagen 106">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1"/>
        <a:stretch>
          <a:fillRect/>
        </a:stretch>
      </xdr:blipFill>
      <xdr:spPr>
        <a:xfrm>
          <a:off x="66676" y="734101274"/>
          <a:ext cx="1033158" cy="577093"/>
        </a:xfrm>
        <a:prstGeom prst="rect">
          <a:avLst/>
        </a:prstGeom>
      </xdr:spPr>
    </xdr:pic>
    <xdr:clientData/>
  </xdr:oneCellAnchor>
  <xdr:oneCellAnchor>
    <xdr:from>
      <xdr:col>0</xdr:col>
      <xdr:colOff>66676</xdr:colOff>
      <xdr:row>2561</xdr:row>
      <xdr:rowOff>28574</xdr:rowOff>
    </xdr:from>
    <xdr:ext cx="1033158" cy="577093"/>
    <xdr:pic>
      <xdr:nvPicPr>
        <xdr:cNvPr id="108" name="Imagen 107">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1"/>
        <a:stretch>
          <a:fillRect/>
        </a:stretch>
      </xdr:blipFill>
      <xdr:spPr>
        <a:xfrm>
          <a:off x="66676" y="561841649"/>
          <a:ext cx="1033158" cy="577093"/>
        </a:xfrm>
        <a:prstGeom prst="rect">
          <a:avLst/>
        </a:prstGeom>
      </xdr:spPr>
    </xdr:pic>
    <xdr:clientData/>
  </xdr:oneCellAnchor>
  <xdr:oneCellAnchor>
    <xdr:from>
      <xdr:col>0</xdr:col>
      <xdr:colOff>66676</xdr:colOff>
      <xdr:row>5065</xdr:row>
      <xdr:rowOff>28574</xdr:rowOff>
    </xdr:from>
    <xdr:ext cx="1033158" cy="577093"/>
    <xdr:pic>
      <xdr:nvPicPr>
        <xdr:cNvPr id="109" name="Imagen 108">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1"/>
        <a:stretch>
          <a:fillRect/>
        </a:stretch>
      </xdr:blipFill>
      <xdr:spPr>
        <a:xfrm>
          <a:off x="66676" y="585635099"/>
          <a:ext cx="1033158" cy="577093"/>
        </a:xfrm>
        <a:prstGeom prst="rect">
          <a:avLst/>
        </a:prstGeom>
      </xdr:spPr>
    </xdr:pic>
    <xdr:clientData/>
  </xdr:oneCellAnchor>
  <xdr:oneCellAnchor>
    <xdr:from>
      <xdr:col>0</xdr:col>
      <xdr:colOff>66676</xdr:colOff>
      <xdr:row>5116</xdr:row>
      <xdr:rowOff>28574</xdr:rowOff>
    </xdr:from>
    <xdr:ext cx="1033158" cy="577093"/>
    <xdr:pic>
      <xdr:nvPicPr>
        <xdr:cNvPr id="110" name="Imagen 109">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1"/>
        <a:stretch>
          <a:fillRect/>
        </a:stretch>
      </xdr:blipFill>
      <xdr:spPr>
        <a:xfrm>
          <a:off x="66676" y="733910774"/>
          <a:ext cx="1033158" cy="577093"/>
        </a:xfrm>
        <a:prstGeom prst="rect">
          <a:avLst/>
        </a:prstGeom>
      </xdr:spPr>
    </xdr:pic>
    <xdr:clientData/>
  </xdr:oneCellAnchor>
  <xdr:oneCellAnchor>
    <xdr:from>
      <xdr:col>0</xdr:col>
      <xdr:colOff>66676</xdr:colOff>
      <xdr:row>5167</xdr:row>
      <xdr:rowOff>28574</xdr:rowOff>
    </xdr:from>
    <xdr:ext cx="1033158" cy="577093"/>
    <xdr:pic>
      <xdr:nvPicPr>
        <xdr:cNvPr id="111" name="Imagen 110">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1"/>
        <a:stretch>
          <a:fillRect/>
        </a:stretch>
      </xdr:blipFill>
      <xdr:spPr>
        <a:xfrm>
          <a:off x="66676" y="779592674"/>
          <a:ext cx="1033158" cy="577093"/>
        </a:xfrm>
        <a:prstGeom prst="rect">
          <a:avLst/>
        </a:prstGeom>
      </xdr:spPr>
    </xdr:pic>
    <xdr:clientData/>
  </xdr:oneCellAnchor>
  <xdr:oneCellAnchor>
    <xdr:from>
      <xdr:col>0</xdr:col>
      <xdr:colOff>66676</xdr:colOff>
      <xdr:row>5218</xdr:row>
      <xdr:rowOff>28574</xdr:rowOff>
    </xdr:from>
    <xdr:ext cx="1033158" cy="577093"/>
    <xdr:pic>
      <xdr:nvPicPr>
        <xdr:cNvPr id="112" name="Imagen 111">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1"/>
        <a:stretch>
          <a:fillRect/>
        </a:stretch>
      </xdr:blipFill>
      <xdr:spPr>
        <a:xfrm>
          <a:off x="66676" y="779592674"/>
          <a:ext cx="1033158" cy="577093"/>
        </a:xfrm>
        <a:prstGeom prst="rect">
          <a:avLst/>
        </a:prstGeom>
      </xdr:spPr>
    </xdr:pic>
    <xdr:clientData/>
  </xdr:oneCellAnchor>
  <xdr:oneCellAnchor>
    <xdr:from>
      <xdr:col>0</xdr:col>
      <xdr:colOff>66676</xdr:colOff>
      <xdr:row>2612</xdr:row>
      <xdr:rowOff>28574</xdr:rowOff>
    </xdr:from>
    <xdr:ext cx="1033158" cy="577093"/>
    <xdr:pic>
      <xdr:nvPicPr>
        <xdr:cNvPr id="113" name="Imagen 112">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1"/>
        <a:stretch>
          <a:fillRect/>
        </a:stretch>
      </xdr:blipFill>
      <xdr:spPr>
        <a:xfrm>
          <a:off x="66676" y="573262124"/>
          <a:ext cx="1033158" cy="577093"/>
        </a:xfrm>
        <a:prstGeom prst="rect">
          <a:avLst/>
        </a:prstGeom>
      </xdr:spPr>
    </xdr:pic>
    <xdr:clientData/>
  </xdr:oneCellAnchor>
  <xdr:oneCellAnchor>
    <xdr:from>
      <xdr:col>0</xdr:col>
      <xdr:colOff>66676</xdr:colOff>
      <xdr:row>2663</xdr:row>
      <xdr:rowOff>28574</xdr:rowOff>
    </xdr:from>
    <xdr:ext cx="1033158" cy="577093"/>
    <xdr:pic>
      <xdr:nvPicPr>
        <xdr:cNvPr id="114" name="Imagen 113">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1"/>
        <a:stretch>
          <a:fillRect/>
        </a:stretch>
      </xdr:blipFill>
      <xdr:spPr>
        <a:xfrm>
          <a:off x="66676" y="584682599"/>
          <a:ext cx="1033158" cy="577093"/>
        </a:xfrm>
        <a:prstGeom prst="rect">
          <a:avLst/>
        </a:prstGeom>
      </xdr:spPr>
    </xdr:pic>
    <xdr:clientData/>
  </xdr:oneCellAnchor>
  <xdr:oneCellAnchor>
    <xdr:from>
      <xdr:col>0</xdr:col>
      <xdr:colOff>66676</xdr:colOff>
      <xdr:row>2714</xdr:row>
      <xdr:rowOff>28574</xdr:rowOff>
    </xdr:from>
    <xdr:ext cx="1033158" cy="577093"/>
    <xdr:pic>
      <xdr:nvPicPr>
        <xdr:cNvPr id="115" name="Imagen 114">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1"/>
        <a:stretch>
          <a:fillRect/>
        </a:stretch>
      </xdr:blipFill>
      <xdr:spPr>
        <a:xfrm>
          <a:off x="66676" y="596103074"/>
          <a:ext cx="1033158" cy="577093"/>
        </a:xfrm>
        <a:prstGeom prst="rect">
          <a:avLst/>
        </a:prstGeom>
      </xdr:spPr>
    </xdr:pic>
    <xdr:clientData/>
  </xdr:oneCellAnchor>
  <xdr:oneCellAnchor>
    <xdr:from>
      <xdr:col>0</xdr:col>
      <xdr:colOff>66676</xdr:colOff>
      <xdr:row>2765</xdr:row>
      <xdr:rowOff>28574</xdr:rowOff>
    </xdr:from>
    <xdr:ext cx="1033158" cy="577093"/>
    <xdr:pic>
      <xdr:nvPicPr>
        <xdr:cNvPr id="116" name="Imagen 115">
          <a:extLst>
            <a:ext uri="{FF2B5EF4-FFF2-40B4-BE49-F238E27FC236}">
              <a16:creationId xmlns:a16="http://schemas.microsoft.com/office/drawing/2014/main" id="{00000000-0008-0000-0300-000074000000}"/>
            </a:ext>
          </a:extLst>
        </xdr:cNvPr>
        <xdr:cNvPicPr>
          <a:picLocks noChangeAspect="1"/>
        </xdr:cNvPicPr>
      </xdr:nvPicPr>
      <xdr:blipFill>
        <a:blip xmlns:r="http://schemas.openxmlformats.org/officeDocument/2006/relationships" r:embed="rId1"/>
        <a:stretch>
          <a:fillRect/>
        </a:stretch>
      </xdr:blipFill>
      <xdr:spPr>
        <a:xfrm>
          <a:off x="66676" y="607523549"/>
          <a:ext cx="1033158" cy="577093"/>
        </a:xfrm>
        <a:prstGeom prst="rect">
          <a:avLst/>
        </a:prstGeom>
      </xdr:spPr>
    </xdr:pic>
    <xdr:clientData/>
  </xdr:oneCellAnchor>
  <xdr:oneCellAnchor>
    <xdr:from>
      <xdr:col>0</xdr:col>
      <xdr:colOff>66676</xdr:colOff>
      <xdr:row>2816</xdr:row>
      <xdr:rowOff>28574</xdr:rowOff>
    </xdr:from>
    <xdr:ext cx="1033158" cy="577093"/>
    <xdr:pic>
      <xdr:nvPicPr>
        <xdr:cNvPr id="117" name="Imagen 116">
          <a:extLst>
            <a:ext uri="{FF2B5EF4-FFF2-40B4-BE49-F238E27FC236}">
              <a16:creationId xmlns:a16="http://schemas.microsoft.com/office/drawing/2014/main" id="{00000000-0008-0000-0300-000075000000}"/>
            </a:ext>
          </a:extLst>
        </xdr:cNvPr>
        <xdr:cNvPicPr>
          <a:picLocks noChangeAspect="1"/>
        </xdr:cNvPicPr>
      </xdr:nvPicPr>
      <xdr:blipFill>
        <a:blip xmlns:r="http://schemas.openxmlformats.org/officeDocument/2006/relationships" r:embed="rId1"/>
        <a:stretch>
          <a:fillRect/>
        </a:stretch>
      </xdr:blipFill>
      <xdr:spPr>
        <a:xfrm>
          <a:off x="66676" y="618944024"/>
          <a:ext cx="1033158" cy="577093"/>
        </a:xfrm>
        <a:prstGeom prst="rect">
          <a:avLst/>
        </a:prstGeom>
      </xdr:spPr>
    </xdr:pic>
    <xdr:clientData/>
  </xdr:oneCellAnchor>
  <xdr:oneCellAnchor>
    <xdr:from>
      <xdr:col>0</xdr:col>
      <xdr:colOff>66676</xdr:colOff>
      <xdr:row>2867</xdr:row>
      <xdr:rowOff>28574</xdr:rowOff>
    </xdr:from>
    <xdr:ext cx="1033158" cy="577093"/>
    <xdr:pic>
      <xdr:nvPicPr>
        <xdr:cNvPr id="118" name="Imagen 117">
          <a:extLst>
            <a:ext uri="{FF2B5EF4-FFF2-40B4-BE49-F238E27FC236}">
              <a16:creationId xmlns:a16="http://schemas.microsoft.com/office/drawing/2014/main" id="{00000000-0008-0000-0300-000076000000}"/>
            </a:ext>
          </a:extLst>
        </xdr:cNvPr>
        <xdr:cNvPicPr>
          <a:picLocks noChangeAspect="1"/>
        </xdr:cNvPicPr>
      </xdr:nvPicPr>
      <xdr:blipFill>
        <a:blip xmlns:r="http://schemas.openxmlformats.org/officeDocument/2006/relationships" r:embed="rId1"/>
        <a:stretch>
          <a:fillRect/>
        </a:stretch>
      </xdr:blipFill>
      <xdr:spPr>
        <a:xfrm>
          <a:off x="66676" y="630364499"/>
          <a:ext cx="1033158" cy="577093"/>
        </a:xfrm>
        <a:prstGeom prst="rect">
          <a:avLst/>
        </a:prstGeom>
      </xdr:spPr>
    </xdr:pic>
    <xdr:clientData/>
  </xdr:oneCellAnchor>
  <xdr:oneCellAnchor>
    <xdr:from>
      <xdr:col>0</xdr:col>
      <xdr:colOff>66676</xdr:colOff>
      <xdr:row>2918</xdr:row>
      <xdr:rowOff>28574</xdr:rowOff>
    </xdr:from>
    <xdr:ext cx="1033158" cy="577093"/>
    <xdr:pic>
      <xdr:nvPicPr>
        <xdr:cNvPr id="119" name="Imagen 118">
          <a:extLst>
            <a:ext uri="{FF2B5EF4-FFF2-40B4-BE49-F238E27FC236}">
              <a16:creationId xmlns:a16="http://schemas.microsoft.com/office/drawing/2014/main" id="{00000000-0008-0000-0300-000077000000}"/>
            </a:ext>
          </a:extLst>
        </xdr:cNvPr>
        <xdr:cNvPicPr>
          <a:picLocks noChangeAspect="1"/>
        </xdr:cNvPicPr>
      </xdr:nvPicPr>
      <xdr:blipFill>
        <a:blip xmlns:r="http://schemas.openxmlformats.org/officeDocument/2006/relationships" r:embed="rId1"/>
        <a:stretch>
          <a:fillRect/>
        </a:stretch>
      </xdr:blipFill>
      <xdr:spPr>
        <a:xfrm>
          <a:off x="66676" y="641784974"/>
          <a:ext cx="1033158" cy="577093"/>
        </a:xfrm>
        <a:prstGeom prst="rect">
          <a:avLst/>
        </a:prstGeom>
      </xdr:spPr>
    </xdr:pic>
    <xdr:clientData/>
  </xdr:oneCellAnchor>
  <xdr:oneCellAnchor>
    <xdr:from>
      <xdr:col>0</xdr:col>
      <xdr:colOff>66676</xdr:colOff>
      <xdr:row>2969</xdr:row>
      <xdr:rowOff>28574</xdr:rowOff>
    </xdr:from>
    <xdr:ext cx="1033158" cy="577093"/>
    <xdr:pic>
      <xdr:nvPicPr>
        <xdr:cNvPr id="120" name="Imagen 119">
          <a:extLst>
            <a:ext uri="{FF2B5EF4-FFF2-40B4-BE49-F238E27FC236}">
              <a16:creationId xmlns:a16="http://schemas.microsoft.com/office/drawing/2014/main" id="{00000000-0008-0000-0300-000078000000}"/>
            </a:ext>
          </a:extLst>
        </xdr:cNvPr>
        <xdr:cNvPicPr>
          <a:picLocks noChangeAspect="1"/>
        </xdr:cNvPicPr>
      </xdr:nvPicPr>
      <xdr:blipFill>
        <a:blip xmlns:r="http://schemas.openxmlformats.org/officeDocument/2006/relationships" r:embed="rId1"/>
        <a:stretch>
          <a:fillRect/>
        </a:stretch>
      </xdr:blipFill>
      <xdr:spPr>
        <a:xfrm>
          <a:off x="66676" y="653205449"/>
          <a:ext cx="1033158" cy="577093"/>
        </a:xfrm>
        <a:prstGeom prst="rect">
          <a:avLst/>
        </a:prstGeom>
      </xdr:spPr>
    </xdr:pic>
    <xdr:clientData/>
  </xdr:oneCellAnchor>
  <xdr:oneCellAnchor>
    <xdr:from>
      <xdr:col>0</xdr:col>
      <xdr:colOff>66676</xdr:colOff>
      <xdr:row>3020</xdr:row>
      <xdr:rowOff>28574</xdr:rowOff>
    </xdr:from>
    <xdr:ext cx="1033158" cy="577093"/>
    <xdr:pic>
      <xdr:nvPicPr>
        <xdr:cNvPr id="121" name="Imagen 120">
          <a:extLst>
            <a:ext uri="{FF2B5EF4-FFF2-40B4-BE49-F238E27FC236}">
              <a16:creationId xmlns:a16="http://schemas.microsoft.com/office/drawing/2014/main" id="{00000000-0008-0000-0300-000079000000}"/>
            </a:ext>
          </a:extLst>
        </xdr:cNvPr>
        <xdr:cNvPicPr>
          <a:picLocks noChangeAspect="1"/>
        </xdr:cNvPicPr>
      </xdr:nvPicPr>
      <xdr:blipFill>
        <a:blip xmlns:r="http://schemas.openxmlformats.org/officeDocument/2006/relationships" r:embed="rId1"/>
        <a:stretch>
          <a:fillRect/>
        </a:stretch>
      </xdr:blipFill>
      <xdr:spPr>
        <a:xfrm>
          <a:off x="66676" y="664625924"/>
          <a:ext cx="1033158" cy="577093"/>
        </a:xfrm>
        <a:prstGeom prst="rect">
          <a:avLst/>
        </a:prstGeom>
      </xdr:spPr>
    </xdr:pic>
    <xdr:clientData/>
  </xdr:oneCellAnchor>
  <xdr:oneCellAnchor>
    <xdr:from>
      <xdr:col>0</xdr:col>
      <xdr:colOff>66676</xdr:colOff>
      <xdr:row>3071</xdr:row>
      <xdr:rowOff>28574</xdr:rowOff>
    </xdr:from>
    <xdr:ext cx="1033158" cy="577093"/>
    <xdr:pic>
      <xdr:nvPicPr>
        <xdr:cNvPr id="122" name="Imagen 121">
          <a:extLst>
            <a:ext uri="{FF2B5EF4-FFF2-40B4-BE49-F238E27FC236}">
              <a16:creationId xmlns:a16="http://schemas.microsoft.com/office/drawing/2014/main" id="{00000000-0008-0000-0300-00007A000000}"/>
            </a:ext>
          </a:extLst>
        </xdr:cNvPr>
        <xdr:cNvPicPr>
          <a:picLocks noChangeAspect="1"/>
        </xdr:cNvPicPr>
      </xdr:nvPicPr>
      <xdr:blipFill>
        <a:blip xmlns:r="http://schemas.openxmlformats.org/officeDocument/2006/relationships" r:embed="rId1"/>
        <a:stretch>
          <a:fillRect/>
        </a:stretch>
      </xdr:blipFill>
      <xdr:spPr>
        <a:xfrm>
          <a:off x="66676" y="676046399"/>
          <a:ext cx="1033158" cy="577093"/>
        </a:xfrm>
        <a:prstGeom prst="rect">
          <a:avLst/>
        </a:prstGeom>
      </xdr:spPr>
    </xdr:pic>
    <xdr:clientData/>
  </xdr:oneCellAnchor>
  <xdr:oneCellAnchor>
    <xdr:from>
      <xdr:col>0</xdr:col>
      <xdr:colOff>66676</xdr:colOff>
      <xdr:row>3122</xdr:row>
      <xdr:rowOff>28574</xdr:rowOff>
    </xdr:from>
    <xdr:ext cx="1033158" cy="577093"/>
    <xdr:pic>
      <xdr:nvPicPr>
        <xdr:cNvPr id="123" name="Imagen 122">
          <a:extLst>
            <a:ext uri="{FF2B5EF4-FFF2-40B4-BE49-F238E27FC236}">
              <a16:creationId xmlns:a16="http://schemas.microsoft.com/office/drawing/2014/main" id="{00000000-0008-0000-0300-00007B000000}"/>
            </a:ext>
          </a:extLst>
        </xdr:cNvPr>
        <xdr:cNvPicPr>
          <a:picLocks noChangeAspect="1"/>
        </xdr:cNvPicPr>
      </xdr:nvPicPr>
      <xdr:blipFill>
        <a:blip xmlns:r="http://schemas.openxmlformats.org/officeDocument/2006/relationships" r:embed="rId1"/>
        <a:stretch>
          <a:fillRect/>
        </a:stretch>
      </xdr:blipFill>
      <xdr:spPr>
        <a:xfrm>
          <a:off x="66676" y="687466874"/>
          <a:ext cx="1033158" cy="577093"/>
        </a:xfrm>
        <a:prstGeom prst="rect">
          <a:avLst/>
        </a:prstGeom>
      </xdr:spPr>
    </xdr:pic>
    <xdr:clientData/>
  </xdr:oneCellAnchor>
  <xdr:oneCellAnchor>
    <xdr:from>
      <xdr:col>0</xdr:col>
      <xdr:colOff>66676</xdr:colOff>
      <xdr:row>3173</xdr:row>
      <xdr:rowOff>28574</xdr:rowOff>
    </xdr:from>
    <xdr:ext cx="1033158" cy="577093"/>
    <xdr:pic>
      <xdr:nvPicPr>
        <xdr:cNvPr id="137" name="Imagen 136">
          <a:extLst>
            <a:ext uri="{FF2B5EF4-FFF2-40B4-BE49-F238E27FC236}">
              <a16:creationId xmlns:a16="http://schemas.microsoft.com/office/drawing/2014/main" id="{00000000-0008-0000-0300-000089000000}"/>
            </a:ext>
          </a:extLst>
        </xdr:cNvPr>
        <xdr:cNvPicPr>
          <a:picLocks noChangeAspect="1"/>
        </xdr:cNvPicPr>
      </xdr:nvPicPr>
      <xdr:blipFill>
        <a:blip xmlns:r="http://schemas.openxmlformats.org/officeDocument/2006/relationships" r:embed="rId1"/>
        <a:stretch>
          <a:fillRect/>
        </a:stretch>
      </xdr:blipFill>
      <xdr:spPr>
        <a:xfrm>
          <a:off x="66676" y="698887349"/>
          <a:ext cx="1033158" cy="577093"/>
        </a:xfrm>
        <a:prstGeom prst="rect">
          <a:avLst/>
        </a:prstGeom>
      </xdr:spPr>
    </xdr:pic>
    <xdr:clientData/>
  </xdr:oneCellAnchor>
  <xdr:oneCellAnchor>
    <xdr:from>
      <xdr:col>0</xdr:col>
      <xdr:colOff>66676</xdr:colOff>
      <xdr:row>3224</xdr:row>
      <xdr:rowOff>28574</xdr:rowOff>
    </xdr:from>
    <xdr:ext cx="1033158" cy="577093"/>
    <xdr:pic>
      <xdr:nvPicPr>
        <xdr:cNvPr id="138" name="Imagen 137">
          <a:extLst>
            <a:ext uri="{FF2B5EF4-FFF2-40B4-BE49-F238E27FC236}">
              <a16:creationId xmlns:a16="http://schemas.microsoft.com/office/drawing/2014/main" id="{00000000-0008-0000-0300-00008A000000}"/>
            </a:ext>
          </a:extLst>
        </xdr:cNvPr>
        <xdr:cNvPicPr>
          <a:picLocks noChangeAspect="1"/>
        </xdr:cNvPicPr>
      </xdr:nvPicPr>
      <xdr:blipFill>
        <a:blip xmlns:r="http://schemas.openxmlformats.org/officeDocument/2006/relationships" r:embed="rId1"/>
        <a:stretch>
          <a:fillRect/>
        </a:stretch>
      </xdr:blipFill>
      <xdr:spPr>
        <a:xfrm>
          <a:off x="66676" y="710307824"/>
          <a:ext cx="1033158" cy="577093"/>
        </a:xfrm>
        <a:prstGeom prst="rect">
          <a:avLst/>
        </a:prstGeom>
      </xdr:spPr>
    </xdr:pic>
    <xdr:clientData/>
  </xdr:oneCellAnchor>
  <xdr:oneCellAnchor>
    <xdr:from>
      <xdr:col>0</xdr:col>
      <xdr:colOff>66676</xdr:colOff>
      <xdr:row>3275</xdr:row>
      <xdr:rowOff>28574</xdr:rowOff>
    </xdr:from>
    <xdr:ext cx="1033158" cy="577093"/>
    <xdr:pic>
      <xdr:nvPicPr>
        <xdr:cNvPr id="139" name="Imagen 138">
          <a:extLst>
            <a:ext uri="{FF2B5EF4-FFF2-40B4-BE49-F238E27FC236}">
              <a16:creationId xmlns:a16="http://schemas.microsoft.com/office/drawing/2014/main" id="{00000000-0008-0000-0300-00008B000000}"/>
            </a:ext>
          </a:extLst>
        </xdr:cNvPr>
        <xdr:cNvPicPr>
          <a:picLocks noChangeAspect="1"/>
        </xdr:cNvPicPr>
      </xdr:nvPicPr>
      <xdr:blipFill>
        <a:blip xmlns:r="http://schemas.openxmlformats.org/officeDocument/2006/relationships" r:embed="rId1"/>
        <a:stretch>
          <a:fillRect/>
        </a:stretch>
      </xdr:blipFill>
      <xdr:spPr>
        <a:xfrm>
          <a:off x="66676" y="721728299"/>
          <a:ext cx="1033158" cy="577093"/>
        </a:xfrm>
        <a:prstGeom prst="rect">
          <a:avLst/>
        </a:prstGeom>
      </xdr:spPr>
    </xdr:pic>
    <xdr:clientData/>
  </xdr:oneCellAnchor>
  <xdr:oneCellAnchor>
    <xdr:from>
      <xdr:col>0</xdr:col>
      <xdr:colOff>66676</xdr:colOff>
      <xdr:row>5270</xdr:row>
      <xdr:rowOff>28574</xdr:rowOff>
    </xdr:from>
    <xdr:ext cx="1033158" cy="577093"/>
    <xdr:pic>
      <xdr:nvPicPr>
        <xdr:cNvPr id="140" name="Imagen 139">
          <a:extLst>
            <a:ext uri="{FF2B5EF4-FFF2-40B4-BE49-F238E27FC236}">
              <a16:creationId xmlns:a16="http://schemas.microsoft.com/office/drawing/2014/main" id="{00000000-0008-0000-0300-00008C000000}"/>
            </a:ext>
          </a:extLst>
        </xdr:cNvPr>
        <xdr:cNvPicPr>
          <a:picLocks noChangeAspect="1"/>
        </xdr:cNvPicPr>
      </xdr:nvPicPr>
      <xdr:blipFill>
        <a:blip xmlns:r="http://schemas.openxmlformats.org/officeDocument/2006/relationships" r:embed="rId1"/>
        <a:stretch>
          <a:fillRect/>
        </a:stretch>
      </xdr:blipFill>
      <xdr:spPr>
        <a:xfrm>
          <a:off x="66676" y="745140749"/>
          <a:ext cx="1033158" cy="577093"/>
        </a:xfrm>
        <a:prstGeom prst="rect">
          <a:avLst/>
        </a:prstGeom>
      </xdr:spPr>
    </xdr:pic>
    <xdr:clientData/>
  </xdr:oneCellAnchor>
  <xdr:oneCellAnchor>
    <xdr:from>
      <xdr:col>0</xdr:col>
      <xdr:colOff>66676</xdr:colOff>
      <xdr:row>5321</xdr:row>
      <xdr:rowOff>28574</xdr:rowOff>
    </xdr:from>
    <xdr:ext cx="1033158" cy="577093"/>
    <xdr:pic>
      <xdr:nvPicPr>
        <xdr:cNvPr id="141" name="Imagen 140">
          <a:extLst>
            <a:ext uri="{FF2B5EF4-FFF2-40B4-BE49-F238E27FC236}">
              <a16:creationId xmlns:a16="http://schemas.microsoft.com/office/drawing/2014/main" id="{00000000-0008-0000-0300-00008D000000}"/>
            </a:ext>
          </a:extLst>
        </xdr:cNvPr>
        <xdr:cNvPicPr>
          <a:picLocks noChangeAspect="1"/>
        </xdr:cNvPicPr>
      </xdr:nvPicPr>
      <xdr:blipFill>
        <a:blip xmlns:r="http://schemas.openxmlformats.org/officeDocument/2006/relationships" r:embed="rId1"/>
        <a:stretch>
          <a:fillRect/>
        </a:stretch>
      </xdr:blipFill>
      <xdr:spPr>
        <a:xfrm>
          <a:off x="66676" y="962320274"/>
          <a:ext cx="1033158" cy="577093"/>
        </a:xfrm>
        <a:prstGeom prst="rect">
          <a:avLst/>
        </a:prstGeom>
      </xdr:spPr>
    </xdr:pic>
    <xdr:clientData/>
  </xdr:oneCellAnchor>
  <xdr:oneCellAnchor>
    <xdr:from>
      <xdr:col>0</xdr:col>
      <xdr:colOff>66676</xdr:colOff>
      <xdr:row>6616</xdr:row>
      <xdr:rowOff>28574</xdr:rowOff>
    </xdr:from>
    <xdr:ext cx="1033158" cy="577093"/>
    <xdr:pic>
      <xdr:nvPicPr>
        <xdr:cNvPr id="142" name="Imagen 141">
          <a:extLst>
            <a:ext uri="{FF2B5EF4-FFF2-40B4-BE49-F238E27FC236}">
              <a16:creationId xmlns:a16="http://schemas.microsoft.com/office/drawing/2014/main" id="{00000000-0008-0000-0300-00008E000000}"/>
            </a:ext>
          </a:extLst>
        </xdr:cNvPr>
        <xdr:cNvPicPr>
          <a:picLocks noChangeAspect="1"/>
        </xdr:cNvPicPr>
      </xdr:nvPicPr>
      <xdr:blipFill>
        <a:blip xmlns:r="http://schemas.openxmlformats.org/officeDocument/2006/relationships" r:embed="rId1"/>
        <a:stretch>
          <a:fillRect/>
        </a:stretch>
      </xdr:blipFill>
      <xdr:spPr>
        <a:xfrm>
          <a:off x="66676" y="1067009549"/>
          <a:ext cx="1033158" cy="577093"/>
        </a:xfrm>
        <a:prstGeom prst="rect">
          <a:avLst/>
        </a:prstGeom>
      </xdr:spPr>
    </xdr:pic>
    <xdr:clientData/>
  </xdr:oneCellAnchor>
  <xdr:oneCellAnchor>
    <xdr:from>
      <xdr:col>0</xdr:col>
      <xdr:colOff>66676</xdr:colOff>
      <xdr:row>6668</xdr:row>
      <xdr:rowOff>28574</xdr:rowOff>
    </xdr:from>
    <xdr:ext cx="1033158" cy="577093"/>
    <xdr:pic>
      <xdr:nvPicPr>
        <xdr:cNvPr id="143" name="Imagen 142">
          <a:extLst>
            <a:ext uri="{FF2B5EF4-FFF2-40B4-BE49-F238E27FC236}">
              <a16:creationId xmlns:a16="http://schemas.microsoft.com/office/drawing/2014/main" id="{00000000-0008-0000-0300-00008F000000}"/>
            </a:ext>
          </a:extLst>
        </xdr:cNvPr>
        <xdr:cNvPicPr>
          <a:picLocks noChangeAspect="1"/>
        </xdr:cNvPicPr>
      </xdr:nvPicPr>
      <xdr:blipFill>
        <a:blip xmlns:r="http://schemas.openxmlformats.org/officeDocument/2006/relationships" r:embed="rId1"/>
        <a:stretch>
          <a:fillRect/>
        </a:stretch>
      </xdr:blipFill>
      <xdr:spPr>
        <a:xfrm>
          <a:off x="66676" y="1043787599"/>
          <a:ext cx="1033158" cy="577093"/>
        </a:xfrm>
        <a:prstGeom prst="rect">
          <a:avLst/>
        </a:prstGeom>
      </xdr:spPr>
    </xdr:pic>
    <xdr:clientData/>
  </xdr:oneCellAnchor>
  <xdr:oneCellAnchor>
    <xdr:from>
      <xdr:col>0</xdr:col>
      <xdr:colOff>66676</xdr:colOff>
      <xdr:row>3326</xdr:row>
      <xdr:rowOff>28574</xdr:rowOff>
    </xdr:from>
    <xdr:ext cx="1033158" cy="577093"/>
    <xdr:pic>
      <xdr:nvPicPr>
        <xdr:cNvPr id="144" name="Imagen 143">
          <a:extLst>
            <a:ext uri="{FF2B5EF4-FFF2-40B4-BE49-F238E27FC236}">
              <a16:creationId xmlns:a16="http://schemas.microsoft.com/office/drawing/2014/main" id="{00000000-0008-0000-0300-000090000000}"/>
            </a:ext>
          </a:extLst>
        </xdr:cNvPr>
        <xdr:cNvPicPr>
          <a:picLocks noChangeAspect="1"/>
        </xdr:cNvPicPr>
      </xdr:nvPicPr>
      <xdr:blipFill>
        <a:blip xmlns:r="http://schemas.openxmlformats.org/officeDocument/2006/relationships" r:embed="rId1"/>
        <a:stretch>
          <a:fillRect/>
        </a:stretch>
      </xdr:blipFill>
      <xdr:spPr>
        <a:xfrm>
          <a:off x="66676" y="733148774"/>
          <a:ext cx="1033158" cy="577093"/>
        </a:xfrm>
        <a:prstGeom prst="rect">
          <a:avLst/>
        </a:prstGeom>
      </xdr:spPr>
    </xdr:pic>
    <xdr:clientData/>
  </xdr:oneCellAnchor>
  <xdr:oneCellAnchor>
    <xdr:from>
      <xdr:col>0</xdr:col>
      <xdr:colOff>66676</xdr:colOff>
      <xdr:row>3377</xdr:row>
      <xdr:rowOff>28574</xdr:rowOff>
    </xdr:from>
    <xdr:ext cx="1033158" cy="577093"/>
    <xdr:pic>
      <xdr:nvPicPr>
        <xdr:cNvPr id="145" name="Imagen 144">
          <a:extLst>
            <a:ext uri="{FF2B5EF4-FFF2-40B4-BE49-F238E27FC236}">
              <a16:creationId xmlns:a16="http://schemas.microsoft.com/office/drawing/2014/main" id="{00000000-0008-0000-0300-000091000000}"/>
            </a:ext>
          </a:extLst>
        </xdr:cNvPr>
        <xdr:cNvPicPr>
          <a:picLocks noChangeAspect="1"/>
        </xdr:cNvPicPr>
      </xdr:nvPicPr>
      <xdr:blipFill>
        <a:blip xmlns:r="http://schemas.openxmlformats.org/officeDocument/2006/relationships" r:embed="rId1"/>
        <a:stretch>
          <a:fillRect/>
        </a:stretch>
      </xdr:blipFill>
      <xdr:spPr>
        <a:xfrm>
          <a:off x="66676" y="206606774"/>
          <a:ext cx="1033158" cy="577093"/>
        </a:xfrm>
        <a:prstGeom prst="rect">
          <a:avLst/>
        </a:prstGeom>
      </xdr:spPr>
    </xdr:pic>
    <xdr:clientData/>
  </xdr:oneCellAnchor>
  <xdr:oneCellAnchor>
    <xdr:from>
      <xdr:col>0</xdr:col>
      <xdr:colOff>66676</xdr:colOff>
      <xdr:row>3428</xdr:row>
      <xdr:rowOff>28574</xdr:rowOff>
    </xdr:from>
    <xdr:ext cx="1033158" cy="577093"/>
    <xdr:pic>
      <xdr:nvPicPr>
        <xdr:cNvPr id="146" name="Imagen 145">
          <a:extLst>
            <a:ext uri="{FF2B5EF4-FFF2-40B4-BE49-F238E27FC236}">
              <a16:creationId xmlns:a16="http://schemas.microsoft.com/office/drawing/2014/main" id="{00000000-0008-0000-0300-000092000000}"/>
            </a:ext>
          </a:extLst>
        </xdr:cNvPr>
        <xdr:cNvPicPr>
          <a:picLocks noChangeAspect="1"/>
        </xdr:cNvPicPr>
      </xdr:nvPicPr>
      <xdr:blipFill>
        <a:blip xmlns:r="http://schemas.openxmlformats.org/officeDocument/2006/relationships" r:embed="rId1"/>
        <a:stretch>
          <a:fillRect/>
        </a:stretch>
      </xdr:blipFill>
      <xdr:spPr>
        <a:xfrm>
          <a:off x="66676" y="755989724"/>
          <a:ext cx="1033158" cy="577093"/>
        </a:xfrm>
        <a:prstGeom prst="rect">
          <a:avLst/>
        </a:prstGeom>
      </xdr:spPr>
    </xdr:pic>
    <xdr:clientData/>
  </xdr:oneCellAnchor>
  <xdr:oneCellAnchor>
    <xdr:from>
      <xdr:col>0</xdr:col>
      <xdr:colOff>66676</xdr:colOff>
      <xdr:row>8340</xdr:row>
      <xdr:rowOff>28574</xdr:rowOff>
    </xdr:from>
    <xdr:ext cx="1033158" cy="577093"/>
    <xdr:pic>
      <xdr:nvPicPr>
        <xdr:cNvPr id="147" name="Imagen 146">
          <a:extLst>
            <a:ext uri="{FF2B5EF4-FFF2-40B4-BE49-F238E27FC236}">
              <a16:creationId xmlns:a16="http://schemas.microsoft.com/office/drawing/2014/main" id="{00000000-0008-0000-0300-000093000000}"/>
            </a:ext>
          </a:extLst>
        </xdr:cNvPr>
        <xdr:cNvPicPr>
          <a:picLocks noChangeAspect="1"/>
        </xdr:cNvPicPr>
      </xdr:nvPicPr>
      <xdr:blipFill>
        <a:blip xmlns:r="http://schemas.openxmlformats.org/officeDocument/2006/relationships" r:embed="rId1"/>
        <a:stretch>
          <a:fillRect/>
        </a:stretch>
      </xdr:blipFill>
      <xdr:spPr>
        <a:xfrm>
          <a:off x="66676" y="1309220774"/>
          <a:ext cx="1033158" cy="577093"/>
        </a:xfrm>
        <a:prstGeom prst="rect">
          <a:avLst/>
        </a:prstGeom>
      </xdr:spPr>
    </xdr:pic>
    <xdr:clientData/>
  </xdr:oneCellAnchor>
  <xdr:oneCellAnchor>
    <xdr:from>
      <xdr:col>0</xdr:col>
      <xdr:colOff>66676</xdr:colOff>
      <xdr:row>3479</xdr:row>
      <xdr:rowOff>28574</xdr:rowOff>
    </xdr:from>
    <xdr:ext cx="1033158" cy="577093"/>
    <xdr:pic>
      <xdr:nvPicPr>
        <xdr:cNvPr id="148" name="Imagen 147">
          <a:extLst>
            <a:ext uri="{FF2B5EF4-FFF2-40B4-BE49-F238E27FC236}">
              <a16:creationId xmlns:a16="http://schemas.microsoft.com/office/drawing/2014/main" id="{00000000-0008-0000-0300-000094000000}"/>
            </a:ext>
          </a:extLst>
        </xdr:cNvPr>
        <xdr:cNvPicPr>
          <a:picLocks noChangeAspect="1"/>
        </xdr:cNvPicPr>
      </xdr:nvPicPr>
      <xdr:blipFill>
        <a:blip xmlns:r="http://schemas.openxmlformats.org/officeDocument/2006/relationships" r:embed="rId1"/>
        <a:stretch>
          <a:fillRect/>
        </a:stretch>
      </xdr:blipFill>
      <xdr:spPr>
        <a:xfrm>
          <a:off x="66676" y="744569249"/>
          <a:ext cx="1033158" cy="577093"/>
        </a:xfrm>
        <a:prstGeom prst="rect">
          <a:avLst/>
        </a:prstGeom>
      </xdr:spPr>
    </xdr:pic>
    <xdr:clientData/>
  </xdr:oneCellAnchor>
  <xdr:oneCellAnchor>
    <xdr:from>
      <xdr:col>0</xdr:col>
      <xdr:colOff>66676</xdr:colOff>
      <xdr:row>3530</xdr:row>
      <xdr:rowOff>28574</xdr:rowOff>
    </xdr:from>
    <xdr:ext cx="1033158" cy="577093"/>
    <xdr:pic>
      <xdr:nvPicPr>
        <xdr:cNvPr id="149" name="Imagen 148">
          <a:extLst>
            <a:ext uri="{FF2B5EF4-FFF2-40B4-BE49-F238E27FC236}">
              <a16:creationId xmlns:a16="http://schemas.microsoft.com/office/drawing/2014/main" id="{00000000-0008-0000-0300-000095000000}"/>
            </a:ext>
          </a:extLst>
        </xdr:cNvPr>
        <xdr:cNvPicPr>
          <a:picLocks noChangeAspect="1"/>
        </xdr:cNvPicPr>
      </xdr:nvPicPr>
      <xdr:blipFill>
        <a:blip xmlns:r="http://schemas.openxmlformats.org/officeDocument/2006/relationships" r:embed="rId1"/>
        <a:stretch>
          <a:fillRect/>
        </a:stretch>
      </xdr:blipFill>
      <xdr:spPr>
        <a:xfrm>
          <a:off x="66676" y="778830674"/>
          <a:ext cx="1033158" cy="577093"/>
        </a:xfrm>
        <a:prstGeom prst="rect">
          <a:avLst/>
        </a:prstGeom>
      </xdr:spPr>
    </xdr:pic>
    <xdr:clientData/>
  </xdr:oneCellAnchor>
  <xdr:oneCellAnchor>
    <xdr:from>
      <xdr:col>0</xdr:col>
      <xdr:colOff>66676</xdr:colOff>
      <xdr:row>5372</xdr:row>
      <xdr:rowOff>28574</xdr:rowOff>
    </xdr:from>
    <xdr:ext cx="1033158" cy="577093"/>
    <xdr:pic>
      <xdr:nvPicPr>
        <xdr:cNvPr id="150" name="Imagen 149">
          <a:extLst>
            <a:ext uri="{FF2B5EF4-FFF2-40B4-BE49-F238E27FC236}">
              <a16:creationId xmlns:a16="http://schemas.microsoft.com/office/drawing/2014/main" id="{00000000-0008-0000-0300-000096000000}"/>
            </a:ext>
          </a:extLst>
        </xdr:cNvPr>
        <xdr:cNvPicPr>
          <a:picLocks noChangeAspect="1"/>
        </xdr:cNvPicPr>
      </xdr:nvPicPr>
      <xdr:blipFill>
        <a:blip xmlns:r="http://schemas.openxmlformats.org/officeDocument/2006/relationships" r:embed="rId1"/>
        <a:stretch>
          <a:fillRect/>
        </a:stretch>
      </xdr:blipFill>
      <xdr:spPr>
        <a:xfrm>
          <a:off x="66676" y="1042644599"/>
          <a:ext cx="1033158" cy="577093"/>
        </a:xfrm>
        <a:prstGeom prst="rect">
          <a:avLst/>
        </a:prstGeom>
      </xdr:spPr>
    </xdr:pic>
    <xdr:clientData/>
  </xdr:oneCellAnchor>
  <xdr:oneCellAnchor>
    <xdr:from>
      <xdr:col>0</xdr:col>
      <xdr:colOff>66676</xdr:colOff>
      <xdr:row>5423</xdr:row>
      <xdr:rowOff>28574</xdr:rowOff>
    </xdr:from>
    <xdr:ext cx="1033158" cy="577093"/>
    <xdr:pic>
      <xdr:nvPicPr>
        <xdr:cNvPr id="151" name="Imagen 150">
          <a:extLst>
            <a:ext uri="{FF2B5EF4-FFF2-40B4-BE49-F238E27FC236}">
              <a16:creationId xmlns:a16="http://schemas.microsoft.com/office/drawing/2014/main" id="{00000000-0008-0000-0300-000097000000}"/>
            </a:ext>
          </a:extLst>
        </xdr:cNvPr>
        <xdr:cNvPicPr>
          <a:picLocks noChangeAspect="1"/>
        </xdr:cNvPicPr>
      </xdr:nvPicPr>
      <xdr:blipFill>
        <a:blip xmlns:r="http://schemas.openxmlformats.org/officeDocument/2006/relationships" r:embed="rId1"/>
        <a:stretch>
          <a:fillRect/>
        </a:stretch>
      </xdr:blipFill>
      <xdr:spPr>
        <a:xfrm>
          <a:off x="66676" y="1054065074"/>
          <a:ext cx="1033158" cy="577093"/>
        </a:xfrm>
        <a:prstGeom prst="rect">
          <a:avLst/>
        </a:prstGeom>
      </xdr:spPr>
    </xdr:pic>
    <xdr:clientData/>
  </xdr:oneCellAnchor>
  <xdr:oneCellAnchor>
    <xdr:from>
      <xdr:col>0</xdr:col>
      <xdr:colOff>66676</xdr:colOff>
      <xdr:row>5475</xdr:row>
      <xdr:rowOff>28574</xdr:rowOff>
    </xdr:from>
    <xdr:ext cx="1033158" cy="577093"/>
    <xdr:pic>
      <xdr:nvPicPr>
        <xdr:cNvPr id="152" name="Imagen 151">
          <a:extLst>
            <a:ext uri="{FF2B5EF4-FFF2-40B4-BE49-F238E27FC236}">
              <a16:creationId xmlns:a16="http://schemas.microsoft.com/office/drawing/2014/main" id="{00000000-0008-0000-0300-000098000000}"/>
            </a:ext>
          </a:extLst>
        </xdr:cNvPr>
        <xdr:cNvPicPr>
          <a:picLocks noChangeAspect="1"/>
        </xdr:cNvPicPr>
      </xdr:nvPicPr>
      <xdr:blipFill>
        <a:blip xmlns:r="http://schemas.openxmlformats.org/officeDocument/2006/relationships" r:embed="rId1"/>
        <a:stretch>
          <a:fillRect/>
        </a:stretch>
      </xdr:blipFill>
      <xdr:spPr>
        <a:xfrm>
          <a:off x="66676" y="1065485549"/>
          <a:ext cx="1033158" cy="577093"/>
        </a:xfrm>
        <a:prstGeom prst="rect">
          <a:avLst/>
        </a:prstGeom>
      </xdr:spPr>
    </xdr:pic>
    <xdr:clientData/>
  </xdr:oneCellAnchor>
  <xdr:oneCellAnchor>
    <xdr:from>
      <xdr:col>0</xdr:col>
      <xdr:colOff>66676</xdr:colOff>
      <xdr:row>7400</xdr:row>
      <xdr:rowOff>28574</xdr:rowOff>
    </xdr:from>
    <xdr:ext cx="1033158" cy="577093"/>
    <xdr:pic>
      <xdr:nvPicPr>
        <xdr:cNvPr id="153" name="Imagen 152">
          <a:extLst>
            <a:ext uri="{FF2B5EF4-FFF2-40B4-BE49-F238E27FC236}">
              <a16:creationId xmlns:a16="http://schemas.microsoft.com/office/drawing/2014/main" id="{00000000-0008-0000-0300-000099000000}"/>
            </a:ext>
          </a:extLst>
        </xdr:cNvPr>
        <xdr:cNvPicPr>
          <a:picLocks noChangeAspect="1"/>
        </xdr:cNvPicPr>
      </xdr:nvPicPr>
      <xdr:blipFill>
        <a:blip xmlns:r="http://schemas.openxmlformats.org/officeDocument/2006/relationships" r:embed="rId1"/>
        <a:stretch>
          <a:fillRect/>
        </a:stretch>
      </xdr:blipFill>
      <xdr:spPr>
        <a:xfrm>
          <a:off x="66676" y="1309773224"/>
          <a:ext cx="1033158" cy="577093"/>
        </a:xfrm>
        <a:prstGeom prst="rect">
          <a:avLst/>
        </a:prstGeom>
      </xdr:spPr>
    </xdr:pic>
    <xdr:clientData/>
  </xdr:oneCellAnchor>
  <xdr:oneCellAnchor>
    <xdr:from>
      <xdr:col>0</xdr:col>
      <xdr:colOff>66676</xdr:colOff>
      <xdr:row>7452</xdr:row>
      <xdr:rowOff>28574</xdr:rowOff>
    </xdr:from>
    <xdr:ext cx="1033158" cy="577093"/>
    <xdr:pic>
      <xdr:nvPicPr>
        <xdr:cNvPr id="154" name="Imagen 153">
          <a:extLst>
            <a:ext uri="{FF2B5EF4-FFF2-40B4-BE49-F238E27FC236}">
              <a16:creationId xmlns:a16="http://schemas.microsoft.com/office/drawing/2014/main" id="{00000000-0008-0000-0300-00009A000000}"/>
            </a:ext>
          </a:extLst>
        </xdr:cNvPr>
        <xdr:cNvPicPr>
          <a:picLocks noChangeAspect="1"/>
        </xdr:cNvPicPr>
      </xdr:nvPicPr>
      <xdr:blipFill>
        <a:blip xmlns:r="http://schemas.openxmlformats.org/officeDocument/2006/relationships" r:embed="rId1"/>
        <a:stretch>
          <a:fillRect/>
        </a:stretch>
      </xdr:blipFill>
      <xdr:spPr>
        <a:xfrm>
          <a:off x="66676" y="1309773224"/>
          <a:ext cx="1033158" cy="577093"/>
        </a:xfrm>
        <a:prstGeom prst="rect">
          <a:avLst/>
        </a:prstGeom>
      </xdr:spPr>
    </xdr:pic>
    <xdr:clientData/>
  </xdr:oneCellAnchor>
  <xdr:oneCellAnchor>
    <xdr:from>
      <xdr:col>0</xdr:col>
      <xdr:colOff>66676</xdr:colOff>
      <xdr:row>6720</xdr:row>
      <xdr:rowOff>28574</xdr:rowOff>
    </xdr:from>
    <xdr:ext cx="1033158" cy="577093"/>
    <xdr:pic>
      <xdr:nvPicPr>
        <xdr:cNvPr id="155" name="Imagen 154">
          <a:extLst>
            <a:ext uri="{FF2B5EF4-FFF2-40B4-BE49-F238E27FC236}">
              <a16:creationId xmlns:a16="http://schemas.microsoft.com/office/drawing/2014/main" id="{00000000-0008-0000-0300-00009B000000}"/>
            </a:ext>
          </a:extLst>
        </xdr:cNvPr>
        <xdr:cNvPicPr>
          <a:picLocks noChangeAspect="1"/>
        </xdr:cNvPicPr>
      </xdr:nvPicPr>
      <xdr:blipFill>
        <a:blip xmlns:r="http://schemas.openxmlformats.org/officeDocument/2006/relationships" r:embed="rId1"/>
        <a:stretch>
          <a:fillRect/>
        </a:stretch>
      </xdr:blipFill>
      <xdr:spPr>
        <a:xfrm>
          <a:off x="66676" y="1309773224"/>
          <a:ext cx="1033158" cy="577093"/>
        </a:xfrm>
        <a:prstGeom prst="rect">
          <a:avLst/>
        </a:prstGeom>
      </xdr:spPr>
    </xdr:pic>
    <xdr:clientData/>
  </xdr:oneCellAnchor>
  <xdr:oneCellAnchor>
    <xdr:from>
      <xdr:col>0</xdr:col>
      <xdr:colOff>66676</xdr:colOff>
      <xdr:row>6772</xdr:row>
      <xdr:rowOff>28574</xdr:rowOff>
    </xdr:from>
    <xdr:ext cx="1033158" cy="577093"/>
    <xdr:pic>
      <xdr:nvPicPr>
        <xdr:cNvPr id="156" name="Imagen 155">
          <a:extLst>
            <a:ext uri="{FF2B5EF4-FFF2-40B4-BE49-F238E27FC236}">
              <a16:creationId xmlns:a16="http://schemas.microsoft.com/office/drawing/2014/main" id="{00000000-0008-0000-0300-00009C000000}"/>
            </a:ext>
          </a:extLst>
        </xdr:cNvPr>
        <xdr:cNvPicPr>
          <a:picLocks noChangeAspect="1"/>
        </xdr:cNvPicPr>
      </xdr:nvPicPr>
      <xdr:blipFill>
        <a:blip xmlns:r="http://schemas.openxmlformats.org/officeDocument/2006/relationships" r:embed="rId1"/>
        <a:stretch>
          <a:fillRect/>
        </a:stretch>
      </xdr:blipFill>
      <xdr:spPr>
        <a:xfrm>
          <a:off x="66676" y="1321384199"/>
          <a:ext cx="1033158" cy="577093"/>
        </a:xfrm>
        <a:prstGeom prst="rect">
          <a:avLst/>
        </a:prstGeom>
      </xdr:spPr>
    </xdr:pic>
    <xdr:clientData/>
  </xdr:oneCellAnchor>
  <xdr:oneCellAnchor>
    <xdr:from>
      <xdr:col>0</xdr:col>
      <xdr:colOff>66676</xdr:colOff>
      <xdr:row>6824</xdr:row>
      <xdr:rowOff>28574</xdr:rowOff>
    </xdr:from>
    <xdr:ext cx="1033158" cy="577093"/>
    <xdr:pic>
      <xdr:nvPicPr>
        <xdr:cNvPr id="157" name="Imagen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
        <a:stretch>
          <a:fillRect/>
        </a:stretch>
      </xdr:blipFill>
      <xdr:spPr>
        <a:xfrm>
          <a:off x="66676" y="1332995174"/>
          <a:ext cx="1033158" cy="577093"/>
        </a:xfrm>
        <a:prstGeom prst="rect">
          <a:avLst/>
        </a:prstGeom>
      </xdr:spPr>
    </xdr:pic>
    <xdr:clientData/>
  </xdr:oneCellAnchor>
  <xdr:oneCellAnchor>
    <xdr:from>
      <xdr:col>0</xdr:col>
      <xdr:colOff>66676</xdr:colOff>
      <xdr:row>6876</xdr:row>
      <xdr:rowOff>28574</xdr:rowOff>
    </xdr:from>
    <xdr:ext cx="1033158" cy="577093"/>
    <xdr:pic>
      <xdr:nvPicPr>
        <xdr:cNvPr id="158" name="Imagen 157">
          <a:extLst>
            <a:ext uri="{FF2B5EF4-FFF2-40B4-BE49-F238E27FC236}">
              <a16:creationId xmlns:a16="http://schemas.microsoft.com/office/drawing/2014/main" id="{00000000-0008-0000-0300-00009E000000}"/>
            </a:ext>
          </a:extLst>
        </xdr:cNvPr>
        <xdr:cNvPicPr>
          <a:picLocks noChangeAspect="1"/>
        </xdr:cNvPicPr>
      </xdr:nvPicPr>
      <xdr:blipFill>
        <a:blip xmlns:r="http://schemas.openxmlformats.org/officeDocument/2006/relationships" r:embed="rId1"/>
        <a:stretch>
          <a:fillRect/>
        </a:stretch>
      </xdr:blipFill>
      <xdr:spPr>
        <a:xfrm>
          <a:off x="66676" y="1344606149"/>
          <a:ext cx="1033158" cy="577093"/>
        </a:xfrm>
        <a:prstGeom prst="rect">
          <a:avLst/>
        </a:prstGeom>
      </xdr:spPr>
    </xdr:pic>
    <xdr:clientData/>
  </xdr:oneCellAnchor>
  <xdr:oneCellAnchor>
    <xdr:from>
      <xdr:col>0</xdr:col>
      <xdr:colOff>66676</xdr:colOff>
      <xdr:row>6928</xdr:row>
      <xdr:rowOff>28574</xdr:rowOff>
    </xdr:from>
    <xdr:ext cx="1033158" cy="577093"/>
    <xdr:pic>
      <xdr:nvPicPr>
        <xdr:cNvPr id="159" name="Imagen 158">
          <a:extLst>
            <a:ext uri="{FF2B5EF4-FFF2-40B4-BE49-F238E27FC236}">
              <a16:creationId xmlns:a16="http://schemas.microsoft.com/office/drawing/2014/main" id="{00000000-0008-0000-0300-00009F000000}"/>
            </a:ext>
          </a:extLst>
        </xdr:cNvPr>
        <xdr:cNvPicPr>
          <a:picLocks noChangeAspect="1"/>
        </xdr:cNvPicPr>
      </xdr:nvPicPr>
      <xdr:blipFill>
        <a:blip xmlns:r="http://schemas.openxmlformats.org/officeDocument/2006/relationships" r:embed="rId1"/>
        <a:stretch>
          <a:fillRect/>
        </a:stretch>
      </xdr:blipFill>
      <xdr:spPr>
        <a:xfrm>
          <a:off x="66676" y="1356217124"/>
          <a:ext cx="1033158" cy="577093"/>
        </a:xfrm>
        <a:prstGeom prst="rect">
          <a:avLst/>
        </a:prstGeom>
      </xdr:spPr>
    </xdr:pic>
    <xdr:clientData/>
  </xdr:oneCellAnchor>
  <xdr:oneCellAnchor>
    <xdr:from>
      <xdr:col>0</xdr:col>
      <xdr:colOff>66676</xdr:colOff>
      <xdr:row>6980</xdr:row>
      <xdr:rowOff>28574</xdr:rowOff>
    </xdr:from>
    <xdr:ext cx="1033158" cy="577093"/>
    <xdr:pic>
      <xdr:nvPicPr>
        <xdr:cNvPr id="160" name="Imagen 159">
          <a:extLst>
            <a:ext uri="{FF2B5EF4-FFF2-40B4-BE49-F238E27FC236}">
              <a16:creationId xmlns:a16="http://schemas.microsoft.com/office/drawing/2014/main" id="{00000000-0008-0000-0300-0000A0000000}"/>
            </a:ext>
          </a:extLst>
        </xdr:cNvPr>
        <xdr:cNvPicPr>
          <a:picLocks noChangeAspect="1"/>
        </xdr:cNvPicPr>
      </xdr:nvPicPr>
      <xdr:blipFill>
        <a:blip xmlns:r="http://schemas.openxmlformats.org/officeDocument/2006/relationships" r:embed="rId1"/>
        <a:stretch>
          <a:fillRect/>
        </a:stretch>
      </xdr:blipFill>
      <xdr:spPr>
        <a:xfrm>
          <a:off x="66676" y="1367828099"/>
          <a:ext cx="1033158" cy="577093"/>
        </a:xfrm>
        <a:prstGeom prst="rect">
          <a:avLst/>
        </a:prstGeom>
      </xdr:spPr>
    </xdr:pic>
    <xdr:clientData/>
  </xdr:oneCellAnchor>
  <xdr:oneCellAnchor>
    <xdr:from>
      <xdr:col>0</xdr:col>
      <xdr:colOff>66676</xdr:colOff>
      <xdr:row>7032</xdr:row>
      <xdr:rowOff>28574</xdr:rowOff>
    </xdr:from>
    <xdr:ext cx="1033158" cy="577093"/>
    <xdr:pic>
      <xdr:nvPicPr>
        <xdr:cNvPr id="161" name="Imagen 160">
          <a:extLst>
            <a:ext uri="{FF2B5EF4-FFF2-40B4-BE49-F238E27FC236}">
              <a16:creationId xmlns:a16="http://schemas.microsoft.com/office/drawing/2014/main" id="{00000000-0008-0000-0300-0000A1000000}"/>
            </a:ext>
          </a:extLst>
        </xdr:cNvPr>
        <xdr:cNvPicPr>
          <a:picLocks noChangeAspect="1"/>
        </xdr:cNvPicPr>
      </xdr:nvPicPr>
      <xdr:blipFill>
        <a:blip xmlns:r="http://schemas.openxmlformats.org/officeDocument/2006/relationships" r:embed="rId1"/>
        <a:stretch>
          <a:fillRect/>
        </a:stretch>
      </xdr:blipFill>
      <xdr:spPr>
        <a:xfrm>
          <a:off x="66676" y="1379439074"/>
          <a:ext cx="1033158" cy="577093"/>
        </a:xfrm>
        <a:prstGeom prst="rect">
          <a:avLst/>
        </a:prstGeom>
      </xdr:spPr>
    </xdr:pic>
    <xdr:clientData/>
  </xdr:oneCellAnchor>
  <xdr:oneCellAnchor>
    <xdr:from>
      <xdr:col>0</xdr:col>
      <xdr:colOff>66676</xdr:colOff>
      <xdr:row>7084</xdr:row>
      <xdr:rowOff>28574</xdr:rowOff>
    </xdr:from>
    <xdr:ext cx="1033158" cy="577093"/>
    <xdr:pic>
      <xdr:nvPicPr>
        <xdr:cNvPr id="162" name="Imagen 161">
          <a:extLst>
            <a:ext uri="{FF2B5EF4-FFF2-40B4-BE49-F238E27FC236}">
              <a16:creationId xmlns:a16="http://schemas.microsoft.com/office/drawing/2014/main" id="{00000000-0008-0000-0300-0000A2000000}"/>
            </a:ext>
          </a:extLst>
        </xdr:cNvPr>
        <xdr:cNvPicPr>
          <a:picLocks noChangeAspect="1"/>
        </xdr:cNvPicPr>
      </xdr:nvPicPr>
      <xdr:blipFill>
        <a:blip xmlns:r="http://schemas.openxmlformats.org/officeDocument/2006/relationships" r:embed="rId1"/>
        <a:stretch>
          <a:fillRect/>
        </a:stretch>
      </xdr:blipFill>
      <xdr:spPr>
        <a:xfrm>
          <a:off x="66676" y="1391050049"/>
          <a:ext cx="1033158" cy="577093"/>
        </a:xfrm>
        <a:prstGeom prst="rect">
          <a:avLst/>
        </a:prstGeom>
      </xdr:spPr>
    </xdr:pic>
    <xdr:clientData/>
  </xdr:oneCellAnchor>
  <xdr:oneCellAnchor>
    <xdr:from>
      <xdr:col>0</xdr:col>
      <xdr:colOff>66676</xdr:colOff>
      <xdr:row>7136</xdr:row>
      <xdr:rowOff>28574</xdr:rowOff>
    </xdr:from>
    <xdr:ext cx="1033158" cy="577093"/>
    <xdr:pic>
      <xdr:nvPicPr>
        <xdr:cNvPr id="163" name="Imagen 162">
          <a:extLst>
            <a:ext uri="{FF2B5EF4-FFF2-40B4-BE49-F238E27FC236}">
              <a16:creationId xmlns:a16="http://schemas.microsoft.com/office/drawing/2014/main" id="{00000000-0008-0000-0300-0000A3000000}"/>
            </a:ext>
          </a:extLst>
        </xdr:cNvPr>
        <xdr:cNvPicPr>
          <a:picLocks noChangeAspect="1"/>
        </xdr:cNvPicPr>
      </xdr:nvPicPr>
      <xdr:blipFill>
        <a:blip xmlns:r="http://schemas.openxmlformats.org/officeDocument/2006/relationships" r:embed="rId1"/>
        <a:stretch>
          <a:fillRect/>
        </a:stretch>
      </xdr:blipFill>
      <xdr:spPr>
        <a:xfrm>
          <a:off x="66676" y="1402661024"/>
          <a:ext cx="1033158" cy="577093"/>
        </a:xfrm>
        <a:prstGeom prst="rect">
          <a:avLst/>
        </a:prstGeom>
      </xdr:spPr>
    </xdr:pic>
    <xdr:clientData/>
  </xdr:oneCellAnchor>
  <xdr:oneCellAnchor>
    <xdr:from>
      <xdr:col>0</xdr:col>
      <xdr:colOff>66676</xdr:colOff>
      <xdr:row>7188</xdr:row>
      <xdr:rowOff>28574</xdr:rowOff>
    </xdr:from>
    <xdr:ext cx="1033158" cy="577093"/>
    <xdr:pic>
      <xdr:nvPicPr>
        <xdr:cNvPr id="164" name="Imagen 163">
          <a:extLst>
            <a:ext uri="{FF2B5EF4-FFF2-40B4-BE49-F238E27FC236}">
              <a16:creationId xmlns:a16="http://schemas.microsoft.com/office/drawing/2014/main" id="{00000000-0008-0000-0300-0000A4000000}"/>
            </a:ext>
          </a:extLst>
        </xdr:cNvPr>
        <xdr:cNvPicPr>
          <a:picLocks noChangeAspect="1"/>
        </xdr:cNvPicPr>
      </xdr:nvPicPr>
      <xdr:blipFill>
        <a:blip xmlns:r="http://schemas.openxmlformats.org/officeDocument/2006/relationships" r:embed="rId1"/>
        <a:stretch>
          <a:fillRect/>
        </a:stretch>
      </xdr:blipFill>
      <xdr:spPr>
        <a:xfrm>
          <a:off x="66676" y="1414271999"/>
          <a:ext cx="1033158" cy="577093"/>
        </a:xfrm>
        <a:prstGeom prst="rect">
          <a:avLst/>
        </a:prstGeom>
      </xdr:spPr>
    </xdr:pic>
    <xdr:clientData/>
  </xdr:oneCellAnchor>
  <xdr:oneCellAnchor>
    <xdr:from>
      <xdr:col>0</xdr:col>
      <xdr:colOff>66676</xdr:colOff>
      <xdr:row>7240</xdr:row>
      <xdr:rowOff>28574</xdr:rowOff>
    </xdr:from>
    <xdr:ext cx="1033158" cy="577093"/>
    <xdr:pic>
      <xdr:nvPicPr>
        <xdr:cNvPr id="165" name="Imagen 164">
          <a:extLst>
            <a:ext uri="{FF2B5EF4-FFF2-40B4-BE49-F238E27FC236}">
              <a16:creationId xmlns:a16="http://schemas.microsoft.com/office/drawing/2014/main" id="{00000000-0008-0000-0300-0000A5000000}"/>
            </a:ext>
          </a:extLst>
        </xdr:cNvPr>
        <xdr:cNvPicPr>
          <a:picLocks noChangeAspect="1"/>
        </xdr:cNvPicPr>
      </xdr:nvPicPr>
      <xdr:blipFill>
        <a:blip xmlns:r="http://schemas.openxmlformats.org/officeDocument/2006/relationships" r:embed="rId1"/>
        <a:stretch>
          <a:fillRect/>
        </a:stretch>
      </xdr:blipFill>
      <xdr:spPr>
        <a:xfrm>
          <a:off x="66676" y="1425882974"/>
          <a:ext cx="1033158" cy="577093"/>
        </a:xfrm>
        <a:prstGeom prst="rect">
          <a:avLst/>
        </a:prstGeom>
      </xdr:spPr>
    </xdr:pic>
    <xdr:clientData/>
  </xdr:oneCellAnchor>
  <xdr:oneCellAnchor>
    <xdr:from>
      <xdr:col>0</xdr:col>
      <xdr:colOff>66676</xdr:colOff>
      <xdr:row>7347</xdr:row>
      <xdr:rowOff>28574</xdr:rowOff>
    </xdr:from>
    <xdr:ext cx="1033158" cy="577093"/>
    <xdr:pic>
      <xdr:nvPicPr>
        <xdr:cNvPr id="166" name="Imagen 165">
          <a:extLst>
            <a:ext uri="{FF2B5EF4-FFF2-40B4-BE49-F238E27FC236}">
              <a16:creationId xmlns:a16="http://schemas.microsoft.com/office/drawing/2014/main" id="{00000000-0008-0000-0300-0000A6000000}"/>
            </a:ext>
          </a:extLst>
        </xdr:cNvPr>
        <xdr:cNvPicPr>
          <a:picLocks noChangeAspect="1"/>
        </xdr:cNvPicPr>
      </xdr:nvPicPr>
      <xdr:blipFill>
        <a:blip xmlns:r="http://schemas.openxmlformats.org/officeDocument/2006/relationships" r:embed="rId1"/>
        <a:stretch>
          <a:fillRect/>
        </a:stretch>
      </xdr:blipFill>
      <xdr:spPr>
        <a:xfrm>
          <a:off x="66676" y="1437522524"/>
          <a:ext cx="1033158" cy="577093"/>
        </a:xfrm>
        <a:prstGeom prst="rect">
          <a:avLst/>
        </a:prstGeom>
      </xdr:spPr>
    </xdr:pic>
    <xdr:clientData/>
  </xdr:oneCellAnchor>
  <xdr:oneCellAnchor>
    <xdr:from>
      <xdr:col>0</xdr:col>
      <xdr:colOff>66676</xdr:colOff>
      <xdr:row>9248</xdr:row>
      <xdr:rowOff>28574</xdr:rowOff>
    </xdr:from>
    <xdr:ext cx="1033158" cy="577093"/>
    <xdr:pic>
      <xdr:nvPicPr>
        <xdr:cNvPr id="167" name="Imagen 166">
          <a:extLst>
            <a:ext uri="{FF2B5EF4-FFF2-40B4-BE49-F238E27FC236}">
              <a16:creationId xmlns:a16="http://schemas.microsoft.com/office/drawing/2014/main" id="{00000000-0008-0000-0300-0000A7000000}"/>
            </a:ext>
          </a:extLst>
        </xdr:cNvPr>
        <xdr:cNvPicPr>
          <a:picLocks noChangeAspect="1"/>
        </xdr:cNvPicPr>
      </xdr:nvPicPr>
      <xdr:blipFill>
        <a:blip xmlns:r="http://schemas.openxmlformats.org/officeDocument/2006/relationships" r:embed="rId1"/>
        <a:stretch>
          <a:fillRect/>
        </a:stretch>
      </xdr:blipFill>
      <xdr:spPr>
        <a:xfrm>
          <a:off x="66676" y="1686134549"/>
          <a:ext cx="1033158" cy="577093"/>
        </a:xfrm>
        <a:prstGeom prst="rect">
          <a:avLst/>
        </a:prstGeom>
      </xdr:spPr>
    </xdr:pic>
    <xdr:clientData/>
  </xdr:oneCellAnchor>
  <xdr:oneCellAnchor>
    <xdr:from>
      <xdr:col>0</xdr:col>
      <xdr:colOff>66676</xdr:colOff>
      <xdr:row>3581</xdr:row>
      <xdr:rowOff>28574</xdr:rowOff>
    </xdr:from>
    <xdr:ext cx="1033158" cy="577093"/>
    <xdr:pic>
      <xdr:nvPicPr>
        <xdr:cNvPr id="168" name="Imagen 167">
          <a:extLst>
            <a:ext uri="{FF2B5EF4-FFF2-40B4-BE49-F238E27FC236}">
              <a16:creationId xmlns:a16="http://schemas.microsoft.com/office/drawing/2014/main" id="{00000000-0008-0000-0300-0000A8000000}"/>
            </a:ext>
          </a:extLst>
        </xdr:cNvPr>
        <xdr:cNvPicPr>
          <a:picLocks noChangeAspect="1"/>
        </xdr:cNvPicPr>
      </xdr:nvPicPr>
      <xdr:blipFill>
        <a:blip xmlns:r="http://schemas.openxmlformats.org/officeDocument/2006/relationships" r:embed="rId1"/>
        <a:stretch>
          <a:fillRect/>
        </a:stretch>
      </xdr:blipFill>
      <xdr:spPr>
        <a:xfrm>
          <a:off x="66676" y="790251149"/>
          <a:ext cx="1033158" cy="577093"/>
        </a:xfrm>
        <a:prstGeom prst="rect">
          <a:avLst/>
        </a:prstGeom>
      </xdr:spPr>
    </xdr:pic>
    <xdr:clientData/>
  </xdr:oneCellAnchor>
  <xdr:oneCellAnchor>
    <xdr:from>
      <xdr:col>0</xdr:col>
      <xdr:colOff>66676</xdr:colOff>
      <xdr:row>3632</xdr:row>
      <xdr:rowOff>28574</xdr:rowOff>
    </xdr:from>
    <xdr:ext cx="1033158" cy="577093"/>
    <xdr:pic>
      <xdr:nvPicPr>
        <xdr:cNvPr id="169" name="Imagen 168">
          <a:extLst>
            <a:ext uri="{FF2B5EF4-FFF2-40B4-BE49-F238E27FC236}">
              <a16:creationId xmlns:a16="http://schemas.microsoft.com/office/drawing/2014/main" id="{00000000-0008-0000-0300-0000A9000000}"/>
            </a:ext>
          </a:extLst>
        </xdr:cNvPr>
        <xdr:cNvPicPr>
          <a:picLocks noChangeAspect="1"/>
        </xdr:cNvPicPr>
      </xdr:nvPicPr>
      <xdr:blipFill>
        <a:blip xmlns:r="http://schemas.openxmlformats.org/officeDocument/2006/relationships" r:embed="rId1"/>
        <a:stretch>
          <a:fillRect/>
        </a:stretch>
      </xdr:blipFill>
      <xdr:spPr>
        <a:xfrm>
          <a:off x="66676" y="801671624"/>
          <a:ext cx="1033158" cy="577093"/>
        </a:xfrm>
        <a:prstGeom prst="rect">
          <a:avLst/>
        </a:prstGeom>
      </xdr:spPr>
    </xdr:pic>
    <xdr:clientData/>
  </xdr:oneCellAnchor>
  <xdr:oneCellAnchor>
    <xdr:from>
      <xdr:col>0</xdr:col>
      <xdr:colOff>66676</xdr:colOff>
      <xdr:row>3683</xdr:row>
      <xdr:rowOff>28574</xdr:rowOff>
    </xdr:from>
    <xdr:ext cx="1033158" cy="577093"/>
    <xdr:pic>
      <xdr:nvPicPr>
        <xdr:cNvPr id="170" name="Imagen 169">
          <a:extLst>
            <a:ext uri="{FF2B5EF4-FFF2-40B4-BE49-F238E27FC236}">
              <a16:creationId xmlns:a16="http://schemas.microsoft.com/office/drawing/2014/main" id="{00000000-0008-0000-0300-0000AA000000}"/>
            </a:ext>
          </a:extLst>
        </xdr:cNvPr>
        <xdr:cNvPicPr>
          <a:picLocks noChangeAspect="1"/>
        </xdr:cNvPicPr>
      </xdr:nvPicPr>
      <xdr:blipFill>
        <a:blip xmlns:r="http://schemas.openxmlformats.org/officeDocument/2006/relationships" r:embed="rId1"/>
        <a:stretch>
          <a:fillRect/>
        </a:stretch>
      </xdr:blipFill>
      <xdr:spPr>
        <a:xfrm>
          <a:off x="66676" y="813092099"/>
          <a:ext cx="1033158" cy="577093"/>
        </a:xfrm>
        <a:prstGeom prst="rect">
          <a:avLst/>
        </a:prstGeom>
      </xdr:spPr>
    </xdr:pic>
    <xdr:clientData/>
  </xdr:oneCellAnchor>
  <xdr:oneCellAnchor>
    <xdr:from>
      <xdr:col>0</xdr:col>
      <xdr:colOff>66676</xdr:colOff>
      <xdr:row>3734</xdr:row>
      <xdr:rowOff>28574</xdr:rowOff>
    </xdr:from>
    <xdr:ext cx="1033158" cy="577093"/>
    <xdr:pic>
      <xdr:nvPicPr>
        <xdr:cNvPr id="171" name="Imagen 170">
          <a:extLst>
            <a:ext uri="{FF2B5EF4-FFF2-40B4-BE49-F238E27FC236}">
              <a16:creationId xmlns:a16="http://schemas.microsoft.com/office/drawing/2014/main" id="{00000000-0008-0000-0300-0000AB000000}"/>
            </a:ext>
          </a:extLst>
        </xdr:cNvPr>
        <xdr:cNvPicPr>
          <a:picLocks noChangeAspect="1"/>
        </xdr:cNvPicPr>
      </xdr:nvPicPr>
      <xdr:blipFill>
        <a:blip xmlns:r="http://schemas.openxmlformats.org/officeDocument/2006/relationships" r:embed="rId1"/>
        <a:stretch>
          <a:fillRect/>
        </a:stretch>
      </xdr:blipFill>
      <xdr:spPr>
        <a:xfrm>
          <a:off x="66676" y="778830674"/>
          <a:ext cx="1033158" cy="577093"/>
        </a:xfrm>
        <a:prstGeom prst="rect">
          <a:avLst/>
        </a:prstGeom>
      </xdr:spPr>
    </xdr:pic>
    <xdr:clientData/>
  </xdr:oneCellAnchor>
  <xdr:oneCellAnchor>
    <xdr:from>
      <xdr:col>0</xdr:col>
      <xdr:colOff>66676</xdr:colOff>
      <xdr:row>8395</xdr:row>
      <xdr:rowOff>28574</xdr:rowOff>
    </xdr:from>
    <xdr:ext cx="1033158" cy="577093"/>
    <xdr:pic>
      <xdr:nvPicPr>
        <xdr:cNvPr id="172" name="Imagen 171">
          <a:extLst>
            <a:ext uri="{FF2B5EF4-FFF2-40B4-BE49-F238E27FC236}">
              <a16:creationId xmlns:a16="http://schemas.microsoft.com/office/drawing/2014/main" id="{00000000-0008-0000-0300-0000AC000000}"/>
            </a:ext>
          </a:extLst>
        </xdr:cNvPr>
        <xdr:cNvPicPr>
          <a:picLocks noChangeAspect="1"/>
        </xdr:cNvPicPr>
      </xdr:nvPicPr>
      <xdr:blipFill>
        <a:blip xmlns:r="http://schemas.openxmlformats.org/officeDocument/2006/relationships" r:embed="rId1"/>
        <a:stretch>
          <a:fillRect/>
        </a:stretch>
      </xdr:blipFill>
      <xdr:spPr>
        <a:xfrm>
          <a:off x="66676" y="1600095224"/>
          <a:ext cx="1033158" cy="577093"/>
        </a:xfrm>
        <a:prstGeom prst="rect">
          <a:avLst/>
        </a:prstGeom>
      </xdr:spPr>
    </xdr:pic>
    <xdr:clientData/>
  </xdr:oneCellAnchor>
  <xdr:oneCellAnchor>
    <xdr:from>
      <xdr:col>0</xdr:col>
      <xdr:colOff>66676</xdr:colOff>
      <xdr:row>8450</xdr:row>
      <xdr:rowOff>28574</xdr:rowOff>
    </xdr:from>
    <xdr:ext cx="1033158" cy="577093"/>
    <xdr:pic>
      <xdr:nvPicPr>
        <xdr:cNvPr id="173" name="Imagen 172">
          <a:extLst>
            <a:ext uri="{FF2B5EF4-FFF2-40B4-BE49-F238E27FC236}">
              <a16:creationId xmlns:a16="http://schemas.microsoft.com/office/drawing/2014/main" id="{00000000-0008-0000-0300-0000AD000000}"/>
            </a:ext>
          </a:extLst>
        </xdr:cNvPr>
        <xdr:cNvPicPr>
          <a:picLocks noChangeAspect="1"/>
        </xdr:cNvPicPr>
      </xdr:nvPicPr>
      <xdr:blipFill>
        <a:blip xmlns:r="http://schemas.openxmlformats.org/officeDocument/2006/relationships" r:embed="rId1"/>
        <a:stretch>
          <a:fillRect/>
        </a:stretch>
      </xdr:blipFill>
      <xdr:spPr>
        <a:xfrm>
          <a:off x="66676" y="1612277699"/>
          <a:ext cx="1033158" cy="577093"/>
        </a:xfrm>
        <a:prstGeom prst="rect">
          <a:avLst/>
        </a:prstGeom>
      </xdr:spPr>
    </xdr:pic>
    <xdr:clientData/>
  </xdr:oneCellAnchor>
  <xdr:oneCellAnchor>
    <xdr:from>
      <xdr:col>0</xdr:col>
      <xdr:colOff>66676</xdr:colOff>
      <xdr:row>8718</xdr:row>
      <xdr:rowOff>28574</xdr:rowOff>
    </xdr:from>
    <xdr:ext cx="1033158" cy="577093"/>
    <xdr:pic>
      <xdr:nvPicPr>
        <xdr:cNvPr id="174" name="Imagen 173">
          <a:extLst>
            <a:ext uri="{FF2B5EF4-FFF2-40B4-BE49-F238E27FC236}">
              <a16:creationId xmlns:a16="http://schemas.microsoft.com/office/drawing/2014/main" id="{00000000-0008-0000-0300-0000AE000000}"/>
            </a:ext>
          </a:extLst>
        </xdr:cNvPr>
        <xdr:cNvPicPr>
          <a:picLocks noChangeAspect="1"/>
        </xdr:cNvPicPr>
      </xdr:nvPicPr>
      <xdr:blipFill>
        <a:blip xmlns:r="http://schemas.openxmlformats.org/officeDocument/2006/relationships" r:embed="rId1"/>
        <a:stretch>
          <a:fillRect/>
        </a:stretch>
      </xdr:blipFill>
      <xdr:spPr>
        <a:xfrm>
          <a:off x="66676" y="1649015624"/>
          <a:ext cx="1033158" cy="577093"/>
        </a:xfrm>
        <a:prstGeom prst="rect">
          <a:avLst/>
        </a:prstGeom>
      </xdr:spPr>
    </xdr:pic>
    <xdr:clientData/>
  </xdr:oneCellAnchor>
  <xdr:oneCellAnchor>
    <xdr:from>
      <xdr:col>0</xdr:col>
      <xdr:colOff>66676</xdr:colOff>
      <xdr:row>5526</xdr:row>
      <xdr:rowOff>28574</xdr:rowOff>
    </xdr:from>
    <xdr:ext cx="1033158" cy="577093"/>
    <xdr:pic>
      <xdr:nvPicPr>
        <xdr:cNvPr id="175" name="Imagen 174">
          <a:extLst>
            <a:ext uri="{FF2B5EF4-FFF2-40B4-BE49-F238E27FC236}">
              <a16:creationId xmlns:a16="http://schemas.microsoft.com/office/drawing/2014/main" id="{00000000-0008-0000-0300-0000AF000000}"/>
            </a:ext>
          </a:extLst>
        </xdr:cNvPr>
        <xdr:cNvPicPr>
          <a:picLocks noChangeAspect="1"/>
        </xdr:cNvPicPr>
      </xdr:nvPicPr>
      <xdr:blipFill>
        <a:blip xmlns:r="http://schemas.openxmlformats.org/officeDocument/2006/relationships" r:embed="rId1"/>
        <a:stretch>
          <a:fillRect/>
        </a:stretch>
      </xdr:blipFill>
      <xdr:spPr>
        <a:xfrm>
          <a:off x="66676" y="1122587924"/>
          <a:ext cx="1033158" cy="577093"/>
        </a:xfrm>
        <a:prstGeom prst="rect">
          <a:avLst/>
        </a:prstGeom>
      </xdr:spPr>
    </xdr:pic>
    <xdr:clientData/>
  </xdr:oneCellAnchor>
  <xdr:oneCellAnchor>
    <xdr:from>
      <xdr:col>0</xdr:col>
      <xdr:colOff>66676</xdr:colOff>
      <xdr:row>3785</xdr:row>
      <xdr:rowOff>28574</xdr:rowOff>
    </xdr:from>
    <xdr:ext cx="1033158" cy="577093"/>
    <xdr:pic>
      <xdr:nvPicPr>
        <xdr:cNvPr id="176" name="Imagen 175">
          <a:extLst>
            <a:ext uri="{FF2B5EF4-FFF2-40B4-BE49-F238E27FC236}">
              <a16:creationId xmlns:a16="http://schemas.microsoft.com/office/drawing/2014/main" id="{00000000-0008-0000-0300-0000B0000000}"/>
            </a:ext>
          </a:extLst>
        </xdr:cNvPr>
        <xdr:cNvPicPr>
          <a:picLocks noChangeAspect="1"/>
        </xdr:cNvPicPr>
      </xdr:nvPicPr>
      <xdr:blipFill>
        <a:blip xmlns:r="http://schemas.openxmlformats.org/officeDocument/2006/relationships" r:embed="rId1"/>
        <a:stretch>
          <a:fillRect/>
        </a:stretch>
      </xdr:blipFill>
      <xdr:spPr>
        <a:xfrm>
          <a:off x="66676" y="835933049"/>
          <a:ext cx="1033158" cy="577093"/>
        </a:xfrm>
        <a:prstGeom prst="rect">
          <a:avLst/>
        </a:prstGeom>
      </xdr:spPr>
    </xdr:pic>
    <xdr:clientData/>
  </xdr:oneCellAnchor>
  <xdr:oneCellAnchor>
    <xdr:from>
      <xdr:col>0</xdr:col>
      <xdr:colOff>66676</xdr:colOff>
      <xdr:row>3836</xdr:row>
      <xdr:rowOff>28574</xdr:rowOff>
    </xdr:from>
    <xdr:ext cx="1033158" cy="577093"/>
    <xdr:pic>
      <xdr:nvPicPr>
        <xdr:cNvPr id="177" name="Imagen 176">
          <a:extLst>
            <a:ext uri="{FF2B5EF4-FFF2-40B4-BE49-F238E27FC236}">
              <a16:creationId xmlns:a16="http://schemas.microsoft.com/office/drawing/2014/main" id="{00000000-0008-0000-0300-0000B1000000}"/>
            </a:ext>
          </a:extLst>
        </xdr:cNvPr>
        <xdr:cNvPicPr>
          <a:picLocks noChangeAspect="1"/>
        </xdr:cNvPicPr>
      </xdr:nvPicPr>
      <xdr:blipFill>
        <a:blip xmlns:r="http://schemas.openxmlformats.org/officeDocument/2006/relationships" r:embed="rId1"/>
        <a:stretch>
          <a:fillRect/>
        </a:stretch>
      </xdr:blipFill>
      <xdr:spPr>
        <a:xfrm>
          <a:off x="66676" y="847353524"/>
          <a:ext cx="1033158" cy="577093"/>
        </a:xfrm>
        <a:prstGeom prst="rect">
          <a:avLst/>
        </a:prstGeom>
      </xdr:spPr>
    </xdr:pic>
    <xdr:clientData/>
  </xdr:oneCellAnchor>
  <xdr:oneCellAnchor>
    <xdr:from>
      <xdr:col>0</xdr:col>
      <xdr:colOff>66676</xdr:colOff>
      <xdr:row>5577</xdr:row>
      <xdr:rowOff>28574</xdr:rowOff>
    </xdr:from>
    <xdr:ext cx="1033158" cy="577093"/>
    <xdr:pic>
      <xdr:nvPicPr>
        <xdr:cNvPr id="178" name="Imagen 177">
          <a:extLst>
            <a:ext uri="{FF2B5EF4-FFF2-40B4-BE49-F238E27FC236}">
              <a16:creationId xmlns:a16="http://schemas.microsoft.com/office/drawing/2014/main" id="{00000000-0008-0000-0300-0000B2000000}"/>
            </a:ext>
          </a:extLst>
        </xdr:cNvPr>
        <xdr:cNvPicPr>
          <a:picLocks noChangeAspect="1"/>
        </xdr:cNvPicPr>
      </xdr:nvPicPr>
      <xdr:blipFill>
        <a:blip xmlns:r="http://schemas.openxmlformats.org/officeDocument/2006/relationships" r:embed="rId1"/>
        <a:stretch>
          <a:fillRect/>
        </a:stretch>
      </xdr:blipFill>
      <xdr:spPr>
        <a:xfrm>
          <a:off x="66676" y="1156468349"/>
          <a:ext cx="1033158" cy="577093"/>
        </a:xfrm>
        <a:prstGeom prst="rect">
          <a:avLst/>
        </a:prstGeom>
      </xdr:spPr>
    </xdr:pic>
    <xdr:clientData/>
  </xdr:oneCellAnchor>
  <xdr:oneCellAnchor>
    <xdr:from>
      <xdr:col>0</xdr:col>
      <xdr:colOff>66676</xdr:colOff>
      <xdr:row>7292</xdr:row>
      <xdr:rowOff>28574</xdr:rowOff>
    </xdr:from>
    <xdr:ext cx="1033158" cy="577093"/>
    <xdr:pic>
      <xdr:nvPicPr>
        <xdr:cNvPr id="179" name="Imagen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
        <a:stretch>
          <a:fillRect/>
        </a:stretch>
      </xdr:blipFill>
      <xdr:spPr>
        <a:xfrm>
          <a:off x="66676" y="1527933824"/>
          <a:ext cx="1033158" cy="577093"/>
        </a:xfrm>
        <a:prstGeom prst="rect">
          <a:avLst/>
        </a:prstGeom>
      </xdr:spPr>
    </xdr:pic>
    <xdr:clientData/>
  </xdr:oneCellAnchor>
  <xdr:oneCellAnchor>
    <xdr:from>
      <xdr:col>0</xdr:col>
      <xdr:colOff>66676</xdr:colOff>
      <xdr:row>3887</xdr:row>
      <xdr:rowOff>28574</xdr:rowOff>
    </xdr:from>
    <xdr:ext cx="1033158" cy="577093"/>
    <xdr:pic>
      <xdr:nvPicPr>
        <xdr:cNvPr id="180" name="Imagen 179">
          <a:extLst>
            <a:ext uri="{FF2B5EF4-FFF2-40B4-BE49-F238E27FC236}">
              <a16:creationId xmlns:a16="http://schemas.microsoft.com/office/drawing/2014/main" id="{00000000-0008-0000-0300-0000B4000000}"/>
            </a:ext>
          </a:extLst>
        </xdr:cNvPr>
        <xdr:cNvPicPr>
          <a:picLocks noChangeAspect="1"/>
        </xdr:cNvPicPr>
      </xdr:nvPicPr>
      <xdr:blipFill>
        <a:blip xmlns:r="http://schemas.openxmlformats.org/officeDocument/2006/relationships" r:embed="rId1"/>
        <a:stretch>
          <a:fillRect/>
        </a:stretch>
      </xdr:blipFill>
      <xdr:spPr>
        <a:xfrm>
          <a:off x="66676" y="858773999"/>
          <a:ext cx="1033158" cy="577093"/>
        </a:xfrm>
        <a:prstGeom prst="rect">
          <a:avLst/>
        </a:prstGeom>
      </xdr:spPr>
    </xdr:pic>
    <xdr:clientData/>
  </xdr:oneCellAnchor>
  <xdr:oneCellAnchor>
    <xdr:from>
      <xdr:col>0</xdr:col>
      <xdr:colOff>66676</xdr:colOff>
      <xdr:row>9300</xdr:row>
      <xdr:rowOff>28574</xdr:rowOff>
    </xdr:from>
    <xdr:ext cx="1033158" cy="577093"/>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66676" y="1848116699"/>
          <a:ext cx="1033158" cy="577093"/>
        </a:xfrm>
        <a:prstGeom prst="rect">
          <a:avLst/>
        </a:prstGeom>
      </xdr:spPr>
    </xdr:pic>
    <xdr:clientData/>
  </xdr:oneCellAnchor>
  <xdr:oneCellAnchor>
    <xdr:from>
      <xdr:col>0</xdr:col>
      <xdr:colOff>66676</xdr:colOff>
      <xdr:row>9352</xdr:row>
      <xdr:rowOff>28574</xdr:rowOff>
    </xdr:from>
    <xdr:ext cx="1033158" cy="577093"/>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66676" y="1859727674"/>
          <a:ext cx="1033158" cy="577093"/>
        </a:xfrm>
        <a:prstGeom prst="rect">
          <a:avLst/>
        </a:prstGeom>
      </xdr:spPr>
    </xdr:pic>
    <xdr:clientData/>
  </xdr:oneCellAnchor>
  <xdr:oneCellAnchor>
    <xdr:from>
      <xdr:col>0</xdr:col>
      <xdr:colOff>66676</xdr:colOff>
      <xdr:row>9404</xdr:row>
      <xdr:rowOff>28574</xdr:rowOff>
    </xdr:from>
    <xdr:ext cx="1033158" cy="577093"/>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6676" y="1848116699"/>
          <a:ext cx="1033158" cy="577093"/>
        </a:xfrm>
        <a:prstGeom prst="rect">
          <a:avLst/>
        </a:prstGeom>
      </xdr:spPr>
    </xdr:pic>
    <xdr:clientData/>
  </xdr:oneCellAnchor>
  <xdr:oneCellAnchor>
    <xdr:from>
      <xdr:col>0</xdr:col>
      <xdr:colOff>66676</xdr:colOff>
      <xdr:row>9456</xdr:row>
      <xdr:rowOff>28574</xdr:rowOff>
    </xdr:from>
    <xdr:ext cx="1033158" cy="577093"/>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6676" y="1882949624"/>
          <a:ext cx="1033158" cy="577093"/>
        </a:xfrm>
        <a:prstGeom prst="rect">
          <a:avLst/>
        </a:prstGeom>
      </xdr:spPr>
    </xdr:pic>
    <xdr:clientData/>
  </xdr:oneCellAnchor>
  <xdr:oneCellAnchor>
    <xdr:from>
      <xdr:col>0</xdr:col>
      <xdr:colOff>66676</xdr:colOff>
      <xdr:row>3938</xdr:row>
      <xdr:rowOff>28574</xdr:rowOff>
    </xdr:from>
    <xdr:ext cx="1033158" cy="577093"/>
    <xdr:pic>
      <xdr:nvPicPr>
        <xdr:cNvPr id="181" name="Imagen 180">
          <a:extLst>
            <a:ext uri="{FF2B5EF4-FFF2-40B4-BE49-F238E27FC236}">
              <a16:creationId xmlns:a16="http://schemas.microsoft.com/office/drawing/2014/main" id="{00000000-0008-0000-0300-0000B5000000}"/>
            </a:ext>
          </a:extLst>
        </xdr:cNvPr>
        <xdr:cNvPicPr>
          <a:picLocks noChangeAspect="1"/>
        </xdr:cNvPicPr>
      </xdr:nvPicPr>
      <xdr:blipFill>
        <a:blip xmlns:r="http://schemas.openxmlformats.org/officeDocument/2006/relationships" r:embed="rId1"/>
        <a:stretch>
          <a:fillRect/>
        </a:stretch>
      </xdr:blipFill>
      <xdr:spPr>
        <a:xfrm>
          <a:off x="66676" y="870194474"/>
          <a:ext cx="1033158" cy="577093"/>
        </a:xfrm>
        <a:prstGeom prst="rect">
          <a:avLst/>
        </a:prstGeom>
      </xdr:spPr>
    </xdr:pic>
    <xdr:clientData/>
  </xdr:oneCellAnchor>
  <xdr:oneCellAnchor>
    <xdr:from>
      <xdr:col>0</xdr:col>
      <xdr:colOff>66676</xdr:colOff>
      <xdr:row>3989</xdr:row>
      <xdr:rowOff>28574</xdr:rowOff>
    </xdr:from>
    <xdr:ext cx="1033158" cy="577093"/>
    <xdr:pic>
      <xdr:nvPicPr>
        <xdr:cNvPr id="182" name="Imagen 181">
          <a:extLst>
            <a:ext uri="{FF2B5EF4-FFF2-40B4-BE49-F238E27FC236}">
              <a16:creationId xmlns:a16="http://schemas.microsoft.com/office/drawing/2014/main" id="{00000000-0008-0000-0300-0000B6000000}"/>
            </a:ext>
          </a:extLst>
        </xdr:cNvPr>
        <xdr:cNvPicPr>
          <a:picLocks noChangeAspect="1"/>
        </xdr:cNvPicPr>
      </xdr:nvPicPr>
      <xdr:blipFill>
        <a:blip xmlns:r="http://schemas.openxmlformats.org/officeDocument/2006/relationships" r:embed="rId1"/>
        <a:stretch>
          <a:fillRect/>
        </a:stretch>
      </xdr:blipFill>
      <xdr:spPr>
        <a:xfrm>
          <a:off x="66676" y="881614949"/>
          <a:ext cx="1033158" cy="577093"/>
        </a:xfrm>
        <a:prstGeom prst="rect">
          <a:avLst/>
        </a:prstGeom>
      </xdr:spPr>
    </xdr:pic>
    <xdr:clientData/>
  </xdr:oneCellAnchor>
  <xdr:oneCellAnchor>
    <xdr:from>
      <xdr:col>0</xdr:col>
      <xdr:colOff>66676</xdr:colOff>
      <xdr:row>4040</xdr:row>
      <xdr:rowOff>28574</xdr:rowOff>
    </xdr:from>
    <xdr:ext cx="1033158" cy="577093"/>
    <xdr:pic>
      <xdr:nvPicPr>
        <xdr:cNvPr id="183" name="Imagen 182">
          <a:extLst>
            <a:ext uri="{FF2B5EF4-FFF2-40B4-BE49-F238E27FC236}">
              <a16:creationId xmlns:a16="http://schemas.microsoft.com/office/drawing/2014/main" id="{00000000-0008-0000-0300-0000B7000000}"/>
            </a:ext>
          </a:extLst>
        </xdr:cNvPr>
        <xdr:cNvPicPr>
          <a:picLocks noChangeAspect="1"/>
        </xdr:cNvPicPr>
      </xdr:nvPicPr>
      <xdr:blipFill>
        <a:blip xmlns:r="http://schemas.openxmlformats.org/officeDocument/2006/relationships" r:embed="rId1"/>
        <a:stretch>
          <a:fillRect/>
        </a:stretch>
      </xdr:blipFill>
      <xdr:spPr>
        <a:xfrm>
          <a:off x="66676" y="893035424"/>
          <a:ext cx="1033158" cy="577093"/>
        </a:xfrm>
        <a:prstGeom prst="rect">
          <a:avLst/>
        </a:prstGeom>
      </xdr:spPr>
    </xdr:pic>
    <xdr:clientData/>
  </xdr:oneCellAnchor>
  <xdr:oneCellAnchor>
    <xdr:from>
      <xdr:col>0</xdr:col>
      <xdr:colOff>66676</xdr:colOff>
      <xdr:row>4091</xdr:row>
      <xdr:rowOff>28574</xdr:rowOff>
    </xdr:from>
    <xdr:ext cx="1033158" cy="577093"/>
    <xdr:pic>
      <xdr:nvPicPr>
        <xdr:cNvPr id="184" name="Imagen 183">
          <a:extLst>
            <a:ext uri="{FF2B5EF4-FFF2-40B4-BE49-F238E27FC236}">
              <a16:creationId xmlns:a16="http://schemas.microsoft.com/office/drawing/2014/main" id="{00000000-0008-0000-0300-0000B8000000}"/>
            </a:ext>
          </a:extLst>
        </xdr:cNvPr>
        <xdr:cNvPicPr>
          <a:picLocks noChangeAspect="1"/>
        </xdr:cNvPicPr>
      </xdr:nvPicPr>
      <xdr:blipFill>
        <a:blip xmlns:r="http://schemas.openxmlformats.org/officeDocument/2006/relationships" r:embed="rId1"/>
        <a:stretch>
          <a:fillRect/>
        </a:stretch>
      </xdr:blipFill>
      <xdr:spPr>
        <a:xfrm>
          <a:off x="66676" y="80600549"/>
          <a:ext cx="1033158" cy="577093"/>
        </a:xfrm>
        <a:prstGeom prst="rect">
          <a:avLst/>
        </a:prstGeom>
      </xdr:spPr>
    </xdr:pic>
    <xdr:clientData/>
  </xdr:oneCellAnchor>
  <xdr:oneCellAnchor>
    <xdr:from>
      <xdr:col>0</xdr:col>
      <xdr:colOff>66676</xdr:colOff>
      <xdr:row>4142</xdr:row>
      <xdr:rowOff>28574</xdr:rowOff>
    </xdr:from>
    <xdr:ext cx="1033158" cy="577093"/>
    <xdr:pic>
      <xdr:nvPicPr>
        <xdr:cNvPr id="185" name="Imagen 184">
          <a:extLst>
            <a:ext uri="{FF2B5EF4-FFF2-40B4-BE49-F238E27FC236}">
              <a16:creationId xmlns:a16="http://schemas.microsoft.com/office/drawing/2014/main" id="{00000000-0008-0000-0300-0000B9000000}"/>
            </a:ext>
          </a:extLst>
        </xdr:cNvPr>
        <xdr:cNvPicPr>
          <a:picLocks noChangeAspect="1"/>
        </xdr:cNvPicPr>
      </xdr:nvPicPr>
      <xdr:blipFill>
        <a:blip xmlns:r="http://schemas.openxmlformats.org/officeDocument/2006/relationships" r:embed="rId1"/>
        <a:stretch>
          <a:fillRect/>
        </a:stretch>
      </xdr:blipFill>
      <xdr:spPr>
        <a:xfrm>
          <a:off x="66676" y="915876374"/>
          <a:ext cx="1033158" cy="577093"/>
        </a:xfrm>
        <a:prstGeom prst="rect">
          <a:avLst/>
        </a:prstGeom>
      </xdr:spPr>
    </xdr:pic>
    <xdr:clientData/>
  </xdr:oneCellAnchor>
  <xdr:oneCellAnchor>
    <xdr:from>
      <xdr:col>0</xdr:col>
      <xdr:colOff>66676</xdr:colOff>
      <xdr:row>4193</xdr:row>
      <xdr:rowOff>28574</xdr:rowOff>
    </xdr:from>
    <xdr:ext cx="1033158" cy="577093"/>
    <xdr:pic>
      <xdr:nvPicPr>
        <xdr:cNvPr id="186" name="Imagen 185">
          <a:extLst>
            <a:ext uri="{FF2B5EF4-FFF2-40B4-BE49-F238E27FC236}">
              <a16:creationId xmlns:a16="http://schemas.microsoft.com/office/drawing/2014/main" id="{00000000-0008-0000-0300-0000BA000000}"/>
            </a:ext>
          </a:extLst>
        </xdr:cNvPr>
        <xdr:cNvPicPr>
          <a:picLocks noChangeAspect="1"/>
        </xdr:cNvPicPr>
      </xdr:nvPicPr>
      <xdr:blipFill>
        <a:blip xmlns:r="http://schemas.openxmlformats.org/officeDocument/2006/relationships" r:embed="rId1"/>
        <a:stretch>
          <a:fillRect/>
        </a:stretch>
      </xdr:blipFill>
      <xdr:spPr>
        <a:xfrm>
          <a:off x="66676" y="927296849"/>
          <a:ext cx="1033158" cy="577093"/>
        </a:xfrm>
        <a:prstGeom prst="rect">
          <a:avLst/>
        </a:prstGeom>
      </xdr:spPr>
    </xdr:pic>
    <xdr:clientData/>
  </xdr:oneCellAnchor>
  <xdr:oneCellAnchor>
    <xdr:from>
      <xdr:col>0</xdr:col>
      <xdr:colOff>66676</xdr:colOff>
      <xdr:row>5628</xdr:row>
      <xdr:rowOff>28574</xdr:rowOff>
    </xdr:from>
    <xdr:ext cx="1033158" cy="577093"/>
    <xdr:pic>
      <xdr:nvPicPr>
        <xdr:cNvPr id="187" name="Imagen 186">
          <a:extLst>
            <a:ext uri="{FF2B5EF4-FFF2-40B4-BE49-F238E27FC236}">
              <a16:creationId xmlns:a16="http://schemas.microsoft.com/office/drawing/2014/main" id="{00000000-0008-0000-0300-0000BB000000}"/>
            </a:ext>
          </a:extLst>
        </xdr:cNvPr>
        <xdr:cNvPicPr>
          <a:picLocks noChangeAspect="1"/>
        </xdr:cNvPicPr>
      </xdr:nvPicPr>
      <xdr:blipFill>
        <a:blip xmlns:r="http://schemas.openxmlformats.org/officeDocument/2006/relationships" r:embed="rId1"/>
        <a:stretch>
          <a:fillRect/>
        </a:stretch>
      </xdr:blipFill>
      <xdr:spPr>
        <a:xfrm>
          <a:off x="66676" y="1248403649"/>
          <a:ext cx="1033158" cy="577093"/>
        </a:xfrm>
        <a:prstGeom prst="rect">
          <a:avLst/>
        </a:prstGeom>
      </xdr:spPr>
    </xdr:pic>
    <xdr:clientData/>
  </xdr:oneCellAnchor>
  <xdr:oneCellAnchor>
    <xdr:from>
      <xdr:col>0</xdr:col>
      <xdr:colOff>66676</xdr:colOff>
      <xdr:row>7505</xdr:row>
      <xdr:rowOff>28574</xdr:rowOff>
    </xdr:from>
    <xdr:ext cx="1033158" cy="577093"/>
    <xdr:pic>
      <xdr:nvPicPr>
        <xdr:cNvPr id="188" name="Imagen 187">
          <a:extLst>
            <a:ext uri="{FF2B5EF4-FFF2-40B4-BE49-F238E27FC236}">
              <a16:creationId xmlns:a16="http://schemas.microsoft.com/office/drawing/2014/main" id="{00000000-0008-0000-0300-0000BC000000}"/>
            </a:ext>
          </a:extLst>
        </xdr:cNvPr>
        <xdr:cNvPicPr>
          <a:picLocks noChangeAspect="1"/>
        </xdr:cNvPicPr>
      </xdr:nvPicPr>
      <xdr:blipFill>
        <a:blip xmlns:r="http://schemas.openxmlformats.org/officeDocument/2006/relationships" r:embed="rId1"/>
        <a:stretch>
          <a:fillRect/>
        </a:stretch>
      </xdr:blipFill>
      <xdr:spPr>
        <a:xfrm>
          <a:off x="66676" y="1655273549"/>
          <a:ext cx="1033158" cy="577093"/>
        </a:xfrm>
        <a:prstGeom prst="rect">
          <a:avLst/>
        </a:prstGeom>
      </xdr:spPr>
    </xdr:pic>
    <xdr:clientData/>
  </xdr:oneCellAnchor>
  <xdr:oneCellAnchor>
    <xdr:from>
      <xdr:col>0</xdr:col>
      <xdr:colOff>66676</xdr:colOff>
      <xdr:row>7558</xdr:row>
      <xdr:rowOff>28574</xdr:rowOff>
    </xdr:from>
    <xdr:ext cx="1033158" cy="577093"/>
    <xdr:pic>
      <xdr:nvPicPr>
        <xdr:cNvPr id="189" name="Imagen 188">
          <a:extLst>
            <a:ext uri="{FF2B5EF4-FFF2-40B4-BE49-F238E27FC236}">
              <a16:creationId xmlns:a16="http://schemas.microsoft.com/office/drawing/2014/main" id="{00000000-0008-0000-0300-0000BD000000}"/>
            </a:ext>
          </a:extLst>
        </xdr:cNvPr>
        <xdr:cNvPicPr>
          <a:picLocks noChangeAspect="1"/>
        </xdr:cNvPicPr>
      </xdr:nvPicPr>
      <xdr:blipFill>
        <a:blip xmlns:r="http://schemas.openxmlformats.org/officeDocument/2006/relationships" r:embed="rId1"/>
        <a:stretch>
          <a:fillRect/>
        </a:stretch>
      </xdr:blipFill>
      <xdr:spPr>
        <a:xfrm>
          <a:off x="66676" y="1678685999"/>
          <a:ext cx="1033158" cy="577093"/>
        </a:xfrm>
        <a:prstGeom prst="rect">
          <a:avLst/>
        </a:prstGeom>
      </xdr:spPr>
    </xdr:pic>
    <xdr:clientData/>
  </xdr:oneCellAnchor>
  <xdr:oneCellAnchor>
    <xdr:from>
      <xdr:col>0</xdr:col>
      <xdr:colOff>66676</xdr:colOff>
      <xdr:row>7610</xdr:row>
      <xdr:rowOff>28574</xdr:rowOff>
    </xdr:from>
    <xdr:ext cx="1033158" cy="577093"/>
    <xdr:pic>
      <xdr:nvPicPr>
        <xdr:cNvPr id="190" name="Imagen 189">
          <a:extLst>
            <a:ext uri="{FF2B5EF4-FFF2-40B4-BE49-F238E27FC236}">
              <a16:creationId xmlns:a16="http://schemas.microsoft.com/office/drawing/2014/main" id="{00000000-0008-0000-0300-0000BE000000}"/>
            </a:ext>
          </a:extLst>
        </xdr:cNvPr>
        <xdr:cNvPicPr>
          <a:picLocks noChangeAspect="1"/>
        </xdr:cNvPicPr>
      </xdr:nvPicPr>
      <xdr:blipFill>
        <a:blip xmlns:r="http://schemas.openxmlformats.org/officeDocument/2006/relationships" r:embed="rId1"/>
        <a:stretch>
          <a:fillRect/>
        </a:stretch>
      </xdr:blipFill>
      <xdr:spPr>
        <a:xfrm>
          <a:off x="66676" y="1690487474"/>
          <a:ext cx="1033158" cy="577093"/>
        </a:xfrm>
        <a:prstGeom prst="rect">
          <a:avLst/>
        </a:prstGeom>
      </xdr:spPr>
    </xdr:pic>
    <xdr:clientData/>
  </xdr:oneCellAnchor>
  <xdr:oneCellAnchor>
    <xdr:from>
      <xdr:col>0</xdr:col>
      <xdr:colOff>66676</xdr:colOff>
      <xdr:row>7662</xdr:row>
      <xdr:rowOff>28574</xdr:rowOff>
    </xdr:from>
    <xdr:ext cx="1033158" cy="577093"/>
    <xdr:pic>
      <xdr:nvPicPr>
        <xdr:cNvPr id="191" name="Imagen 190">
          <a:extLst>
            <a:ext uri="{FF2B5EF4-FFF2-40B4-BE49-F238E27FC236}">
              <a16:creationId xmlns:a16="http://schemas.microsoft.com/office/drawing/2014/main" id="{00000000-0008-0000-0300-0000BF000000}"/>
            </a:ext>
          </a:extLst>
        </xdr:cNvPr>
        <xdr:cNvPicPr>
          <a:picLocks noChangeAspect="1"/>
        </xdr:cNvPicPr>
      </xdr:nvPicPr>
      <xdr:blipFill>
        <a:blip xmlns:r="http://schemas.openxmlformats.org/officeDocument/2006/relationships" r:embed="rId1"/>
        <a:stretch>
          <a:fillRect/>
        </a:stretch>
      </xdr:blipFill>
      <xdr:spPr>
        <a:xfrm>
          <a:off x="66676" y="1702098449"/>
          <a:ext cx="1033158" cy="577093"/>
        </a:xfrm>
        <a:prstGeom prst="rect">
          <a:avLst/>
        </a:prstGeom>
      </xdr:spPr>
    </xdr:pic>
    <xdr:clientData/>
  </xdr:oneCellAnchor>
  <xdr:oneCellAnchor>
    <xdr:from>
      <xdr:col>0</xdr:col>
      <xdr:colOff>66676</xdr:colOff>
      <xdr:row>7714</xdr:row>
      <xdr:rowOff>28574</xdr:rowOff>
    </xdr:from>
    <xdr:ext cx="1033158" cy="577093"/>
    <xdr:pic>
      <xdr:nvPicPr>
        <xdr:cNvPr id="192" name="Imagen 191">
          <a:extLst>
            <a:ext uri="{FF2B5EF4-FFF2-40B4-BE49-F238E27FC236}">
              <a16:creationId xmlns:a16="http://schemas.microsoft.com/office/drawing/2014/main" id="{00000000-0008-0000-0300-0000C0000000}"/>
            </a:ext>
          </a:extLst>
        </xdr:cNvPr>
        <xdr:cNvPicPr>
          <a:picLocks noChangeAspect="1"/>
        </xdr:cNvPicPr>
      </xdr:nvPicPr>
      <xdr:blipFill>
        <a:blip xmlns:r="http://schemas.openxmlformats.org/officeDocument/2006/relationships" r:embed="rId1"/>
        <a:stretch>
          <a:fillRect/>
        </a:stretch>
      </xdr:blipFill>
      <xdr:spPr>
        <a:xfrm>
          <a:off x="66676" y="1573206149"/>
          <a:ext cx="1033158" cy="577093"/>
        </a:xfrm>
        <a:prstGeom prst="rect">
          <a:avLst/>
        </a:prstGeom>
      </xdr:spPr>
    </xdr:pic>
    <xdr:clientData/>
  </xdr:oneCellAnchor>
  <xdr:oneCellAnchor>
    <xdr:from>
      <xdr:col>0</xdr:col>
      <xdr:colOff>66676</xdr:colOff>
      <xdr:row>7766</xdr:row>
      <xdr:rowOff>28574</xdr:rowOff>
    </xdr:from>
    <xdr:ext cx="1033158" cy="577093"/>
    <xdr:pic>
      <xdr:nvPicPr>
        <xdr:cNvPr id="193" name="Imagen 192">
          <a:extLst>
            <a:ext uri="{FF2B5EF4-FFF2-40B4-BE49-F238E27FC236}">
              <a16:creationId xmlns:a16="http://schemas.microsoft.com/office/drawing/2014/main" id="{00000000-0008-0000-0300-0000C1000000}"/>
            </a:ext>
          </a:extLst>
        </xdr:cNvPr>
        <xdr:cNvPicPr>
          <a:picLocks noChangeAspect="1"/>
        </xdr:cNvPicPr>
      </xdr:nvPicPr>
      <xdr:blipFill>
        <a:blip xmlns:r="http://schemas.openxmlformats.org/officeDocument/2006/relationships" r:embed="rId1"/>
        <a:stretch>
          <a:fillRect/>
        </a:stretch>
      </xdr:blipFill>
      <xdr:spPr>
        <a:xfrm>
          <a:off x="66676" y="1725320399"/>
          <a:ext cx="1033158" cy="577093"/>
        </a:xfrm>
        <a:prstGeom prst="rect">
          <a:avLst/>
        </a:prstGeom>
      </xdr:spPr>
    </xdr:pic>
    <xdr:clientData/>
  </xdr:oneCellAnchor>
  <xdr:oneCellAnchor>
    <xdr:from>
      <xdr:col>0</xdr:col>
      <xdr:colOff>66676</xdr:colOff>
      <xdr:row>7818</xdr:row>
      <xdr:rowOff>28574</xdr:rowOff>
    </xdr:from>
    <xdr:ext cx="1033158" cy="577093"/>
    <xdr:pic>
      <xdr:nvPicPr>
        <xdr:cNvPr id="194" name="Imagen 193">
          <a:extLst>
            <a:ext uri="{FF2B5EF4-FFF2-40B4-BE49-F238E27FC236}">
              <a16:creationId xmlns:a16="http://schemas.microsoft.com/office/drawing/2014/main" id="{00000000-0008-0000-0300-0000C2000000}"/>
            </a:ext>
          </a:extLst>
        </xdr:cNvPr>
        <xdr:cNvPicPr>
          <a:picLocks noChangeAspect="1"/>
        </xdr:cNvPicPr>
      </xdr:nvPicPr>
      <xdr:blipFill>
        <a:blip xmlns:r="http://schemas.openxmlformats.org/officeDocument/2006/relationships" r:embed="rId1"/>
        <a:stretch>
          <a:fillRect/>
        </a:stretch>
      </xdr:blipFill>
      <xdr:spPr>
        <a:xfrm>
          <a:off x="66676" y="1736931374"/>
          <a:ext cx="1033158" cy="577093"/>
        </a:xfrm>
        <a:prstGeom prst="rect">
          <a:avLst/>
        </a:prstGeom>
      </xdr:spPr>
    </xdr:pic>
    <xdr:clientData/>
  </xdr:oneCellAnchor>
  <xdr:oneCellAnchor>
    <xdr:from>
      <xdr:col>0</xdr:col>
      <xdr:colOff>66676</xdr:colOff>
      <xdr:row>7870</xdr:row>
      <xdr:rowOff>28574</xdr:rowOff>
    </xdr:from>
    <xdr:ext cx="1033158" cy="577093"/>
    <xdr:pic>
      <xdr:nvPicPr>
        <xdr:cNvPr id="195" name="Imagen 194">
          <a:extLst>
            <a:ext uri="{FF2B5EF4-FFF2-40B4-BE49-F238E27FC236}">
              <a16:creationId xmlns:a16="http://schemas.microsoft.com/office/drawing/2014/main" id="{00000000-0008-0000-0300-0000C3000000}"/>
            </a:ext>
          </a:extLst>
        </xdr:cNvPr>
        <xdr:cNvPicPr>
          <a:picLocks noChangeAspect="1"/>
        </xdr:cNvPicPr>
      </xdr:nvPicPr>
      <xdr:blipFill>
        <a:blip xmlns:r="http://schemas.openxmlformats.org/officeDocument/2006/relationships" r:embed="rId1"/>
        <a:stretch>
          <a:fillRect/>
        </a:stretch>
      </xdr:blipFill>
      <xdr:spPr>
        <a:xfrm>
          <a:off x="66676" y="1748542349"/>
          <a:ext cx="1033158" cy="577093"/>
        </a:xfrm>
        <a:prstGeom prst="rect">
          <a:avLst/>
        </a:prstGeom>
      </xdr:spPr>
    </xdr:pic>
    <xdr:clientData/>
  </xdr:oneCellAnchor>
  <xdr:oneCellAnchor>
    <xdr:from>
      <xdr:col>0</xdr:col>
      <xdr:colOff>66676</xdr:colOff>
      <xdr:row>7922</xdr:row>
      <xdr:rowOff>28574</xdr:rowOff>
    </xdr:from>
    <xdr:ext cx="1033158" cy="577093"/>
    <xdr:pic>
      <xdr:nvPicPr>
        <xdr:cNvPr id="196" name="Imagen 195">
          <a:extLst>
            <a:ext uri="{FF2B5EF4-FFF2-40B4-BE49-F238E27FC236}">
              <a16:creationId xmlns:a16="http://schemas.microsoft.com/office/drawing/2014/main" id="{00000000-0008-0000-0300-0000C4000000}"/>
            </a:ext>
          </a:extLst>
        </xdr:cNvPr>
        <xdr:cNvPicPr>
          <a:picLocks noChangeAspect="1"/>
        </xdr:cNvPicPr>
      </xdr:nvPicPr>
      <xdr:blipFill>
        <a:blip xmlns:r="http://schemas.openxmlformats.org/officeDocument/2006/relationships" r:embed="rId1"/>
        <a:stretch>
          <a:fillRect/>
        </a:stretch>
      </xdr:blipFill>
      <xdr:spPr>
        <a:xfrm>
          <a:off x="66676" y="1619678624"/>
          <a:ext cx="1033158" cy="577093"/>
        </a:xfrm>
        <a:prstGeom prst="rect">
          <a:avLst/>
        </a:prstGeom>
      </xdr:spPr>
    </xdr:pic>
    <xdr:clientData/>
  </xdr:oneCellAnchor>
  <xdr:oneCellAnchor>
    <xdr:from>
      <xdr:col>0</xdr:col>
      <xdr:colOff>66676</xdr:colOff>
      <xdr:row>7974</xdr:row>
      <xdr:rowOff>28574</xdr:rowOff>
    </xdr:from>
    <xdr:ext cx="1033158" cy="577093"/>
    <xdr:pic>
      <xdr:nvPicPr>
        <xdr:cNvPr id="197" name="Imagen 196">
          <a:extLst>
            <a:ext uri="{FF2B5EF4-FFF2-40B4-BE49-F238E27FC236}">
              <a16:creationId xmlns:a16="http://schemas.microsoft.com/office/drawing/2014/main" id="{00000000-0008-0000-0300-0000C5000000}"/>
            </a:ext>
          </a:extLst>
        </xdr:cNvPr>
        <xdr:cNvPicPr>
          <a:picLocks noChangeAspect="1"/>
        </xdr:cNvPicPr>
      </xdr:nvPicPr>
      <xdr:blipFill>
        <a:blip xmlns:r="http://schemas.openxmlformats.org/officeDocument/2006/relationships" r:embed="rId1"/>
        <a:stretch>
          <a:fillRect/>
        </a:stretch>
      </xdr:blipFill>
      <xdr:spPr>
        <a:xfrm>
          <a:off x="66676" y="1666884524"/>
          <a:ext cx="1033158" cy="577093"/>
        </a:xfrm>
        <a:prstGeom prst="rect">
          <a:avLst/>
        </a:prstGeom>
      </xdr:spPr>
    </xdr:pic>
    <xdr:clientData/>
  </xdr:oneCellAnchor>
  <xdr:oneCellAnchor>
    <xdr:from>
      <xdr:col>0</xdr:col>
      <xdr:colOff>66676</xdr:colOff>
      <xdr:row>9508</xdr:row>
      <xdr:rowOff>28574</xdr:rowOff>
    </xdr:from>
    <xdr:ext cx="1033158" cy="577093"/>
    <xdr:pic>
      <xdr:nvPicPr>
        <xdr:cNvPr id="198" name="Imagen 197">
          <a:extLst>
            <a:ext uri="{FF2B5EF4-FFF2-40B4-BE49-F238E27FC236}">
              <a16:creationId xmlns:a16="http://schemas.microsoft.com/office/drawing/2014/main" id="{00000000-0008-0000-0300-0000C6000000}"/>
            </a:ext>
          </a:extLst>
        </xdr:cNvPr>
        <xdr:cNvPicPr>
          <a:picLocks noChangeAspect="1"/>
        </xdr:cNvPicPr>
      </xdr:nvPicPr>
      <xdr:blipFill>
        <a:blip xmlns:r="http://schemas.openxmlformats.org/officeDocument/2006/relationships" r:embed="rId1"/>
        <a:stretch>
          <a:fillRect/>
        </a:stretch>
      </xdr:blipFill>
      <xdr:spPr>
        <a:xfrm>
          <a:off x="66676" y="2090423174"/>
          <a:ext cx="1033158" cy="577093"/>
        </a:xfrm>
        <a:prstGeom prst="rect">
          <a:avLst/>
        </a:prstGeom>
      </xdr:spPr>
    </xdr:pic>
    <xdr:clientData/>
  </xdr:oneCellAnchor>
  <xdr:oneCellAnchor>
    <xdr:from>
      <xdr:col>0</xdr:col>
      <xdr:colOff>66676</xdr:colOff>
      <xdr:row>8505</xdr:row>
      <xdr:rowOff>28574</xdr:rowOff>
    </xdr:from>
    <xdr:ext cx="1033158" cy="577093"/>
    <xdr:pic>
      <xdr:nvPicPr>
        <xdr:cNvPr id="199" name="Imagen 198">
          <a:extLst>
            <a:ext uri="{FF2B5EF4-FFF2-40B4-BE49-F238E27FC236}">
              <a16:creationId xmlns:a16="http://schemas.microsoft.com/office/drawing/2014/main" id="{00000000-0008-0000-0300-0000C7000000}"/>
            </a:ext>
          </a:extLst>
        </xdr:cNvPr>
        <xdr:cNvPicPr>
          <a:picLocks noChangeAspect="1"/>
        </xdr:cNvPicPr>
      </xdr:nvPicPr>
      <xdr:blipFill>
        <a:blip xmlns:r="http://schemas.openxmlformats.org/officeDocument/2006/relationships" r:embed="rId1"/>
        <a:stretch>
          <a:fillRect/>
        </a:stretch>
      </xdr:blipFill>
      <xdr:spPr>
        <a:xfrm>
          <a:off x="66676" y="1889226599"/>
          <a:ext cx="1033158" cy="577093"/>
        </a:xfrm>
        <a:prstGeom prst="rect">
          <a:avLst/>
        </a:prstGeom>
      </xdr:spPr>
    </xdr:pic>
    <xdr:clientData/>
  </xdr:oneCellAnchor>
  <xdr:oneCellAnchor>
    <xdr:from>
      <xdr:col>0</xdr:col>
      <xdr:colOff>66676</xdr:colOff>
      <xdr:row>8560</xdr:row>
      <xdr:rowOff>28574</xdr:rowOff>
    </xdr:from>
    <xdr:ext cx="1033158" cy="577093"/>
    <xdr:pic>
      <xdr:nvPicPr>
        <xdr:cNvPr id="200" name="Imagen 199">
          <a:extLst>
            <a:ext uri="{FF2B5EF4-FFF2-40B4-BE49-F238E27FC236}">
              <a16:creationId xmlns:a16="http://schemas.microsoft.com/office/drawing/2014/main" id="{00000000-0008-0000-0300-0000C8000000}"/>
            </a:ext>
          </a:extLst>
        </xdr:cNvPr>
        <xdr:cNvPicPr>
          <a:picLocks noChangeAspect="1"/>
        </xdr:cNvPicPr>
      </xdr:nvPicPr>
      <xdr:blipFill>
        <a:blip xmlns:r="http://schemas.openxmlformats.org/officeDocument/2006/relationships" r:embed="rId1"/>
        <a:stretch>
          <a:fillRect/>
        </a:stretch>
      </xdr:blipFill>
      <xdr:spPr>
        <a:xfrm>
          <a:off x="66676" y="1817741474"/>
          <a:ext cx="1033158" cy="577093"/>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Cantidades%20buenavista%20con%20precios%20unitarios%20Camelec%20nuev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umbahabana\Users\Rumba%20Habana\Documents\Ing.%20Roxana%20Santiago\Proyectos%20Ing\RSantiago\APU's%20RSB.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mbahabana\olimpica\olimpica%20buena%20vista\Cantidades%20buenavista%20Cuadro%20camelec%20mayo%2020%202012%20rev%20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Users\USER\Desktop\Varios\Alvaro\Monomeros\Copia%20de%20Cotizacion%20Monomero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Rumbahabana\Users\Rumba%20Habana\Documents\Listado%20electrico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Rumbahabana\Users\Rumba%20Habana\Desktop\FORMATO.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navarro\Desktop\AGM%20Desarrollos\Construccion\Ucaps\Mompox\PROPUESTA%20UCAPS%20MOMPOX-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o"/>
      <sheetName val="Formulario 1"/>
      <sheetName val="Insumos"/>
      <sheetName val="materiales laum"/>
    </sheetNames>
    <sheetDataSet>
      <sheetData sheetId="0">
        <row r="3">
          <cell r="A3" t="str">
            <v>ITEM</v>
          </cell>
          <cell r="B3" t="str">
            <v>DESCRIPCION</v>
          </cell>
          <cell r="D3" t="str">
            <v>UNIDAD</v>
          </cell>
          <cell r="E3" t="str">
            <v>CANTIDAD</v>
          </cell>
          <cell r="F3" t="str">
            <v>PRECIO UNITARIO</v>
          </cell>
          <cell r="G3" t="str">
            <v>PRECIO TOTAL</v>
          </cell>
        </row>
        <row r="4">
          <cell r="A4" t="str">
            <v>Capitulo: 02</v>
          </cell>
          <cell r="B4" t="str">
            <v>CIRCUITO RAMALES ILUINACION.</v>
          </cell>
        </row>
        <row r="5">
          <cell r="A5" t="str">
            <v>Sub-Capitulo: 01</v>
          </cell>
          <cell r="B5" t="str">
            <v>ILUMINACION INTERIOR.</v>
          </cell>
        </row>
        <row r="6">
          <cell r="A6" t="str">
            <v>2427</v>
          </cell>
          <cell r="B6" t="str">
            <v>Alimentador en  2#12 alambre de cobre forrado+ 1#12 alambre de cobre desnudo ducto PVC subterraneo Ø 1/2".</v>
          </cell>
          <cell r="D6" t="str">
            <v xml:space="preserve">ML   </v>
          </cell>
          <cell r="E6">
            <v>200</v>
          </cell>
          <cell r="F6">
            <v>5916</v>
          </cell>
          <cell r="G6">
            <v>1183200</v>
          </cell>
        </row>
        <row r="7">
          <cell r="A7" t="str">
            <v>6628</v>
          </cell>
          <cell r="B7" t="str">
            <v xml:space="preserve">Alimentador sin canalizacion  en 2#12 (F) + 2#12(N) cable cobre forrado + 1#12 (T) alambre de cobre desnudo. </v>
          </cell>
          <cell r="D7" t="str">
            <v xml:space="preserve">ML   </v>
          </cell>
          <cell r="E7">
            <v>380</v>
          </cell>
          <cell r="F7">
            <v>7613</v>
          </cell>
          <cell r="G7">
            <v>2892940</v>
          </cell>
        </row>
        <row r="8">
          <cell r="A8" t="str">
            <v>6149</v>
          </cell>
          <cell r="B8" t="str">
            <v>Alimentador sin canalizacion en cable de instrumentacion 18X18 + 20 apantallado.</v>
          </cell>
          <cell r="D8" t="str">
            <v xml:space="preserve">ML   </v>
          </cell>
          <cell r="E8">
            <v>80</v>
          </cell>
          <cell r="F8">
            <v>18201</v>
          </cell>
          <cell r="G8">
            <v>1456080</v>
          </cell>
        </row>
        <row r="9">
          <cell r="A9" t="str">
            <v>4205</v>
          </cell>
          <cell r="B9" t="str">
            <v xml:space="preserve">Salida iluminación 110V (2#12 cable de cobre forrado+1#12 alambre de cobre desnudo, ø 1/2") ducto EMT sobrepuesto, rvi </v>
          </cell>
          <cell r="D9" t="str">
            <v xml:space="preserve">UNI  </v>
          </cell>
          <cell r="E9">
            <v>85</v>
          </cell>
          <cell r="F9">
            <v>100277</v>
          </cell>
          <cell r="G9">
            <v>8523545</v>
          </cell>
        </row>
        <row r="10">
          <cell r="A10" t="str">
            <v>4582</v>
          </cell>
          <cell r="B10" t="str">
            <v xml:space="preserve">Salida iluminación 110V (2#12 alambre de cobre forrado+2#12 alambre de cobre desnudo, ø 1/2") ducto pvc subterraneo o incrustado, rvi </v>
          </cell>
          <cell r="D10" t="str">
            <v xml:space="preserve">UNI  </v>
          </cell>
          <cell r="E10">
            <v>146</v>
          </cell>
          <cell r="F10">
            <v>77583</v>
          </cell>
          <cell r="G10">
            <v>11327118</v>
          </cell>
        </row>
        <row r="11">
          <cell r="A11" t="str">
            <v>6629</v>
          </cell>
          <cell r="B11" t="str">
            <v>Salida iluminación 110V (2#12 (F) + 2#12 (N) alambre de cobre forrado+1#12 alambre de cobre desnudo) sin canalizacion, rvi para lamparas en Area de venta.</v>
          </cell>
          <cell r="D11" t="str">
            <v xml:space="preserve">UNI  </v>
          </cell>
          <cell r="E11">
            <v>39</v>
          </cell>
          <cell r="F11">
            <v>39019</v>
          </cell>
          <cell r="G11">
            <v>1521741</v>
          </cell>
        </row>
        <row r="12">
          <cell r="A12" t="str">
            <v>5750</v>
          </cell>
          <cell r="B12" t="str">
            <v>Suministro e instalacion de Iluminacion decorativa de color azul, fluorescente 32 W T8 con balasto phillips advance compartido 4x32W lineal.</v>
          </cell>
          <cell r="D12" t="str">
            <v xml:space="preserve">ML   </v>
          </cell>
          <cell r="E12">
            <v>45</v>
          </cell>
          <cell r="F12">
            <v>78343</v>
          </cell>
          <cell r="G12">
            <v>3525435</v>
          </cell>
        </row>
        <row r="13">
          <cell r="A13" t="str">
            <v>6107</v>
          </cell>
          <cell r="B13" t="str">
            <v>Suministro e instalacion de Iluminacion decorativa de color rojo, fluorescente 32 W T8 con balasto phillips advance compartido 4x32W lineal.</v>
          </cell>
          <cell r="D13" t="str">
            <v xml:space="preserve">ML   </v>
          </cell>
          <cell r="E13">
            <v>15</v>
          </cell>
          <cell r="F13">
            <v>77967</v>
          </cell>
          <cell r="G13">
            <v>1169505</v>
          </cell>
        </row>
        <row r="14">
          <cell r="A14" t="str">
            <v>6108</v>
          </cell>
          <cell r="B14" t="str">
            <v>Suministro e instalacion de Iluminacion decorativa de color verde, fluorescente 32 W T8 con balasto phillips advance compartido 4x32W lineal.</v>
          </cell>
          <cell r="D14" t="str">
            <v xml:space="preserve">ML   </v>
          </cell>
          <cell r="E14">
            <v>20</v>
          </cell>
          <cell r="F14">
            <v>77967</v>
          </cell>
          <cell r="G14">
            <v>1559340</v>
          </cell>
        </row>
        <row r="15">
          <cell r="A15" t="str">
            <v>5745</v>
          </cell>
          <cell r="B15" t="str">
            <v>Guaya galvanizada de 3/16" con perros y anclajes (Doble altura).</v>
          </cell>
          <cell r="D15" t="str">
            <v xml:space="preserve">ML   </v>
          </cell>
          <cell r="E15">
            <v>300</v>
          </cell>
          <cell r="F15">
            <v>3824</v>
          </cell>
          <cell r="G15">
            <v>1147200</v>
          </cell>
        </row>
        <row r="16">
          <cell r="A16" t="str">
            <v>5746</v>
          </cell>
          <cell r="B16" t="str">
            <v>Guaya galvanizada de 1/8" con perros y anclajes (Doble altura).</v>
          </cell>
          <cell r="D16" t="str">
            <v xml:space="preserve">ML   </v>
          </cell>
          <cell r="E16">
            <v>250</v>
          </cell>
          <cell r="F16">
            <v>3676</v>
          </cell>
          <cell r="G16">
            <v>919000</v>
          </cell>
        </row>
        <row r="17">
          <cell r="A17" t="str">
            <v>2147</v>
          </cell>
          <cell r="B17" t="str">
            <v xml:space="preserve">Panel de control de Iluminacion (PCI), de 30X20X10 CM metalico, con 13 Selectores de 15A. Incluye riel omega, canaleta plastica, 28 borneras plasticas de 20A. Identificacion de interruptores, </v>
          </cell>
          <cell r="D17" t="str">
            <v xml:space="preserve">UNI  </v>
          </cell>
          <cell r="E17">
            <v>1</v>
          </cell>
          <cell r="F17">
            <v>975801</v>
          </cell>
          <cell r="G17">
            <v>975801</v>
          </cell>
        </row>
        <row r="18">
          <cell r="A18" t="str">
            <v>6109</v>
          </cell>
          <cell r="B18" t="str">
            <v xml:space="preserve">Panel de maniobra para Iluminacion (PMI), de 100X80X30 CM metalico, con 13 multinueve de 2x25A, 13 contactores de 25A en AC1. Incluye riel omega, barraje, canaleta plastica, frente muerto, 120 borneras plasticas de 20A. Identificacion. </v>
          </cell>
          <cell r="D18" t="str">
            <v xml:space="preserve">UNI  </v>
          </cell>
          <cell r="E18">
            <v>1</v>
          </cell>
          <cell r="F18">
            <v>2924905</v>
          </cell>
          <cell r="G18">
            <v>2924905</v>
          </cell>
        </row>
        <row r="19">
          <cell r="A19" t="str">
            <v>4401</v>
          </cell>
          <cell r="B19" t="str">
            <v xml:space="preserve">Salida en Interruptor Sencillo incrustar luz piloto con polo a tierra linea Decora 15A 110V (2#12 alambre de cobre forrado, ø 1/2") ducto PVC  rvi </v>
          </cell>
          <cell r="D19" t="str">
            <v xml:space="preserve">UNI  </v>
          </cell>
          <cell r="E19">
            <v>30</v>
          </cell>
          <cell r="F19">
            <v>44587</v>
          </cell>
          <cell r="G19">
            <v>1337610</v>
          </cell>
        </row>
        <row r="20">
          <cell r="A20" t="str">
            <v>5737</v>
          </cell>
          <cell r="B20" t="str">
            <v>Salida en Interruptor Doble incrustar Luz Piloto con polo a tierra linea Decora 15A 110V (3#12 acf + 1#12 acd) ducto PVC Ø 1/2"  rvi.</v>
          </cell>
          <cell r="D20" t="str">
            <v xml:space="preserve">UNI  </v>
          </cell>
          <cell r="E20">
            <v>4</v>
          </cell>
          <cell r="F20">
            <v>90021</v>
          </cell>
          <cell r="G20">
            <v>360084</v>
          </cell>
        </row>
        <row r="21">
          <cell r="A21" t="str">
            <v>6820</v>
          </cell>
          <cell r="B21" t="str">
            <v>Salida en Interruptor conmutable sencillo de incrustar  Luz Piloto con polo a tierra linea Decora 15A 110V (3#12 acf +1#12 acd) ducto PVC Ø 1/2"  rvi.</v>
          </cell>
          <cell r="D21" t="str">
            <v xml:space="preserve">UNI  </v>
          </cell>
          <cell r="E21">
            <v>8</v>
          </cell>
          <cell r="F21">
            <v>72906</v>
          </cell>
          <cell r="G21">
            <v>583248</v>
          </cell>
        </row>
        <row r="22">
          <cell r="A22" t="str">
            <v>6874</v>
          </cell>
          <cell r="B22" t="str">
            <v>Salida en Interruptor Sencillo sobreponer  Luz Piloto con polo a tierra linea Decora 15A 110V (2#12 acf +1#12 acd) ducto EMT Ø 1/2"  rvi caja de aluminio Rawelt sobrepuesta con accesorios de banda doble ala.</v>
          </cell>
          <cell r="D22" t="str">
            <v xml:space="preserve">UNI  </v>
          </cell>
          <cell r="E22">
            <v>6</v>
          </cell>
          <cell r="F22">
            <v>88079</v>
          </cell>
          <cell r="G22">
            <v>528474</v>
          </cell>
        </row>
        <row r="23">
          <cell r="A23" t="str">
            <v>7031</v>
          </cell>
          <cell r="B23" t="str">
            <v xml:space="preserve">Salida en Interruptor Doble sobreponer  Luz Piloto con polo a tierra linea Decora 15A 110V (3#12 cable de cobre forrado + 1#12 cable de cobre desnudo) ducto EMT Ø 1/2"  rvi caja de AL Rawelt sobrepuesta con accesorios de banda doble ala. </v>
          </cell>
          <cell r="D23" t="str">
            <v xml:space="preserve">UNI  </v>
          </cell>
          <cell r="E23">
            <v>6</v>
          </cell>
          <cell r="F23">
            <v>107310</v>
          </cell>
          <cell r="G23">
            <v>643860</v>
          </cell>
        </row>
        <row r="24">
          <cell r="F24" t="str">
            <v>Valor Sub-Capitulo $</v>
          </cell>
          <cell r="G24">
            <v>42579086</v>
          </cell>
        </row>
        <row r="25">
          <cell r="A25" t="str">
            <v>Sub-Capitulo: 02</v>
          </cell>
          <cell r="B25" t="str">
            <v>ILUMINACION EXTERIOR.</v>
          </cell>
        </row>
        <row r="26">
          <cell r="A26" t="str">
            <v>6647</v>
          </cell>
          <cell r="B26" t="str">
            <v>Alimentador en 2X2#10(F) cable de cobre forrado + 1#10(T) alambre de cobre desnudo ducto PVC Ø 3/4".</v>
          </cell>
          <cell r="D26" t="str">
            <v xml:space="preserve">ML   </v>
          </cell>
          <cell r="E26">
            <v>200</v>
          </cell>
          <cell r="F26">
            <v>11778</v>
          </cell>
          <cell r="G26">
            <v>2355600</v>
          </cell>
        </row>
        <row r="27">
          <cell r="A27" t="str">
            <v>2513</v>
          </cell>
          <cell r="B27" t="str">
            <v>Alimentador en 3#10 + 1#10 cable de cobre forrado+ 10t alambre de cobre desnudo ducto  PVC 3/4".  AVISO LUMINOSO.</v>
          </cell>
          <cell r="D27" t="str">
            <v xml:space="preserve">ML   </v>
          </cell>
          <cell r="E27">
            <v>100</v>
          </cell>
          <cell r="F27">
            <v>13898</v>
          </cell>
          <cell r="G27">
            <v>1389800</v>
          </cell>
        </row>
        <row r="28">
          <cell r="A28" t="str">
            <v>5756</v>
          </cell>
          <cell r="B28" t="str">
            <v>Salida para iluminación 220V (2#10 ccf+1#10 acd), ducto pvc 3/4" rix.</v>
          </cell>
          <cell r="D28" t="str">
            <v xml:space="preserve">UNI  </v>
          </cell>
          <cell r="E28">
            <v>108</v>
          </cell>
          <cell r="F28">
            <v>61418</v>
          </cell>
          <cell r="G28">
            <v>6633144</v>
          </cell>
        </row>
        <row r="29">
          <cell r="A29" t="str">
            <v>6090</v>
          </cell>
          <cell r="B29" t="str">
            <v>Fotocontrol Automatico de iluminacion en cofre plastico intemperie con un contactor y una fotocelda  220V-32A</v>
          </cell>
          <cell r="D29" t="str">
            <v xml:space="preserve">UNI  </v>
          </cell>
          <cell r="E29">
            <v>5</v>
          </cell>
          <cell r="F29">
            <v>609340</v>
          </cell>
          <cell r="G29">
            <v>3046700</v>
          </cell>
        </row>
        <row r="30">
          <cell r="A30" t="str">
            <v>Capitulo: 03</v>
          </cell>
          <cell r="B30" t="str">
            <v>MONTAJE DE LA ILUMINACION.</v>
          </cell>
          <cell r="G30">
            <v>0</v>
          </cell>
        </row>
        <row r="31">
          <cell r="A31" t="str">
            <v>6112</v>
          </cell>
          <cell r="B31" t="str">
            <v>Montaje y conexion de balasto bateria electronico como soporte para luz de emergencia</v>
          </cell>
          <cell r="C31" t="str">
            <v xml:space="preserve">UNI  </v>
          </cell>
          <cell r="D31" t="str">
            <v xml:space="preserve">UNI  </v>
          </cell>
          <cell r="E31">
            <v>45</v>
          </cell>
          <cell r="F31">
            <v>7191</v>
          </cell>
          <cell r="G31">
            <v>323595</v>
          </cell>
        </row>
        <row r="32">
          <cell r="A32" t="str">
            <v>6113</v>
          </cell>
          <cell r="B32" t="str">
            <v>Montaje y conexion de aviso para senalizacion salida de emergencia</v>
          </cell>
          <cell r="D32" t="str">
            <v xml:space="preserve">UNI  </v>
          </cell>
          <cell r="E32">
            <v>13</v>
          </cell>
          <cell r="F32">
            <v>16635</v>
          </cell>
          <cell r="G32">
            <v>216255</v>
          </cell>
        </row>
        <row r="33">
          <cell r="A33" t="str">
            <v>1572</v>
          </cell>
          <cell r="B33" t="str">
            <v>Montaje y conexion de reflector tipo RRA 250W</v>
          </cell>
          <cell r="D33" t="str">
            <v xml:space="preserve">UNI  </v>
          </cell>
          <cell r="E33">
            <v>4</v>
          </cell>
          <cell r="F33">
            <v>23319</v>
          </cell>
          <cell r="G33">
            <v>93276</v>
          </cell>
        </row>
        <row r="34">
          <cell r="A34" t="str">
            <v>1788</v>
          </cell>
          <cell r="B34" t="str">
            <v>Montaje y conexion de Reflector tipo RRA 400W.</v>
          </cell>
          <cell r="D34" t="str">
            <v xml:space="preserve">UNI  </v>
          </cell>
          <cell r="E34">
            <v>11</v>
          </cell>
          <cell r="F34">
            <v>26614</v>
          </cell>
          <cell r="G34">
            <v>292754</v>
          </cell>
        </row>
        <row r="35">
          <cell r="A35" t="str">
            <v>0858</v>
          </cell>
          <cell r="B35" t="str">
            <v xml:space="preserve">Montaje y conexion de lampara Fluorescente hermetica 2x32W, 48" T12 o T8 (2 - 3 o 4 tubos) altura normal. </v>
          </cell>
          <cell r="D35" t="str">
            <v xml:space="preserve">UNI  </v>
          </cell>
          <cell r="E35">
            <v>61</v>
          </cell>
          <cell r="F35">
            <v>14755</v>
          </cell>
          <cell r="G35">
            <v>900055</v>
          </cell>
        </row>
        <row r="36">
          <cell r="A36" t="str">
            <v>3392</v>
          </cell>
          <cell r="B36" t="str">
            <v xml:space="preserve">Montaje y conexion de lampara Fluorescente 2x32W, 48" T12 o T8 (2 - 3 o 4 tubos) altura normal. </v>
          </cell>
          <cell r="D36" t="str">
            <v xml:space="preserve">UNI  </v>
          </cell>
          <cell r="E36">
            <v>12</v>
          </cell>
          <cell r="F36">
            <v>14149</v>
          </cell>
          <cell r="G36">
            <v>169788</v>
          </cell>
        </row>
        <row r="37">
          <cell r="A37" t="str">
            <v>6733</v>
          </cell>
          <cell r="B37" t="str">
            <v>Montaje y conexion de lampara tipo industrial  hasta 70W suspendida del techo (h=5M)</v>
          </cell>
          <cell r="D37" t="str">
            <v xml:space="preserve">UNI  </v>
          </cell>
          <cell r="E37">
            <v>18</v>
          </cell>
          <cell r="F37">
            <v>19455</v>
          </cell>
          <cell r="G37">
            <v>350190</v>
          </cell>
        </row>
        <row r="38">
          <cell r="A38" t="str">
            <v>6735</v>
          </cell>
          <cell r="B38" t="str">
            <v>Montaje y conexion de lampara tipo industrial 150W suspendida del techo (h=7M)</v>
          </cell>
          <cell r="D38" t="str">
            <v xml:space="preserve">UNI  </v>
          </cell>
          <cell r="E38">
            <v>78</v>
          </cell>
          <cell r="F38">
            <v>17874</v>
          </cell>
          <cell r="G38">
            <v>1394172</v>
          </cell>
        </row>
        <row r="39">
          <cell r="A39" t="str">
            <v>7128</v>
          </cell>
          <cell r="B39" t="str">
            <v>Montaje y conexion de Luminaria fluorescente de sobreponer de 30x122 cm, triangular. 4 o 6 tubos 54W, T5 HIGH BAY o similar.</v>
          </cell>
          <cell r="D39" t="str">
            <v xml:space="preserve">UNI  </v>
          </cell>
          <cell r="E39">
            <v>39</v>
          </cell>
          <cell r="F39">
            <v>18015</v>
          </cell>
          <cell r="G39">
            <v>702585</v>
          </cell>
        </row>
        <row r="40">
          <cell r="A40" t="str">
            <v>1787</v>
          </cell>
          <cell r="B40" t="str">
            <v xml:space="preserve">Montaje y conexion de lampara tipo Ojo de buey 110V. </v>
          </cell>
          <cell r="D40" t="str">
            <v xml:space="preserve">UNI  </v>
          </cell>
          <cell r="E40">
            <v>74</v>
          </cell>
          <cell r="F40">
            <v>11235</v>
          </cell>
          <cell r="G40">
            <v>831390</v>
          </cell>
        </row>
        <row r="41">
          <cell r="A41" t="str">
            <v>5864</v>
          </cell>
          <cell r="B41" t="str">
            <v xml:space="preserve">Montaje y conexion de lampara tipo Tortuga  110V. </v>
          </cell>
          <cell r="D41" t="str">
            <v xml:space="preserve">UNI  </v>
          </cell>
          <cell r="E41">
            <v>5</v>
          </cell>
          <cell r="F41">
            <v>12375</v>
          </cell>
          <cell r="G41">
            <v>61875</v>
          </cell>
        </row>
        <row r="42">
          <cell r="A42" t="str">
            <v>6111</v>
          </cell>
          <cell r="B42" t="str">
            <v xml:space="preserve">Montaje y conexion de lampara tipo Spot en riel  110V. </v>
          </cell>
          <cell r="D42" t="str">
            <v xml:space="preserve">UNI  </v>
          </cell>
          <cell r="E42">
            <v>32</v>
          </cell>
          <cell r="F42">
            <v>12375</v>
          </cell>
          <cell r="G42">
            <v>396000</v>
          </cell>
        </row>
        <row r="43">
          <cell r="A43" t="str">
            <v>2260</v>
          </cell>
          <cell r="B43" t="str">
            <v xml:space="preserve">Montaje e instalacion de luminaria fluorescente 2x32w T8 Celdas sobrep.o incrust. </v>
          </cell>
          <cell r="D43" t="str">
            <v xml:space="preserve">UNI  </v>
          </cell>
          <cell r="E43">
            <v>8</v>
          </cell>
          <cell r="F43">
            <v>14585</v>
          </cell>
          <cell r="G43">
            <v>116680</v>
          </cell>
        </row>
        <row r="44">
          <cell r="A44" t="str">
            <v>5769</v>
          </cell>
          <cell r="B44" t="str">
            <v>Montaje y conexion de lampara Fluorescente hermeticas 2x54W, 48" T5 (2 - 3 o 4 tubos) altura normal.</v>
          </cell>
          <cell r="D44" t="str">
            <v xml:space="preserve">UNI  </v>
          </cell>
          <cell r="E44">
            <v>33</v>
          </cell>
          <cell r="F44">
            <v>16115</v>
          </cell>
          <cell r="G44">
            <v>531795</v>
          </cell>
        </row>
        <row r="45">
          <cell r="F45" t="str">
            <v>Valor Sub-Capitulo $</v>
          </cell>
          <cell r="G45">
            <v>6380410</v>
          </cell>
        </row>
        <row r="46">
          <cell r="A46" t="str">
            <v>Capitulo: 04</v>
          </cell>
          <cell r="B46" t="str">
            <v>CIRCUITO RAMALES TOMACORRIENTES.</v>
          </cell>
        </row>
        <row r="47">
          <cell r="A47" t="str">
            <v>2427</v>
          </cell>
          <cell r="B47" t="str">
            <v>Alimentador en  2#12 alambre de cobre forrado+ 1#12 alambre de cobre desnudo ducto PVC subterraneo Ø 1/2".</v>
          </cell>
          <cell r="D47" t="str">
            <v xml:space="preserve">ML   </v>
          </cell>
          <cell r="E47">
            <v>100</v>
          </cell>
          <cell r="F47">
            <v>5943</v>
          </cell>
          <cell r="G47">
            <v>594300</v>
          </cell>
        </row>
        <row r="48">
          <cell r="A48" t="str">
            <v>2491</v>
          </cell>
          <cell r="B48" t="str">
            <v xml:space="preserve">Alimentador en 3#10 alambre de cobre forrado + 1#10 (T) alambre de cobre desnudo ducto PVC 3/4". </v>
          </cell>
          <cell r="D48" t="str">
            <v xml:space="preserve">ML   </v>
          </cell>
          <cell r="E48">
            <v>50</v>
          </cell>
          <cell r="F48">
            <v>10115</v>
          </cell>
          <cell r="G48">
            <v>505750</v>
          </cell>
        </row>
        <row r="49">
          <cell r="A49" t="str">
            <v>0168</v>
          </cell>
          <cell r="B49" t="str">
            <v>Salida Toma Doble polo tierra color Crema, NORMAL (2#12 alambre de cobre forrado+1#12 alambre de cobre desnudo,  Ø 1/2"), PVC, 15A rvi</v>
          </cell>
          <cell r="D49" t="str">
            <v xml:space="preserve">UNI  </v>
          </cell>
          <cell r="E49">
            <v>110</v>
          </cell>
          <cell r="F49">
            <v>72727</v>
          </cell>
          <cell r="G49">
            <v>7999970</v>
          </cell>
        </row>
        <row r="50">
          <cell r="A50" t="str">
            <v>7251</v>
          </cell>
          <cell r="B50" t="str">
            <v>Salida para cajero automatico termina en caja conduit 4x4 PVC (2#8 (F) ccf+1#8 (N) + 1#8 (T) ccd) ducto PVC 3/4" r ix.</v>
          </cell>
          <cell r="D50" t="str">
            <v xml:space="preserve">UNI  </v>
          </cell>
          <cell r="E50">
            <v>2</v>
          </cell>
          <cell r="F50">
            <v>157958</v>
          </cell>
          <cell r="G50">
            <v>315916</v>
          </cell>
        </row>
        <row r="51">
          <cell r="A51" t="str">
            <v>4306</v>
          </cell>
          <cell r="B51" t="str">
            <v>Salida para aire acondicionado de ventana (2#10 + 1#10 alambre de cobre forrado, Ø3/4" PVC) rix</v>
          </cell>
          <cell r="D51" t="str">
            <v xml:space="preserve">UNI  </v>
          </cell>
          <cell r="E51">
            <v>7</v>
          </cell>
          <cell r="F51">
            <v>103461</v>
          </cell>
          <cell r="G51">
            <v>724227</v>
          </cell>
        </row>
        <row r="52">
          <cell r="A52" t="str">
            <v>5777</v>
          </cell>
          <cell r="B52" t="str">
            <v>Salida toma Bifasico tipo locking 2P,3H (2#10 acf+1#10(T) acd) ducto PVC 3/4" 30A nema L-6-30 r ix con el plug.</v>
          </cell>
          <cell r="D52" t="str">
            <v xml:space="preserve">UNI  </v>
          </cell>
          <cell r="E52">
            <v>8</v>
          </cell>
          <cell r="F52">
            <v>198519</v>
          </cell>
          <cell r="G52">
            <v>1588152</v>
          </cell>
        </row>
        <row r="53">
          <cell r="A53" t="str">
            <v>0172</v>
          </cell>
          <cell r="B53" t="str">
            <v>Salida toma trifasico tipo locking 3P,4H (3#10 acf+1#10(T) acd) ducto PVC 3/4" 30A nema L-15-30 r ix con el plug.</v>
          </cell>
          <cell r="D53" t="str">
            <v xml:space="preserve">UNI  </v>
          </cell>
          <cell r="E53">
            <v>17</v>
          </cell>
          <cell r="F53">
            <v>218733</v>
          </cell>
          <cell r="G53">
            <v>3718461</v>
          </cell>
        </row>
        <row r="54">
          <cell r="A54" t="str">
            <v>0500</v>
          </cell>
          <cell r="B54" t="str">
            <v>Salida toma trifasico tipo locking 3P,5H (3#10 acf+1#10(N)+1#10(T) acd) ducto PVC 3/4" 30A nema L-21-30 r ix con el plug</v>
          </cell>
          <cell r="D54" t="str">
            <v xml:space="preserve">UNI  </v>
          </cell>
          <cell r="E54">
            <v>4</v>
          </cell>
          <cell r="F54">
            <v>304561</v>
          </cell>
          <cell r="G54">
            <v>1218244</v>
          </cell>
        </row>
        <row r="55">
          <cell r="A55" t="str">
            <v>0519</v>
          </cell>
          <cell r="B55" t="str">
            <v>Salida en 3#10 acf+1#10 (T) acd) ducto PVC 3/4" termina en caja 4" X 4" 220V rix  EXTRACTORES, ARRANCADORES Y MONTACARGAS.</v>
          </cell>
          <cell r="D55" t="str">
            <v xml:space="preserve">UNI  </v>
          </cell>
          <cell r="E55">
            <v>8</v>
          </cell>
          <cell r="F55">
            <v>128869</v>
          </cell>
          <cell r="G55">
            <v>1030952</v>
          </cell>
        </row>
        <row r="56">
          <cell r="A56" t="str">
            <v>5783</v>
          </cell>
          <cell r="B56" t="str">
            <v>Suministro e Instalación de extractor para baño 6" 110V.</v>
          </cell>
          <cell r="D56" t="str">
            <v xml:space="preserve">UNI  </v>
          </cell>
          <cell r="E56">
            <v>6</v>
          </cell>
          <cell r="G56">
            <v>0</v>
          </cell>
        </row>
        <row r="57">
          <cell r="F57" t="str">
            <v>Valor Sub-Capitulo $</v>
          </cell>
          <cell r="G57">
            <v>17695972</v>
          </cell>
        </row>
        <row r="58">
          <cell r="A58" t="str">
            <v>Capitulo: 05</v>
          </cell>
          <cell r="B58" t="str">
            <v>SEGURIDAD.</v>
          </cell>
        </row>
        <row r="59">
          <cell r="A59" t="str">
            <v>0381</v>
          </cell>
          <cell r="B59" t="str">
            <v xml:space="preserve">Alimentador en 2#12 cable de cobre forrado+ 1#12 cable de cobre forrado verde ducto PVC Ø 1/2". </v>
          </cell>
          <cell r="D59" t="str">
            <v xml:space="preserve">ML   </v>
          </cell>
          <cell r="E59">
            <v>300</v>
          </cell>
          <cell r="F59">
            <v>6474</v>
          </cell>
          <cell r="G59">
            <v>1942200</v>
          </cell>
        </row>
        <row r="60">
          <cell r="A60" t="str">
            <v>5785</v>
          </cell>
          <cell r="B60" t="str">
            <v>Salida para antena sensormatic (2#12 cable de cobre forrado+1#12t cable de cobre forrado, Ø 1/2") ducto PVC. 15A rxv.</v>
          </cell>
          <cell r="D60" t="str">
            <v xml:space="preserve">UNI  </v>
          </cell>
          <cell r="E60">
            <v>10</v>
          </cell>
          <cell r="F60">
            <v>100623</v>
          </cell>
          <cell r="G60">
            <v>1006230</v>
          </cell>
        </row>
        <row r="61">
          <cell r="F61" t="str">
            <v>Valor Sub-Capitulo $</v>
          </cell>
          <cell r="G61">
            <v>2948430</v>
          </cell>
        </row>
        <row r="63">
          <cell r="A63" t="str">
            <v>Capitulo: 06</v>
          </cell>
          <cell r="B63" t="str">
            <v>TELEFONIA.</v>
          </cell>
        </row>
        <row r="64">
          <cell r="A64" t="str">
            <v>7624</v>
          </cell>
          <cell r="B64" t="str">
            <v>Suministro e instalacion de ducto PVC de ø 1" subterraneo. RADIO TELEFONOS, MUSICAR, FIBRA OPTICA, TELEFONIA.</v>
          </cell>
          <cell r="D64" t="str">
            <v xml:space="preserve">ML   </v>
          </cell>
          <cell r="E64">
            <v>60</v>
          </cell>
          <cell r="F64">
            <v>3900</v>
          </cell>
          <cell r="G64">
            <v>234000</v>
          </cell>
        </row>
        <row r="65">
          <cell r="A65" t="str">
            <v>0582</v>
          </cell>
          <cell r="B65" t="str">
            <v xml:space="preserve">Banco de (2)  ductos pvc de 2". </v>
          </cell>
          <cell r="D65" t="str">
            <v xml:space="preserve">ML   </v>
          </cell>
          <cell r="E65">
            <v>30</v>
          </cell>
          <cell r="F65">
            <v>15450</v>
          </cell>
          <cell r="G65">
            <v>463500</v>
          </cell>
        </row>
        <row r="66">
          <cell r="A66" t="str">
            <v>2407</v>
          </cell>
          <cell r="B66" t="str">
            <v xml:space="preserve">Salida toma telefónica Solo ducto pvc de 1/2", termina caja 2"x4"incrustar rix. </v>
          </cell>
          <cell r="D66" t="str">
            <v xml:space="preserve">UNI  </v>
          </cell>
          <cell r="E66">
            <v>10</v>
          </cell>
          <cell r="F66">
            <v>35263</v>
          </cell>
          <cell r="G66">
            <v>352630</v>
          </cell>
        </row>
        <row r="67">
          <cell r="A67" t="str">
            <v>7250</v>
          </cell>
          <cell r="B67" t="str">
            <v xml:space="preserve">Salida toma telefónica en ducto pvc de 1/2", termina caja 2"x4"incrustar incluye cable UTP cat 6 rix. </v>
          </cell>
          <cell r="D67" t="str">
            <v xml:space="preserve">UNI  </v>
          </cell>
          <cell r="E67">
            <v>5</v>
          </cell>
          <cell r="F67">
            <v>33730</v>
          </cell>
          <cell r="G67">
            <v>168650</v>
          </cell>
        </row>
        <row r="68">
          <cell r="A68" t="str">
            <v>2968</v>
          </cell>
          <cell r="B68" t="str">
            <v xml:space="preserve">Strip telefonico en caja de 50  X  50 X 20 CM en lamina calibre #18 con tapa atornillada y bandeja doble fondo en madera. </v>
          </cell>
          <cell r="D68" t="str">
            <v xml:space="preserve">UNI  </v>
          </cell>
          <cell r="E68">
            <v>1</v>
          </cell>
          <cell r="F68">
            <v>93280</v>
          </cell>
          <cell r="G68">
            <v>93280</v>
          </cell>
        </row>
        <row r="69">
          <cell r="F69" t="str">
            <v>Valor Sub-Capitulo $</v>
          </cell>
          <cell r="G69">
            <v>1312060</v>
          </cell>
        </row>
        <row r="71">
          <cell r="A71" t="str">
            <v>Capitulo: 07</v>
          </cell>
          <cell r="B71" t="str">
            <v>DUCTOS Y BANDEJAS PORTACABLES.</v>
          </cell>
        </row>
        <row r="72">
          <cell r="A72" t="str">
            <v>6637</v>
          </cell>
          <cell r="B72" t="str">
            <v>Suministro e instalacion de ducto metalico Calibre # 20, 12 x 5 cm con tapa atornillada pintura electrostatica. incluye accesorios de fijacion y cambio de direccion.</v>
          </cell>
          <cell r="D72" t="str">
            <v xml:space="preserve">ML   </v>
          </cell>
          <cell r="E72">
            <v>130</v>
          </cell>
          <cell r="F72">
            <v>57854</v>
          </cell>
        </row>
        <row r="73">
          <cell r="F73" t="str">
            <v>Valor Sub-Capitulo $</v>
          </cell>
          <cell r="G73">
            <v>0</v>
          </cell>
        </row>
        <row r="75">
          <cell r="A75" t="str">
            <v>Capitulo: 08</v>
          </cell>
          <cell r="B75" t="str">
            <v>PANELES DE DISTRIBUCION Y BREAKERS.</v>
          </cell>
        </row>
        <row r="76">
          <cell r="A76" t="str">
            <v>4952</v>
          </cell>
          <cell r="B76" t="str">
            <v>Tablero de Distribucion Trifásico NTQ, con barraje, puerta, llave y tarjetero, 220A 240V 24 ctos.  PD-2PISO.</v>
          </cell>
          <cell r="D76" t="str">
            <v xml:space="preserve">UNI  </v>
          </cell>
          <cell r="E76">
            <v>1</v>
          </cell>
          <cell r="F76">
            <v>268740</v>
          </cell>
          <cell r="G76">
            <v>268740</v>
          </cell>
        </row>
        <row r="77">
          <cell r="A77" t="str">
            <v>4953</v>
          </cell>
          <cell r="B77" t="str">
            <v>Tablero de Distribucion Trifásico NTQ, con barraje, puerta, llave y tarjetero, 220A 240V 30 ctos  PD-SOTANO.</v>
          </cell>
          <cell r="D77" t="str">
            <v xml:space="preserve">UNI  </v>
          </cell>
          <cell r="E77">
            <v>1</v>
          </cell>
          <cell r="F77">
            <v>285290</v>
          </cell>
          <cell r="G77">
            <v>285290</v>
          </cell>
        </row>
        <row r="78">
          <cell r="A78" t="str">
            <v>4954</v>
          </cell>
          <cell r="B78" t="str">
            <v>Tablero de Distribucion Trifásico NTQ, con barraje, puerta, llave y tarjetero, 220A 240V 36cto  PD-PROCESO DE CARNES.</v>
          </cell>
          <cell r="D78" t="str">
            <v xml:space="preserve">UNI  </v>
          </cell>
          <cell r="E78">
            <v>1</v>
          </cell>
          <cell r="F78">
            <v>357950</v>
          </cell>
          <cell r="G78">
            <v>357950</v>
          </cell>
        </row>
        <row r="79">
          <cell r="A79" t="str">
            <v>4955</v>
          </cell>
          <cell r="B79" t="str">
            <v>Tablero de Distribucion Trifasico NTQ, con barraje, puerta, llave y tarjetero, 220A 240V 42ctos.  PD-TOMAS, PD-PANADERIA, PD-BODEGA.</v>
          </cell>
          <cell r="D79" t="str">
            <v xml:space="preserve">UNI  </v>
          </cell>
          <cell r="E79">
            <v>3</v>
          </cell>
          <cell r="F79">
            <v>348200</v>
          </cell>
          <cell r="G79">
            <v>1044600</v>
          </cell>
        </row>
        <row r="80">
          <cell r="A80" t="str">
            <v>0456</v>
          </cell>
          <cell r="B80" t="str">
            <v xml:space="preserve">Interruptor enchufable Bipolar   de  20A. </v>
          </cell>
          <cell r="D80" t="str">
            <v xml:space="preserve">UNI  </v>
          </cell>
          <cell r="E80">
            <v>12</v>
          </cell>
          <cell r="F80">
            <v>25525</v>
          </cell>
          <cell r="G80">
            <v>306300</v>
          </cell>
        </row>
        <row r="81">
          <cell r="A81" t="str">
            <v>0458</v>
          </cell>
          <cell r="B81" t="str">
            <v xml:space="preserve">Interruptor enchufable Bipolar   de  40A. </v>
          </cell>
          <cell r="D81" t="str">
            <v xml:space="preserve">UNI  </v>
          </cell>
          <cell r="E81">
            <v>2</v>
          </cell>
          <cell r="F81">
            <v>25525</v>
          </cell>
          <cell r="G81">
            <v>51050</v>
          </cell>
        </row>
        <row r="82">
          <cell r="A82" t="str">
            <v>0464</v>
          </cell>
          <cell r="B82" t="str">
            <v xml:space="preserve">Interruptor enchufable Monopolar de  20A. </v>
          </cell>
          <cell r="D82" t="str">
            <v xml:space="preserve">UNI  </v>
          </cell>
          <cell r="E82">
            <v>65</v>
          </cell>
          <cell r="F82">
            <v>9325</v>
          </cell>
          <cell r="G82">
            <v>606125</v>
          </cell>
        </row>
        <row r="83">
          <cell r="A83" t="str">
            <v>0473</v>
          </cell>
          <cell r="B83" t="str">
            <v xml:space="preserve">Interruptor enchufable Tripolar  de  30A. </v>
          </cell>
          <cell r="D83" t="str">
            <v xml:space="preserve">UNI  </v>
          </cell>
          <cell r="E83">
            <v>21</v>
          </cell>
          <cell r="F83">
            <v>45105</v>
          </cell>
          <cell r="G83">
            <v>947205</v>
          </cell>
        </row>
        <row r="84">
          <cell r="A84" t="str">
            <v>4970</v>
          </cell>
          <cell r="B84" t="str">
            <v xml:space="preserve">Interruptor enchufable Monopolar HOMGFI proteccion falla a tierra clase A. de  20A </v>
          </cell>
          <cell r="D84" t="str">
            <v xml:space="preserve">UNI  </v>
          </cell>
          <cell r="E84">
            <v>6</v>
          </cell>
          <cell r="F84">
            <v>232190</v>
          </cell>
          <cell r="G84">
            <v>1393140</v>
          </cell>
        </row>
        <row r="85">
          <cell r="F85" t="str">
            <v>Valor Sub-Capitulo $</v>
          </cell>
          <cell r="G85">
            <v>5260400</v>
          </cell>
        </row>
        <row r="86">
          <cell r="F86" t="str">
            <v>Valor Capitulo $</v>
          </cell>
          <cell r="G86">
            <v>48959496</v>
          </cell>
        </row>
        <row r="154">
          <cell r="B154" t="str">
            <v>TOTAL PRESUPUESTO</v>
          </cell>
          <cell r="G154">
            <v>214737456</v>
          </cell>
        </row>
        <row r="156">
          <cell r="B156" t="str">
            <v xml:space="preserve">ADMINISTRACION </v>
          </cell>
          <cell r="D156">
            <v>0.02</v>
          </cell>
          <cell r="G156">
            <v>4294749.12</v>
          </cell>
        </row>
        <row r="157">
          <cell r="B157" t="str">
            <v>IMPREVISTOS</v>
          </cell>
          <cell r="D157">
            <v>0.01</v>
          </cell>
          <cell r="G157">
            <v>2147374.56</v>
          </cell>
        </row>
        <row r="158">
          <cell r="B158" t="str">
            <v>UTILIDAD</v>
          </cell>
          <cell r="D158">
            <v>0.02</v>
          </cell>
          <cell r="G158">
            <v>4294749.12</v>
          </cell>
        </row>
        <row r="159">
          <cell r="B159" t="str">
            <v>TOTAL A.I.U</v>
          </cell>
          <cell r="D159">
            <v>0.05</v>
          </cell>
          <cell r="G159">
            <v>10736872.800000001</v>
          </cell>
        </row>
        <row r="161">
          <cell r="B161" t="str">
            <v>COSTO TOTAL DE LA SOLICITUD</v>
          </cell>
          <cell r="G161">
            <v>225474328.80000001</v>
          </cell>
        </row>
        <row r="162">
          <cell r="B162" t="str">
            <v>IVA 16%  UTILIDAD</v>
          </cell>
          <cell r="F162">
            <v>0.16</v>
          </cell>
          <cell r="G162">
            <v>687159.85920000006</v>
          </cell>
        </row>
        <row r="163">
          <cell r="B163" t="str">
            <v xml:space="preserve">TOTAL COSTO DE LA OBRA </v>
          </cell>
          <cell r="G163">
            <v>226161488.65920001</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tilla Cotización"/>
      <sheetName val="Plantilla Actividades"/>
      <sheetName val="Actividades"/>
      <sheetName val="Materiales"/>
      <sheetName val="Mano de Obra"/>
      <sheetName val="Instalación P.A.T."/>
      <sheetName val="Sum&amp;Inst. Poste 12x300"/>
      <sheetName val="Mtto. Punto de Conex"/>
    </sheetNames>
    <sheetDataSet>
      <sheetData sheetId="0"/>
      <sheetData sheetId="1"/>
      <sheetData sheetId="2">
        <row r="2">
          <cell r="B2">
            <v>5000001</v>
          </cell>
          <cell r="C2" t="str">
            <v>Suministro e Instalación de Poste 12x300</v>
          </cell>
          <cell r="D2" t="str">
            <v>UND</v>
          </cell>
          <cell r="E2">
            <v>323710</v>
          </cell>
        </row>
        <row r="3">
          <cell r="B3">
            <v>5000002</v>
          </cell>
          <cell r="C3" t="str">
            <v xml:space="preserve">Instalación de Puesta a Tierra en Poste </v>
          </cell>
          <cell r="D3" t="str">
            <v>UND</v>
          </cell>
          <cell r="E3">
            <v>1205603</v>
          </cell>
        </row>
        <row r="4">
          <cell r="B4">
            <v>5000003</v>
          </cell>
          <cell r="C4" t="str">
            <v>Mantenimiento Punto de Conexión</v>
          </cell>
          <cell r="D4" t="str">
            <v>UND</v>
          </cell>
          <cell r="E4">
            <v>7397204.3600000003</v>
          </cell>
        </row>
      </sheetData>
      <sheetData sheetId="3">
        <row r="3">
          <cell r="B3">
            <v>201205</v>
          </cell>
          <cell r="C3" t="str">
            <v>Abrazaderas de 8-9</v>
          </cell>
          <cell r="D3" t="str">
            <v>UND</v>
          </cell>
          <cell r="E3">
            <v>0</v>
          </cell>
        </row>
        <row r="4">
          <cell r="B4">
            <v>201211</v>
          </cell>
          <cell r="C4" t="str">
            <v>Aislador line post 13,2KV</v>
          </cell>
          <cell r="D4" t="str">
            <v>UND</v>
          </cell>
          <cell r="E4">
            <v>85729.8</v>
          </cell>
        </row>
        <row r="5">
          <cell r="B5">
            <v>201228</v>
          </cell>
          <cell r="C5" t="str">
            <v>Alquiler de Grúa</v>
          </cell>
          <cell r="D5" t="str">
            <v>DÍA</v>
          </cell>
          <cell r="E5">
            <v>1000000</v>
          </cell>
        </row>
        <row r="6">
          <cell r="B6">
            <v>201231</v>
          </cell>
          <cell r="C6" t="str">
            <v>Alquiler de Grúa Canasta Aislada</v>
          </cell>
          <cell r="D6" t="str">
            <v>DÍA</v>
          </cell>
          <cell r="E6">
            <v>120000</v>
          </cell>
        </row>
        <row r="7">
          <cell r="B7">
            <v>201217</v>
          </cell>
          <cell r="C7" t="str">
            <v>Arandela de presión 5/8"</v>
          </cell>
          <cell r="D7" t="str">
            <v>UND</v>
          </cell>
          <cell r="E7">
            <v>377</v>
          </cell>
        </row>
        <row r="8">
          <cell r="B8">
            <v>201215</v>
          </cell>
          <cell r="C8" t="str">
            <v>Arandela plana redonda 5/8"</v>
          </cell>
          <cell r="D8" t="str">
            <v>UND</v>
          </cell>
          <cell r="E8">
            <v>754</v>
          </cell>
        </row>
        <row r="9">
          <cell r="B9">
            <v>201226</v>
          </cell>
          <cell r="C9" t="str">
            <v>Cable 2AWG THHN/THWN</v>
          </cell>
          <cell r="D9" t="str">
            <v>UND</v>
          </cell>
          <cell r="E9">
            <v>17830.591999999997</v>
          </cell>
        </row>
        <row r="10">
          <cell r="B10">
            <v>201219</v>
          </cell>
          <cell r="C10" t="str">
            <v>Cable de cobre desnudo #2 AWG</v>
          </cell>
          <cell r="D10" t="str">
            <v>ML</v>
          </cell>
          <cell r="E10">
            <v>10709.816000000001</v>
          </cell>
        </row>
        <row r="11">
          <cell r="B11">
            <v>201206</v>
          </cell>
          <cell r="C11" t="str">
            <v>Cable mensajero 1/4"</v>
          </cell>
          <cell r="D11" t="str">
            <v>ML</v>
          </cell>
          <cell r="E11">
            <v>0</v>
          </cell>
        </row>
        <row r="12">
          <cell r="B12">
            <v>201229</v>
          </cell>
          <cell r="C12" t="str">
            <v>Cable XLPE 35KV 1/0 asilado al 133%</v>
          </cell>
          <cell r="D12" t="str">
            <v>ML</v>
          </cell>
          <cell r="E12">
            <v>7672</v>
          </cell>
        </row>
        <row r="13">
          <cell r="B13">
            <v>201207</v>
          </cell>
          <cell r="C13" t="str">
            <v>Cinta no.23</v>
          </cell>
          <cell r="D13" t="str">
            <v>UND</v>
          </cell>
          <cell r="E13">
            <v>0</v>
          </cell>
        </row>
        <row r="14">
          <cell r="B14">
            <v>201208</v>
          </cell>
          <cell r="C14" t="str">
            <v>Cinta no.33</v>
          </cell>
          <cell r="D14" t="str">
            <v>UND</v>
          </cell>
          <cell r="E14">
            <v>0</v>
          </cell>
        </row>
        <row r="15">
          <cell r="B15">
            <v>201230</v>
          </cell>
          <cell r="C15" t="str">
            <v>Codo sistema modular de 35KV 600A, con adaptador para cable 1/0</v>
          </cell>
          <cell r="D15" t="str">
            <v>UND</v>
          </cell>
          <cell r="E15">
            <v>210000</v>
          </cell>
        </row>
        <row r="16">
          <cell r="B16">
            <v>201220</v>
          </cell>
          <cell r="C16" t="str">
            <v>Cortacircuito completo</v>
          </cell>
          <cell r="D16" t="str">
            <v>UND</v>
          </cell>
          <cell r="E16">
            <v>280000</v>
          </cell>
        </row>
        <row r="17">
          <cell r="B17">
            <v>201225</v>
          </cell>
          <cell r="C17" t="str">
            <v>Cruceta angular metálica de 1,4 mt</v>
          </cell>
          <cell r="D17" t="str">
            <v>UND</v>
          </cell>
          <cell r="E17">
            <v>96512</v>
          </cell>
        </row>
        <row r="18">
          <cell r="B18">
            <v>201210</v>
          </cell>
          <cell r="C18" t="str">
            <v>Cruceta angular metálica de 2,4 mt</v>
          </cell>
          <cell r="D18" t="str">
            <v>UND</v>
          </cell>
          <cell r="E18">
            <v>323843</v>
          </cell>
        </row>
        <row r="19">
          <cell r="B19">
            <v>201222</v>
          </cell>
          <cell r="C19" t="str">
            <v>Descargador de sobretensión</v>
          </cell>
          <cell r="D19" t="str">
            <v>UND</v>
          </cell>
          <cell r="E19">
            <v>167388</v>
          </cell>
        </row>
        <row r="20">
          <cell r="B20">
            <v>201214</v>
          </cell>
          <cell r="C20" t="str">
            <v>Espárrago rosca corrida galvanizado 5/8'' x 22"</v>
          </cell>
          <cell r="D20" t="str">
            <v>UND</v>
          </cell>
          <cell r="E20">
            <v>9802</v>
          </cell>
        </row>
        <row r="21">
          <cell r="B21">
            <v>201227</v>
          </cell>
          <cell r="C21" t="str">
            <v>Fusible de 15 Amp</v>
          </cell>
          <cell r="D21" t="str">
            <v>UND</v>
          </cell>
          <cell r="E21">
            <v>20000</v>
          </cell>
        </row>
        <row r="22">
          <cell r="B22">
            <v>201221</v>
          </cell>
          <cell r="C22" t="str">
            <v>Fusible de 7 Amp</v>
          </cell>
          <cell r="D22" t="str">
            <v>UND</v>
          </cell>
          <cell r="E22">
            <v>57002.400000000001</v>
          </cell>
        </row>
        <row r="23">
          <cell r="B23">
            <v>201223</v>
          </cell>
          <cell r="C23" t="str">
            <v>Juego terminales premoldeados tipo exterior 15KV 2-4/0</v>
          </cell>
          <cell r="D23" t="str">
            <v>UND</v>
          </cell>
          <cell r="E23">
            <v>805422.8</v>
          </cell>
        </row>
        <row r="24">
          <cell r="B24">
            <v>201224</v>
          </cell>
          <cell r="C24" t="str">
            <v xml:space="preserve">Kit deTierra para Terminal Premoldeada 2-350 Kcmil </v>
          </cell>
          <cell r="D24" t="str">
            <v>UND</v>
          </cell>
          <cell r="E24">
            <v>32271.200000000001</v>
          </cell>
        </row>
        <row r="25">
          <cell r="B25">
            <v>201204</v>
          </cell>
          <cell r="C25" t="str">
            <v>Poste 12x300</v>
          </cell>
          <cell r="D25" t="str">
            <v>UND</v>
          </cell>
          <cell r="E25">
            <v>0</v>
          </cell>
        </row>
        <row r="26">
          <cell r="B26">
            <v>201201</v>
          </cell>
          <cell r="C26" t="str">
            <v>Puesta a tierra</v>
          </cell>
          <cell r="D26" t="str">
            <v>UND</v>
          </cell>
          <cell r="E26">
            <v>342241</v>
          </cell>
        </row>
        <row r="27">
          <cell r="B27">
            <v>201213</v>
          </cell>
          <cell r="C27" t="str">
            <v>Soporte vertical de chapa para aislador tipo poste</v>
          </cell>
          <cell r="D27" t="str">
            <v>UND</v>
          </cell>
          <cell r="E27">
            <v>0</v>
          </cell>
        </row>
        <row r="28">
          <cell r="B28">
            <v>201202</v>
          </cell>
          <cell r="C28" t="str">
            <v>Subida Galvanizada 1/2"</v>
          </cell>
          <cell r="D28" t="str">
            <v>UND</v>
          </cell>
          <cell r="E28">
            <v>105000</v>
          </cell>
        </row>
        <row r="29">
          <cell r="B29">
            <v>201209</v>
          </cell>
          <cell r="C29" t="str">
            <v>Tensores 3 ton</v>
          </cell>
          <cell r="D29" t="str">
            <v>UND</v>
          </cell>
          <cell r="E29">
            <v>0</v>
          </cell>
        </row>
        <row r="30">
          <cell r="B30">
            <v>201218</v>
          </cell>
          <cell r="C30" t="str">
            <v>Tuerca hexagonal acero galvanizado 5/8''</v>
          </cell>
          <cell r="D30" t="str">
            <v>UND</v>
          </cell>
          <cell r="E30">
            <v>361.91999999999996</v>
          </cell>
        </row>
        <row r="31">
          <cell r="B31">
            <v>201203</v>
          </cell>
          <cell r="C31" t="str">
            <v>Zunchada Poste</v>
          </cell>
          <cell r="D31" t="str">
            <v>UND</v>
          </cell>
          <cell r="E31">
            <v>19646</v>
          </cell>
        </row>
        <row r="32">
          <cell r="B32">
            <v>201232</v>
          </cell>
          <cell r="E32">
            <v>0</v>
          </cell>
        </row>
        <row r="33">
          <cell r="B33">
            <v>201233</v>
          </cell>
          <cell r="E33">
            <v>0</v>
          </cell>
        </row>
        <row r="34">
          <cell r="B34">
            <v>201234</v>
          </cell>
          <cell r="E34">
            <v>0</v>
          </cell>
        </row>
        <row r="35">
          <cell r="B35">
            <v>201235</v>
          </cell>
          <cell r="E35">
            <v>0</v>
          </cell>
        </row>
        <row r="36">
          <cell r="B36">
            <v>201236</v>
          </cell>
          <cell r="E36">
            <v>0</v>
          </cell>
        </row>
        <row r="37">
          <cell r="B37">
            <v>201237</v>
          </cell>
          <cell r="E37">
            <v>0</v>
          </cell>
        </row>
        <row r="38">
          <cell r="B38">
            <v>201238</v>
          </cell>
          <cell r="E38">
            <v>0</v>
          </cell>
        </row>
        <row r="39">
          <cell r="B39">
            <v>201239</v>
          </cell>
          <cell r="E39">
            <v>0</v>
          </cell>
        </row>
        <row r="40">
          <cell r="B40">
            <v>201240</v>
          </cell>
          <cell r="E40">
            <v>0</v>
          </cell>
        </row>
        <row r="41">
          <cell r="B41">
            <v>201241</v>
          </cell>
          <cell r="E41">
            <v>0</v>
          </cell>
        </row>
        <row r="42">
          <cell r="B42">
            <v>201242</v>
          </cell>
          <cell r="E42">
            <v>0</v>
          </cell>
        </row>
        <row r="43">
          <cell r="B43">
            <v>201243</v>
          </cell>
          <cell r="E43">
            <v>0</v>
          </cell>
        </row>
        <row r="44">
          <cell r="B44">
            <v>201244</v>
          </cell>
          <cell r="E44">
            <v>0</v>
          </cell>
        </row>
        <row r="45">
          <cell r="B45">
            <v>201245</v>
          </cell>
          <cell r="E45">
            <v>0</v>
          </cell>
        </row>
      </sheetData>
      <sheetData sheetId="4">
        <row r="2">
          <cell r="B2">
            <v>2000001</v>
          </cell>
          <cell r="C2" t="str">
            <v>Apertura y cierre de caja primaria</v>
          </cell>
          <cell r="D2" t="str">
            <v>UND</v>
          </cell>
          <cell r="E2">
            <v>30000</v>
          </cell>
        </row>
        <row r="3">
          <cell r="B3">
            <v>2000027</v>
          </cell>
          <cell r="C3" t="str">
            <v>Apertura y cierre de cortacircuitos</v>
          </cell>
          <cell r="D3" t="str">
            <v>UND</v>
          </cell>
          <cell r="E3">
            <v>30000</v>
          </cell>
        </row>
        <row r="4">
          <cell r="B4">
            <v>2000039</v>
          </cell>
          <cell r="C4" t="str">
            <v>Armado e instalación de premoldeados tipo exterior</v>
          </cell>
          <cell r="D4" t="str">
            <v>UND</v>
          </cell>
          <cell r="E4">
            <v>80000</v>
          </cell>
        </row>
        <row r="5">
          <cell r="B5">
            <v>2000002</v>
          </cell>
          <cell r="C5" t="str">
            <v>Cuadrilla Eléctrica</v>
          </cell>
          <cell r="D5" t="str">
            <v>UND</v>
          </cell>
          <cell r="E5">
            <v>343840</v>
          </cell>
        </row>
        <row r="6">
          <cell r="B6">
            <v>2000007</v>
          </cell>
          <cell r="C6" t="str">
            <v>Demolición concreto manual y retiro</v>
          </cell>
          <cell r="D6" t="str">
            <v>M3</v>
          </cell>
          <cell r="E6">
            <v>240643</v>
          </cell>
        </row>
        <row r="7">
          <cell r="B7">
            <v>2000008</v>
          </cell>
          <cell r="C7" t="str">
            <v>Deshincada de poste 10mts hombro</v>
          </cell>
          <cell r="D7" t="str">
            <v>UND</v>
          </cell>
          <cell r="E7">
            <v>171400</v>
          </cell>
        </row>
        <row r="8">
          <cell r="B8">
            <v>2000028</v>
          </cell>
          <cell r="C8" t="str">
            <v>Desmonte de cortacircuitos energizado</v>
          </cell>
          <cell r="D8" t="str">
            <v>UND</v>
          </cell>
          <cell r="E8">
            <v>80000</v>
          </cell>
        </row>
        <row r="9">
          <cell r="B9">
            <v>2000009</v>
          </cell>
          <cell r="C9" t="str">
            <v>Excavación alrededor del poste de concreto</v>
          </cell>
          <cell r="D9" t="str">
            <v>UND</v>
          </cell>
          <cell r="E9">
            <v>48000</v>
          </cell>
        </row>
        <row r="10">
          <cell r="B10">
            <v>2000004</v>
          </cell>
          <cell r="C10" t="str">
            <v>Excavación de hueco para poste</v>
          </cell>
          <cell r="D10" t="str">
            <v>UND</v>
          </cell>
          <cell r="E10">
            <v>20500</v>
          </cell>
        </row>
        <row r="11">
          <cell r="B11">
            <v>2000034</v>
          </cell>
          <cell r="C11" t="str">
            <v>Hincada de poste 12mts</v>
          </cell>
          <cell r="D11" t="str">
            <v>UND</v>
          </cell>
          <cell r="E11">
            <v>130000</v>
          </cell>
        </row>
        <row r="12">
          <cell r="B12">
            <v>2000005</v>
          </cell>
          <cell r="C12" t="str">
            <v>Hincada de poste 12mts a hombro</v>
          </cell>
          <cell r="D12" t="str">
            <v>UND</v>
          </cell>
          <cell r="E12">
            <v>171400</v>
          </cell>
        </row>
        <row r="13">
          <cell r="B13">
            <v>2000026</v>
          </cell>
          <cell r="C13" t="str">
            <v>Instalación cruceta auxiliar</v>
          </cell>
          <cell r="D13" t="str">
            <v>UND</v>
          </cell>
          <cell r="E13">
            <v>175000</v>
          </cell>
        </row>
        <row r="14">
          <cell r="B14">
            <v>2000031</v>
          </cell>
          <cell r="C14" t="str">
            <v>Instalación de acometida BT 4 líneas #2</v>
          </cell>
          <cell r="D14" t="str">
            <v>ML</v>
          </cell>
          <cell r="E14">
            <v>5500</v>
          </cell>
        </row>
        <row r="15">
          <cell r="B15">
            <v>2000037</v>
          </cell>
          <cell r="C15" t="str">
            <v>Instalación de caja y breaker 3x60A</v>
          </cell>
          <cell r="D15" t="str">
            <v>UND</v>
          </cell>
          <cell r="E15">
            <v>85000</v>
          </cell>
        </row>
        <row r="16">
          <cell r="B16">
            <v>2000033</v>
          </cell>
          <cell r="C16" t="str">
            <v>Instalación de cortacircuitos</v>
          </cell>
          <cell r="D16" t="str">
            <v>UND</v>
          </cell>
          <cell r="E16">
            <v>55000</v>
          </cell>
        </row>
        <row r="17">
          <cell r="B17">
            <v>2000029</v>
          </cell>
          <cell r="C17" t="str">
            <v>Instalación de cortacircuitos energizado</v>
          </cell>
          <cell r="D17" t="str">
            <v>UND</v>
          </cell>
          <cell r="E17">
            <v>125000</v>
          </cell>
        </row>
        <row r="18">
          <cell r="B18">
            <v>2000035</v>
          </cell>
          <cell r="C18" t="str">
            <v>Instalación de cruceta sencilla</v>
          </cell>
          <cell r="D18" t="str">
            <v>UND</v>
          </cell>
          <cell r="E18">
            <v>65000</v>
          </cell>
        </row>
        <row r="19">
          <cell r="B19">
            <v>2000032</v>
          </cell>
          <cell r="C19" t="str">
            <v>Instalación de descargador de sobretensión</v>
          </cell>
          <cell r="D19" t="str">
            <v>UND</v>
          </cell>
          <cell r="E19">
            <v>55000</v>
          </cell>
        </row>
        <row r="20">
          <cell r="B20">
            <v>2000036</v>
          </cell>
          <cell r="C20" t="str">
            <v>Instalación de medidor</v>
          </cell>
          <cell r="D20" t="str">
            <v>UND</v>
          </cell>
          <cell r="E20">
            <v>230000</v>
          </cell>
        </row>
        <row r="21">
          <cell r="B21">
            <v>2000003</v>
          </cell>
          <cell r="C21" t="str">
            <v>Instalación de Subida a Poste</v>
          </cell>
          <cell r="D21" t="str">
            <v>UND</v>
          </cell>
          <cell r="E21">
            <v>175584</v>
          </cell>
        </row>
        <row r="22">
          <cell r="B22">
            <v>2000038</v>
          </cell>
          <cell r="C22" t="str">
            <v>Instalación ducto de subida para acometida 35kV</v>
          </cell>
          <cell r="D22" t="str">
            <v>UND</v>
          </cell>
          <cell r="E22">
            <v>25000</v>
          </cell>
        </row>
        <row r="23">
          <cell r="B23">
            <v>2000040</v>
          </cell>
          <cell r="C23" t="str">
            <v>Maniobras de desenergización</v>
          </cell>
          <cell r="D23" t="str">
            <v>GL</v>
          </cell>
          <cell r="E23">
            <v>300000</v>
          </cell>
        </row>
        <row r="24">
          <cell r="B24">
            <v>2000030</v>
          </cell>
          <cell r="C24" t="str">
            <v>Montaje de Transformador 30KVA</v>
          </cell>
          <cell r="D24" t="str">
            <v>UND</v>
          </cell>
          <cell r="E24">
            <v>230000</v>
          </cell>
        </row>
        <row r="25">
          <cell r="B25">
            <v>2000019</v>
          </cell>
          <cell r="C25" t="str">
            <v>Montaje y conexionado de acometida 13,2KV</v>
          </cell>
          <cell r="D25" t="str">
            <v>ML</v>
          </cell>
          <cell r="E25">
            <v>27900</v>
          </cell>
        </row>
        <row r="26">
          <cell r="B26">
            <v>2000006</v>
          </cell>
          <cell r="C26" t="str">
            <v>Protección para poste</v>
          </cell>
          <cell r="D26" t="str">
            <v>UND</v>
          </cell>
          <cell r="E26">
            <v>131810</v>
          </cell>
        </row>
        <row r="27">
          <cell r="B27">
            <v>2000010</v>
          </cell>
          <cell r="C27" t="str">
            <v>Retiro e instalación cable mensajero</v>
          </cell>
          <cell r="D27" t="str">
            <v>ML</v>
          </cell>
          <cell r="E27">
            <v>1200</v>
          </cell>
        </row>
        <row r="28">
          <cell r="B28">
            <v>2000024</v>
          </cell>
          <cell r="C28" t="str">
            <v>Retiro e instalación cruceta sencilla (con grapas)</v>
          </cell>
          <cell r="D28" t="str">
            <v>UND</v>
          </cell>
          <cell r="E28">
            <v>175000</v>
          </cell>
        </row>
        <row r="29">
          <cell r="B29">
            <v>2000022</v>
          </cell>
          <cell r="C29" t="str">
            <v>Retiro e instalación de aislador line post</v>
          </cell>
          <cell r="D29" t="str">
            <v>UND</v>
          </cell>
          <cell r="E29">
            <v>115000</v>
          </cell>
        </row>
        <row r="30">
          <cell r="B30">
            <v>2000011</v>
          </cell>
          <cell r="C30" t="str">
            <v>Retiro e instalación de amarre</v>
          </cell>
          <cell r="D30" t="str">
            <v>UND</v>
          </cell>
          <cell r="E30">
            <v>750</v>
          </cell>
        </row>
        <row r="31">
          <cell r="B31">
            <v>2000023</v>
          </cell>
          <cell r="C31" t="str">
            <v>Retiro e instalación de armado cruceta doble</v>
          </cell>
          <cell r="D31" t="str">
            <v>UND</v>
          </cell>
          <cell r="E31">
            <v>290000</v>
          </cell>
        </row>
        <row r="32">
          <cell r="B32">
            <v>2000021</v>
          </cell>
          <cell r="C32" t="str">
            <v>Retiro e instalación de cortacircuitos</v>
          </cell>
          <cell r="D32" t="str">
            <v>UND</v>
          </cell>
          <cell r="E32">
            <v>190000</v>
          </cell>
        </row>
        <row r="33">
          <cell r="B33">
            <v>2000020</v>
          </cell>
          <cell r="C33" t="str">
            <v>Retiro e instalación de descargadores de sobretensión</v>
          </cell>
          <cell r="D33" t="str">
            <v>UND</v>
          </cell>
          <cell r="E33">
            <v>115000</v>
          </cell>
        </row>
        <row r="34">
          <cell r="B34">
            <v>2000012</v>
          </cell>
          <cell r="C34" t="str">
            <v>Retiro e instalación de domo completo</v>
          </cell>
          <cell r="D34" t="str">
            <v>UND</v>
          </cell>
          <cell r="E34">
            <v>85000</v>
          </cell>
        </row>
        <row r="35">
          <cell r="B35">
            <v>2000013</v>
          </cell>
          <cell r="C35" t="str">
            <v>Retiro e instalación de estructura (herraje) de fibra óptica</v>
          </cell>
          <cell r="D35" t="str">
            <v>UND</v>
          </cell>
          <cell r="E35">
            <v>48000</v>
          </cell>
        </row>
        <row r="36">
          <cell r="B36">
            <v>2000014</v>
          </cell>
          <cell r="C36" t="str">
            <v>Retiro e instalación de fibra</v>
          </cell>
          <cell r="D36" t="str">
            <v>ML</v>
          </cell>
          <cell r="E36">
            <v>3500</v>
          </cell>
        </row>
        <row r="37">
          <cell r="B37">
            <v>2000015</v>
          </cell>
          <cell r="C37" t="str">
            <v>Retiro e instalación de lámpara</v>
          </cell>
          <cell r="D37" t="str">
            <v>UND</v>
          </cell>
          <cell r="E37">
            <v>45000</v>
          </cell>
        </row>
        <row r="38">
          <cell r="B38">
            <v>2000016</v>
          </cell>
          <cell r="C38" t="str">
            <v>Retiro e instalación de líneas baja tensión y alumbrado</v>
          </cell>
          <cell r="D38" t="str">
            <v>ML</v>
          </cell>
          <cell r="E38">
            <v>2500</v>
          </cell>
        </row>
        <row r="39">
          <cell r="B39">
            <v>2000017</v>
          </cell>
          <cell r="C39" t="str">
            <v>Retiro e instalación de percha red baja tensión y alumbrado</v>
          </cell>
          <cell r="D39" t="str">
            <v>UND</v>
          </cell>
          <cell r="E39">
            <v>77500</v>
          </cell>
        </row>
        <row r="40">
          <cell r="B40">
            <v>2000025</v>
          </cell>
          <cell r="C40" t="str">
            <v>Retiro e instalación de premoldeados tipo exterior</v>
          </cell>
          <cell r="D40" t="str">
            <v>UND</v>
          </cell>
          <cell r="E40">
            <v>160000</v>
          </cell>
        </row>
        <row r="41">
          <cell r="B41">
            <v>2000018</v>
          </cell>
          <cell r="C41" t="str">
            <v>Retiro e instalación de subida a poste</v>
          </cell>
          <cell r="D41" t="str">
            <v>UND</v>
          </cell>
          <cell r="E41">
            <v>175584</v>
          </cell>
        </row>
        <row r="42">
          <cell r="B42">
            <v>2000041</v>
          </cell>
          <cell r="E42">
            <v>0</v>
          </cell>
        </row>
        <row r="43">
          <cell r="B43">
            <v>2000042</v>
          </cell>
          <cell r="E43">
            <v>0</v>
          </cell>
        </row>
      </sheetData>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o"/>
      <sheetName val="Formulario 1"/>
      <sheetName val="Formulario2"/>
      <sheetName val="Insumos"/>
      <sheetName val="materiales laum"/>
    </sheetNames>
    <sheetDataSet>
      <sheetData sheetId="0">
        <row r="3">
          <cell r="A3" t="str">
            <v>ITEM</v>
          </cell>
          <cell r="B3" t="str">
            <v>DESCRIPCION</v>
          </cell>
          <cell r="D3" t="str">
            <v>UNIDAD</v>
          </cell>
          <cell r="E3" t="str">
            <v>CANTIDAD</v>
          </cell>
          <cell r="F3" t="str">
            <v>PRECIO UNITARIO</v>
          </cell>
          <cell r="G3" t="str">
            <v>PRECIO TOTAL</v>
          </cell>
        </row>
        <row r="4">
          <cell r="A4" t="str">
            <v>Capitulo: 02</v>
          </cell>
          <cell r="B4" t="str">
            <v>CIRCUITO RAMALES ILUINACION.</v>
          </cell>
        </row>
        <row r="5">
          <cell r="A5" t="str">
            <v>Sub-Capitulo: 01</v>
          </cell>
          <cell r="B5" t="str">
            <v>ILUMINACION INTERIOR.</v>
          </cell>
        </row>
        <row r="6">
          <cell r="A6" t="str">
            <v>2427</v>
          </cell>
          <cell r="B6" t="str">
            <v>Alimentador en  2#12 alambre de cobre forrado+ 1#12 alambre de cobre desnudo ducto PVC subterraneo Ø 1/2".</v>
          </cell>
          <cell r="D6" t="str">
            <v xml:space="preserve">ML   </v>
          </cell>
          <cell r="E6">
            <v>200</v>
          </cell>
          <cell r="F6">
            <v>5916</v>
          </cell>
          <cell r="G6">
            <v>1183200</v>
          </cell>
        </row>
        <row r="7">
          <cell r="A7" t="str">
            <v>6628</v>
          </cell>
          <cell r="B7" t="str">
            <v xml:space="preserve">Alimentador sin canalizacion  en 2#12 (F) + 2#12(N) cable cobre forrado + 1#12 (T) alambre de cobre desnudo. </v>
          </cell>
          <cell r="D7" t="str">
            <v xml:space="preserve">ML   </v>
          </cell>
          <cell r="E7">
            <v>380</v>
          </cell>
          <cell r="F7">
            <v>7613</v>
          </cell>
          <cell r="G7">
            <v>2892940</v>
          </cell>
        </row>
        <row r="8">
          <cell r="A8" t="str">
            <v>6149</v>
          </cell>
          <cell r="B8" t="str">
            <v>Alimentador sin canalizacion en cable de instrumentacion 18X18 + 20 apantallado.</v>
          </cell>
          <cell r="D8" t="str">
            <v xml:space="preserve">ML   </v>
          </cell>
          <cell r="E8">
            <v>80</v>
          </cell>
          <cell r="F8">
            <v>18201</v>
          </cell>
          <cell r="G8">
            <v>1456080</v>
          </cell>
        </row>
        <row r="9">
          <cell r="A9" t="str">
            <v>4205</v>
          </cell>
          <cell r="B9" t="str">
            <v xml:space="preserve">Salida iluminación 110V (2#12 cable de cobre forrado+1#12 alambre de cobre desnudo, ø 1/2") ducto EMT sobrepuesto, rvi </v>
          </cell>
          <cell r="D9" t="str">
            <v xml:space="preserve">UNI  </v>
          </cell>
          <cell r="E9">
            <v>85</v>
          </cell>
          <cell r="F9">
            <v>100277</v>
          </cell>
          <cell r="G9">
            <v>8523545</v>
          </cell>
        </row>
        <row r="10">
          <cell r="A10" t="str">
            <v>4582</v>
          </cell>
          <cell r="B10" t="str">
            <v xml:space="preserve">Salida iluminación 110V (2#12 alambre de cobre forrado+2#12 alambre de cobre desnudo, ø 1/2") ducto pvc subterraneo o incrustado, rvi </v>
          </cell>
          <cell r="D10" t="str">
            <v xml:space="preserve">UNI  </v>
          </cell>
          <cell r="E10">
            <v>146</v>
          </cell>
          <cell r="F10">
            <v>77583</v>
          </cell>
          <cell r="G10">
            <v>11327118</v>
          </cell>
        </row>
        <row r="11">
          <cell r="A11" t="str">
            <v>6629</v>
          </cell>
          <cell r="B11" t="str">
            <v>Salida iluminación 110V (2#12 (F) + 2#12 (N) alambre de cobre forrado+1#12 alambre de cobre desnudo) sin canalizacion, rvi para lamparas en Area de venta.</v>
          </cell>
          <cell r="D11" t="str">
            <v xml:space="preserve">UNI  </v>
          </cell>
          <cell r="E11">
            <v>39</v>
          </cell>
          <cell r="F11">
            <v>39019</v>
          </cell>
          <cell r="G11">
            <v>1521741</v>
          </cell>
        </row>
        <row r="12">
          <cell r="A12" t="str">
            <v>5750</v>
          </cell>
          <cell r="B12" t="str">
            <v>Suministro e instalacion de Iluminacion decorativa de color azul, fluorescente 32 W T8 con balasto phillips advance compartido 4x32W lineal.</v>
          </cell>
          <cell r="D12" t="str">
            <v xml:space="preserve">ML   </v>
          </cell>
          <cell r="E12">
            <v>45</v>
          </cell>
          <cell r="F12">
            <v>78343</v>
          </cell>
          <cell r="G12">
            <v>3525435</v>
          </cell>
        </row>
        <row r="13">
          <cell r="A13" t="str">
            <v>6107</v>
          </cell>
          <cell r="B13" t="str">
            <v>Suministro e instalacion de Iluminacion decorativa de color rojo, fluorescente 32 W T8 con balasto phillips advance compartido 4x32W lineal.</v>
          </cell>
          <cell r="D13" t="str">
            <v xml:space="preserve">ML   </v>
          </cell>
          <cell r="E13">
            <v>15</v>
          </cell>
          <cell r="F13">
            <v>77967</v>
          </cell>
          <cell r="G13">
            <v>1169505</v>
          </cell>
        </row>
        <row r="14">
          <cell r="A14" t="str">
            <v>6108</v>
          </cell>
          <cell r="B14" t="str">
            <v>Suministro e instalacion de Iluminacion decorativa de color verde, fluorescente 32 W T8 con balasto phillips advance compartido 4x32W lineal.</v>
          </cell>
          <cell r="D14" t="str">
            <v xml:space="preserve">ML   </v>
          </cell>
          <cell r="E14">
            <v>20</v>
          </cell>
          <cell r="F14">
            <v>77967</v>
          </cell>
          <cell r="G14">
            <v>1559340</v>
          </cell>
        </row>
        <row r="15">
          <cell r="A15" t="str">
            <v>5745</v>
          </cell>
          <cell r="B15" t="str">
            <v>Guaya galvanizada de 3/16" con perros y anclajes (Doble altura).</v>
          </cell>
          <cell r="D15" t="str">
            <v xml:space="preserve">ML   </v>
          </cell>
          <cell r="E15">
            <v>300</v>
          </cell>
          <cell r="F15">
            <v>3824</v>
          </cell>
          <cell r="G15">
            <v>1147200</v>
          </cell>
        </row>
        <row r="16">
          <cell r="A16" t="str">
            <v>5746</v>
          </cell>
          <cell r="B16" t="str">
            <v>Guaya galvanizada de 1/8" con perros y anclajes (Doble altura).</v>
          </cell>
          <cell r="D16" t="str">
            <v xml:space="preserve">ML   </v>
          </cell>
          <cell r="E16">
            <v>250</v>
          </cell>
          <cell r="F16">
            <v>3676</v>
          </cell>
          <cell r="G16">
            <v>919000</v>
          </cell>
        </row>
        <row r="17">
          <cell r="A17" t="str">
            <v>2147</v>
          </cell>
          <cell r="B17" t="str">
            <v xml:space="preserve">Panel de control de Iluminacion (PCI), de 30X20X10 CM metalico, con 13 Selectores de 15A. Incluye riel omega, canaleta plastica, 28 borneras plasticas de 20A. Identificacion de interruptores, </v>
          </cell>
          <cell r="D17" t="str">
            <v xml:space="preserve">UNI  </v>
          </cell>
          <cell r="E17">
            <v>1</v>
          </cell>
          <cell r="F17">
            <v>971387</v>
          </cell>
          <cell r="G17">
            <v>971387</v>
          </cell>
        </row>
        <row r="18">
          <cell r="A18" t="str">
            <v>6109</v>
          </cell>
          <cell r="B18" t="str">
            <v xml:space="preserve">Panel de maniobra para Iluminacion (PMI), de 100X80X30 CM metalico, con 13 multinueve de 2x25A, 13 contactores de 25A en AC1. Incluye riel omega, barraje, canaleta plastica, frente muerto, 120 borneras plasticas de 20A. Identificacion. </v>
          </cell>
          <cell r="D18" t="str">
            <v xml:space="preserve">UNI  </v>
          </cell>
          <cell r="E18">
            <v>1</v>
          </cell>
          <cell r="F18">
            <v>2910192</v>
          </cell>
          <cell r="G18">
            <v>2910192</v>
          </cell>
        </row>
        <row r="19">
          <cell r="A19" t="str">
            <v>4401</v>
          </cell>
          <cell r="B19" t="str">
            <v xml:space="preserve">Salida en Interruptor Sencillo incrustar luz piloto con polo a tierra linea Decora 15A 110V (2#12 alambre de cobre forrado, ø 1/2") ducto PVC  rvi </v>
          </cell>
          <cell r="D19" t="str">
            <v xml:space="preserve">UNI  </v>
          </cell>
          <cell r="E19">
            <v>30</v>
          </cell>
          <cell r="F19">
            <v>44587</v>
          </cell>
          <cell r="G19">
            <v>1337610</v>
          </cell>
        </row>
        <row r="20">
          <cell r="A20" t="str">
            <v>5737</v>
          </cell>
          <cell r="B20" t="str">
            <v>Salida en Interruptor Doble incrustar Luz Piloto con polo a tierra linea Decora 15A 110V (3#12 acf + 1#12 acd) ducto PVC Ø 1/2"  rvi.</v>
          </cell>
          <cell r="D20" t="str">
            <v xml:space="preserve">UNI  </v>
          </cell>
          <cell r="E20">
            <v>4</v>
          </cell>
          <cell r="F20">
            <v>90021</v>
          </cell>
          <cell r="G20">
            <v>360084</v>
          </cell>
        </row>
        <row r="21">
          <cell r="A21" t="str">
            <v>6820</v>
          </cell>
          <cell r="B21" t="str">
            <v>Salida en Interruptor conmutable sencillo de incrustar  Luz Piloto con polo a tierra linea Decora 15A 110V (3#12 acf +1#12 acd) ducto PVC Ø 1/2"  rvi.</v>
          </cell>
          <cell r="D21" t="str">
            <v xml:space="preserve">UNI  </v>
          </cell>
          <cell r="E21">
            <v>8</v>
          </cell>
          <cell r="F21">
            <v>72906</v>
          </cell>
          <cell r="G21">
            <v>583248</v>
          </cell>
        </row>
        <row r="22">
          <cell r="A22" t="str">
            <v>6874</v>
          </cell>
          <cell r="B22" t="str">
            <v>Salida en Interruptor Sencillo sobreponer  Luz Piloto con polo a tierra linea Decora 15A 110V (2#12 acf +1#12 acd) ducto EMT Ø 1/2"  rvi caja de aluminio Rawelt sobrepuesta con accesorios de banda doble ala.</v>
          </cell>
          <cell r="D22" t="str">
            <v xml:space="preserve">UNI  </v>
          </cell>
          <cell r="E22">
            <v>6</v>
          </cell>
          <cell r="F22">
            <v>88079</v>
          </cell>
          <cell r="G22">
            <v>528474</v>
          </cell>
        </row>
        <row r="23">
          <cell r="A23" t="str">
            <v>7031</v>
          </cell>
          <cell r="B23" t="str">
            <v xml:space="preserve">Salida en Interruptor Doble sobreponer  Luz Piloto con polo a tierra linea Decora 15A 110V (3#12 cable de cobre forrado + 1#12 cable de cobre desnudo) ducto EMT Ø 1/2"  rvi caja de AL Rawelt sobrepuesta con accesorios de banda doble ala. </v>
          </cell>
          <cell r="D23" t="str">
            <v xml:space="preserve">UNI  </v>
          </cell>
          <cell r="E23">
            <v>6</v>
          </cell>
          <cell r="F23">
            <v>107310</v>
          </cell>
          <cell r="G23">
            <v>643860</v>
          </cell>
        </row>
        <row r="24">
          <cell r="F24" t="str">
            <v>Valor Sub-Capitulo $</v>
          </cell>
          <cell r="G24">
            <v>42559959</v>
          </cell>
        </row>
        <row r="25">
          <cell r="A25" t="str">
            <v>Sub-Capitulo: 02</v>
          </cell>
          <cell r="B25" t="str">
            <v>ILUMINACION EXTERIOR.</v>
          </cell>
        </row>
        <row r="26">
          <cell r="A26" t="str">
            <v>6647</v>
          </cell>
          <cell r="B26" t="str">
            <v>Alimentador en 2X2#10(F) cable de cobre forrado + 1#10(T) alambre de cobre desnudo ducto PVC Ø 3/4".</v>
          </cell>
          <cell r="D26" t="str">
            <v xml:space="preserve">ML   </v>
          </cell>
          <cell r="E26">
            <v>200</v>
          </cell>
          <cell r="F26">
            <v>11778</v>
          </cell>
          <cell r="G26">
            <v>2355600</v>
          </cell>
        </row>
        <row r="27">
          <cell r="A27" t="str">
            <v>2513</v>
          </cell>
          <cell r="B27" t="str">
            <v>Alimentador en 3#10 + 1#10 cable de cobre forrado+ 10t alambre de cobre desnudo ducto  PVC 3/4".  AVISO LUMINOSO.</v>
          </cell>
          <cell r="D27" t="str">
            <v xml:space="preserve">ML   </v>
          </cell>
          <cell r="E27">
            <v>100</v>
          </cell>
          <cell r="F27">
            <v>13898</v>
          </cell>
          <cell r="G27">
            <v>1389800</v>
          </cell>
        </row>
        <row r="28">
          <cell r="A28" t="str">
            <v>5756</v>
          </cell>
          <cell r="B28" t="str">
            <v>Salida para iluminación 220V (2#10 ccf+1#10 acd), ducto pvc 3/4" rix.</v>
          </cell>
          <cell r="D28" t="str">
            <v xml:space="preserve">UNI  </v>
          </cell>
          <cell r="E28">
            <v>108</v>
          </cell>
          <cell r="F28">
            <v>61418</v>
          </cell>
          <cell r="G28">
            <v>6633144</v>
          </cell>
        </row>
        <row r="29">
          <cell r="A29" t="str">
            <v>6090</v>
          </cell>
          <cell r="B29" t="str">
            <v>Fotocontrol Automatico de iluminacion en cofre plastico intemperie con un contactor y una fotocelda  220V-32A</v>
          </cell>
          <cell r="D29" t="str">
            <v xml:space="preserve">UNI  </v>
          </cell>
          <cell r="E29">
            <v>5</v>
          </cell>
          <cell r="F29">
            <v>609296</v>
          </cell>
          <cell r="G29">
            <v>3046480</v>
          </cell>
        </row>
        <row r="30">
          <cell r="F30" t="str">
            <v>Valor Sub-Capitulo $</v>
          </cell>
          <cell r="G30">
            <v>13425024</v>
          </cell>
        </row>
        <row r="31">
          <cell r="F31" t="str">
            <v>Valor Capitulo $</v>
          </cell>
          <cell r="G31">
            <v>55984983</v>
          </cell>
        </row>
        <row r="32">
          <cell r="A32" t="str">
            <v>Capitulo: 03</v>
          </cell>
          <cell r="B32" t="str">
            <v>MONTAJE DE LA ILUMINACION.</v>
          </cell>
        </row>
        <row r="33">
          <cell r="A33" t="str">
            <v>6112</v>
          </cell>
          <cell r="B33" t="str">
            <v>Montaje y conexion de balasto bateria electronico como soporte para luz de emergencia</v>
          </cell>
          <cell r="D33" t="str">
            <v xml:space="preserve">UNI  </v>
          </cell>
          <cell r="E33">
            <v>45</v>
          </cell>
          <cell r="F33">
            <v>7195</v>
          </cell>
          <cell r="G33">
            <v>323775</v>
          </cell>
        </row>
        <row r="34">
          <cell r="A34" t="str">
            <v>6113</v>
          </cell>
          <cell r="B34" t="str">
            <v>Montaje y conexion de aviso para senalizacion salida de emergencia</v>
          </cell>
          <cell r="D34" t="str">
            <v xml:space="preserve">UNI  </v>
          </cell>
          <cell r="E34">
            <v>13</v>
          </cell>
          <cell r="F34">
            <v>16475</v>
          </cell>
          <cell r="G34">
            <v>214175</v>
          </cell>
        </row>
        <row r="35">
          <cell r="A35" t="str">
            <v>1572</v>
          </cell>
          <cell r="B35" t="str">
            <v>Montaje y conexion de reflector tipo RRA 250W</v>
          </cell>
          <cell r="D35" t="str">
            <v xml:space="preserve">UNI  </v>
          </cell>
          <cell r="E35">
            <v>4</v>
          </cell>
          <cell r="F35">
            <v>23129</v>
          </cell>
          <cell r="G35">
            <v>92516</v>
          </cell>
        </row>
        <row r="36">
          <cell r="A36" t="str">
            <v>1788</v>
          </cell>
          <cell r="B36" t="str">
            <v>Montaje y conexion de Reflector tipo RRA 400W.</v>
          </cell>
          <cell r="D36" t="str">
            <v xml:space="preserve">UNI  </v>
          </cell>
          <cell r="E36">
            <v>11</v>
          </cell>
          <cell r="F36">
            <v>26614</v>
          </cell>
          <cell r="G36">
            <v>292754</v>
          </cell>
        </row>
        <row r="37">
          <cell r="A37" t="str">
            <v>0858</v>
          </cell>
          <cell r="B37" t="str">
            <v xml:space="preserve">Montaje y conexion de lampara Fluorescente hermetica 2x32W, 48" T12 o T8 (2 - 3 o 4 tubos) altura normal. </v>
          </cell>
          <cell r="D37" t="str">
            <v xml:space="preserve">UNI  </v>
          </cell>
          <cell r="E37">
            <v>61</v>
          </cell>
          <cell r="F37">
            <v>14535</v>
          </cell>
          <cell r="G37">
            <v>886635</v>
          </cell>
        </row>
        <row r="38">
          <cell r="A38" t="str">
            <v>3392</v>
          </cell>
          <cell r="B38" t="str">
            <v xml:space="preserve">Montaje y conexion de lampara Fluorescente 2x32W, 48" T12 o T8 (2 - 3 o 4 tubos) altura normal. </v>
          </cell>
          <cell r="D38" t="str">
            <v xml:space="preserve">UNI  </v>
          </cell>
          <cell r="E38">
            <v>12</v>
          </cell>
          <cell r="F38">
            <v>14535</v>
          </cell>
          <cell r="G38">
            <v>174420</v>
          </cell>
        </row>
        <row r="39">
          <cell r="A39" t="str">
            <v>6733</v>
          </cell>
          <cell r="B39" t="str">
            <v>Montaje y conexion de lampara tipo industrial  hasta 70W suspendida del techo (h=5M)</v>
          </cell>
          <cell r="D39" t="str">
            <v xml:space="preserve">UNI  </v>
          </cell>
          <cell r="E39">
            <v>18</v>
          </cell>
          <cell r="F39">
            <v>19535</v>
          </cell>
          <cell r="G39">
            <v>351630</v>
          </cell>
        </row>
        <row r="40">
          <cell r="A40" t="str">
            <v>6735</v>
          </cell>
          <cell r="B40" t="str">
            <v>Montaje y conexion de lampara tipo industrial 150W suspendida del techo (h=7M)</v>
          </cell>
          <cell r="D40" t="str">
            <v xml:space="preserve">UNI  </v>
          </cell>
          <cell r="E40">
            <v>78</v>
          </cell>
          <cell r="F40">
            <v>17850</v>
          </cell>
          <cell r="G40">
            <v>1392300</v>
          </cell>
        </row>
        <row r="41">
          <cell r="A41" t="str">
            <v>7128</v>
          </cell>
          <cell r="B41" t="str">
            <v>Montaje y conexion de Luminaria fluorescente de sobreponer de 30x122 cm, triangular. 4 o 6 tubos 54W, T5 HIGH BAY o similar.</v>
          </cell>
          <cell r="D41" t="str">
            <v xml:space="preserve">UNI  </v>
          </cell>
          <cell r="E41">
            <v>39</v>
          </cell>
          <cell r="F41">
            <v>18055</v>
          </cell>
          <cell r="G41">
            <v>704145</v>
          </cell>
        </row>
        <row r="42">
          <cell r="A42" t="str">
            <v>1787</v>
          </cell>
          <cell r="B42" t="str">
            <v xml:space="preserve">Montaje y conexion de lampara tipo Ojo de buey 110V. </v>
          </cell>
          <cell r="D42" t="str">
            <v xml:space="preserve">UNI  </v>
          </cell>
          <cell r="E42">
            <v>74</v>
          </cell>
          <cell r="F42">
            <v>11275</v>
          </cell>
          <cell r="G42">
            <v>834350</v>
          </cell>
        </row>
        <row r="43">
          <cell r="A43" t="str">
            <v>5864</v>
          </cell>
          <cell r="B43" t="str">
            <v xml:space="preserve">Montaje y conexion de lampara tipo Tortuga  110V. </v>
          </cell>
          <cell r="D43" t="str">
            <v xml:space="preserve">UNI  </v>
          </cell>
          <cell r="E43">
            <v>5</v>
          </cell>
          <cell r="F43">
            <v>12271</v>
          </cell>
          <cell r="G43">
            <v>61355</v>
          </cell>
        </row>
        <row r="44">
          <cell r="A44" t="str">
            <v>6111</v>
          </cell>
          <cell r="B44" t="str">
            <v xml:space="preserve">Montaje y conexion de lampara tipo Spot en riel  110V. </v>
          </cell>
          <cell r="D44" t="str">
            <v xml:space="preserve">UNI  </v>
          </cell>
          <cell r="E44">
            <v>32</v>
          </cell>
          <cell r="F44">
            <v>11255</v>
          </cell>
          <cell r="G44">
            <v>360160</v>
          </cell>
        </row>
        <row r="45">
          <cell r="A45" t="str">
            <v>2260</v>
          </cell>
          <cell r="B45" t="str">
            <v xml:space="preserve">Montaje e instalacion de luminaria fluorescente 2x32w T8 Celdas sobrep.o incrust. </v>
          </cell>
          <cell r="D45" t="str">
            <v xml:space="preserve">UNI  </v>
          </cell>
          <cell r="E45">
            <v>8</v>
          </cell>
          <cell r="F45">
            <v>14579</v>
          </cell>
          <cell r="G45">
            <v>116632</v>
          </cell>
        </row>
        <row r="46">
          <cell r="A46" t="str">
            <v>5769</v>
          </cell>
          <cell r="B46" t="str">
            <v>Montaje y conexion de lampara Fluorescente hermeticas 2x54W, 48" T5 (2 - 3 o 4 tubos) altura normal.</v>
          </cell>
          <cell r="D46" t="str">
            <v xml:space="preserve">UNI  </v>
          </cell>
          <cell r="E46">
            <v>33</v>
          </cell>
          <cell r="F46">
            <v>16239</v>
          </cell>
          <cell r="G46">
            <v>535887</v>
          </cell>
        </row>
        <row r="47">
          <cell r="F47" t="str">
            <v>Valor Capitulo $</v>
          </cell>
          <cell r="G47">
            <v>6340734</v>
          </cell>
        </row>
        <row r="48">
          <cell r="A48" t="str">
            <v>Capitulo: 04</v>
          </cell>
          <cell r="B48" t="str">
            <v>CIRCUITO RAMALES TOMACORRIENTES.</v>
          </cell>
        </row>
        <row r="49">
          <cell r="A49" t="str">
            <v>2427</v>
          </cell>
          <cell r="B49" t="str">
            <v>Alimentador en  2#12 alambre de cobre forrado+ 1#12 alambre de cobre desnudo ducto PVC subterraneo Ø 1/2".</v>
          </cell>
          <cell r="D49" t="str">
            <v xml:space="preserve">ML   </v>
          </cell>
          <cell r="E49">
            <v>100</v>
          </cell>
          <cell r="F49">
            <v>5916</v>
          </cell>
          <cell r="G49">
            <v>591600</v>
          </cell>
        </row>
        <row r="50">
          <cell r="A50" t="str">
            <v>2491</v>
          </cell>
          <cell r="B50" t="str">
            <v xml:space="preserve">Alimentador en 3#10 alambre de cobre forrado + 1#10 (T) alambre de cobre desnudo ducto PVC 3/4". </v>
          </cell>
          <cell r="D50" t="str">
            <v xml:space="preserve">ML   </v>
          </cell>
          <cell r="E50">
            <v>50</v>
          </cell>
          <cell r="F50">
            <v>10157</v>
          </cell>
          <cell r="G50">
            <v>507850</v>
          </cell>
        </row>
        <row r="51">
          <cell r="A51" t="str">
            <v>0168</v>
          </cell>
          <cell r="B51" t="str">
            <v>Salida Toma Doble polo tierra color Crema, NORMAL (2#12 alambre de cobre forrado+1#12 alambre de cobre desnudo,  Ø 1/2"), PVC, 15A rvi</v>
          </cell>
          <cell r="D51" t="str">
            <v xml:space="preserve">UNI  </v>
          </cell>
          <cell r="E51">
            <v>110</v>
          </cell>
          <cell r="F51">
            <v>72712</v>
          </cell>
          <cell r="G51">
            <v>7998320</v>
          </cell>
        </row>
        <row r="52">
          <cell r="A52" t="str">
            <v>7251</v>
          </cell>
          <cell r="B52" t="str">
            <v>Salida para cajero automatico termina en caja conduit 4x4 PVC (2#8 (F) ccf+1#8 (N) + 1#8 (T) ccd) ducto PVC 3/4" r ix.</v>
          </cell>
          <cell r="D52" t="str">
            <v xml:space="preserve">UNI  </v>
          </cell>
          <cell r="E52">
            <v>2</v>
          </cell>
          <cell r="F52">
            <v>157643</v>
          </cell>
          <cell r="G52">
            <v>315286</v>
          </cell>
        </row>
        <row r="53">
          <cell r="A53" t="str">
            <v>4306</v>
          </cell>
          <cell r="B53" t="str">
            <v>Salida para aire acondicionado de ventana (2#10 + 1#10 alambre de cobre forrado, Ø3/4" PVC) rix</v>
          </cell>
          <cell r="D53" t="str">
            <v xml:space="preserve">UNI  </v>
          </cell>
          <cell r="E53">
            <v>7</v>
          </cell>
          <cell r="F53">
            <v>103176</v>
          </cell>
          <cell r="G53">
            <v>722232</v>
          </cell>
        </row>
        <row r="54">
          <cell r="A54" t="str">
            <v>5777</v>
          </cell>
          <cell r="B54" t="str">
            <v>Salida toma Bifasico tipo locking 2P,3H (2#10 acf+1#10(T) acd) ducto PVC 3/4" 30A nema L-6-30 r ix con el plug.</v>
          </cell>
          <cell r="D54" t="str">
            <v xml:space="preserve">UNI  </v>
          </cell>
          <cell r="E54">
            <v>8</v>
          </cell>
          <cell r="F54">
            <v>198413</v>
          </cell>
          <cell r="G54">
            <v>1587304</v>
          </cell>
        </row>
        <row r="55">
          <cell r="A55" t="str">
            <v>0172</v>
          </cell>
          <cell r="B55" t="str">
            <v>Salida toma trifasico tipo locking 3P,4H (3#10 acf+1#10(T) acd) ducto PVC 3/4" 30A nema L-15-30 r ix con el plug.</v>
          </cell>
          <cell r="D55" t="str">
            <v xml:space="preserve">UNI  </v>
          </cell>
          <cell r="E55">
            <v>17</v>
          </cell>
          <cell r="F55">
            <v>218814</v>
          </cell>
          <cell r="G55">
            <v>3719838</v>
          </cell>
        </row>
        <row r="56">
          <cell r="A56" t="str">
            <v>0500</v>
          </cell>
          <cell r="B56" t="str">
            <v>Salida toma trifasico tipo locking 3P,5H (3#10 acf+1#10(N)+1#10(T) acd) ducto PVC 3/4" 30A nema L-21-30 r ix con el plug</v>
          </cell>
          <cell r="D56" t="str">
            <v xml:space="preserve">UNI  </v>
          </cell>
          <cell r="E56">
            <v>4</v>
          </cell>
          <cell r="F56">
            <v>304653</v>
          </cell>
          <cell r="G56">
            <v>1218612</v>
          </cell>
        </row>
        <row r="57">
          <cell r="A57" t="str">
            <v>0519</v>
          </cell>
          <cell r="B57" t="str">
            <v>Salida en 3#10 acf+1#10 (T) acd) ducto PVC 3/4" termina en caja 4" X 4" 220V rix  EXTRACTORES, ARRANCADORES Y MONTACARGAS.</v>
          </cell>
          <cell r="D57" t="str">
            <v xml:space="preserve">UNI  </v>
          </cell>
          <cell r="E57">
            <v>8</v>
          </cell>
          <cell r="F57">
            <v>128271</v>
          </cell>
          <cell r="G57">
            <v>1026168</v>
          </cell>
        </row>
        <row r="58">
          <cell r="A58" t="str">
            <v>5783</v>
          </cell>
          <cell r="B58" t="str">
            <v>Suministro e Instalación de extractor para baño 6" 110V.</v>
          </cell>
          <cell r="D58" t="str">
            <v xml:space="preserve">UNI  </v>
          </cell>
          <cell r="E58">
            <v>6</v>
          </cell>
          <cell r="F58">
            <v>127600</v>
          </cell>
          <cell r="G58">
            <v>765600</v>
          </cell>
        </row>
        <row r="59">
          <cell r="F59" t="str">
            <v>Valor Capitulo $</v>
          </cell>
          <cell r="G59">
            <v>18452810</v>
          </cell>
        </row>
        <row r="60">
          <cell r="A60" t="str">
            <v>Capitulo: 05</v>
          </cell>
          <cell r="B60" t="str">
            <v>SEGURIDAD.</v>
          </cell>
        </row>
        <row r="61">
          <cell r="A61" t="str">
            <v>0381</v>
          </cell>
          <cell r="B61" t="str">
            <v xml:space="preserve">Alimentador en 2#12 cable de cobre forrado+ 1#12 cable de cobre forrado verde ducto PVC Ø 1/2". </v>
          </cell>
          <cell r="D61" t="str">
            <v xml:space="preserve">ML   </v>
          </cell>
          <cell r="E61">
            <v>300</v>
          </cell>
          <cell r="F61">
            <v>6436</v>
          </cell>
          <cell r="G61">
            <v>1930800</v>
          </cell>
        </row>
        <row r="62">
          <cell r="A62" t="str">
            <v>5785</v>
          </cell>
          <cell r="B62" t="str">
            <v>Salida para antena sensormatic (2#12 cable de cobre forrado+1#12t cable de cobre forrado, Ø 1/2") ducto PVC. 15A rxv.</v>
          </cell>
          <cell r="D62" t="str">
            <v xml:space="preserve">UNI  </v>
          </cell>
          <cell r="E62">
            <v>10</v>
          </cell>
          <cell r="F62">
            <v>100363</v>
          </cell>
          <cell r="G62">
            <v>1003630</v>
          </cell>
        </row>
        <row r="63">
          <cell r="F63" t="str">
            <v>Valor Capitulo $</v>
          </cell>
          <cell r="G63">
            <v>2934430</v>
          </cell>
        </row>
        <row r="64">
          <cell r="A64" t="str">
            <v>Capitulo: 06</v>
          </cell>
          <cell r="B64" t="str">
            <v>TELEFONIA.</v>
          </cell>
        </row>
        <row r="65">
          <cell r="A65" t="str">
            <v>7624</v>
          </cell>
          <cell r="B65" t="str">
            <v>Suministro e instalacion de ducto PVC de ø 1" subterraneo. RADIO TELEFONOS, MUSICAR, FIBRA OPTICA, TELEFONIA.</v>
          </cell>
          <cell r="D65" t="str">
            <v xml:space="preserve">ML   </v>
          </cell>
          <cell r="E65">
            <v>60</v>
          </cell>
          <cell r="F65">
            <v>3893</v>
          </cell>
          <cell r="G65">
            <v>233580</v>
          </cell>
        </row>
        <row r="66">
          <cell r="A66" t="str">
            <v>0582</v>
          </cell>
          <cell r="B66" t="str">
            <v xml:space="preserve">Banco de (2)  ductos pvc de 2". </v>
          </cell>
          <cell r="D66" t="str">
            <v xml:space="preserve">ML   </v>
          </cell>
          <cell r="E66">
            <v>30</v>
          </cell>
          <cell r="F66">
            <v>15310</v>
          </cell>
          <cell r="G66">
            <v>459300</v>
          </cell>
        </row>
        <row r="67">
          <cell r="A67" t="str">
            <v>2407</v>
          </cell>
          <cell r="B67" t="str">
            <v xml:space="preserve">Salida toma telefónica Solo ducto pvc de 1/2", termina caja 2"x4"incrustar rix. </v>
          </cell>
          <cell r="D67" t="str">
            <v xml:space="preserve">UNI  </v>
          </cell>
          <cell r="E67">
            <v>10</v>
          </cell>
          <cell r="F67">
            <v>35403</v>
          </cell>
          <cell r="G67">
            <v>354030</v>
          </cell>
        </row>
        <row r="68">
          <cell r="A68" t="str">
            <v>7250</v>
          </cell>
          <cell r="B68" t="str">
            <v xml:space="preserve">Salida toma telefónica en ducto pvc de 1/2", termina caja 2"x4"incrustar incluye cable UTP cat 6 rix. </v>
          </cell>
          <cell r="D68" t="str">
            <v xml:space="preserve">UNI  </v>
          </cell>
          <cell r="E68">
            <v>5</v>
          </cell>
          <cell r="F68">
            <v>32963</v>
          </cell>
          <cell r="G68">
            <v>164815</v>
          </cell>
        </row>
        <row r="69">
          <cell r="A69" t="str">
            <v>2968</v>
          </cell>
          <cell r="B69" t="str">
            <v xml:space="preserve">Strip telefonico en caja de 50  X  50 X 20 CM en lamina calibre #18 con tapa atornillada y bandeja doble fondo en madera. </v>
          </cell>
          <cell r="D69" t="str">
            <v xml:space="preserve">UNI  </v>
          </cell>
          <cell r="E69">
            <v>1</v>
          </cell>
          <cell r="F69">
            <v>93100</v>
          </cell>
          <cell r="G69">
            <v>93100</v>
          </cell>
        </row>
        <row r="70">
          <cell r="F70" t="str">
            <v>Valor Capitulo $</v>
          </cell>
          <cell r="G70">
            <v>1304825</v>
          </cell>
        </row>
        <row r="71">
          <cell r="A71" t="str">
            <v>Capitulo: 07</v>
          </cell>
          <cell r="B71" t="str">
            <v>DUCTOS Y BANDEJAS PORTACABLES.</v>
          </cell>
        </row>
        <row r="72">
          <cell r="A72" t="str">
            <v>6637</v>
          </cell>
          <cell r="B72" t="str">
            <v>Suministro e instalacion de ducto metalico Calibre # 20, 12 x 5 cm con tapa atornillada pintura electrostatica. incluye accesorios de fijacion y cambio de direccion.</v>
          </cell>
          <cell r="D72" t="str">
            <v xml:space="preserve">ML   </v>
          </cell>
          <cell r="E72">
            <v>130</v>
          </cell>
          <cell r="F72">
            <v>57977</v>
          </cell>
          <cell r="G72">
            <v>7537010</v>
          </cell>
        </row>
        <row r="73">
          <cell r="F73" t="str">
            <v>Valor Capitulo $</v>
          </cell>
          <cell r="G73">
            <v>7537010</v>
          </cell>
        </row>
        <row r="75">
          <cell r="A75" t="str">
            <v>Capitulo: 08</v>
          </cell>
          <cell r="B75" t="str">
            <v>PANELES DE DISTRIBUCION Y BREAKERS.</v>
          </cell>
        </row>
        <row r="76">
          <cell r="A76" t="str">
            <v>4952</v>
          </cell>
          <cell r="B76" t="str">
            <v>Tablero de Distribucion Trifásico NTQ, con barraje, puerta, llave y tarjetero, 220A 240V 24 ctos.  PD-2PISO.</v>
          </cell>
          <cell r="D76" t="str">
            <v xml:space="preserve">UNI  </v>
          </cell>
          <cell r="E76">
            <v>1</v>
          </cell>
          <cell r="F76">
            <v>268200</v>
          </cell>
          <cell r="G76">
            <v>268200</v>
          </cell>
        </row>
        <row r="77">
          <cell r="A77" t="str">
            <v>4953</v>
          </cell>
          <cell r="B77" t="str">
            <v>Tablero de Distribucion Trifásico NTQ, con barraje, puerta, llave y tarjetero, 220A 240V 30 ctos  PD-SOTANO.</v>
          </cell>
          <cell r="D77" t="str">
            <v xml:space="preserve">UNI  </v>
          </cell>
          <cell r="E77">
            <v>1</v>
          </cell>
          <cell r="F77">
            <v>284850</v>
          </cell>
          <cell r="G77">
            <v>284850</v>
          </cell>
        </row>
        <row r="78">
          <cell r="A78" t="str">
            <v>4954</v>
          </cell>
          <cell r="B78" t="str">
            <v>Tablero de Distribucion Trifásico NTQ, con barraje, puerta, llave y tarjetero, 220A 240V 36cto  PD-PROCESO DE CARNES.</v>
          </cell>
          <cell r="D78" t="str">
            <v xml:space="preserve">UNI  </v>
          </cell>
          <cell r="E78">
            <v>1</v>
          </cell>
          <cell r="F78">
            <v>357450</v>
          </cell>
          <cell r="G78">
            <v>357450</v>
          </cell>
        </row>
        <row r="79">
          <cell r="A79" t="str">
            <v>4955</v>
          </cell>
          <cell r="B79" t="str">
            <v>Tablero de Distribucion Trifasico NTQ, con barraje, puerta, llave y tarjetero, 220A 240V 42ctos.  PD-TOMAS, PD-PANADERIA, PD-BODEGA.</v>
          </cell>
          <cell r="D79" t="str">
            <v xml:space="preserve">UNI  </v>
          </cell>
          <cell r="E79">
            <v>3</v>
          </cell>
          <cell r="F79">
            <v>348070</v>
          </cell>
          <cell r="G79">
            <v>1044210</v>
          </cell>
        </row>
        <row r="80">
          <cell r="A80" t="str">
            <v>0456</v>
          </cell>
          <cell r="B80" t="str">
            <v xml:space="preserve">Interruptor enchufable Bipolar   de  20A. </v>
          </cell>
          <cell r="D80" t="str">
            <v xml:space="preserve">UNI  </v>
          </cell>
          <cell r="E80">
            <v>12</v>
          </cell>
          <cell r="F80">
            <v>27000</v>
          </cell>
          <cell r="G80">
            <v>324000</v>
          </cell>
        </row>
        <row r="81">
          <cell r="A81" t="str">
            <v>0458</v>
          </cell>
          <cell r="B81" t="str">
            <v xml:space="preserve">Interruptor enchufable Bipolar   de  40A. </v>
          </cell>
          <cell r="D81" t="str">
            <v xml:space="preserve">UNI  </v>
          </cell>
          <cell r="E81">
            <v>2</v>
          </cell>
          <cell r="F81">
            <v>8999</v>
          </cell>
          <cell r="G81">
            <v>17998</v>
          </cell>
        </row>
        <row r="82">
          <cell r="A82" t="str">
            <v>0464</v>
          </cell>
          <cell r="B82" t="str">
            <v xml:space="preserve">Interruptor enchufable Monopolar de  20A. </v>
          </cell>
          <cell r="D82" t="str">
            <v xml:space="preserve">UNI  </v>
          </cell>
          <cell r="E82">
            <v>65</v>
          </cell>
          <cell r="F82">
            <v>8999</v>
          </cell>
          <cell r="G82">
            <v>584935</v>
          </cell>
        </row>
        <row r="83">
          <cell r="A83" t="str">
            <v>0473</v>
          </cell>
          <cell r="B83" t="str">
            <v xml:space="preserve">Interruptor enchufable Tripolar  de  30A. </v>
          </cell>
          <cell r="D83" t="str">
            <v xml:space="preserve">UNI  </v>
          </cell>
          <cell r="E83">
            <v>21</v>
          </cell>
          <cell r="F83">
            <v>44913</v>
          </cell>
          <cell r="G83">
            <v>943173</v>
          </cell>
        </row>
        <row r="84">
          <cell r="A84" t="str">
            <v>4970</v>
          </cell>
          <cell r="B84" t="str">
            <v xml:space="preserve">Interruptor enchufable Monopolar HOMGFI proteccion falla a tierra clase A. de  20A </v>
          </cell>
          <cell r="D84" t="str">
            <v xml:space="preserve">UNI  </v>
          </cell>
          <cell r="E84">
            <v>6</v>
          </cell>
          <cell r="F84">
            <v>174080</v>
          </cell>
          <cell r="G84">
            <v>1044480</v>
          </cell>
        </row>
        <row r="85">
          <cell r="F85" t="str">
            <v>Valor Capitulo $</v>
          </cell>
          <cell r="G85">
            <v>4869296</v>
          </cell>
        </row>
        <row r="86">
          <cell r="A86" t="str">
            <v>Capitulo: 09</v>
          </cell>
          <cell r="B86" t="str">
            <v>PROTECCIONES.</v>
          </cell>
        </row>
        <row r="87">
          <cell r="A87" t="str">
            <v>6765</v>
          </cell>
          <cell r="B87" t="str">
            <v>Interruptor Industrial Termomagnético COMPAC EASYPACT 240/440V  150A,  50-30  KA, cableado con bornas terminales bimetalicas.  PD-ILUMINACION.</v>
          </cell>
          <cell r="D87" t="str">
            <v xml:space="preserve">UNI  </v>
          </cell>
          <cell r="E87">
            <v>2</v>
          </cell>
          <cell r="F87">
            <v>498996</v>
          </cell>
          <cell r="G87">
            <v>997992</v>
          </cell>
        </row>
        <row r="88">
          <cell r="A88" t="str">
            <v>5573</v>
          </cell>
          <cell r="B88" t="str">
            <v>Interruptor Industrial Termomagnetico COMPACT EASYPACT  240/440V  EZC100N 40  A,  25 ka, cableado.  ASCENSOR.</v>
          </cell>
          <cell r="D88" t="str">
            <v xml:space="preserve">UNI  </v>
          </cell>
          <cell r="E88">
            <v>1</v>
          </cell>
          <cell r="F88">
            <v>181164</v>
          </cell>
          <cell r="G88">
            <v>181164</v>
          </cell>
        </row>
        <row r="89">
          <cell r="A89" t="str">
            <v>5575</v>
          </cell>
          <cell r="B89" t="str">
            <v>Interruptor Industrial Termomagnético COMPACT EASYPACT  240/440V  EZC100N 60  A,  25 ka, cableado.  POS.</v>
          </cell>
          <cell r="D89" t="str">
            <v xml:space="preserve">UNI  </v>
          </cell>
          <cell r="E89">
            <v>1</v>
          </cell>
          <cell r="F89">
            <v>177770</v>
          </cell>
          <cell r="G89">
            <v>177770</v>
          </cell>
        </row>
        <row r="90">
          <cell r="A90" t="str">
            <v>6787</v>
          </cell>
          <cell r="B90" t="str">
            <v>Interruptor industrial Compact NSX proteccion magnetica 100 A. 100 kA 220/240 V. MOTOBOMBA CONTRAINCENDIO.</v>
          </cell>
          <cell r="D90" t="str">
            <v xml:space="preserve">UNI  </v>
          </cell>
          <cell r="E90">
            <v>1</v>
          </cell>
          <cell r="F90">
            <v>1075359</v>
          </cell>
          <cell r="G90">
            <v>1075359</v>
          </cell>
        </row>
        <row r="91">
          <cell r="A91" t="str">
            <v>6945</v>
          </cell>
          <cell r="B91" t="str">
            <v>Interruptor Industrial Termomagnetico COMPACT EASYPACT  240/440V  EZC100N 80  A,  25 ka, cableado bornas terminales bimetalicas. PD-PROCESO DE CARNES, PD-BODEGA.</v>
          </cell>
          <cell r="D91" t="str">
            <v xml:space="preserve">UNI  </v>
          </cell>
          <cell r="E91">
            <v>2</v>
          </cell>
          <cell r="F91">
            <v>268391</v>
          </cell>
          <cell r="G91">
            <v>536782</v>
          </cell>
        </row>
        <row r="92">
          <cell r="A92" t="str">
            <v>1977</v>
          </cell>
          <cell r="B92" t="str">
            <v>Interruptor Industrial Termomagnético COMPAC EASYPACT 240/440V  250A,  50-30  KA, cableado.  PD-A.A, RACK DE REFRIGERACION.</v>
          </cell>
          <cell r="D92" t="str">
            <v xml:space="preserve">UNI  </v>
          </cell>
          <cell r="E92">
            <v>4</v>
          </cell>
          <cell r="F92">
            <v>624539</v>
          </cell>
          <cell r="G92">
            <v>2498156</v>
          </cell>
        </row>
        <row r="93">
          <cell r="A93" t="str">
            <v>6772</v>
          </cell>
          <cell r="B93" t="str">
            <v>Interruptor Industrial Termomagnetico COMPACT EASYPACT  240/440V  EZC100N 50  A,  25 ka, cableado bornas terminales bimetalicas.  PD-SOTANO, PD-2PISO.</v>
          </cell>
          <cell r="D93" t="str">
            <v xml:space="preserve">UNI  </v>
          </cell>
          <cell r="E93">
            <v>2</v>
          </cell>
          <cell r="F93">
            <v>277041</v>
          </cell>
          <cell r="G93">
            <v>554082</v>
          </cell>
        </row>
        <row r="94">
          <cell r="A94" t="str">
            <v>6775</v>
          </cell>
          <cell r="B94" t="str">
            <v>Interruptor Industrial Termomagnetico COMPACT EASYPACT  240/440V  EZC100N 100  A,  25 ka, cableado con bornas terminales bimetalicas.  PD-TOMAS, PD-PANADERIA, PD-NEVERAS.</v>
          </cell>
          <cell r="D94" t="str">
            <v xml:space="preserve">UNI  </v>
          </cell>
          <cell r="E94">
            <v>4</v>
          </cell>
          <cell r="F94">
            <v>324205</v>
          </cell>
          <cell r="G94">
            <v>1296820</v>
          </cell>
        </row>
        <row r="95">
          <cell r="F95" t="str">
            <v>Valor Capitulo $</v>
          </cell>
          <cell r="G95">
            <v>7318125</v>
          </cell>
        </row>
        <row r="96">
          <cell r="A96" t="str">
            <v>Capitulo: 10</v>
          </cell>
          <cell r="B96" t="str">
            <v>ALIMENTADORES ELECTRICOS.</v>
          </cell>
        </row>
        <row r="97">
          <cell r="A97" t="str">
            <v>7175</v>
          </cell>
          <cell r="B97" t="str">
            <v>Alimentador 3#1/0 (F) cable de aluminio forrado + 1#8  (T) cable de cobre desnudo en canalizacion tipo PVC 1 1/2".  PD-MOTOBOMBA CONTRAINCENDIO.</v>
          </cell>
          <cell r="D97" t="str">
            <v xml:space="preserve">ML   </v>
          </cell>
          <cell r="E97">
            <v>45</v>
          </cell>
          <cell r="F97">
            <v>21818</v>
          </cell>
          <cell r="G97">
            <v>981810</v>
          </cell>
        </row>
        <row r="98">
          <cell r="A98" t="str">
            <v>4859</v>
          </cell>
          <cell r="B98" t="str">
            <v>Alimentador en 3#8 + 1#8 cable de cobre forrado + 1#10 alambre de cobre desnudo ducto PVC 1".  ASCENSOR.</v>
          </cell>
          <cell r="D98" t="str">
            <v xml:space="preserve">ML   </v>
          </cell>
          <cell r="E98">
            <v>35</v>
          </cell>
          <cell r="F98">
            <v>17184</v>
          </cell>
          <cell r="G98">
            <v>601440</v>
          </cell>
        </row>
        <row r="99">
          <cell r="A99" t="str">
            <v>6797</v>
          </cell>
          <cell r="B99" t="str">
            <v>Alimentador 3#2 (F) +1#2 cable de aluminio forrado + 1#8  (T) cable de cobre desnudo en canalizacion tipo PVC 1-1/4".  PD-SOTANO.</v>
          </cell>
          <cell r="D99" t="str">
            <v xml:space="preserve">ML   </v>
          </cell>
          <cell r="E99">
            <v>20</v>
          </cell>
          <cell r="F99">
            <v>18601</v>
          </cell>
          <cell r="G99">
            <v>372020</v>
          </cell>
        </row>
        <row r="100">
          <cell r="A100" t="str">
            <v>6798</v>
          </cell>
          <cell r="B100" t="str">
            <v>Alimentador 3#1/0 (F) + 1#1/0 cable de aluminio forrado + 1#8  (T) cable de cobre desnudo en canalizacion tipo PVC 2".  PD-TOMAS, PD-PROCESO DE CARNES, PD-PANADERIA Y PD-BODEGA.</v>
          </cell>
          <cell r="D100" t="str">
            <v xml:space="preserve">ML   </v>
          </cell>
          <cell r="E100">
            <v>185</v>
          </cell>
          <cell r="F100">
            <v>26899</v>
          </cell>
          <cell r="G100">
            <v>4976315</v>
          </cell>
        </row>
        <row r="101">
          <cell r="A101" t="str">
            <v>6823</v>
          </cell>
          <cell r="B101" t="str">
            <v>Alimentador 3#4/0 (F) + 1#4/0 cable de aluminio forrado + 1#6  (T) cable de cobre desnudo en canalizacion tipo PVC 3".  PD-ILUMINACION.</v>
          </cell>
          <cell r="D101" t="str">
            <v xml:space="preserve">ML   </v>
          </cell>
          <cell r="E101">
            <v>60</v>
          </cell>
          <cell r="F101">
            <v>48917</v>
          </cell>
          <cell r="G101">
            <v>2935020</v>
          </cell>
        </row>
        <row r="102">
          <cell r="A102" t="str">
            <v>6827</v>
          </cell>
          <cell r="B102" t="str">
            <v>Alimentador en 3#10 + 1#10 alambre de cobre forrado+ 10t alambre de cobre desnudo ducto  PVC 3/4".  MOTOBOMBA AGUA POTABLE.</v>
          </cell>
          <cell r="D102" t="str">
            <v xml:space="preserve">ML   </v>
          </cell>
          <cell r="E102">
            <v>40</v>
          </cell>
          <cell r="F102">
            <v>11799</v>
          </cell>
          <cell r="G102">
            <v>471960</v>
          </cell>
        </row>
        <row r="103">
          <cell r="A103" t="str">
            <v>7257</v>
          </cell>
          <cell r="B103" t="str">
            <v>Alimentador 3#4 (F) +1#4 cable de aluminio forrado + 1#8  (T) cable de cobre desnudo en canalizacion tipo PVC 1-1/4".   PD-2PISO.</v>
          </cell>
          <cell r="D103" t="str">
            <v xml:space="preserve">ML   </v>
          </cell>
          <cell r="E103">
            <v>30</v>
          </cell>
          <cell r="F103">
            <v>16344</v>
          </cell>
          <cell r="G103">
            <v>490320</v>
          </cell>
        </row>
        <row r="104">
          <cell r="A104" t="str">
            <v>7347</v>
          </cell>
          <cell r="B104" t="str">
            <v>Alimentador 3x2#4/0 (F) cable de aluminio forrado + 1#4  (T) cable de cobre desnudo en canalizacion tipo PVC 3".  PD-AIRES ACONDICIONADO, RACK DE REFRIGERACION.</v>
          </cell>
          <cell r="D104" t="str">
            <v xml:space="preserve">ML   </v>
          </cell>
          <cell r="E104">
            <v>90</v>
          </cell>
          <cell r="F104">
            <v>61219</v>
          </cell>
          <cell r="G104">
            <v>5509710</v>
          </cell>
        </row>
        <row r="105">
          <cell r="A105" t="str">
            <v>6792</v>
          </cell>
          <cell r="B105" t="str">
            <v>Alimentador sin canalización 3#1/0 (F) + 1#1/0 cable de aluminio forrado + 1#8  (T) cable de cobre desnudo.  PD-NEVERAS.</v>
          </cell>
          <cell r="D105" t="str">
            <v xml:space="preserve">ML   </v>
          </cell>
          <cell r="E105">
            <v>45</v>
          </cell>
          <cell r="F105">
            <v>20101</v>
          </cell>
          <cell r="G105">
            <v>904545</v>
          </cell>
        </row>
        <row r="106">
          <cell r="F106" t="str">
            <v>Valor Capitulo $</v>
          </cell>
          <cell r="G106">
            <v>17243140</v>
          </cell>
        </row>
        <row r="107">
          <cell r="A107" t="str">
            <v>Capitulo: 11</v>
          </cell>
          <cell r="B107" t="str">
            <v>AIRES ACONDICIONADOS.</v>
          </cell>
        </row>
        <row r="108">
          <cell r="A108" t="str">
            <v>1477</v>
          </cell>
          <cell r="B108" t="str">
            <v>Tablero de baja tensón 1.20x0.80x0.30m con bandeja metálica, chapa, barrajes 3x320A (F), 320A (N), 125A (T). Acrilico protector para frente muerto.</v>
          </cell>
          <cell r="D108" t="str">
            <v xml:space="preserve">UNI  </v>
          </cell>
          <cell r="E108">
            <v>1</v>
          </cell>
          <cell r="F108">
            <v>1279950</v>
          </cell>
          <cell r="G108">
            <v>1279950</v>
          </cell>
        </row>
        <row r="109">
          <cell r="A109" t="str">
            <v>1972</v>
          </cell>
          <cell r="B109" t="str">
            <v>Interruptor Industrial Termomagnético COMPAC EASYPACT 240/440V  125A,  50-30  KA, cableado.  UCAS.</v>
          </cell>
          <cell r="D109" t="str">
            <v xml:space="preserve">UNI  </v>
          </cell>
          <cell r="E109">
            <v>2</v>
          </cell>
          <cell r="F109">
            <v>446686</v>
          </cell>
          <cell r="G109">
            <v>893372</v>
          </cell>
        </row>
        <row r="110">
          <cell r="A110" t="str">
            <v>5572</v>
          </cell>
          <cell r="B110" t="str">
            <v>Interruptor Industrial Termomagnetico COMPACT EASYPACT  240/440V  EZC100N 30  A,  25 ka, cableado.  UMAS.</v>
          </cell>
          <cell r="D110" t="str">
            <v xml:space="preserve">UNI  </v>
          </cell>
          <cell r="E110">
            <v>2</v>
          </cell>
          <cell r="F110">
            <v>181570</v>
          </cell>
          <cell r="G110">
            <v>363140</v>
          </cell>
        </row>
        <row r="111">
          <cell r="A111" t="str">
            <v>4207</v>
          </cell>
          <cell r="B111" t="str">
            <v>Alimentador 3#10 cable de cobre forrado + 1#10 alambre de cobre desnudo en ducto EMT 3/4" UMAS.</v>
          </cell>
          <cell r="D111" t="str">
            <v xml:space="preserve">ML   </v>
          </cell>
          <cell r="E111">
            <v>40</v>
          </cell>
          <cell r="F111">
            <v>19050</v>
          </cell>
          <cell r="G111">
            <v>762000</v>
          </cell>
        </row>
        <row r="112">
          <cell r="A112" t="str">
            <v>5039</v>
          </cell>
          <cell r="B112" t="str">
            <v>Acometida en ducto EMT sobrepuesta Ø1 1/2" 3#1/0 Cable cobre forrado+ 1#6 Cable cobre desnudo THHN-THWN 90GC  UCAS.</v>
          </cell>
          <cell r="D112" t="str">
            <v xml:space="preserve">ML   </v>
          </cell>
          <cell r="E112">
            <v>40</v>
          </cell>
          <cell r="F112">
            <v>77839</v>
          </cell>
          <cell r="G112">
            <v>3113560</v>
          </cell>
        </row>
        <row r="113">
          <cell r="A113" t="str">
            <v>6699</v>
          </cell>
          <cell r="B113" t="str">
            <v xml:space="preserve">Alimentador en  4x16+20 cable de instrumentacion en ducto EMT 3/4". </v>
          </cell>
          <cell r="D113" t="str">
            <v xml:space="preserve">ML   </v>
          </cell>
          <cell r="E113">
            <v>60</v>
          </cell>
          <cell r="F113">
            <v>14895</v>
          </cell>
          <cell r="G113">
            <v>893700</v>
          </cell>
        </row>
        <row r="114">
          <cell r="A114" t="str">
            <v>3317</v>
          </cell>
          <cell r="B114" t="str">
            <v xml:space="preserve">Conexión a motor Ø 3/4" (dos conectores rectos + un metro de coraza) </v>
          </cell>
          <cell r="D114" t="str">
            <v xml:space="preserve">UNI  </v>
          </cell>
          <cell r="E114">
            <v>2</v>
          </cell>
          <cell r="F114">
            <v>32503</v>
          </cell>
          <cell r="G114">
            <v>65006</v>
          </cell>
        </row>
        <row r="115">
          <cell r="A115" t="str">
            <v>3320</v>
          </cell>
          <cell r="B115" t="str">
            <v xml:space="preserve">Conexión a motor Ø 1 1/2" (dos conectores rectos + un metro de coraza) </v>
          </cell>
          <cell r="D115" t="str">
            <v xml:space="preserve">ML   </v>
          </cell>
          <cell r="E115">
            <v>2</v>
          </cell>
          <cell r="F115">
            <v>64720</v>
          </cell>
          <cell r="G115">
            <v>129440</v>
          </cell>
        </row>
        <row r="116">
          <cell r="F116" t="str">
            <v>Valor Capitulo $</v>
          </cell>
          <cell r="G116">
            <v>7500168</v>
          </cell>
        </row>
        <row r="117">
          <cell r="A117" t="str">
            <v>Capitulo: 12</v>
          </cell>
          <cell r="B117" t="str">
            <v>REFRIGERACION.</v>
          </cell>
        </row>
        <row r="118">
          <cell r="A118" t="str">
            <v>1477</v>
          </cell>
          <cell r="B118" t="str">
            <v>Tablero de baja tensón 1.20x0.80x0.30m con bandeja metálica, chapa, barrajes 3x320A (F), 320A (N), 125A (T). Acrilico protector para frente muerto.</v>
          </cell>
          <cell r="D118" t="str">
            <v xml:space="preserve">UNI  </v>
          </cell>
          <cell r="E118">
            <v>1</v>
          </cell>
          <cell r="F118">
            <v>1279950</v>
          </cell>
          <cell r="G118">
            <v>1279950</v>
          </cell>
        </row>
        <row r="119">
          <cell r="A119" t="str">
            <v>5572</v>
          </cell>
          <cell r="B119" t="str">
            <v xml:space="preserve">Interruptor Industrial Termomagnetico COMPACT EASYPACT  240/440V  EZC100N 30  A,  25 ka, cableado. </v>
          </cell>
          <cell r="D119" t="str">
            <v xml:space="preserve">UNI  </v>
          </cell>
          <cell r="E119">
            <v>1</v>
          </cell>
          <cell r="F119">
            <v>174470</v>
          </cell>
          <cell r="G119">
            <v>174470</v>
          </cell>
        </row>
        <row r="120">
          <cell r="A120" t="str">
            <v>5525</v>
          </cell>
          <cell r="B120" t="str">
            <v>Mini-interruptor automatico multinueve 240/440V  bipolar riel omega C60N    20A</v>
          </cell>
          <cell r="D120" t="str">
            <v xml:space="preserve">UNI  </v>
          </cell>
          <cell r="E120">
            <v>12</v>
          </cell>
          <cell r="F120">
            <v>66827</v>
          </cell>
          <cell r="G120">
            <v>801924</v>
          </cell>
        </row>
        <row r="121">
          <cell r="A121" t="str">
            <v>5527</v>
          </cell>
          <cell r="B121" t="str">
            <v xml:space="preserve">Mini-interruptor automatico multinueve 240/440V  bipolar riel omega C60N    32A </v>
          </cell>
          <cell r="D121" t="str">
            <v xml:space="preserve">UNI  </v>
          </cell>
          <cell r="E121">
            <v>2</v>
          </cell>
          <cell r="F121">
            <v>74617</v>
          </cell>
          <cell r="G121">
            <v>149234</v>
          </cell>
        </row>
        <row r="122">
          <cell r="A122" t="str">
            <v>6645</v>
          </cell>
          <cell r="B122" t="str">
            <v xml:space="preserve">Alimentador en  2x16+20 cable de instrumentacion en ducto PVC 1/2". </v>
          </cell>
          <cell r="D122" t="str">
            <v xml:space="preserve">ML   </v>
          </cell>
          <cell r="E122">
            <v>630</v>
          </cell>
          <cell r="F122">
            <v>6156</v>
          </cell>
          <cell r="G122">
            <v>3878280</v>
          </cell>
        </row>
        <row r="123">
          <cell r="A123" t="str">
            <v>2612</v>
          </cell>
          <cell r="B123" t="str">
            <v xml:space="preserve">Alimentador en 2#10 + 1#10 cable de cobre forrado+ 1#10 cable de cobre desnudo ducto PVC 3/4". </v>
          </cell>
          <cell r="D123" t="str">
            <v xml:space="preserve">ML   </v>
          </cell>
          <cell r="E123">
            <v>630</v>
          </cell>
          <cell r="F123">
            <v>10609</v>
          </cell>
          <cell r="G123">
            <v>6683670</v>
          </cell>
        </row>
        <row r="124">
          <cell r="A124" t="str">
            <v>6646</v>
          </cell>
          <cell r="B124" t="str">
            <v xml:space="preserve">Alimentador en  2 # 2x16+20 cable de instrumentacion en ducto PVC 3/4". </v>
          </cell>
          <cell r="D124" t="str">
            <v xml:space="preserve">ML   </v>
          </cell>
          <cell r="E124">
            <v>150</v>
          </cell>
          <cell r="F124">
            <v>10062</v>
          </cell>
          <cell r="G124">
            <v>1509300</v>
          </cell>
        </row>
        <row r="125">
          <cell r="A125" t="str">
            <v>6647</v>
          </cell>
          <cell r="B125" t="str">
            <v>Alimentador en 2X2#10(F) cable de cobre forrado + 1#10(T) alambre de cobre desnudo ducto PVC Ø 3/4".</v>
          </cell>
          <cell r="D125" t="str">
            <v xml:space="preserve">ML   </v>
          </cell>
          <cell r="E125">
            <v>150</v>
          </cell>
          <cell r="F125">
            <v>11149</v>
          </cell>
          <cell r="G125">
            <v>1672350</v>
          </cell>
        </row>
        <row r="126">
          <cell r="A126" t="str">
            <v>6048</v>
          </cell>
          <cell r="B126" t="str">
            <v>Alimentador sin canalizacion en  3X10     cable flexible encauchetado.</v>
          </cell>
          <cell r="D126" t="str">
            <v xml:space="preserve">ML   </v>
          </cell>
          <cell r="E126">
            <v>20</v>
          </cell>
          <cell r="F126">
            <v>7471</v>
          </cell>
          <cell r="G126">
            <v>149420</v>
          </cell>
        </row>
        <row r="127">
          <cell r="A127" t="str">
            <v>4449</v>
          </cell>
          <cell r="B127" t="str">
            <v>Alimentador en 3#8 cable de cobre forrado + 1#10T alambre de cobre desnudo, ducto metalico EMT 1" .  CONDESADOR DEL RACK.</v>
          </cell>
          <cell r="D127" t="str">
            <v xml:space="preserve">ML   </v>
          </cell>
          <cell r="E127">
            <v>20</v>
          </cell>
          <cell r="F127">
            <v>21731</v>
          </cell>
          <cell r="G127">
            <v>434620</v>
          </cell>
        </row>
        <row r="128">
          <cell r="F128" t="str">
            <v>Valor Capitulo $</v>
          </cell>
          <cell r="G128">
            <v>16733218</v>
          </cell>
        </row>
        <row r="129">
          <cell r="A129" t="str">
            <v>Capitulo: 13</v>
          </cell>
          <cell r="B129" t="str">
            <v>SUBESTACION ELECTRICA.</v>
          </cell>
        </row>
        <row r="130">
          <cell r="A130" t="str">
            <v>6003</v>
          </cell>
          <cell r="B130" t="str">
            <v xml:space="preserve">Juego de tres (3) DPS 10.0KV polimericos para instalacion dentro de la subestacion. </v>
          </cell>
          <cell r="D130" t="str">
            <v>JUEGO</v>
          </cell>
          <cell r="E130">
            <v>1</v>
          </cell>
          <cell r="F130">
            <v>495004</v>
          </cell>
          <cell r="G130">
            <v>495004</v>
          </cell>
        </row>
        <row r="131">
          <cell r="A131" t="str">
            <v>1108</v>
          </cell>
          <cell r="B131" t="str">
            <v>Alimentador Trifasico (3 hilos) XLPE 100% #2    Cobre 15 KV, sin canalizacion</v>
          </cell>
          <cell r="D131" t="str">
            <v xml:space="preserve">ML   </v>
          </cell>
          <cell r="E131">
            <v>28</v>
          </cell>
          <cell r="F131">
            <v>85388</v>
          </cell>
          <cell r="G131">
            <v>2390864</v>
          </cell>
        </row>
        <row r="132">
          <cell r="A132" t="str">
            <v>1473</v>
          </cell>
          <cell r="B132" t="str">
            <v xml:space="preserve">Alimentador  subterraneo Primario Trifásico (3 hilos) XLPE 100% #2   15 KV  2 ducto PVC ø 3" </v>
          </cell>
          <cell r="D132" t="str">
            <v xml:space="preserve">ML   </v>
          </cell>
          <cell r="E132">
            <v>12</v>
          </cell>
          <cell r="F132">
            <v>107659</v>
          </cell>
          <cell r="G132">
            <v>1291908</v>
          </cell>
        </row>
        <row r="133">
          <cell r="A133" t="str">
            <v>1106</v>
          </cell>
          <cell r="B133" t="str">
            <v xml:space="preserve">Juego de tres Terminales preensanchadas o termoencibles tipo interior 4-2/0 15 KV </v>
          </cell>
          <cell r="D133" t="str">
            <v xml:space="preserve">UNI  </v>
          </cell>
          <cell r="E133">
            <v>3</v>
          </cell>
          <cell r="F133">
            <v>176217</v>
          </cell>
          <cell r="G133">
            <v>528651</v>
          </cell>
        </row>
        <row r="134">
          <cell r="A134" t="str">
            <v>1107</v>
          </cell>
          <cell r="B134" t="str">
            <v xml:space="preserve">Juego de tresTerminales termoencojibles RAYCHEM tipo exterior 2 - 3/0 15 KV </v>
          </cell>
          <cell r="D134" t="str">
            <v xml:space="preserve">UNI  </v>
          </cell>
          <cell r="E134">
            <v>1</v>
          </cell>
          <cell r="F134">
            <v>444217</v>
          </cell>
          <cell r="G134">
            <v>444217</v>
          </cell>
        </row>
        <row r="135">
          <cell r="A135" t="str">
            <v>5046</v>
          </cell>
          <cell r="B135" t="str">
            <v>Bajante metalico galvanizado conduit de Ø 3" zunchado al poste e impermeabilizado en la punta.</v>
          </cell>
          <cell r="D135" t="str">
            <v xml:space="preserve">UNI  </v>
          </cell>
          <cell r="E135">
            <v>1</v>
          </cell>
          <cell r="F135">
            <v>408100</v>
          </cell>
          <cell r="G135">
            <v>408100</v>
          </cell>
        </row>
        <row r="136">
          <cell r="A136" t="str">
            <v>7658</v>
          </cell>
          <cell r="B136" t="str">
            <v xml:space="preserve">Registro eléctrico de 0.7 x 1.2 x 1.2 m con marco y tapa en ferroconcreto. </v>
          </cell>
          <cell r="D136" t="str">
            <v xml:space="preserve">UNI  </v>
          </cell>
          <cell r="E136">
            <v>1</v>
          </cell>
          <cell r="F136">
            <v>692490</v>
          </cell>
          <cell r="G136">
            <v>692490</v>
          </cell>
        </row>
        <row r="137">
          <cell r="A137" t="str">
            <v>9001</v>
          </cell>
          <cell r="B137" t="str">
            <v xml:space="preserve">Celda con seccionador en aire, 17.5KV, 630A, disparo tripolar bajo carga y con fusibles 50A. </v>
          </cell>
          <cell r="D137" t="str">
            <v xml:space="preserve">UNI  </v>
          </cell>
          <cell r="E137">
            <v>1</v>
          </cell>
          <cell r="F137">
            <v>5576800</v>
          </cell>
          <cell r="G137">
            <v>5576800</v>
          </cell>
        </row>
        <row r="138">
          <cell r="A138" t="str">
            <v>1537</v>
          </cell>
          <cell r="B138" t="str">
            <v xml:space="preserve">Celda para transformador hasta 630 KVA 13.200/600V </v>
          </cell>
          <cell r="D138" t="str">
            <v xml:space="preserve">UNI  </v>
          </cell>
          <cell r="E138">
            <v>1</v>
          </cell>
          <cell r="F138">
            <v>2616552</v>
          </cell>
          <cell r="G138">
            <v>2616552</v>
          </cell>
        </row>
        <row r="139">
          <cell r="A139" t="str">
            <v>2270</v>
          </cell>
          <cell r="B139" t="str">
            <v xml:space="preserve">Transformador Trifásico tipo seco aislamiento clase H 13.200/220/127V (208/120V, 440/254V)  225.0 KVA. </v>
          </cell>
          <cell r="D139" t="str">
            <v xml:space="preserve">UNI  </v>
          </cell>
          <cell r="E139">
            <v>1</v>
          </cell>
          <cell r="F139">
            <v>18612000</v>
          </cell>
          <cell r="G139">
            <v>18612000</v>
          </cell>
        </row>
        <row r="140">
          <cell r="A140" t="str">
            <v>8203</v>
          </cell>
          <cell r="B140" t="str">
            <v>Cuadro de distribucion  de Baja Tensión tipo SB (2,2x1.90x0.6) M, lámina galvanizada #14 y #16, pintura electrostatica, compartimiento para barrajes vertical independiente, puerta delantera.</v>
          </cell>
          <cell r="D140" t="str">
            <v xml:space="preserve">UNI  </v>
          </cell>
          <cell r="E140">
            <v>1</v>
          </cell>
          <cell r="F140">
            <v>7104189</v>
          </cell>
          <cell r="G140">
            <v>7104189</v>
          </cell>
        </row>
        <row r="141">
          <cell r="A141" t="str">
            <v>5562</v>
          </cell>
          <cell r="B141" t="str">
            <v>Interruptor Industrial Unidad de disparo eléctrónica COMPAC NS 440V Regulable de 320 - 800 A,  65KA.</v>
          </cell>
          <cell r="D141" t="str">
            <v xml:space="preserve">UNI  </v>
          </cell>
          <cell r="E141">
            <v>1</v>
          </cell>
          <cell r="F141">
            <v>3550000</v>
          </cell>
          <cell r="G141">
            <v>3550000</v>
          </cell>
        </row>
        <row r="142">
          <cell r="A142" t="str">
            <v>5415</v>
          </cell>
          <cell r="B142" t="str">
            <v xml:space="preserve">Relé regulador del factor de potencia VARLOGIC 6 pasos. </v>
          </cell>
          <cell r="D142" t="str">
            <v xml:space="preserve">UNI  </v>
          </cell>
          <cell r="E142">
            <v>1</v>
          </cell>
          <cell r="F142">
            <v>1597249</v>
          </cell>
          <cell r="G142">
            <v>1597249</v>
          </cell>
        </row>
        <row r="143">
          <cell r="A143" t="str">
            <v>6996</v>
          </cell>
          <cell r="B143" t="str">
            <v xml:space="preserve">Banco trifásico de condensadores Tipo enerlux paso movil de 12  KVAR a 240V. </v>
          </cell>
          <cell r="D143" t="str">
            <v xml:space="preserve">UNI  </v>
          </cell>
          <cell r="E143">
            <v>2</v>
          </cell>
          <cell r="F143">
            <v>509838</v>
          </cell>
          <cell r="G143">
            <v>1019676</v>
          </cell>
        </row>
        <row r="144">
          <cell r="A144" t="str">
            <v>6997</v>
          </cell>
          <cell r="B144" t="str">
            <v xml:space="preserve">Banco trifásico de condensadores Tipo enerlux paso movil de 18 KVAR a 240V. </v>
          </cell>
          <cell r="D144" t="str">
            <v xml:space="preserve">UNI  </v>
          </cell>
          <cell r="E144">
            <v>2</v>
          </cell>
          <cell r="F144">
            <v>775607</v>
          </cell>
          <cell r="G144">
            <v>1551214</v>
          </cell>
        </row>
        <row r="145">
          <cell r="A145" t="str">
            <v>7100</v>
          </cell>
          <cell r="B145" t="str">
            <v xml:space="preserve">Banco trifásico de condensadores Tipo enerlux paso fijo de 12 KVAR a 240V. </v>
          </cell>
          <cell r="D145" t="str">
            <v xml:space="preserve">UNI  </v>
          </cell>
          <cell r="E145">
            <v>1</v>
          </cell>
          <cell r="F145">
            <v>579425</v>
          </cell>
          <cell r="G145">
            <v>579425</v>
          </cell>
        </row>
        <row r="146">
          <cell r="A146" t="str">
            <v>5762</v>
          </cell>
          <cell r="B146" t="str">
            <v>Monitor de circuito Lovato DMK32 con comunicación. Medicion corriente de fase y neutro, voltaje linea y fase, factor de potencia</v>
          </cell>
          <cell r="D146" t="str">
            <v xml:space="preserve">UNI  </v>
          </cell>
          <cell r="E146">
            <v>1</v>
          </cell>
          <cell r="F146">
            <v>2113365</v>
          </cell>
          <cell r="G146">
            <v>2113365</v>
          </cell>
        </row>
        <row r="147">
          <cell r="A147" t="str">
            <v>5199</v>
          </cell>
          <cell r="B147" t="str">
            <v xml:space="preserve">Acople de barraje trifasico 1250A a interruptor de 1250A </v>
          </cell>
          <cell r="D147" t="str">
            <v xml:space="preserve">UNI  </v>
          </cell>
          <cell r="E147">
            <v>1</v>
          </cell>
          <cell r="F147">
            <v>345350</v>
          </cell>
          <cell r="G147">
            <v>345350</v>
          </cell>
        </row>
        <row r="148">
          <cell r="A148" t="str">
            <v>5917</v>
          </cell>
          <cell r="B148" t="str">
            <v xml:space="preserve">Barraje Trifasico Vertical para tablero SB fases 1.250 A(F) X 2M, 1250 A(N), 320A(T), 2ML </v>
          </cell>
          <cell r="D148" t="str">
            <v xml:space="preserve">UNI  </v>
          </cell>
          <cell r="E148">
            <v>1</v>
          </cell>
          <cell r="F148">
            <v>1208500</v>
          </cell>
          <cell r="G148">
            <v>1208500</v>
          </cell>
        </row>
        <row r="149">
          <cell r="A149" t="str">
            <v>3597</v>
          </cell>
          <cell r="B149" t="str">
            <v>Bornas terminales 12#4/0 + 1#2/0 compresion, tipo barril largo, marca 3M certificadas y cubiertas con tubo termoencogible.</v>
          </cell>
          <cell r="D149" t="str">
            <v xml:space="preserve">GLOBAL   </v>
          </cell>
          <cell r="E149">
            <v>2</v>
          </cell>
          <cell r="F149">
            <v>254799</v>
          </cell>
          <cell r="G149">
            <v>509598</v>
          </cell>
        </row>
        <row r="150">
          <cell r="A150" t="str">
            <v>0040</v>
          </cell>
          <cell r="B150" t="str">
            <v xml:space="preserve">Servicio de prueba de pararayos en taller certificado por Electrificadora. </v>
          </cell>
          <cell r="D150" t="str">
            <v xml:space="preserve">GLOBAL   </v>
          </cell>
          <cell r="E150">
            <v>6</v>
          </cell>
          <cell r="F150">
            <v>57000</v>
          </cell>
          <cell r="G150">
            <v>342000</v>
          </cell>
        </row>
        <row r="151">
          <cell r="A151" t="str">
            <v>6118</v>
          </cell>
          <cell r="B151" t="str">
            <v>Suministro e instalacion de tapa metalica de alfajor de 1,4" X 120 CM X 30 CM para cubrir el carcamo.</v>
          </cell>
          <cell r="D151" t="str">
            <v xml:space="preserve">UNI  </v>
          </cell>
          <cell r="E151">
            <v>10</v>
          </cell>
          <cell r="F151">
            <v>21500</v>
          </cell>
          <cell r="G151">
            <v>215000</v>
          </cell>
        </row>
        <row r="152">
          <cell r="A152" t="str">
            <v>5211</v>
          </cell>
          <cell r="B152" t="str">
            <v>Canalizacion para tuberia (ancho=30cm, profundidad=50cm, concreto 2000psi, e=25cm) Tipo + cinta prevencion peligro.</v>
          </cell>
          <cell r="D152" t="str">
            <v xml:space="preserve">ML   </v>
          </cell>
          <cell r="E152">
            <v>12</v>
          </cell>
          <cell r="F152">
            <v>168175</v>
          </cell>
          <cell r="G152">
            <v>2018100</v>
          </cell>
        </row>
        <row r="153">
          <cell r="A153" t="str">
            <v>4467</v>
          </cell>
          <cell r="B153" t="str">
            <v>Alimentador sin canallizacion en 3X3#4/0 (F) + 3#4/0 (N) cable de cobre forrado + 1#4/0 cable de cobre desnudo.</v>
          </cell>
          <cell r="D153" t="str">
            <v xml:space="preserve">ML   </v>
          </cell>
          <cell r="E153">
            <v>12</v>
          </cell>
          <cell r="F153">
            <v>488470</v>
          </cell>
          <cell r="G153">
            <v>5861640</v>
          </cell>
        </row>
        <row r="154">
          <cell r="A154" t="str">
            <v>6117</v>
          </cell>
          <cell r="B154" t="str">
            <v xml:space="preserve">Ducto metálico conduit galvanizado tipo IMC Ø  3"  , sobrepuesta, con accesorios de fijacion. </v>
          </cell>
          <cell r="D154" t="str">
            <v xml:space="preserve">ML   </v>
          </cell>
          <cell r="E154">
            <v>10</v>
          </cell>
          <cell r="F154">
            <v>84884</v>
          </cell>
          <cell r="G154">
            <v>848840</v>
          </cell>
        </row>
        <row r="155">
          <cell r="A155" t="str">
            <v>7417</v>
          </cell>
          <cell r="B155" t="str">
            <v>Cofre Metalico1.20x0.80x0.30m.</v>
          </cell>
          <cell r="D155" t="str">
            <v xml:space="preserve">UNI  </v>
          </cell>
          <cell r="E155">
            <v>1</v>
          </cell>
          <cell r="F155">
            <v>875000</v>
          </cell>
          <cell r="G155">
            <v>875000</v>
          </cell>
        </row>
        <row r="156">
          <cell r="A156" t="str">
            <v>1417</v>
          </cell>
          <cell r="B156" t="str">
            <v>Malla a tierra de la subestacion con  4 Varillas cu-cu 5/8"x2.4m, 1 condensador con 90kg hidrosolta, 40.0 ml de ccd #2/0. 12 de 90 gms, 10 de 115 gms  soldadura cad welld, bornas de conexion.</v>
          </cell>
          <cell r="D156" t="str">
            <v xml:space="preserve">UNI  </v>
          </cell>
          <cell r="E156">
            <v>1</v>
          </cell>
          <cell r="F156">
            <v>2528665</v>
          </cell>
          <cell r="G156">
            <v>2528665</v>
          </cell>
        </row>
        <row r="157">
          <cell r="F157" t="str">
            <v>Valor Capitulo $</v>
          </cell>
          <cell r="G157">
            <v>65324397</v>
          </cell>
        </row>
        <row r="158">
          <cell r="A158" t="str">
            <v>Capitulo: 14</v>
          </cell>
          <cell r="B158" t="str">
            <v>PROTECCION DE LA EDIFICACION.</v>
          </cell>
        </row>
        <row r="159">
          <cell r="A159" t="str">
            <v>7099</v>
          </cell>
          <cell r="B159" t="str">
            <v>Supresor de transitorios de Voltaje DPS LEVITON 3 FASES 4 HILOS + TIERRA 120/208 VAC 4 modos de proteccion diseño modular 100 kA + (50 kA. N-G) alta capacidad de proteccion categoria C.</v>
          </cell>
          <cell r="D159" t="str">
            <v xml:space="preserve">UNI  </v>
          </cell>
          <cell r="E159">
            <v>1</v>
          </cell>
          <cell r="F159">
            <v>3676349</v>
          </cell>
          <cell r="G159">
            <v>3676349</v>
          </cell>
        </row>
        <row r="160">
          <cell r="A160" t="str">
            <v>5635</v>
          </cell>
          <cell r="B160" t="str">
            <v>Bornas terminales  3#2/0 + 1#1/0 a compresion, tipo barril largo, marca 3M certificadas y cubiertas con tubo termoencogible.</v>
          </cell>
          <cell r="D160" t="str">
            <v xml:space="preserve">UNI  </v>
          </cell>
          <cell r="E160">
            <v>10</v>
          </cell>
          <cell r="F160">
            <v>80552</v>
          </cell>
          <cell r="G160">
            <v>805520</v>
          </cell>
        </row>
        <row r="161">
          <cell r="A161" t="str">
            <v>7625</v>
          </cell>
          <cell r="B161" t="str">
            <v xml:space="preserve">Suministro e instalacion de ducto PVC de ø 3/4" subterraneo. </v>
          </cell>
          <cell r="D161" t="str">
            <v xml:space="preserve">ML   </v>
          </cell>
          <cell r="E161">
            <v>40</v>
          </cell>
          <cell r="F161">
            <v>2921</v>
          </cell>
          <cell r="G161">
            <v>116840</v>
          </cell>
        </row>
        <row r="162">
          <cell r="A162" t="str">
            <v>7652</v>
          </cell>
          <cell r="B162" t="str">
            <v>Registro electrico para acometidas secundarias de 0.5 x 0.5 x 0.7 M con marco y tapa en ferroconcreto.</v>
          </cell>
          <cell r="D162" t="str">
            <v xml:space="preserve">UNI  </v>
          </cell>
          <cell r="E162">
            <v>4</v>
          </cell>
          <cell r="F162">
            <v>332316</v>
          </cell>
          <cell r="G162">
            <v>1329264</v>
          </cell>
        </row>
        <row r="163">
          <cell r="A163" t="str">
            <v>6337</v>
          </cell>
          <cell r="B163" t="str">
            <v>Suministro e instalacion de cable de aluminio forrado 1/0 AWG</v>
          </cell>
          <cell r="D163" t="str">
            <v xml:space="preserve">ML   </v>
          </cell>
          <cell r="E163">
            <v>250</v>
          </cell>
          <cell r="F163">
            <v>4621</v>
          </cell>
          <cell r="G163">
            <v>1155250</v>
          </cell>
        </row>
        <row r="164">
          <cell r="A164" t="str">
            <v>3598</v>
          </cell>
          <cell r="B164" t="str">
            <v xml:space="preserve">Soldadura cadweld tipo TA-2G-2G cable-cable 2/0-2/0 en T. </v>
          </cell>
          <cell r="D164" t="str">
            <v xml:space="preserve">UNI  </v>
          </cell>
          <cell r="E164">
            <v>10</v>
          </cell>
          <cell r="F164">
            <v>38000</v>
          </cell>
          <cell r="G164">
            <v>380000</v>
          </cell>
        </row>
        <row r="165">
          <cell r="A165" t="str">
            <v>4785</v>
          </cell>
          <cell r="B165" t="str">
            <v xml:space="preserve">Sumin.e insta. de soldadura cadweld tipo VS-1V cable-estructura 2/0 AWG. </v>
          </cell>
          <cell r="D165" t="str">
            <v xml:space="preserve">ML   </v>
          </cell>
          <cell r="E165">
            <v>10</v>
          </cell>
          <cell r="F165">
            <v>38000</v>
          </cell>
          <cell r="G165">
            <v>380000</v>
          </cell>
        </row>
        <row r="166">
          <cell r="A166" t="str">
            <v>4502</v>
          </cell>
          <cell r="B166" t="str">
            <v xml:space="preserve">Conductor de cobre desnudo #1/0 para la descarga a tierra. </v>
          </cell>
          <cell r="D166" t="str">
            <v xml:space="preserve">ML   </v>
          </cell>
          <cell r="E166">
            <v>220</v>
          </cell>
          <cell r="F166">
            <v>16997</v>
          </cell>
          <cell r="G166">
            <v>3739340</v>
          </cell>
        </row>
        <row r="167">
          <cell r="A167" t="str">
            <v>2920</v>
          </cell>
          <cell r="B167" t="str">
            <v xml:space="preserve">Varilla de cobre puro 5/8"x2.4 m sin conector </v>
          </cell>
          <cell r="D167" t="str">
            <v xml:space="preserve">UNI  </v>
          </cell>
          <cell r="E167">
            <v>6</v>
          </cell>
          <cell r="F167">
            <v>106900</v>
          </cell>
          <cell r="G167">
            <v>641400</v>
          </cell>
        </row>
        <row r="168">
          <cell r="A168" t="str">
            <v>6570</v>
          </cell>
          <cell r="B168" t="str">
            <v>Transicion de cable de aluminio 1/0 a cobre 1/0 en caja empotrada con un conector a compresion OB1010</v>
          </cell>
          <cell r="D168" t="str">
            <v xml:space="preserve">UNI  </v>
          </cell>
          <cell r="E168">
            <v>10</v>
          </cell>
          <cell r="F168">
            <v>44980</v>
          </cell>
          <cell r="G168">
            <v>449800</v>
          </cell>
        </row>
        <row r="169">
          <cell r="A169" t="str">
            <v>6336</v>
          </cell>
          <cell r="B169" t="str">
            <v>S. e I. de Pararrayos Tipo Franklin una punta de 0,6 m, montado en ducto galvanizado de 3/4" de 1.5 m con unión y base.</v>
          </cell>
          <cell r="D169" t="str">
            <v xml:space="preserve">UNI  </v>
          </cell>
          <cell r="E169">
            <v>12</v>
          </cell>
          <cell r="F169">
            <v>315616</v>
          </cell>
          <cell r="G169">
            <v>3787392</v>
          </cell>
        </row>
        <row r="170">
          <cell r="F170" t="str">
            <v>Valor Capitulo $</v>
          </cell>
          <cell r="G170">
            <v>16461155</v>
          </cell>
        </row>
        <row r="171">
          <cell r="A171" t="str">
            <v>Capitulo: 15</v>
          </cell>
          <cell r="B171" t="str">
            <v>MEDIA TENSION.</v>
          </cell>
        </row>
        <row r="172">
          <cell r="A172" t="str">
            <v>6852</v>
          </cell>
          <cell r="B172" t="str">
            <v>Servicio de pago al operador de red descargo en caliente (segun la programacion) para el trabajo de extension de red programado.</v>
          </cell>
          <cell r="D172" t="str">
            <v xml:space="preserve">GLOBAL   </v>
          </cell>
          <cell r="E172">
            <v>1</v>
          </cell>
          <cell r="F172">
            <v>2105028</v>
          </cell>
          <cell r="G172">
            <v>2105028</v>
          </cell>
        </row>
        <row r="173">
          <cell r="A173" t="str">
            <v>1046</v>
          </cell>
          <cell r="B173" t="str">
            <v xml:space="preserve">Armado o Estructura Simple Circuito trifasica,  13,2 KV Alineacion Horizontal cable 1/0 ACSR. </v>
          </cell>
          <cell r="D173" t="str">
            <v xml:space="preserve">UNI  </v>
          </cell>
          <cell r="E173">
            <v>1</v>
          </cell>
          <cell r="F173">
            <v>1760807</v>
          </cell>
          <cell r="G173">
            <v>1760807</v>
          </cell>
        </row>
        <row r="174">
          <cell r="A174" t="str">
            <v>6789</v>
          </cell>
          <cell r="B174" t="str">
            <v xml:space="preserve">Puentes Aereos (3 hilos) #1/0 en caliente. </v>
          </cell>
          <cell r="D174" t="str">
            <v>JUEGO</v>
          </cell>
          <cell r="E174">
            <v>1</v>
          </cell>
          <cell r="F174">
            <v>566799</v>
          </cell>
          <cell r="G174">
            <v>566799</v>
          </cell>
        </row>
        <row r="175">
          <cell r="A175" t="str">
            <v>3312</v>
          </cell>
          <cell r="B175" t="str">
            <v>Protecciones en Poste para Subestacion o linea 23 KV, 3 cortacircuitos y 3 Pararrayos en 3 crucetas metalicas de 2.4 M autosoportada.</v>
          </cell>
          <cell r="D175" t="str">
            <v xml:space="preserve">UNI  </v>
          </cell>
          <cell r="E175">
            <v>1</v>
          </cell>
          <cell r="F175">
            <v>2634243</v>
          </cell>
          <cell r="G175">
            <v>2634243</v>
          </cell>
        </row>
        <row r="176">
          <cell r="A176" t="str">
            <v>6016</v>
          </cell>
          <cell r="B176" t="str">
            <v>Poste de concreto de 12m x 800 Dan incluye: Transporte, excavacion, hincada, aplomada, concreteda.</v>
          </cell>
          <cell r="D176" t="str">
            <v xml:space="preserve">UNI  </v>
          </cell>
          <cell r="E176">
            <v>1</v>
          </cell>
          <cell r="F176">
            <v>2164000</v>
          </cell>
          <cell r="G176">
            <v>2164000</v>
          </cell>
        </row>
        <row r="177">
          <cell r="A177" t="str">
            <v>6461</v>
          </cell>
          <cell r="B177" t="str">
            <v xml:space="preserve">Construccion de base de concreto para poste autosoportado de 14x1350/1500/2000 KG (acero. refuerzo 1/2" y  3/8" concreto 3000psi) </v>
          </cell>
          <cell r="D177" t="str">
            <v xml:space="preserve">UNI  </v>
          </cell>
          <cell r="E177">
            <v>1</v>
          </cell>
          <cell r="F177">
            <v>1249000</v>
          </cell>
          <cell r="G177">
            <v>1249000</v>
          </cell>
        </row>
        <row r="178">
          <cell r="A178" t="str">
            <v>5267</v>
          </cell>
          <cell r="B178" t="str">
            <v>Servicio de alquiler de grua canastilla para trabajo en caliente 13.2 KV por horas</v>
          </cell>
          <cell r="D178" t="str">
            <v xml:space="preserve">HORA </v>
          </cell>
          <cell r="E178">
            <v>10</v>
          </cell>
          <cell r="F178">
            <v>100000</v>
          </cell>
          <cell r="G178">
            <v>1000000</v>
          </cell>
        </row>
        <row r="179">
          <cell r="A179" t="str">
            <v>7080</v>
          </cell>
          <cell r="B179" t="str">
            <v>Equipo para medicion de energia tipo exterior 15KV, dos elementos montados en poste, 2 TC 15/5A, 2 TP 13.200/120V.contador electronico en gabinete independiente polifuncion.</v>
          </cell>
          <cell r="D179" t="str">
            <v xml:space="preserve">UNI  </v>
          </cell>
          <cell r="E179">
            <v>1</v>
          </cell>
          <cell r="F179">
            <v>17328029</v>
          </cell>
          <cell r="G179">
            <v>17328029</v>
          </cell>
        </row>
        <row r="180">
          <cell r="F180" t="str">
            <v>Valor Capitulo $</v>
          </cell>
          <cell r="G180">
            <v>28807906</v>
          </cell>
        </row>
        <row r="181">
          <cell r="A181" t="str">
            <v>Capitulo: 16</v>
          </cell>
          <cell r="B181" t="str">
            <v>PLANTA ELECTRICA.</v>
          </cell>
        </row>
        <row r="182">
          <cell r="A182" t="str">
            <v>6839</v>
          </cell>
          <cell r="B182" t="str">
            <v>Transferencia automatica para 35 HP trifasica a 220V sin circuito de control con contactores LC1D11540 con enclavamiento mecanico LA9D11502.</v>
          </cell>
          <cell r="D182" t="str">
            <v xml:space="preserve">UNI  </v>
          </cell>
          <cell r="E182">
            <v>1</v>
          </cell>
          <cell r="F182">
            <v>2719680</v>
          </cell>
          <cell r="G182">
            <v>2719680</v>
          </cell>
        </row>
        <row r="183">
          <cell r="A183" t="str">
            <v>7249</v>
          </cell>
          <cell r="B183" t="str">
            <v xml:space="preserve">Transferencia automática, 220V, cosphi 0.8,  612A AC1, 400A en AC3 Ref  TAL- 400 -ML. MOLLER control VORKON. </v>
          </cell>
          <cell r="D183" t="str">
            <v xml:space="preserve">UNI  </v>
          </cell>
          <cell r="E183">
            <v>1</v>
          </cell>
          <cell r="G183">
            <v>0</v>
          </cell>
        </row>
        <row r="184">
          <cell r="A184" t="str">
            <v>3597</v>
          </cell>
          <cell r="B184" t="str">
            <v>Bornas terminales 12#4/0 + 1#2/0 compresion, tipo barril largo, marca 3M certificadas y cubiertas con tubo termoencogible.</v>
          </cell>
          <cell r="D184" t="str">
            <v xml:space="preserve">GLOBAL   </v>
          </cell>
          <cell r="E184">
            <v>2</v>
          </cell>
          <cell r="F184">
            <v>255399</v>
          </cell>
          <cell r="G184">
            <v>510798</v>
          </cell>
        </row>
        <row r="185">
          <cell r="A185" t="str">
            <v>3338</v>
          </cell>
          <cell r="B185" t="str">
            <v>Alimentador sin canalizacion en 2X16 cable flexible encauchetado.</v>
          </cell>
          <cell r="D185" t="str">
            <v xml:space="preserve">ML   </v>
          </cell>
          <cell r="E185">
            <v>12</v>
          </cell>
          <cell r="F185">
            <v>2320</v>
          </cell>
          <cell r="G185">
            <v>27840</v>
          </cell>
        </row>
        <row r="186">
          <cell r="A186" t="str">
            <v>4467</v>
          </cell>
          <cell r="B186" t="str">
            <v>Alimentador sin canallizacion en 3X3#4/0 (F) + 3#4/0 (N) cable de cobre forrado + 1#4/0 cable de cobre desnudo.</v>
          </cell>
          <cell r="D186" t="str">
            <v xml:space="preserve">ML   </v>
          </cell>
          <cell r="E186">
            <v>12</v>
          </cell>
          <cell r="F186">
            <v>487785</v>
          </cell>
          <cell r="G186">
            <v>5853420</v>
          </cell>
        </row>
        <row r="187">
          <cell r="F187" t="str">
            <v>Valor Capitulo $</v>
          </cell>
          <cell r="G187">
            <v>9111738</v>
          </cell>
        </row>
        <row r="188">
          <cell r="A188" t="str">
            <v>Capitulo: 17</v>
          </cell>
          <cell r="B188" t="str">
            <v>VIATICOS.</v>
          </cell>
        </row>
        <row r="189">
          <cell r="A189" t="str">
            <v>4274</v>
          </cell>
          <cell r="B189" t="str">
            <v>Viaticos que incluyen transporte al sitio, alojamiento, alimentacion del personal, seguridad social e industrial.</v>
          </cell>
          <cell r="D189" t="str">
            <v xml:space="preserve">GLOBAL   </v>
          </cell>
          <cell r="E189">
            <v>1</v>
          </cell>
          <cell r="F189">
            <v>1526520</v>
          </cell>
          <cell r="G189">
            <v>1526520</v>
          </cell>
        </row>
        <row r="190">
          <cell r="F190" t="str">
            <v>Valor Capitulo $</v>
          </cell>
          <cell r="G190">
            <v>1526520</v>
          </cell>
        </row>
        <row r="193">
          <cell r="B193" t="str">
            <v>TOTAL PRESUPUESTO</v>
          </cell>
          <cell r="G193">
            <v>401399613</v>
          </cell>
        </row>
        <row r="195">
          <cell r="B195" t="str">
            <v xml:space="preserve">ADMINISTRACION </v>
          </cell>
          <cell r="D195">
            <v>0.02</v>
          </cell>
          <cell r="G195">
            <v>8027992.2599999998</v>
          </cell>
        </row>
        <row r="196">
          <cell r="B196" t="str">
            <v>IMPREVISTOS</v>
          </cell>
          <cell r="D196">
            <v>0.01</v>
          </cell>
          <cell r="G196">
            <v>4013996.13</v>
          </cell>
        </row>
        <row r="197">
          <cell r="B197" t="str">
            <v>UTILIDAD</v>
          </cell>
          <cell r="D197">
            <v>0.02</v>
          </cell>
          <cell r="G197">
            <v>8027992.2599999998</v>
          </cell>
        </row>
        <row r="198">
          <cell r="B198" t="str">
            <v>TOTAL A.I.U</v>
          </cell>
          <cell r="D198">
            <v>0.05</v>
          </cell>
          <cell r="G198">
            <v>20069980.649999999</v>
          </cell>
        </row>
        <row r="200">
          <cell r="B200" t="str">
            <v>COSTO TOTAL DE LA SOLICITUD</v>
          </cell>
          <cell r="G200">
            <v>421469593.64999998</v>
          </cell>
        </row>
        <row r="201">
          <cell r="B201" t="str">
            <v>IVA 16%  UTILIDAD</v>
          </cell>
          <cell r="G201">
            <v>1284478.7616000001</v>
          </cell>
        </row>
        <row r="202">
          <cell r="B202" t="str">
            <v xml:space="preserve">TOTAL COSTO DE LA OBRA </v>
          </cell>
          <cell r="F202">
            <v>0.16</v>
          </cell>
          <cell r="G202">
            <v>422754072.41159999</v>
          </cell>
        </row>
      </sheetData>
      <sheetData sheetId="1">
        <row r="10">
          <cell r="B10" t="str">
            <v>I</v>
          </cell>
        </row>
      </sheetData>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do"/>
      <sheetName val="Apu78-153"/>
      <sheetName val="Materiales "/>
      <sheetName val="Mano Obra"/>
      <sheetName val="Equip, Herr y Transp"/>
      <sheetName val="Apu Mat"/>
      <sheetName val="Apu 1-77"/>
      <sheetName val="Lista Maestra Materiales"/>
    </sheetNames>
    <sheetDataSet>
      <sheetData sheetId="0" refreshError="1"/>
      <sheetData sheetId="1" refreshError="1"/>
      <sheetData sheetId="2" refreshError="1"/>
      <sheetData sheetId="3" refreshError="1">
        <row r="3">
          <cell r="B3" t="str">
            <v>-</v>
          </cell>
        </row>
        <row r="4">
          <cell r="B4" t="str">
            <v>Ayudante</v>
          </cell>
        </row>
        <row r="5">
          <cell r="B5" t="str">
            <v>Oficial Eléctrico (Conte Categoria T3 y T4)</v>
          </cell>
        </row>
        <row r="6">
          <cell r="B6" t="str">
            <v>Oficial Eléctrico (Conte Categoría T5 Técnico en Redes)</v>
          </cell>
        </row>
        <row r="7">
          <cell r="B7" t="str">
            <v>Oficial Soldador diurno</v>
          </cell>
        </row>
        <row r="8">
          <cell r="B8" t="str">
            <v>Técnico Dibujante</v>
          </cell>
        </row>
        <row r="9">
          <cell r="B9" t="str">
            <v xml:space="preserve">Supervisor Seguridad </v>
          </cell>
        </row>
        <row r="10">
          <cell r="B10" t="str">
            <v>Supervisor Eléctricista</v>
          </cell>
        </row>
        <row r="11">
          <cell r="B11" t="str">
            <v>Ingeniero Eléctricista</v>
          </cell>
        </row>
      </sheetData>
      <sheetData sheetId="4" refreshError="1">
        <row r="2">
          <cell r="B2" t="str">
            <v>-</v>
          </cell>
        </row>
        <row r="3">
          <cell r="B3" t="str">
            <v>Alicate</v>
          </cell>
        </row>
        <row r="4">
          <cell r="B4" t="str">
            <v>Analizador de redes</v>
          </cell>
        </row>
        <row r="5">
          <cell r="B5" t="str">
            <v>Andamios</v>
          </cell>
        </row>
        <row r="6">
          <cell r="B6" t="str">
            <v>Arnes</v>
          </cell>
        </row>
        <row r="7">
          <cell r="B7" t="str">
            <v>Bandeja plastica</v>
          </cell>
        </row>
        <row r="8">
          <cell r="B8" t="str">
            <v>Brocha</v>
          </cell>
        </row>
        <row r="9">
          <cell r="B9" t="str">
            <v>Caja de herramientas</v>
          </cell>
        </row>
        <row r="10">
          <cell r="B10" t="str">
            <v>Calentador manual</v>
          </cell>
        </row>
        <row r="11">
          <cell r="B11" t="str">
            <v>Camion turbito</v>
          </cell>
        </row>
        <row r="12">
          <cell r="B12" t="str">
            <v>Camion turbo</v>
          </cell>
        </row>
        <row r="13">
          <cell r="B13" t="str">
            <v>Camioneta 4x4</v>
          </cell>
        </row>
        <row r="14">
          <cell r="B14" t="str">
            <v>Caucho dobla tubo 1/2</v>
          </cell>
        </row>
        <row r="15">
          <cell r="B15" t="str">
            <v>Caucho dobla tubo 3/4</v>
          </cell>
        </row>
        <row r="16">
          <cell r="B16" t="str">
            <v>Cegueta</v>
          </cell>
        </row>
        <row r="17">
          <cell r="B17" t="str">
            <v>Celular</v>
          </cell>
        </row>
        <row r="18">
          <cell r="B18" t="str">
            <v>Cincel</v>
          </cell>
        </row>
        <row r="19">
          <cell r="B19" t="str">
            <v>Cinta metrica x 30 mts</v>
          </cell>
        </row>
        <row r="20">
          <cell r="B20" t="str">
            <v>Cinta peligro</v>
          </cell>
        </row>
        <row r="21">
          <cell r="B21" t="str">
            <v>Cinturon herramientas</v>
          </cell>
        </row>
        <row r="22">
          <cell r="B22" t="str">
            <v>Cizalla</v>
          </cell>
        </row>
        <row r="23">
          <cell r="B23" t="str">
            <v xml:space="preserve">Colombina plastica </v>
          </cell>
        </row>
        <row r="24">
          <cell r="B24" t="str">
            <v>Cono de 70 cm</v>
          </cell>
        </row>
        <row r="25">
          <cell r="B25" t="str">
            <v>Copa cierra</v>
          </cell>
        </row>
        <row r="26">
          <cell r="B26" t="str">
            <v>Corta frio</v>
          </cell>
        </row>
        <row r="27">
          <cell r="B27" t="str">
            <v>Destonillador estria</v>
          </cell>
        </row>
        <row r="28">
          <cell r="B28" t="str">
            <v>Destornillador bornero</v>
          </cell>
        </row>
        <row r="29">
          <cell r="B29" t="str">
            <v>Destornillador pala</v>
          </cell>
        </row>
        <row r="30">
          <cell r="B30" t="str">
            <v>Dobla tubo</v>
          </cell>
        </row>
        <row r="31">
          <cell r="B31" t="str">
            <v>Escalera de extension hasta 24 pasos</v>
          </cell>
        </row>
        <row r="32">
          <cell r="B32" t="str">
            <v>Escalera de tijera hasta 10 pasos</v>
          </cell>
        </row>
        <row r="33">
          <cell r="B33" t="str">
            <v>Escuadra profesional</v>
          </cell>
        </row>
        <row r="34">
          <cell r="B34" t="str">
            <v>Espatula</v>
          </cell>
        </row>
        <row r="35">
          <cell r="B35" t="str">
            <v>Extensión industrial 30 m</v>
          </cell>
        </row>
        <row r="36">
          <cell r="B36" t="str">
            <v>Gato hidraulico</v>
          </cell>
        </row>
        <row r="37">
          <cell r="B37" t="str">
            <v xml:space="preserve">Grua carga postes brazo extensor hidraulico </v>
          </cell>
        </row>
        <row r="38">
          <cell r="B38" t="str">
            <v>Grua hidraulica carro canasta</v>
          </cell>
        </row>
        <row r="39">
          <cell r="B39" t="str">
            <v>Juego de Tablas</v>
          </cell>
        </row>
        <row r="40">
          <cell r="B40" t="str">
            <v>Juego llave allen</v>
          </cell>
        </row>
        <row r="41">
          <cell r="B41" t="str">
            <v>Juego llave ratchet</v>
          </cell>
        </row>
        <row r="42">
          <cell r="B42" t="str">
            <v>Llaves mixtas</v>
          </cell>
        </row>
        <row r="43">
          <cell r="B43" t="str">
            <v>Manila de 1/2" x 20 mts</v>
          </cell>
        </row>
        <row r="44">
          <cell r="B44" t="str">
            <v>Maquina soldar</v>
          </cell>
        </row>
        <row r="45">
          <cell r="B45" t="str">
            <v>Martillo</v>
          </cell>
        </row>
        <row r="46">
          <cell r="B46" t="str">
            <v>Megger aislamiento</v>
          </cell>
        </row>
        <row r="47">
          <cell r="B47" t="str">
            <v>Metro</v>
          </cell>
        </row>
        <row r="48">
          <cell r="B48" t="str">
            <v>Molde cadweld</v>
          </cell>
        </row>
        <row r="49">
          <cell r="B49" t="str">
            <v xml:space="preserve">Mona </v>
          </cell>
        </row>
        <row r="50">
          <cell r="B50" t="str">
            <v>Navaja</v>
          </cell>
        </row>
        <row r="51">
          <cell r="B51" t="str">
            <v>Nivel</v>
          </cell>
        </row>
        <row r="52">
          <cell r="B52" t="str">
            <v>Overol enterizo Manga larga</v>
          </cell>
        </row>
        <row r="53">
          <cell r="B53" t="str">
            <v xml:space="preserve">Pala </v>
          </cell>
        </row>
        <row r="54">
          <cell r="B54" t="str">
            <v>Palaustre</v>
          </cell>
        </row>
        <row r="55">
          <cell r="B55" t="str">
            <v>Pertiga</v>
          </cell>
        </row>
        <row r="56">
          <cell r="B56" t="str">
            <v>Pico</v>
          </cell>
        </row>
        <row r="57">
          <cell r="B57" t="str">
            <v>Pinza para molde</v>
          </cell>
        </row>
        <row r="58">
          <cell r="B58" t="str">
            <v>Pinza voltiamperimetrica</v>
          </cell>
        </row>
        <row r="59">
          <cell r="B59" t="str">
            <v>Ponchadora</v>
          </cell>
        </row>
        <row r="60">
          <cell r="B60" t="str">
            <v>Pretales</v>
          </cell>
        </row>
        <row r="61">
          <cell r="B61" t="str">
            <v>Pulidora</v>
          </cell>
        </row>
        <row r="62">
          <cell r="B62" t="str">
            <v>Remachadora</v>
          </cell>
        </row>
        <row r="63">
          <cell r="B63" t="str">
            <v>Retrocargador</v>
          </cell>
        </row>
        <row r="64">
          <cell r="B64" t="str">
            <v>Rodillo Profesional</v>
          </cell>
        </row>
        <row r="65">
          <cell r="B65" t="str">
            <v>Sacabocado hidraulico</v>
          </cell>
        </row>
        <row r="66">
          <cell r="B66" t="str">
            <v>Sonda</v>
          </cell>
        </row>
        <row r="67">
          <cell r="B67" t="str">
            <v>Tablon</v>
          </cell>
        </row>
        <row r="68">
          <cell r="B68" t="str">
            <v xml:space="preserve">Taladro </v>
          </cell>
        </row>
        <row r="69">
          <cell r="B69" t="str">
            <v>Taladro percutor</v>
          </cell>
        </row>
        <row r="70">
          <cell r="B70" t="str">
            <v>Tripode</v>
          </cell>
        </row>
        <row r="71">
          <cell r="B71" t="str">
            <v>Volqueta</v>
          </cell>
        </row>
        <row r="72">
          <cell r="B72" t="str">
            <v>Zunchadora</v>
          </cell>
        </row>
        <row r="73">
          <cell r="B73" t="str">
            <v>Carretilla</v>
          </cell>
        </row>
      </sheetData>
      <sheetData sheetId="5" refreshError="1"/>
      <sheetData sheetId="6" refreshError="1"/>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o"/>
      <sheetName val="APU"/>
      <sheetName val="Materiales "/>
      <sheetName val="catalogo"/>
      <sheetName val="Herramientas"/>
      <sheetName val="Mano Obra"/>
      <sheetName val="Transporte"/>
      <sheetName val="Trabajos"/>
    </sheetNames>
    <sheetDataSet>
      <sheetData sheetId="0"/>
      <sheetData sheetId="1"/>
      <sheetData sheetId="2">
        <row r="2">
          <cell r="B2" t="str">
            <v>-</v>
          </cell>
        </row>
        <row r="3">
          <cell r="B3" t="str">
            <v>Abrazadera de 6-7</v>
          </cell>
        </row>
        <row r="4">
          <cell r="B4" t="str">
            <v>Abrazadera de 7-8</v>
          </cell>
        </row>
        <row r="5">
          <cell r="B5" t="str">
            <v>Abrazadera de 8-9</v>
          </cell>
        </row>
        <row r="6">
          <cell r="B6" t="str">
            <v>Abrazadera Doble Ala</v>
          </cell>
        </row>
        <row r="7">
          <cell r="B7" t="str">
            <v>Accesorios De Fijación</v>
          </cell>
        </row>
        <row r="8">
          <cell r="B8" t="str">
            <v>Acero De Refuerzo</v>
          </cell>
        </row>
        <row r="9">
          <cell r="B9" t="str">
            <v>Acople de explosión 1 1/2"</v>
          </cell>
        </row>
        <row r="10">
          <cell r="B10" t="str">
            <v>Acople de explosión 1"</v>
          </cell>
        </row>
        <row r="11">
          <cell r="B11" t="str">
            <v>Acople de explosión 1/2"</v>
          </cell>
        </row>
        <row r="12">
          <cell r="B12" t="str">
            <v>Acople de explosión 2"</v>
          </cell>
        </row>
        <row r="13">
          <cell r="B13" t="str">
            <v>Acople de explosión 3/4"</v>
          </cell>
        </row>
        <row r="14">
          <cell r="B14" t="str">
            <v>Acrílico</v>
          </cell>
        </row>
        <row r="15">
          <cell r="B15" t="str">
            <v>Adaptador Hembra PVC 1 1/2"</v>
          </cell>
        </row>
        <row r="16">
          <cell r="B16" t="str">
            <v>Adaptador Hembra PVC 1 1/4"</v>
          </cell>
        </row>
        <row r="17">
          <cell r="B17" t="str">
            <v>Adaptador Hembra PVC 1"</v>
          </cell>
        </row>
        <row r="18">
          <cell r="B18" t="str">
            <v>Adaptador Hembra PVC 2"</v>
          </cell>
        </row>
        <row r="19">
          <cell r="B19" t="str">
            <v>Adaptador Hembra PVC 3"</v>
          </cell>
        </row>
        <row r="20">
          <cell r="B20" t="str">
            <v>Adaptador Hembra PVC 3/4"</v>
          </cell>
        </row>
        <row r="21">
          <cell r="B21" t="str">
            <v>Adaptador Hembra PVC1/2"</v>
          </cell>
        </row>
        <row r="22">
          <cell r="B22" t="str">
            <v>Adaptador Hembra PVC4"</v>
          </cell>
        </row>
        <row r="23">
          <cell r="B23" t="str">
            <v>Adaptador Terminal PVC 1 1/2"</v>
          </cell>
        </row>
        <row r="24">
          <cell r="B24" t="str">
            <v>Adaptador Terminal PVC 1 1/4"</v>
          </cell>
        </row>
        <row r="25">
          <cell r="B25" t="str">
            <v>Adaptador Terminal PVC 1"</v>
          </cell>
        </row>
        <row r="26">
          <cell r="B26" t="str">
            <v>Adaptador Terminal PVC 1/2"</v>
          </cell>
        </row>
        <row r="27">
          <cell r="B27" t="str">
            <v>Adaptador Terminal PVC 2"</v>
          </cell>
        </row>
        <row r="28">
          <cell r="B28" t="str">
            <v>Adaptador Terminal PVC 3"</v>
          </cell>
        </row>
        <row r="29">
          <cell r="B29" t="str">
            <v>Adaptador Terminal PVC 3/4"</v>
          </cell>
        </row>
        <row r="30">
          <cell r="B30" t="str">
            <v>Adaptador Terminal PVC 4"</v>
          </cell>
        </row>
        <row r="31">
          <cell r="B31" t="str">
            <v>Agua</v>
          </cell>
        </row>
        <row r="32">
          <cell r="B32" t="str">
            <v>Aislador Para Barraje</v>
          </cell>
        </row>
        <row r="33">
          <cell r="B33" t="str">
            <v>Aislador Polimérico 13.2 kv</v>
          </cell>
        </row>
        <row r="34">
          <cell r="B34" t="str">
            <v>Aislador Polimérico 7.2 kv</v>
          </cell>
        </row>
        <row r="35">
          <cell r="B35" t="str">
            <v>Aislador Polimérico De Retención para 13.2kv.</v>
          </cell>
        </row>
        <row r="36">
          <cell r="B36" t="str">
            <v>Aislador Polimérico De Retención para 24kv.</v>
          </cell>
        </row>
        <row r="37">
          <cell r="B37" t="str">
            <v>Aislador Polimérico para 4160v</v>
          </cell>
        </row>
        <row r="38">
          <cell r="B38" t="str">
            <v>Aislador Post-Line para 13,2kv</v>
          </cell>
        </row>
        <row r="39">
          <cell r="B39" t="str">
            <v>Aislador Post-Line para 24kv</v>
          </cell>
        </row>
        <row r="40">
          <cell r="B40" t="str">
            <v>Aislador Post-Line para 34kv</v>
          </cell>
        </row>
        <row r="41">
          <cell r="B41" t="str">
            <v>Aislador Post-Line para 4160kv</v>
          </cell>
        </row>
        <row r="42">
          <cell r="B42" t="str">
            <v>Aisladores para barraje 25mm</v>
          </cell>
        </row>
        <row r="43">
          <cell r="B43" t="str">
            <v>Aisladores para barraje 30 mm</v>
          </cell>
        </row>
        <row r="44">
          <cell r="B44" t="str">
            <v>Aisladores para barraje 35 mm</v>
          </cell>
        </row>
        <row r="45">
          <cell r="B45" t="str">
            <v>Aisladores para barraje 51 mm</v>
          </cell>
        </row>
        <row r="46">
          <cell r="B46" t="str">
            <v>Aislador Tensor 3"</v>
          </cell>
        </row>
        <row r="47">
          <cell r="B47" t="str">
            <v>Aislador Tensor 4"</v>
          </cell>
        </row>
        <row r="48">
          <cell r="B48" t="str">
            <v>Aisladores De Disco 10"</v>
          </cell>
        </row>
        <row r="49">
          <cell r="B49" t="str">
            <v>Aisladores Multipart (line post)</v>
          </cell>
        </row>
        <row r="50">
          <cell r="B50" t="str">
            <v>Aisladores Tipo Carrete 3 3/8"</v>
          </cell>
        </row>
        <row r="51">
          <cell r="B51" t="str">
            <v>Ajustador PINTUCO ref. 121.135</v>
          </cell>
        </row>
        <row r="52">
          <cell r="B52" t="str">
            <v>Alambre cobre desnudo # 10</v>
          </cell>
        </row>
        <row r="53">
          <cell r="B53" t="str">
            <v>Alambre cobre desnudo # 12</v>
          </cell>
        </row>
        <row r="54">
          <cell r="B54" t="str">
            <v>Alambre De Cobre Desnudo #10 AWG</v>
          </cell>
        </row>
        <row r="55">
          <cell r="B55" t="str">
            <v>Alambre De Cobre Desnudo #12 AWG</v>
          </cell>
        </row>
        <row r="56">
          <cell r="B56" t="str">
            <v>Alambre forrado THWN # 10</v>
          </cell>
        </row>
        <row r="57">
          <cell r="B57" t="str">
            <v>Alambre forrado THWN # 12</v>
          </cell>
        </row>
        <row r="58">
          <cell r="B58" t="str">
            <v>Alambre forrado THWN # 14</v>
          </cell>
        </row>
        <row r="59">
          <cell r="B59" t="str">
            <v>Alambre Negro No.18</v>
          </cell>
        </row>
        <row r="60">
          <cell r="B60" t="str">
            <v>Alambre No 10 THHN Amarillo</v>
          </cell>
        </row>
        <row r="61">
          <cell r="B61" t="str">
            <v>Alambre No 10 THHN Azul</v>
          </cell>
        </row>
        <row r="62">
          <cell r="B62" t="str">
            <v>Alambre No 10 THHN Blanco</v>
          </cell>
        </row>
        <row r="63">
          <cell r="B63" t="str">
            <v>Alambre No 10 THHN Negro</v>
          </cell>
        </row>
        <row r="64">
          <cell r="B64" t="str">
            <v>Alambre No 10 THHN Rojo</v>
          </cell>
        </row>
        <row r="65">
          <cell r="B65" t="str">
            <v>Alambre No 12 THHN Amarillo</v>
          </cell>
        </row>
        <row r="66">
          <cell r="B66" t="str">
            <v>Alambre No 12 THHN Azul</v>
          </cell>
        </row>
        <row r="67">
          <cell r="B67" t="str">
            <v>Alambre No 12 THHN Blanco</v>
          </cell>
        </row>
        <row r="68">
          <cell r="B68" t="str">
            <v>Alambre No 12 THHN Negro</v>
          </cell>
        </row>
        <row r="69">
          <cell r="B69" t="str">
            <v>Alambre No 12 THHN Rojo</v>
          </cell>
        </row>
        <row r="70">
          <cell r="B70" t="str">
            <v>Alambre No 12 THHN verde</v>
          </cell>
        </row>
        <row r="71">
          <cell r="B71" t="str">
            <v>Alambre No 14 THHN</v>
          </cell>
        </row>
        <row r="72">
          <cell r="B72" t="str">
            <v>Alambre No 8 THHN</v>
          </cell>
        </row>
        <row r="73">
          <cell r="B73" t="str">
            <v>Alambre Verde</v>
          </cell>
        </row>
        <row r="74">
          <cell r="B74" t="str">
            <v>Amarra plastica 10"</v>
          </cell>
        </row>
        <row r="75">
          <cell r="B75" t="str">
            <v>Amarra plastica 4"</v>
          </cell>
        </row>
        <row r="76">
          <cell r="B76" t="str">
            <v>Amarra plastica 8"</v>
          </cell>
        </row>
        <row r="77">
          <cell r="B77" t="str">
            <v>Amarras Plásticas</v>
          </cell>
        </row>
        <row r="78">
          <cell r="B78" t="str">
            <v>Amortiguador Para Cable De Guarda</v>
          </cell>
        </row>
        <row r="79">
          <cell r="B79" t="str">
            <v>Amortiguador Para Línea De 69kv Para Cable AAAC de 556.5mcm</v>
          </cell>
        </row>
        <row r="80">
          <cell r="B80" t="str">
            <v>Anclaje de 3/8 x 3"</v>
          </cell>
        </row>
        <row r="81">
          <cell r="B81" t="str">
            <v>Anclaje hilti HD4</v>
          </cell>
        </row>
        <row r="82">
          <cell r="B82" t="str">
            <v>Anclaje plastico 1/4"</v>
          </cell>
        </row>
        <row r="83">
          <cell r="B83" t="str">
            <v xml:space="preserve">Angulo acero inoxidable 3/16 x 1 1/2" </v>
          </cell>
        </row>
        <row r="84">
          <cell r="B84" t="str">
            <v xml:space="preserve">Angulo acero inoxidable 3/16 x 2" </v>
          </cell>
        </row>
        <row r="85">
          <cell r="B85" t="str">
            <v>Angulo de 1/4"x2"x2" x 1250</v>
          </cell>
        </row>
        <row r="86">
          <cell r="B86" t="str">
            <v>Angulo de 1/4"x2"x2" x 950</v>
          </cell>
        </row>
        <row r="87">
          <cell r="B87" t="str">
            <v>Angulo de 3/16x1x6mts</v>
          </cell>
        </row>
        <row r="88">
          <cell r="B88" t="str">
            <v>Angulo perforado para techo</v>
          </cell>
        </row>
        <row r="89">
          <cell r="B89" t="str">
            <v>Arandela 1/2; 5/8; 11/16; 3/4</v>
          </cell>
        </row>
        <row r="90">
          <cell r="B90" t="str">
            <v>Arandela Cuadrada 11/16"</v>
          </cell>
        </row>
        <row r="91">
          <cell r="B91" t="str">
            <v>Arandela Cuadrada 9/16"</v>
          </cell>
        </row>
        <row r="92">
          <cell r="B92" t="str">
            <v>Arandela De 2x2  de 5/8</v>
          </cell>
        </row>
        <row r="93">
          <cell r="B93" t="str">
            <v>Arandela De presion</v>
          </cell>
        </row>
        <row r="94">
          <cell r="B94" t="str">
            <v>Arandela plana redonda 5/8</v>
          </cell>
        </row>
        <row r="95">
          <cell r="B95" t="str">
            <v>Arena</v>
          </cell>
        </row>
        <row r="96">
          <cell r="B96" t="str">
            <v>Arnés de seguridad (1)</v>
          </cell>
        </row>
        <row r="97">
          <cell r="B97" t="str">
            <v>Arrancador GV2DM103</v>
          </cell>
        </row>
        <row r="98">
          <cell r="B98" t="str">
            <v>Arrancador GV2DM104</v>
          </cell>
        </row>
        <row r="99">
          <cell r="B99" t="str">
            <v>Arrancador GV2DM105</v>
          </cell>
        </row>
        <row r="100">
          <cell r="B100" t="str">
            <v>Arrancador GV2DM106</v>
          </cell>
        </row>
        <row r="101">
          <cell r="B101" t="str">
            <v>Arrancador GV2DM107</v>
          </cell>
        </row>
        <row r="102">
          <cell r="B102" t="str">
            <v>Arrancador GV2DM108</v>
          </cell>
        </row>
        <row r="103">
          <cell r="B103" t="str">
            <v>Arrancador GV2DM110</v>
          </cell>
        </row>
        <row r="104">
          <cell r="B104" t="str">
            <v>Arrancador GV2DM114</v>
          </cell>
        </row>
        <row r="105">
          <cell r="B105" t="str">
            <v>Arrancador GV2DM116</v>
          </cell>
        </row>
        <row r="106">
          <cell r="B106" t="str">
            <v>Arrancador GV2DM120</v>
          </cell>
        </row>
        <row r="107">
          <cell r="B107" t="str">
            <v>Arrancador GV2DM121</v>
          </cell>
        </row>
        <row r="108">
          <cell r="B108" t="str">
            <v>Arrancador GV2DM122</v>
          </cell>
        </row>
        <row r="109">
          <cell r="B109" t="str">
            <v>Arrancador GV2DM132</v>
          </cell>
        </row>
        <row r="110">
          <cell r="B110" t="str">
            <v>Arrancador luminaria MH 250W</v>
          </cell>
        </row>
        <row r="111">
          <cell r="B111" t="str">
            <v>Avisos En Acrílico y Vinilo Reflectivo  0.3 x 0.4 m</v>
          </cell>
        </row>
        <row r="112">
          <cell r="B112" t="str">
            <v xml:space="preserve">Balasto de 175 a 400 W MH  CWA  </v>
          </cell>
        </row>
        <row r="113">
          <cell r="B113" t="str">
            <v xml:space="preserve">Balasto de 250 a 400 W sodio  CWA </v>
          </cell>
        </row>
        <row r="114">
          <cell r="B114" t="str">
            <v>Balasto de 250 W MH  220 V</v>
          </cell>
        </row>
        <row r="115">
          <cell r="B115" t="str">
            <v>Balasto de 4x32 electronico 120V T8</v>
          </cell>
        </row>
        <row r="116">
          <cell r="B116" t="str">
            <v xml:space="preserve">Balasto de 70 a 150 W sodio  CWA </v>
          </cell>
        </row>
        <row r="117">
          <cell r="B117" t="str">
            <v>Balasto Electronico 4 x 17w</v>
          </cell>
        </row>
        <row r="118">
          <cell r="B118" t="str">
            <v>BALASTO ELECTRONICO DE 2 x 32 W. T-8 PHILLLIPS</v>
          </cell>
        </row>
        <row r="119">
          <cell r="B119" t="str">
            <v>BALASTO SLIN LINE DE 2 X 48" 39W.</v>
          </cell>
        </row>
        <row r="120">
          <cell r="B120" t="str">
            <v>Balasto reactor de 250 W MH  220 V</v>
          </cell>
        </row>
        <row r="121">
          <cell r="B121" t="str">
            <v>Baldosa Granito</v>
          </cell>
        </row>
        <row r="122">
          <cell r="B122" t="str">
            <v>Banda galvanizada de 6-7</v>
          </cell>
        </row>
        <row r="123">
          <cell r="B123" t="str">
            <v>Banda soporte de 1/2"</v>
          </cell>
        </row>
        <row r="124">
          <cell r="B124" t="str">
            <v>Bandeja Portacables Galv. 10 x 8cm</v>
          </cell>
        </row>
        <row r="125">
          <cell r="B125" t="str">
            <v>Bandeja Portacables Galv. 20 liv</v>
          </cell>
        </row>
        <row r="126">
          <cell r="B126" t="str">
            <v>Bandeja Portacables Galv. 20 x 8cm</v>
          </cell>
        </row>
        <row r="127">
          <cell r="B127" t="str">
            <v>Bandeja Portacables Galv. 30 x 8cm</v>
          </cell>
        </row>
        <row r="128">
          <cell r="B128" t="str">
            <v>Bandeja Portacables Galv. 40 x 8cm</v>
          </cell>
        </row>
        <row r="129">
          <cell r="B129" t="str">
            <v>Barraje De 316*2*0.33 m</v>
          </cell>
        </row>
        <row r="130">
          <cell r="B130" t="str">
            <v>Barraje de cobre De  1/4 x 1 1/2”</v>
          </cell>
        </row>
        <row r="131">
          <cell r="B131" t="str">
            <v>Barraje de cobre De  1/4 x 1” -</v>
          </cell>
        </row>
        <row r="132">
          <cell r="B132" t="str">
            <v>Barraje de cobre De  1/4 x 2” -</v>
          </cell>
        </row>
        <row r="133">
          <cell r="B133" t="str">
            <v>Barraje de cobre De  1/8 x 1/2” -</v>
          </cell>
        </row>
        <row r="134">
          <cell r="B134" t="str">
            <v xml:space="preserve">Barraje de cobre De  1/8 x3/4” </v>
          </cell>
        </row>
        <row r="135">
          <cell r="B135" t="str">
            <v>Barraje de cobre De  3/16 x 3/4”</v>
          </cell>
        </row>
        <row r="136">
          <cell r="B136" t="str">
            <v>Barraje de cobre De  3/8 x 2” -</v>
          </cell>
        </row>
        <row r="137">
          <cell r="B137" t="str">
            <v xml:space="preserve">Barraje de cobre De  3/8 x 3” </v>
          </cell>
        </row>
        <row r="138">
          <cell r="B138" t="str">
            <v>Barraje de cobre De  5/16 x 2” -</v>
          </cell>
        </row>
        <row r="139">
          <cell r="B139" t="str">
            <v>Barraje de cobre De  5/16 x 3”</v>
          </cell>
        </row>
        <row r="140">
          <cell r="B140" t="str">
            <v>Base autoadhesiva 21x21</v>
          </cell>
        </row>
        <row r="141">
          <cell r="B141" t="str">
            <v>Base autoadhesiva 25x25</v>
          </cell>
        </row>
        <row r="142">
          <cell r="B142" t="str">
            <v>Base de bronce</v>
          </cell>
        </row>
        <row r="143">
          <cell r="B143" t="str">
            <v>Base Fotocelda</v>
          </cell>
        </row>
        <row r="144">
          <cell r="B144" t="str">
            <v>Base rele 11 pines</v>
          </cell>
        </row>
        <row r="145">
          <cell r="B145" t="str">
            <v>Bayoneta Doble 1/4 x 2 1/2 x 1 m</v>
          </cell>
        </row>
        <row r="146">
          <cell r="B146" t="str">
            <v>Bayoneta Sencilla 1/4 x 2 1/2 x 1 m</v>
          </cell>
        </row>
        <row r="147">
          <cell r="B147" t="str">
            <v>Bombilla de MH  1000 W</v>
          </cell>
        </row>
        <row r="148">
          <cell r="B148" t="str">
            <v>Bombilla de MH  150 - 250 W</v>
          </cell>
        </row>
        <row r="149">
          <cell r="B149" t="str">
            <v>Bombilla de MH  400 W</v>
          </cell>
        </row>
        <row r="150">
          <cell r="B150" t="str">
            <v>Bombilla de neon o tipo bayoneta piloto o pulsadores luminosos</v>
          </cell>
        </row>
        <row r="151">
          <cell r="B151" t="str">
            <v>Bombilla de sodio 1000  W</v>
          </cell>
        </row>
        <row r="152">
          <cell r="B152" t="str">
            <v>Bombilla de sodio 70 -400  W</v>
          </cell>
        </row>
        <row r="153">
          <cell r="B153" t="str">
            <v>Bombilla incandescente de 100 W</v>
          </cell>
        </row>
        <row r="154">
          <cell r="B154" t="str">
            <v>Bombilla luz mixta 160 W  110V</v>
          </cell>
        </row>
        <row r="155">
          <cell r="B155" t="str">
            <v>Bombillo ahorrador de 11- 23 W</v>
          </cell>
        </row>
        <row r="156">
          <cell r="B156" t="str">
            <v>Bonder Alambre No. 4 Cobre Desnudo</v>
          </cell>
        </row>
        <row r="157">
          <cell r="B157" t="str">
            <v>Boquilla 1 1/2"  aislada</v>
          </cell>
        </row>
        <row r="158">
          <cell r="B158" t="str">
            <v>Boquilla 1"   aislada</v>
          </cell>
        </row>
        <row r="159">
          <cell r="B159" t="str">
            <v>Boquilla 1/2"  aislada</v>
          </cell>
        </row>
        <row r="160">
          <cell r="B160" t="str">
            <v>Boquilla 2"  aislada</v>
          </cell>
        </row>
        <row r="161">
          <cell r="B161" t="str">
            <v>Boquilla 3"  aislada</v>
          </cell>
        </row>
        <row r="162">
          <cell r="B162" t="str">
            <v>Boquilla 3/4"  aislada</v>
          </cell>
        </row>
        <row r="163">
          <cell r="B163" t="str">
            <v>Boquilla 4"  aislada</v>
          </cell>
        </row>
        <row r="164">
          <cell r="B164" t="str">
            <v>Borna de conexión 24 amps</v>
          </cell>
        </row>
        <row r="165">
          <cell r="B165" t="str">
            <v>Borna de conexión cable 10  47 amps</v>
          </cell>
        </row>
        <row r="166">
          <cell r="B166" t="str">
            <v>Bota pre moldeada termo contráctil  de 4” para cable  XenLPE hasta el 4/0</v>
          </cell>
        </row>
        <row r="167">
          <cell r="B167" t="str">
            <v>BOTON SELECTOR 2 POSICIONES X B4BD33</v>
          </cell>
        </row>
        <row r="168">
          <cell r="B168" t="str">
            <v>Brazo para luminaria Calima</v>
          </cell>
        </row>
        <row r="169">
          <cell r="B169" t="str">
            <v>Brazo pa iluminacion galv. 1 1/4 x 2mts</v>
          </cell>
        </row>
        <row r="170">
          <cell r="B170" t="str">
            <v xml:space="preserve">Breaker 3x20 tipo riel </v>
          </cell>
        </row>
        <row r="171">
          <cell r="B171" t="str">
            <v xml:space="preserve">Breaker 3x40 tipo riel </v>
          </cell>
        </row>
        <row r="172">
          <cell r="B172" t="str">
            <v>Breaker con unidad magnetica MA 100 
ref 430835 NSX 160H</v>
          </cell>
        </row>
        <row r="173">
          <cell r="B173" t="str">
            <v>Breaker enchufable 1x20 amps</v>
          </cell>
        </row>
        <row r="174">
          <cell r="B174" t="str">
            <v>Breaker enchufable 2x20 amps</v>
          </cell>
        </row>
        <row r="175">
          <cell r="B175" t="str">
            <v>Breaker enchufable 2x30 amps</v>
          </cell>
        </row>
        <row r="176">
          <cell r="B176" t="str">
            <v>Breaker enchufable 2x40 amps</v>
          </cell>
        </row>
        <row r="177">
          <cell r="B177" t="str">
            <v>Breaker enchufable 3x20 amps</v>
          </cell>
        </row>
        <row r="178">
          <cell r="B178" t="str">
            <v>Breaker enchufable 3x30 amps</v>
          </cell>
        </row>
        <row r="179">
          <cell r="B179" t="str">
            <v>Breaker enchufable 3x40 amps</v>
          </cell>
        </row>
        <row r="180">
          <cell r="B180" t="str">
            <v>Breaker enchufable HOM GFI 1x20 amps</v>
          </cell>
        </row>
        <row r="181">
          <cell r="B181" t="str">
            <v>Breaker Industrial 3f En Caja Moldeable Ajustable De 100-125 Amp, 250v 85ka</v>
          </cell>
        </row>
        <row r="182">
          <cell r="B182" t="str">
            <v>Breaker Industrial 3f En Caja Moldeable Ajustable De 128-160 Amp, 250v 85ka</v>
          </cell>
        </row>
        <row r="183">
          <cell r="B183" t="str">
            <v>Breaker Industrial 3f En Caja Moldeable Ajustable De 160-200 Amp, 250v 85ka</v>
          </cell>
        </row>
        <row r="184">
          <cell r="B184" t="str">
            <v>Breaker Industrial 3f En Caja Moldeable Ajustable De 160-400 Amp, 250v 40ka ref LV540306</v>
          </cell>
        </row>
        <row r="185">
          <cell r="B185" t="str">
            <v>Breaker Industrial 3f En Caja Moldeable Ajustable De 200-250 Amp, 250v 85ka</v>
          </cell>
        </row>
        <row r="186">
          <cell r="B186" t="str">
            <v>Breaker Industrial 3f En Caja Moldeable Ajustable De 224-320 Amp, 250v 40 ka ref LV540305</v>
          </cell>
        </row>
        <row r="187">
          <cell r="B187" t="str">
            <v>Breaker Industrial 3f En Caja Moldeable Ajustable De 32-40 Amp, 250v 40ka</v>
          </cell>
        </row>
        <row r="188">
          <cell r="B188" t="str">
            <v>Breaker Industrial 3f En Caja Moldeable Ajustable De 50.4-63 Amp,  250v 40ka</v>
          </cell>
        </row>
        <row r="189">
          <cell r="B189" t="str">
            <v>Breaker Industrial 3f En Caja Moldeable Ajustable De 64-80 Amp,  250v 40ka</v>
          </cell>
        </row>
        <row r="190">
          <cell r="B190" t="str">
            <v xml:space="preserve">Breaker Industrial 3f En Caja Moldeable Ajustable De 80-100 Amp ,250v 40ka, </v>
          </cell>
        </row>
        <row r="191">
          <cell r="B191" t="str">
            <v>Breaker Industrial 3f En Caja Moldeable De 15 Amp, Para Montaje En Riel Omega, 250v 10ka</v>
          </cell>
        </row>
        <row r="192">
          <cell r="B192" t="str">
            <v>Breaker Industrial 3f En Caja Moldeable De 20 Amp, 250v 10ka</v>
          </cell>
        </row>
        <row r="193">
          <cell r="B193" t="str">
            <v>Breaker Industrial 3f En Caja Moldeable De 30 Amp, 250v 10ka</v>
          </cell>
        </row>
        <row r="194">
          <cell r="B194" t="str">
            <v>Breaker Industrial 3f En Caja Moldeable
Ajustable De 160-400 amp, 250v 85ka.</v>
          </cell>
        </row>
        <row r="195">
          <cell r="B195" t="str">
            <v>Breaker Industrial de 800 A</v>
          </cell>
        </row>
        <row r="196">
          <cell r="B196" t="str">
            <v>Breaker industrial EZC100N 100 A</v>
          </cell>
        </row>
        <row r="197">
          <cell r="B197" t="str">
            <v>breaker industrial EZC100N 20 A</v>
          </cell>
        </row>
        <row r="198">
          <cell r="B198" t="str">
            <v>breaker industrial EZC100N 30 A</v>
          </cell>
        </row>
        <row r="199">
          <cell r="B199" t="str">
            <v>breaker industrial EZC100N 40 A</v>
          </cell>
        </row>
        <row r="200">
          <cell r="B200" t="str">
            <v>breaker industrial EZC100N 50 A</v>
          </cell>
        </row>
        <row r="201">
          <cell r="B201" t="str">
            <v>breaker industrial EZC100N 60 A</v>
          </cell>
        </row>
        <row r="202">
          <cell r="B202" t="str">
            <v>Breaker industrial EZC100N 80 A</v>
          </cell>
        </row>
        <row r="203">
          <cell r="B203" t="str">
            <v>breaker industrial EZC250N 125 A</v>
          </cell>
        </row>
        <row r="204">
          <cell r="B204" t="str">
            <v xml:space="preserve">breaker industrial EZC250N 150 A </v>
          </cell>
        </row>
        <row r="205">
          <cell r="B205" t="str">
            <v>breaker industrial EZC250N 200 A</v>
          </cell>
        </row>
        <row r="206">
          <cell r="B206" t="str">
            <v>breaker industrial EZC250N 250 A</v>
          </cell>
        </row>
        <row r="207">
          <cell r="B207" t="str">
            <v>BREAKER INDUSTRIAL EZC 3X100AMP</v>
          </cell>
        </row>
        <row r="208">
          <cell r="B208" t="str">
            <v>BREAKER INDUSTRIAL  EZC 3X125AMP</v>
          </cell>
        </row>
        <row r="209">
          <cell r="B209" t="str">
            <v>BREAKER INDUSTRIAL  EZC 3X15 AMP</v>
          </cell>
        </row>
        <row r="210">
          <cell r="B210" t="str">
            <v>BREAKER INDUSTRIAL  EZC 3X20 AMP</v>
          </cell>
        </row>
        <row r="211">
          <cell r="B211" t="str">
            <v>BREAKER INDUSTRIAL  EZC 3X225AMP</v>
          </cell>
        </row>
        <row r="212">
          <cell r="B212" t="str">
            <v>BREAKER INDUSTRIAL  EZC 3X30 AMP</v>
          </cell>
        </row>
        <row r="213">
          <cell r="B213" t="str">
            <v>BREAKER INDUSTRIAL  EZC 3X40 AMP</v>
          </cell>
        </row>
        <row r="214">
          <cell r="B214" t="str">
            <v>BREAKER INDUSTRIAL  EZC 3X50 AMP</v>
          </cell>
        </row>
        <row r="215">
          <cell r="B215" t="str">
            <v>BREAKER INDUSTRIAL  EZC 3X60AMP</v>
          </cell>
        </row>
        <row r="216">
          <cell r="B216" t="str">
            <v>BREAKER INDUSTRIAL  EZC 3X80 AMP</v>
          </cell>
        </row>
        <row r="217">
          <cell r="B217" t="str">
            <v>Breaker industrial EZC250N 80 a 100 A</v>
          </cell>
        </row>
        <row r="218">
          <cell r="B218" t="str">
            <v xml:space="preserve">Breaker K60 monopolar 1x40/50/60 A </v>
          </cell>
        </row>
        <row r="219">
          <cell r="B219" t="str">
            <v>Breaker multi 9 C60N 3x1 amp</v>
          </cell>
        </row>
        <row r="220">
          <cell r="B220" t="str">
            <v>Breaker multi 9 C60N 3x2 amp</v>
          </cell>
        </row>
        <row r="221">
          <cell r="B221" t="str">
            <v>Breaker multi 9 C60N bipolar 2x1 amp</v>
          </cell>
        </row>
        <row r="222">
          <cell r="B222" t="str">
            <v>Breaker multi 9 C60N monopolar 10 a 32 amps</v>
          </cell>
        </row>
        <row r="223">
          <cell r="B223" t="str">
            <v>Breaker multi 9 C60N monopolar 1x2 amp</v>
          </cell>
        </row>
        <row r="224">
          <cell r="B224" t="str">
            <v>Breaker multi 9 C60N monopolar 40 a 63 amps</v>
          </cell>
        </row>
        <row r="225">
          <cell r="B225" t="str">
            <v>BREAKER MULTINUEVE DOMAE 1X20</v>
          </cell>
        </row>
        <row r="226">
          <cell r="B226" t="str">
            <v>BREAKER MULTINUEVE DOMAE 1X25</v>
          </cell>
        </row>
        <row r="227">
          <cell r="B227" t="str">
            <v>BREAKER MULTINUEVE DOMAE 1X32</v>
          </cell>
        </row>
        <row r="228">
          <cell r="B228" t="str">
            <v>BREAKER MULTINUEVE DOMAE 1x40</v>
          </cell>
        </row>
        <row r="229">
          <cell r="B229" t="str">
            <v>BREAKER MULTINUEVE DOMAE 2X10</v>
          </cell>
        </row>
        <row r="230">
          <cell r="B230" t="str">
            <v>BREAKER MULTINUEVE DOMAE 2X16</v>
          </cell>
        </row>
        <row r="231">
          <cell r="B231" t="str">
            <v>BREAKER MULTINUEVE DOMAE 2X20</v>
          </cell>
        </row>
        <row r="232">
          <cell r="B232" t="str">
            <v>BREAKER MULTINUEVE DOMAE 2X25</v>
          </cell>
        </row>
        <row r="233">
          <cell r="B233" t="str">
            <v>BREAKER MULTINUEVE DOMAE 2X32</v>
          </cell>
        </row>
        <row r="234">
          <cell r="B234" t="str">
            <v>BREAKER MULTINUEVE DOMAE 2X40</v>
          </cell>
        </row>
        <row r="235">
          <cell r="B235" t="str">
            <v>BREAKER MULTINUEVE DOMAE 2X50</v>
          </cell>
        </row>
        <row r="236">
          <cell r="B236" t="str">
            <v>BREAKER MULTINUEVE DOMAE 2X6</v>
          </cell>
        </row>
        <row r="237">
          <cell r="B237" t="str">
            <v>BREAKER MULTINUEVE DOMAE 3x16</v>
          </cell>
        </row>
        <row r="238">
          <cell r="B238" t="str">
            <v>BREAKER MULTINUEVE DOMAE 3X20</v>
          </cell>
        </row>
        <row r="239">
          <cell r="B239" t="str">
            <v>BREAKER MULTINUEVE DOMAE 3X32</v>
          </cell>
        </row>
        <row r="240">
          <cell r="B240" t="str">
            <v>BREAKER MULTINUEVE K60 1X10</v>
          </cell>
        </row>
        <row r="241">
          <cell r="B241" t="str">
            <v>BREAKER MULTINUEVE K60 1X6</v>
          </cell>
        </row>
        <row r="242">
          <cell r="B242" t="str">
            <v>BREAKER MULTINUEVE K60 1x63</v>
          </cell>
        </row>
        <row r="243">
          <cell r="B243" t="str">
            <v>BREAKER MULTINUEVE K60 2X16</v>
          </cell>
        </row>
        <row r="244">
          <cell r="B244" t="str">
            <v>BREAKER MULTINUEVE K60 2X63</v>
          </cell>
        </row>
        <row r="245">
          <cell r="B245" t="str">
            <v>BREAKER MULTINUEVE K60 3X10</v>
          </cell>
        </row>
        <row r="246">
          <cell r="B246" t="str">
            <v>BREAKER NSX100F/TM DE 28/40AMP LV 429634</v>
          </cell>
        </row>
        <row r="247">
          <cell r="B247" t="str">
            <v>BREAKER NSX100F/TM DE 44/63AMP LV29632</v>
          </cell>
        </row>
        <row r="248">
          <cell r="B248" t="str">
            <v>BREAKER NSX100F/TM DE 56/80AMP LV 429631</v>
          </cell>
        </row>
        <row r="249">
          <cell r="B249" t="str">
            <v xml:space="preserve">BREAKER NSX100F/TM DE 70/100AMP LV 429630 </v>
          </cell>
        </row>
        <row r="250">
          <cell r="B250" t="str">
            <v>BREAKER SENCILLO THQL SIEMEN</v>
          </cell>
        </row>
        <row r="251">
          <cell r="B251" t="str">
            <v xml:space="preserve">BREAKER SQUAR-D FAL 36330 30AMP </v>
          </cell>
        </row>
        <row r="252">
          <cell r="B252" t="str">
            <v xml:space="preserve">BREAKER SQUAR-D KAL 31625 125AMP </v>
          </cell>
        </row>
        <row r="253">
          <cell r="B253" t="str">
            <v>BREAKER TM 125 DE 88/125AMP LV 430631</v>
          </cell>
        </row>
        <row r="254">
          <cell r="B254" t="str">
            <v>BREAKER TM 250 DE 175/250AMP LV.431630</v>
          </cell>
        </row>
        <row r="255">
          <cell r="B255" t="str">
            <v>Cable 2 × 10 AWG</v>
          </cell>
        </row>
        <row r="256">
          <cell r="B256" t="str">
            <v>Cable 2 × 12 AWG</v>
          </cell>
        </row>
        <row r="257">
          <cell r="B257" t="str">
            <v>Cable 2 × 14 AWG</v>
          </cell>
        </row>
        <row r="258">
          <cell r="B258" t="str">
            <v>Cable 2 × 16 AWG</v>
          </cell>
        </row>
        <row r="259">
          <cell r="B259" t="str">
            <v>Cable 2 × 6 AWG</v>
          </cell>
        </row>
        <row r="260">
          <cell r="B260" t="str">
            <v>Cable 2 × 8 AWG</v>
          </cell>
        </row>
        <row r="261">
          <cell r="B261" t="str">
            <v>Cable 3 × 10 AWG</v>
          </cell>
        </row>
        <row r="262">
          <cell r="B262" t="str">
            <v>Cable 3 × 14 AWG</v>
          </cell>
        </row>
        <row r="263">
          <cell r="B263" t="str">
            <v>Cable 3 × 16 AWG</v>
          </cell>
        </row>
        <row r="264">
          <cell r="B264" t="str">
            <v>Cable 3 × 18 AWG</v>
          </cell>
        </row>
        <row r="265">
          <cell r="B265" t="str">
            <v>Cable 3 × 6 AWG</v>
          </cell>
        </row>
        <row r="266">
          <cell r="B266" t="str">
            <v>Cable 3 × 8 AWG</v>
          </cell>
        </row>
        <row r="267">
          <cell r="B267" t="str">
            <v>Cable 4 × 10 AWG</v>
          </cell>
        </row>
        <row r="268">
          <cell r="B268" t="str">
            <v>Cable 4 × 12 AWG</v>
          </cell>
        </row>
        <row r="269">
          <cell r="B269" t="str">
            <v>Cable 4 × 14 AWG</v>
          </cell>
        </row>
        <row r="270">
          <cell r="B270" t="str">
            <v>Cable 4 × 16 AWG</v>
          </cell>
        </row>
        <row r="271">
          <cell r="B271" t="str">
            <v>Cable 4 × 18 AWG</v>
          </cell>
        </row>
        <row r="272">
          <cell r="B272" t="str">
            <v>Cable 4 × 6 AWG</v>
          </cell>
        </row>
        <row r="273">
          <cell r="B273" t="str">
            <v>Cable 4 × 8 AWG</v>
          </cell>
        </row>
        <row r="274">
          <cell r="B274" t="str">
            <v>CABLE 4PR UTP CAT 6 GRIS CM 305m</v>
          </cell>
        </row>
        <row r="275">
          <cell r="B275" t="str">
            <v>Cable ACSR No 1/0</v>
          </cell>
        </row>
        <row r="276">
          <cell r="B276" t="str">
            <v>Cable ACSR No 2</v>
          </cell>
        </row>
        <row r="277">
          <cell r="B277" t="str">
            <v>Cable ACSR No 2/0</v>
          </cell>
        </row>
        <row r="278">
          <cell r="B278" t="str">
            <v>Cable ACSR No 4</v>
          </cell>
        </row>
        <row r="279">
          <cell r="B279" t="str">
            <v>Cable Alumoweld 7 no. 10</v>
          </cell>
        </row>
        <row r="280">
          <cell r="B280" t="str">
            <v>Cable Alumoweld 7 no. 8</v>
          </cell>
        </row>
        <row r="281">
          <cell r="B281" t="str">
            <v>Cable concentrico 2 x 8 + 8</v>
          </cell>
        </row>
        <row r="282">
          <cell r="B282" t="str">
            <v>Cable Concentrico ARE Cu 75oC 3X6+6 AWG 600V (PE/PVC)</v>
          </cell>
        </row>
        <row r="283">
          <cell r="B283" t="str">
            <v>Cable De 3/8" Para Retenida</v>
          </cell>
        </row>
        <row r="284">
          <cell r="B284" t="str">
            <v>Cable De Acero Galvanizado De 1/4 SUPERGX</v>
          </cell>
        </row>
        <row r="285">
          <cell r="B285" t="str">
            <v>Cable De Cobre Desnudo #1/0 AWG</v>
          </cell>
        </row>
        <row r="286">
          <cell r="B286" t="str">
            <v>Cable De Cobre Desnudo #10 AWG</v>
          </cell>
        </row>
        <row r="287">
          <cell r="B287" t="str">
            <v>Cable De Cobre Desnudo #12 AWG</v>
          </cell>
        </row>
        <row r="288">
          <cell r="B288" t="str">
            <v>Cable De Cobre Desnudo #2 AWG</v>
          </cell>
        </row>
        <row r="289">
          <cell r="B289" t="str">
            <v>Cable De Cobre Desnudo #2/0 AWG</v>
          </cell>
        </row>
        <row r="290">
          <cell r="B290" t="str">
            <v>Cable De Cobre Desnudo #4 AWG</v>
          </cell>
        </row>
        <row r="291">
          <cell r="B291" t="str">
            <v>Cable De Cobre Desnudo #4/0 AWG</v>
          </cell>
        </row>
        <row r="292">
          <cell r="B292" t="str">
            <v>Cable De Cobre Desnudo #6 AWG</v>
          </cell>
        </row>
        <row r="293">
          <cell r="B293" t="str">
            <v>Cable De Cobre Desnudo #8 AWG</v>
          </cell>
        </row>
        <row r="294">
          <cell r="B294" t="str">
            <v>Cable De Cobre Desnudo 350MCM</v>
          </cell>
        </row>
        <row r="295">
          <cell r="B295" t="str">
            <v>Cable duplex plano 2x14</v>
          </cell>
        </row>
        <row r="296">
          <cell r="B296" t="str">
            <v>Cable encauchetado 2 × 18 AWG</v>
          </cell>
        </row>
        <row r="297">
          <cell r="B297" t="str">
            <v>Cable Encauchetado 3x12</v>
          </cell>
        </row>
        <row r="298">
          <cell r="B298" t="str">
            <v>Cable Encauchetado 3x10</v>
          </cell>
        </row>
        <row r="299">
          <cell r="B299" t="str">
            <v>Cable encauchetado 3x8</v>
          </cell>
        </row>
        <row r="300">
          <cell r="B300" t="str">
            <v>cable encauchetado 4x10</v>
          </cell>
        </row>
        <row r="301">
          <cell r="B301" t="str">
            <v>cable encauchetado 4x12</v>
          </cell>
        </row>
        <row r="302">
          <cell r="B302" t="str">
            <v>cable encauchetado 4 x 14</v>
          </cell>
        </row>
        <row r="303">
          <cell r="B303" t="str">
            <v>Cable Encauchetado 4x4 potencia</v>
          </cell>
        </row>
        <row r="304">
          <cell r="B304" t="str">
            <v>Cable encauchetado 7×12 + 20 AWG</v>
          </cell>
        </row>
        <row r="305">
          <cell r="B305" t="str">
            <v>Cable encauchetado 7×14 +20  AWG</v>
          </cell>
        </row>
        <row r="306">
          <cell r="B306" t="str">
            <v>Cable encauchetado pltc 24×14 + 20 AWG</v>
          </cell>
        </row>
        <row r="307">
          <cell r="B307" t="str">
            <v>Cable encauchetado pltc 4×18 + 20 AWG</v>
          </cell>
        </row>
        <row r="308">
          <cell r="B308" t="str">
            <v>Cable instrumentacion 18x18+20 apant</v>
          </cell>
        </row>
        <row r="309">
          <cell r="B309" t="str">
            <v>Cable instrumentacion 2x16+20 apant</v>
          </cell>
        </row>
        <row r="310">
          <cell r="B310" t="str">
            <v>Cable instrumentacion 4x16+20 apant</v>
          </cell>
        </row>
        <row r="311">
          <cell r="B311" t="str">
            <v>Cable instrumentacion 9x18+20 apant</v>
          </cell>
        </row>
        <row r="312">
          <cell r="B312" t="str">
            <v>Cable mensajero 1/4"</v>
          </cell>
        </row>
        <row r="313">
          <cell r="B313" t="str">
            <v>Cable No 1/0 THW</v>
          </cell>
        </row>
        <row r="314">
          <cell r="B314" t="str">
            <v>Cable No 10 AWG - THW Amarillo</v>
          </cell>
        </row>
        <row r="315">
          <cell r="B315" t="str">
            <v>Cable No 10 AWG - THW Azul</v>
          </cell>
        </row>
        <row r="316">
          <cell r="B316" t="str">
            <v>Cable No 10 AWG - THW Blanco</v>
          </cell>
        </row>
        <row r="317">
          <cell r="B317" t="str">
            <v>Cable No 10 AWG - THW Negro</v>
          </cell>
        </row>
        <row r="318">
          <cell r="B318" t="str">
            <v>Cable No 10 AWG - THW Rojo</v>
          </cell>
        </row>
        <row r="319">
          <cell r="B319" t="str">
            <v>Cable No 10 AWG - THW Verde</v>
          </cell>
        </row>
        <row r="320">
          <cell r="B320" t="str">
            <v>Cable No 12 AWG - THW Amarillo</v>
          </cell>
        </row>
        <row r="321">
          <cell r="B321" t="str">
            <v>Cable No 12 AWG - THW Azul</v>
          </cell>
        </row>
        <row r="322">
          <cell r="B322" t="str">
            <v>Cable No 12 AWG - THW Blanco</v>
          </cell>
        </row>
        <row r="323">
          <cell r="B323" t="str">
            <v>Cable No 12 AWG - THW Negro</v>
          </cell>
        </row>
        <row r="324">
          <cell r="B324" t="str">
            <v>Cable No 12 AWG - THW Rojo</v>
          </cell>
        </row>
        <row r="325">
          <cell r="B325" t="str">
            <v>Cable No 12 AWG - THW Verde</v>
          </cell>
        </row>
        <row r="326">
          <cell r="B326" t="str">
            <v>Cable No 14 AWG - THW</v>
          </cell>
        </row>
        <row r="327">
          <cell r="B327" t="str">
            <v>Cable No 2 AWG - THW</v>
          </cell>
        </row>
        <row r="328">
          <cell r="B328" t="str">
            <v>Cable No 4 AWG - THW</v>
          </cell>
        </row>
        <row r="329">
          <cell r="B329" t="str">
            <v>Cable No 6 AWG - THW</v>
          </cell>
        </row>
        <row r="330">
          <cell r="B330" t="str">
            <v>Cable No 8 AWG - THW</v>
          </cell>
        </row>
        <row r="331">
          <cell r="B331" t="str">
            <v>Cable No. 2/0 THW</v>
          </cell>
        </row>
        <row r="332">
          <cell r="B332" t="str">
            <v>Cable No. 250 MCM THHN</v>
          </cell>
        </row>
        <row r="333">
          <cell r="B333" t="str">
            <v>Cable No. 3/0 THW</v>
          </cell>
        </row>
        <row r="334">
          <cell r="B334" t="str">
            <v>Cable No. 300 MCM THHN</v>
          </cell>
        </row>
        <row r="335">
          <cell r="B335" t="str">
            <v>Cable No. 350 MCM THHN</v>
          </cell>
        </row>
        <row r="336">
          <cell r="B336" t="str">
            <v>Cable No. 4/0 THW</v>
          </cell>
        </row>
        <row r="337">
          <cell r="B337" t="str">
            <v>Cable No. 400 MCM THHN</v>
          </cell>
        </row>
        <row r="338">
          <cell r="B338" t="str">
            <v>Cable No. 500 MCM THHN</v>
          </cell>
        </row>
        <row r="339">
          <cell r="B339" t="str">
            <v>Cable RG 6 U</v>
          </cell>
        </row>
        <row r="340">
          <cell r="B340" t="str">
            <v>Cable telefonico de 10 pares</v>
          </cell>
        </row>
        <row r="341">
          <cell r="B341" t="str">
            <v>Cable TFF No 16</v>
          </cell>
        </row>
        <row r="342">
          <cell r="B342" t="str">
            <v>Cable THW 1/0 AL  Serie 8000 135 A</v>
          </cell>
        </row>
        <row r="343">
          <cell r="B343" t="str">
            <v>Cable THW 2 AL  Serie 8000 100 A</v>
          </cell>
        </row>
        <row r="344">
          <cell r="B344" t="str">
            <v>Cable THW 4 AL  Serie 8000 100 A</v>
          </cell>
        </row>
        <row r="345">
          <cell r="B345" t="str">
            <v>Cable THW 4/0 AL  Serie 8000 135 A</v>
          </cell>
        </row>
        <row r="346">
          <cell r="B346" t="str">
            <v>Cable Trenzado 4 x 1/0</v>
          </cell>
        </row>
        <row r="347">
          <cell r="B347" t="str">
            <v>Cable Trenzado 4 x 2</v>
          </cell>
        </row>
        <row r="348">
          <cell r="B348" t="str">
            <v>Cable Trenzado 4 x 4</v>
          </cell>
        </row>
        <row r="349">
          <cell r="B349" t="str">
            <v>Cable Trenzado 4 x 6</v>
          </cell>
        </row>
        <row r="350">
          <cell r="B350" t="str">
            <v>Cable UTP 4x2x24  amp cat 6  200 MHz</v>
          </cell>
        </row>
        <row r="351">
          <cell r="B351" t="str">
            <v>Cable XLPE No 1/0 100 %</v>
          </cell>
        </row>
        <row r="352">
          <cell r="B352" t="str">
            <v>Cable XLPE No 2  100 %</v>
          </cell>
        </row>
        <row r="353">
          <cell r="B353" t="str">
            <v>Cable XLPE No 2  133 %</v>
          </cell>
        </row>
        <row r="354">
          <cell r="B354" t="str">
            <v>Cable XLPE No 2/0 100 %</v>
          </cell>
        </row>
        <row r="355">
          <cell r="B355" t="str">
            <v>Caja De Distribución Eléctrica De 6x6x4" - Nema 12 cal 18</v>
          </cell>
        </row>
        <row r="356">
          <cell r="B356" t="str">
            <v>Caja De Distribución Eléctrica De 8x8x4"  - Nema 12 cal 18</v>
          </cell>
        </row>
        <row r="357">
          <cell r="B357" t="str">
            <v>Caja de empalme 8x8x6</v>
          </cell>
        </row>
        <row r="358">
          <cell r="B358" t="str">
            <v>Caja de empalme 15x15x10</v>
          </cell>
        </row>
        <row r="359">
          <cell r="B359" t="str">
            <v>Caja de empalme 20x20x15</v>
          </cell>
        </row>
        <row r="360">
          <cell r="B360" t="str">
            <v>Caja de empalme 50x50x20</v>
          </cell>
        </row>
        <row r="361">
          <cell r="B361" t="str">
            <v>Caja Doble ( 4x4" ) (Fundida Para Sobreponer)</v>
          </cell>
        </row>
        <row r="362">
          <cell r="B362" t="str">
            <v>Caja Doble ( 4x4" ) (Lámina PVC  Para Empotrar)</v>
          </cell>
        </row>
        <row r="363">
          <cell r="B363" t="str">
            <v>Caja doble (4x4")  (Fundida Para Sobreponer)</v>
          </cell>
        </row>
        <row r="364">
          <cell r="B364" t="str">
            <v>Caja doble (4x4")  PVC o galv incrustar</v>
          </cell>
        </row>
        <row r="365">
          <cell r="B365" t="str">
            <v>Caja IP 65 30x20x16</v>
          </cell>
        </row>
        <row r="366">
          <cell r="B366" t="str">
            <v>Caja metalica distribucion metálica CDM12</v>
          </cell>
        </row>
        <row r="367">
          <cell r="B367" t="str">
            <v>Caja metalica distribucion metálica CDM4</v>
          </cell>
        </row>
        <row r="368">
          <cell r="B368" t="str">
            <v>Caja metalica distribucion metálica CDM6</v>
          </cell>
        </row>
        <row r="369">
          <cell r="B369" t="str">
            <v>Caja metalica distribucion metálica CDM9</v>
          </cell>
        </row>
        <row r="370">
          <cell r="B370" t="str">
            <v>Caja minipragma opaca 6 pasos sobreponer multi 9</v>
          </cell>
        </row>
        <row r="371">
          <cell r="B371" t="str">
            <v>Caja minipragma transparente 10 pasos incrustar multi 9</v>
          </cell>
        </row>
        <row r="372">
          <cell r="B372" t="str">
            <v>Caja minipragma transparente 16 pasos incrustar multi 9</v>
          </cell>
        </row>
        <row r="373">
          <cell r="B373" t="str">
            <v>Caja Octagonal (Fundida Para Sobreponer)</v>
          </cell>
        </row>
        <row r="374">
          <cell r="B374" t="str">
            <v>Caja Octagonal (Lámina Para Empotrar)</v>
          </cell>
        </row>
        <row r="375">
          <cell r="B375" t="str">
            <v>Caja Octagonal PVC</v>
          </cell>
        </row>
        <row r="376">
          <cell r="B376" t="str">
            <v>CAJAS PRIMARIAS 15 KV</v>
          </cell>
        </row>
        <row r="377">
          <cell r="B377" t="str">
            <v>Caja para Medidor Tipo C</v>
          </cell>
        </row>
        <row r="378">
          <cell r="B378" t="str">
            <v>Caja PVC 2x4 Para Empotrar</v>
          </cell>
        </row>
        <row r="379">
          <cell r="B379" t="str">
            <v>Caja PVC 4x4</v>
          </cell>
        </row>
        <row r="380">
          <cell r="B380" t="str">
            <v>Caja Plástica Dexson 2x4 Para Sobreponer, Utilizadas Con Canaleta</v>
          </cell>
        </row>
        <row r="381">
          <cell r="B381" t="str">
            <v>CAJA RAWELT GALVANIZADA OCTAGONAL 4 SALIDAS 3/4</v>
          </cell>
        </row>
        <row r="382">
          <cell r="B382" t="str">
            <v>Cajas Radwelt 2 x 4</v>
          </cell>
        </row>
        <row r="383">
          <cell r="B383" t="str">
            <v>Cajas Radwelt 2 x 4 salida 3/4</v>
          </cell>
        </row>
        <row r="384">
          <cell r="B384" t="str">
            <v>Cajas Radwelt 4 x 4 salida 3/4</v>
          </cell>
        </row>
        <row r="385">
          <cell r="B385" t="str">
            <v>Cajas Radwelt 4 x 4</v>
          </cell>
        </row>
        <row r="386">
          <cell r="B386" t="str">
            <v>Caja Sencilla (2x4")  (Fundida Para Sobreponer)</v>
          </cell>
        </row>
        <row r="387">
          <cell r="B387" t="str">
            <v>Caja Sencilla (2x4") (Lámina Para Empotrar)</v>
          </cell>
        </row>
        <row r="388">
          <cell r="B388" t="str">
            <v>Canaleta c/division de 11x5 c/tapa</v>
          </cell>
        </row>
        <row r="389">
          <cell r="B389" t="str">
            <v>Canaleta DLP</v>
          </cell>
        </row>
        <row r="390">
          <cell r="B390" t="str">
            <v>Canaleta Metálica De 10 x 12.5mm</v>
          </cell>
        </row>
        <row r="391">
          <cell r="B391" t="str">
            <v xml:space="preserve">Canaleta Metálica De 10 x 8 cm  C 22 TA  </v>
          </cell>
        </row>
        <row r="392">
          <cell r="B392" t="str">
            <v>Canaleta Metálica De 20 x 12.5mm</v>
          </cell>
        </row>
        <row r="393">
          <cell r="B393" t="str">
            <v>Canaleta Metálica De 20 x 8 cm  C 22 TA</v>
          </cell>
        </row>
        <row r="394">
          <cell r="B394" t="str">
            <v>Canaleta Metálica De 30 x 8 cm  C 22 TA</v>
          </cell>
        </row>
        <row r="395">
          <cell r="B395" t="str">
            <v>Canaleta Metálica De 32 x 12.5mm</v>
          </cell>
        </row>
        <row r="396">
          <cell r="B396" t="str">
            <v>Canaleta Metálica De 40 x 12,5 mm</v>
          </cell>
        </row>
        <row r="397">
          <cell r="B397" t="str">
            <v>Canaleta Plástica 10x12,5</v>
          </cell>
        </row>
        <row r="398">
          <cell r="B398" t="str">
            <v>Canaleta Plástica 20x12,5</v>
          </cell>
        </row>
        <row r="399">
          <cell r="B399" t="str">
            <v>Canaleta Plástica 32x12,5</v>
          </cell>
        </row>
        <row r="400">
          <cell r="B400" t="str">
            <v>Canaleta ranurada 60x40</v>
          </cell>
        </row>
        <row r="401">
          <cell r="B401" t="str">
            <v>Canaleta soporte colgante</v>
          </cell>
        </row>
        <row r="402">
          <cell r="B402" t="str">
            <v>Candado Master</v>
          </cell>
        </row>
        <row r="403">
          <cell r="B403" t="str">
            <v>Capacete De 1 1/2"</v>
          </cell>
        </row>
        <row r="404">
          <cell r="B404" t="str">
            <v>Capacete De 1", 3/4", o 1/2"</v>
          </cell>
        </row>
        <row r="405">
          <cell r="B405" t="str">
            <v>Capacete De 2"</v>
          </cell>
        </row>
        <row r="406">
          <cell r="B406" t="str">
            <v>Capacete De 3"</v>
          </cell>
        </row>
        <row r="407">
          <cell r="B407" t="str">
            <v>Celda con seccionador y fusibles HH 630 amps</v>
          </cell>
        </row>
        <row r="408">
          <cell r="B408" t="str">
            <v xml:space="preserve">Celda de Proteccion con seccionador de Operación Bajo Carga Base Portafusibles </v>
          </cell>
        </row>
        <row r="409">
          <cell r="B409" t="str">
            <v>Celda de Remonte de Cables Sin Barraje GAM-0</v>
          </cell>
        </row>
        <row r="410">
          <cell r="B410" t="str">
            <v>Celda para transformador de 225 KVA</v>
          </cell>
        </row>
        <row r="411">
          <cell r="B411" t="str">
            <v>Cemento Gris</v>
          </cell>
        </row>
        <row r="412">
          <cell r="B412" t="str">
            <v>Certificacion RETIE</v>
          </cell>
        </row>
        <row r="413">
          <cell r="B413" t="str">
            <v>Channel alto</v>
          </cell>
        </row>
        <row r="414">
          <cell r="B414" t="str">
            <v>Channel bajo</v>
          </cell>
        </row>
        <row r="415">
          <cell r="B415" t="str">
            <v>Channel acero inoxidable</v>
          </cell>
        </row>
        <row r="416">
          <cell r="B416" t="str">
            <v>Chazos</v>
          </cell>
        </row>
        <row r="417">
          <cell r="B417" t="str">
            <v>Chico</v>
          </cell>
        </row>
        <row r="418">
          <cell r="B418" t="str">
            <v>Cinta bandit</v>
          </cell>
        </row>
        <row r="419">
          <cell r="B419" t="str">
            <v>Cinta Demarcacion</v>
          </cell>
        </row>
        <row r="420">
          <cell r="B420" t="str">
            <v>Cinta super 33</v>
          </cell>
        </row>
        <row r="421">
          <cell r="B421" t="str">
            <v>CINTA SCOTH #23</v>
          </cell>
        </row>
        <row r="422">
          <cell r="B422" t="str">
            <v>CINTA SCOTH #50</v>
          </cell>
        </row>
        <row r="423">
          <cell r="B423" t="str">
            <v>Cinta tenflex 1700 x 10 mts</v>
          </cell>
        </row>
        <row r="424">
          <cell r="B424" t="str">
            <v>Cinta tenflex 1700 x 20 mts</v>
          </cell>
        </row>
        <row r="425">
          <cell r="B425" t="str">
            <v>Clavija 20A Twis Lock Uso Industrial Leviton O Similar 110v</v>
          </cell>
        </row>
        <row r="426">
          <cell r="B426" t="str">
            <v>Clavija 30A Twis Lock Uso Industrial Leviton O Similar ref 2621</v>
          </cell>
        </row>
        <row r="427">
          <cell r="B427" t="str">
            <v>Clavija 30A Twis Lock Uso Industrial Leviton O Similar ref 2721</v>
          </cell>
        </row>
        <row r="428">
          <cell r="B428" t="str">
            <v>Clavija 30A Twis Lock Uso Industrial Leviton O Similar ref 2811</v>
          </cell>
        </row>
        <row r="429">
          <cell r="B429" t="str">
            <v xml:space="preserve">Clavija Con Polo A Tierra De 20 Amp. A 120v. </v>
          </cell>
        </row>
        <row r="430">
          <cell r="B430" t="str">
            <v xml:space="preserve">Clavija de caucho con polo a tierra 15 amp 110 V </v>
          </cell>
        </row>
        <row r="431">
          <cell r="B431" t="str">
            <v>CLAVIJAS NEMA L16-20 AMP</v>
          </cell>
        </row>
        <row r="432">
          <cell r="B432" t="str">
            <v>CLAVIJAS NEMA L15-30 AMP</v>
          </cell>
        </row>
        <row r="433">
          <cell r="B433" t="str">
            <v>CLAVIJAS NEMA L5-20 AMP</v>
          </cell>
        </row>
        <row r="434">
          <cell r="B434" t="str">
            <v>CLAVIJAS NEMA L6-30 AMP</v>
          </cell>
        </row>
        <row r="435">
          <cell r="B435" t="str">
            <v>Clavija Trifásica Tripolar De 20 Amp - 250v, 4 hilos leviton</v>
          </cell>
        </row>
        <row r="436">
          <cell r="B436" t="str">
            <v>Clavija Trifásica Tripolar De 30 Amp - 250v, 4 hilos leviton</v>
          </cell>
        </row>
        <row r="437">
          <cell r="B437" t="str">
            <v>Clavija Trifásica Tripolar De 50 Amp - 250v, 4 hilos leviton o similar</v>
          </cell>
        </row>
        <row r="438">
          <cell r="B438" t="str">
            <v>Clavo de 2" (puntilla)</v>
          </cell>
        </row>
        <row r="439">
          <cell r="B439" t="str">
            <v>Clevis 10"</v>
          </cell>
        </row>
        <row r="440">
          <cell r="B440" t="str">
            <v>Clevis 6"</v>
          </cell>
        </row>
        <row r="441">
          <cell r="B441" t="str">
            <v>Codo 1" sch 40</v>
          </cell>
        </row>
        <row r="442">
          <cell r="B442" t="str">
            <v>Codo 1/2" sch 40</v>
          </cell>
        </row>
        <row r="443">
          <cell r="B443" t="str">
            <v>Codo 3/4" sch 40</v>
          </cell>
        </row>
        <row r="444">
          <cell r="B444" t="str">
            <v>Cofre De 30x20x15</v>
          </cell>
        </row>
        <row r="445">
          <cell r="B445" t="str">
            <v>Cofre De 40x30x20</v>
          </cell>
        </row>
        <row r="446">
          <cell r="B446" t="str">
            <v>Cofre De 50x30x20</v>
          </cell>
        </row>
        <row r="447">
          <cell r="B447" t="str">
            <v>Cofre De 50x40x20</v>
          </cell>
        </row>
        <row r="448">
          <cell r="B448" t="str">
            <v>Cofre De 60x40x25</v>
          </cell>
        </row>
        <row r="449">
          <cell r="B449" t="str">
            <v>Cofre Lamina Galv  100x80x30</v>
          </cell>
        </row>
        <row r="450">
          <cell r="B450" t="str">
            <v>Cofre Lamina Galv  90x70x30</v>
          </cell>
        </row>
        <row r="451">
          <cell r="B451" t="str">
            <v>Cofre Lamina Galv 120x80x40</v>
          </cell>
        </row>
        <row r="452">
          <cell r="B452" t="str">
            <v>Cofre Lamina Galv 150x80x40</v>
          </cell>
        </row>
        <row r="453">
          <cell r="B453" t="str">
            <v>Cofre Lamina Galv 200x120x100</v>
          </cell>
        </row>
        <row r="454">
          <cell r="B454" t="str">
            <v>Cofre Lamina Galv 200x120x100 sin barraje</v>
          </cell>
        </row>
        <row r="455">
          <cell r="B455" t="str">
            <v>Cofre Lamina Galv 70x50x25</v>
          </cell>
        </row>
        <row r="456">
          <cell r="B456" t="str">
            <v>Cofre Plástico Transparente IP65 de 16 cm de profundidad</v>
          </cell>
        </row>
        <row r="457">
          <cell r="B457" t="str">
            <v>Collarín De Doble Derivación De 6-7 pulg.</v>
          </cell>
        </row>
        <row r="458">
          <cell r="B458" t="str">
            <v>Collarín De Doble Derivación De 7-8 pulg.</v>
          </cell>
        </row>
        <row r="459">
          <cell r="B459" t="str">
            <v>Collarín De Doble Derivación De 8-9 pulg.</v>
          </cell>
        </row>
        <row r="460">
          <cell r="B460" t="str">
            <v>Combustible</v>
          </cell>
        </row>
        <row r="461">
          <cell r="B461" t="str">
            <v>Concreto fc=2000 psi</v>
          </cell>
        </row>
        <row r="462">
          <cell r="B462" t="str">
            <v>Concreto fc=2500 psi</v>
          </cell>
        </row>
        <row r="463">
          <cell r="B463" t="str">
            <v>Concreto fc=3000 psi</v>
          </cell>
        </row>
        <row r="464">
          <cell r="B464" t="str">
            <v>Concreto fc=4000 psi</v>
          </cell>
        </row>
        <row r="465">
          <cell r="B465" t="str">
            <v>Condensador de 12 kvar 240V</v>
          </cell>
        </row>
        <row r="466">
          <cell r="B466" t="str">
            <v>Condensador de 30 uf 220V</v>
          </cell>
        </row>
        <row r="467">
          <cell r="B467" t="str">
            <v>Condensador de 6 kvar 240V</v>
          </cell>
        </row>
        <row r="468">
          <cell r="B468" t="str">
            <v>Conductor ACSR 1/0</v>
          </cell>
        </row>
        <row r="469">
          <cell r="B469" t="str">
            <v>Conductor ACSR 2</v>
          </cell>
        </row>
        <row r="470">
          <cell r="B470" t="str">
            <v>Conductor ACSR 2/0</v>
          </cell>
        </row>
        <row r="471">
          <cell r="B471" t="str">
            <v>Conductor ACSR 4</v>
          </cell>
        </row>
        <row r="472">
          <cell r="B472" t="str">
            <v>Conductor ACSR 4/0</v>
          </cell>
        </row>
        <row r="473">
          <cell r="B473" t="str">
            <v>Conductor XLPE Para 15kv, 1/0</v>
          </cell>
        </row>
        <row r="474">
          <cell r="B474" t="str">
            <v>Conductor XLPE Para 15kv, 2</v>
          </cell>
        </row>
        <row r="475">
          <cell r="B475" t="str">
            <v>Conductor XLPE Para 15kv, 2/0</v>
          </cell>
        </row>
        <row r="476">
          <cell r="B476" t="str">
            <v>Conductor XLPE Para 15kv, 250mcm</v>
          </cell>
        </row>
        <row r="477">
          <cell r="B477" t="str">
            <v>Conductor XLPE Para 15kv, 3/0</v>
          </cell>
        </row>
        <row r="478">
          <cell r="B478" t="str">
            <v>Conductor XLPE Para 15kv, 4/0</v>
          </cell>
        </row>
        <row r="479">
          <cell r="B479" t="str">
            <v>Conduleta PVC LB 1/2</v>
          </cell>
        </row>
        <row r="480">
          <cell r="B480" t="str">
            <v>Conduleta PVC LB 3/4</v>
          </cell>
        </row>
        <row r="481">
          <cell r="B481" t="str">
            <v>Conduleta PVC  LB 1</v>
          </cell>
        </row>
        <row r="482">
          <cell r="B482" t="str">
            <v>Conduleta PVC LB  1 1/2</v>
          </cell>
        </row>
        <row r="483">
          <cell r="B483" t="str">
            <v>Conduleta PVC LB 2</v>
          </cell>
        </row>
        <row r="484">
          <cell r="B484" t="str">
            <v>Conduleta PVC LR 1/2</v>
          </cell>
        </row>
        <row r="485">
          <cell r="B485" t="str">
            <v>ConduletaPVC  LR 3/4</v>
          </cell>
        </row>
        <row r="486">
          <cell r="B486" t="str">
            <v>Conduleta PVC LR 1</v>
          </cell>
        </row>
        <row r="487">
          <cell r="B487" t="str">
            <v>Conduleta PVC LR  1 1/2</v>
          </cell>
        </row>
        <row r="488">
          <cell r="B488" t="str">
            <v>Conduleta PVC LR 2</v>
          </cell>
        </row>
        <row r="489">
          <cell r="B489" t="str">
            <v>ConduletaPVC  LL 1/2</v>
          </cell>
        </row>
        <row r="490">
          <cell r="B490" t="str">
            <v>ConduletaPVC LL 3/4</v>
          </cell>
        </row>
        <row r="491">
          <cell r="B491" t="str">
            <v>Conduleta PVC LL 1</v>
          </cell>
        </row>
        <row r="492">
          <cell r="B492" t="str">
            <v>Conduleta PVC LL  1 1/2</v>
          </cell>
        </row>
        <row r="493">
          <cell r="B493" t="str">
            <v>Conduleta PVC LL 2</v>
          </cell>
        </row>
        <row r="494">
          <cell r="B494" t="str">
            <v>Conduleta PVC LT 1/2</v>
          </cell>
        </row>
        <row r="495">
          <cell r="B495" t="str">
            <v>Conduleta PVC LT 3/4</v>
          </cell>
        </row>
        <row r="496">
          <cell r="B496" t="str">
            <v>Conduleta PVC LT 1</v>
          </cell>
        </row>
        <row r="497">
          <cell r="B497" t="str">
            <v>Conduleta PVC LT 1 1/2</v>
          </cell>
        </row>
        <row r="498">
          <cell r="B498" t="str">
            <v>ConduletaPVC  LT 2</v>
          </cell>
        </row>
        <row r="499">
          <cell r="B499" t="str">
            <v>Conduleta LB 1/2</v>
          </cell>
        </row>
        <row r="500">
          <cell r="B500" t="str">
            <v>Conduleta LB 3/4</v>
          </cell>
        </row>
        <row r="501">
          <cell r="B501" t="str">
            <v>Conduleta LB 1</v>
          </cell>
        </row>
        <row r="502">
          <cell r="B502" t="str">
            <v>Conduleta LB  1 1/2</v>
          </cell>
        </row>
        <row r="503">
          <cell r="B503" t="str">
            <v>Conduleta LB 2</v>
          </cell>
        </row>
        <row r="504">
          <cell r="B504" t="str">
            <v>Conduleta LR 1/2</v>
          </cell>
        </row>
        <row r="505">
          <cell r="B505" t="str">
            <v>Conduleta LR 3/4</v>
          </cell>
        </row>
        <row r="506">
          <cell r="B506" t="str">
            <v>Conduleta LR 1</v>
          </cell>
        </row>
        <row r="507">
          <cell r="B507" t="str">
            <v>Conduleta LR  1 1/2</v>
          </cell>
        </row>
        <row r="508">
          <cell r="B508" t="str">
            <v>Conduleta LR 2</v>
          </cell>
        </row>
        <row r="509">
          <cell r="B509" t="str">
            <v>Conduleta LL 1/2</v>
          </cell>
        </row>
        <row r="510">
          <cell r="B510" t="str">
            <v>Conduleta LL 3/4</v>
          </cell>
        </row>
        <row r="511">
          <cell r="B511" t="str">
            <v>Conduleta LL 1</v>
          </cell>
        </row>
        <row r="512">
          <cell r="B512" t="str">
            <v>Conduleta LL  1 1/2</v>
          </cell>
        </row>
        <row r="513">
          <cell r="B513" t="str">
            <v>Conduleta LL 2</v>
          </cell>
        </row>
        <row r="514">
          <cell r="B514" t="str">
            <v>Conduleta LT 1/2</v>
          </cell>
        </row>
        <row r="515">
          <cell r="B515" t="str">
            <v>Conduleta LT 3/4</v>
          </cell>
        </row>
        <row r="516">
          <cell r="B516" t="str">
            <v>Conduleta LT 1</v>
          </cell>
        </row>
        <row r="517">
          <cell r="B517" t="str">
            <v>Conduleta LT 1 1/2</v>
          </cell>
        </row>
        <row r="518">
          <cell r="B518" t="str">
            <v>Conduleta LT 2</v>
          </cell>
        </row>
        <row r="519">
          <cell r="B519" t="str">
            <v>Conduleta EMT de 1 1/4" liviana</v>
          </cell>
        </row>
        <row r="520">
          <cell r="B520" t="str">
            <v>Conduleta EMT de 1 liviana</v>
          </cell>
        </row>
        <row r="521">
          <cell r="B521" t="str">
            <v>Conduleta EMT de 1/2 liviana</v>
          </cell>
        </row>
        <row r="522">
          <cell r="B522" t="str">
            <v>Conduleta EMT de 1-1/2 liviana</v>
          </cell>
        </row>
        <row r="523">
          <cell r="B523" t="str">
            <v>Conduleta EMT de 2 liviana</v>
          </cell>
        </row>
        <row r="524">
          <cell r="B524" t="str">
            <v>Conduleta EMT de 3 liviana</v>
          </cell>
        </row>
        <row r="525">
          <cell r="B525" t="str">
            <v>Conduleta EMT de 3/4 liviana</v>
          </cell>
        </row>
        <row r="526">
          <cell r="B526" t="str">
            <v>Conduleta GUAB o GUAL  16 1/2"</v>
          </cell>
        </row>
        <row r="527">
          <cell r="B527" t="str">
            <v>Conduleta GUAB o GUAL  26 3/4"</v>
          </cell>
        </row>
        <row r="528">
          <cell r="B528" t="str">
            <v>Conduleta GUAB o GUAL  36 1"</v>
          </cell>
        </row>
        <row r="529">
          <cell r="B529" t="str">
            <v>Conduleta GUAB o GUAL  56 1 1/2"</v>
          </cell>
        </row>
        <row r="530">
          <cell r="B530" t="str">
            <v>Conduleta GUAB o GUAL  66 2"</v>
          </cell>
        </row>
        <row r="531">
          <cell r="B531" t="str">
            <v>Conduleta pesada   1 1/2"</v>
          </cell>
        </row>
        <row r="532">
          <cell r="B532" t="str">
            <v>Conduleta pesada   1 1/4"</v>
          </cell>
        </row>
        <row r="533">
          <cell r="B533" t="str">
            <v>Conduleta pesada   1"</v>
          </cell>
        </row>
        <row r="534">
          <cell r="B534" t="str">
            <v>Conduleta pesada   1/2"</v>
          </cell>
        </row>
        <row r="535">
          <cell r="B535" t="str">
            <v>Conduleta pesada   2"</v>
          </cell>
        </row>
        <row r="536">
          <cell r="B536" t="str">
            <v>Conduleta pesada   3"</v>
          </cell>
        </row>
        <row r="537">
          <cell r="B537" t="str">
            <v>Conduleta pesada   3/4"</v>
          </cell>
        </row>
        <row r="538">
          <cell r="B538" t="str">
            <v>Conduleta pesada   4"</v>
          </cell>
        </row>
        <row r="539">
          <cell r="B539" t="str">
            <v>Conduleta PVC Tipo C De 1 1/4"</v>
          </cell>
        </row>
        <row r="540">
          <cell r="B540" t="str">
            <v>Conduleta PVC Tipo C De 1"</v>
          </cell>
        </row>
        <row r="541">
          <cell r="B541" t="str">
            <v>Conduleta PVC Tipo C De 1/2"</v>
          </cell>
        </row>
        <row r="542">
          <cell r="B542" t="str">
            <v>Conduleta PVC Tipo C De 1-1/2"</v>
          </cell>
        </row>
        <row r="543">
          <cell r="B543" t="str">
            <v>Conduleta PVC Tipo C De 2"</v>
          </cell>
        </row>
        <row r="544">
          <cell r="B544" t="str">
            <v>Conduleta PVC Tipo C De 3"</v>
          </cell>
        </row>
        <row r="545">
          <cell r="B545" t="str">
            <v>Conduleta PVC Tipo C De 3/4"</v>
          </cell>
        </row>
        <row r="546">
          <cell r="B546" t="str">
            <v>Conduleta PVC Tipo C De 4"</v>
          </cell>
        </row>
        <row r="547">
          <cell r="B547" t="str">
            <v>Conector Ampact</v>
          </cell>
        </row>
        <row r="548">
          <cell r="B548" t="str">
            <v xml:space="preserve">Conector ampact aislado 2 al 3/0  </v>
          </cell>
        </row>
        <row r="549">
          <cell r="B549" t="str">
            <v>Conector ampact aislado  4/0 al 300 MCM</v>
          </cell>
        </row>
        <row r="550">
          <cell r="B550" t="str">
            <v xml:space="preserve">Conector ampact tipo aluminio cuña 2 al 4/0 </v>
          </cell>
        </row>
        <row r="551">
          <cell r="B551" t="str">
            <v>Conector autodesf XA 3m 80610052765</v>
          </cell>
        </row>
        <row r="552">
          <cell r="B552" t="str">
            <v>Conector curvo de 2" no metalico</v>
          </cell>
        </row>
        <row r="553">
          <cell r="B553" t="str">
            <v>Conector de tierra Burndy Catalog Number: GC4C4C</v>
          </cell>
        </row>
        <row r="554">
          <cell r="B554" t="str">
            <v>Conector EMT 1 1/4"</v>
          </cell>
        </row>
        <row r="555">
          <cell r="B555" t="str">
            <v>Conector EMT 1"</v>
          </cell>
        </row>
        <row r="556">
          <cell r="B556" t="str">
            <v>Conector EMT 1/2"</v>
          </cell>
        </row>
        <row r="557">
          <cell r="B557" t="str">
            <v>Conector EMT 1-1/2"</v>
          </cell>
        </row>
        <row r="558">
          <cell r="B558" t="str">
            <v>Conector EMT 2"</v>
          </cell>
        </row>
        <row r="559">
          <cell r="B559" t="str">
            <v>Conector EMT 3/4"</v>
          </cell>
        </row>
        <row r="560">
          <cell r="B560" t="str">
            <v>Conector EMT  3"</v>
          </cell>
        </row>
        <row r="561">
          <cell r="B561" t="str">
            <v>Conector EMT  4"</v>
          </cell>
        </row>
        <row r="562">
          <cell r="B562" t="str">
            <v>Conector GAR 2"</v>
          </cell>
        </row>
        <row r="563">
          <cell r="B563" t="str">
            <v>Conector GAR 3"</v>
          </cell>
        </row>
        <row r="564">
          <cell r="B564" t="str">
            <v>Conector hub 1/2</v>
          </cell>
        </row>
        <row r="565">
          <cell r="B565" t="str">
            <v>Conector hub 3/4</v>
          </cell>
        </row>
        <row r="566">
          <cell r="B566" t="str">
            <v>Conector hub 1</v>
          </cell>
        </row>
        <row r="567">
          <cell r="B567" t="str">
            <v>Conector hub 2</v>
          </cell>
        </row>
        <row r="568">
          <cell r="B568" t="str">
            <v xml:space="preserve">Conector Liquid Tight De 1 1/2" </v>
          </cell>
        </row>
        <row r="569">
          <cell r="B569" t="str">
            <v xml:space="preserve">Conector Liquid Tight De 1 1/4" </v>
          </cell>
        </row>
        <row r="570">
          <cell r="B570" t="str">
            <v xml:space="preserve">Conector Liquid Tight De 1" </v>
          </cell>
        </row>
        <row r="571">
          <cell r="B571" t="str">
            <v xml:space="preserve">Conector Liquid Tight De 1/2" </v>
          </cell>
        </row>
        <row r="572">
          <cell r="B572" t="str">
            <v xml:space="preserve">Conector Liquid Tight De 2" </v>
          </cell>
        </row>
        <row r="573">
          <cell r="B573" t="str">
            <v>Conector Liquid Tight De 3"</v>
          </cell>
        </row>
        <row r="574">
          <cell r="B574" t="str">
            <v xml:space="preserve">Conector Liquid Tight De 3/4" </v>
          </cell>
        </row>
        <row r="575">
          <cell r="B575" t="str">
            <v>Conector Pvc 1/2</v>
          </cell>
        </row>
        <row r="576">
          <cell r="B576" t="str">
            <v>Conector Pvc 3/4</v>
          </cell>
        </row>
        <row r="577">
          <cell r="B577" t="str">
            <v>Conector Pvc 1</v>
          </cell>
        </row>
        <row r="578">
          <cell r="B578" t="str">
            <v>Conector Pvc 1 1/2</v>
          </cell>
        </row>
        <row r="579">
          <cell r="B579" t="str">
            <v>Conector Pvc 1 1/4</v>
          </cell>
        </row>
        <row r="580">
          <cell r="B580" t="str">
            <v>Conector Pvc 2</v>
          </cell>
        </row>
        <row r="581">
          <cell r="B581" t="str">
            <v>Conector Pvc hembra 1/2</v>
          </cell>
        </row>
        <row r="582">
          <cell r="B582" t="str">
            <v>Conector Pvc hembra 3/4</v>
          </cell>
        </row>
        <row r="583">
          <cell r="B583" t="str">
            <v>Conector Pvc  hembra 1</v>
          </cell>
        </row>
        <row r="584">
          <cell r="B584" t="str">
            <v>Conector Pvc hembra 1 1/2</v>
          </cell>
        </row>
        <row r="585">
          <cell r="B585" t="str">
            <v>Conector Pvc hembra 1 1/4</v>
          </cell>
        </row>
        <row r="586">
          <cell r="B586" t="str">
            <v>Conector Pvc hembra  2</v>
          </cell>
        </row>
        <row r="587">
          <cell r="B587" t="str">
            <v>Conector recto hubbell no metalico 2"</v>
          </cell>
        </row>
        <row r="588">
          <cell r="B588" t="str">
            <v>Conector resortado</v>
          </cell>
        </row>
        <row r="589">
          <cell r="B589" t="str">
            <v>Conector Tipo Cuña 1/0 al 2</v>
          </cell>
        </row>
        <row r="590">
          <cell r="B590" t="str">
            <v>Conector Tipo Cuña 2 al 2/0</v>
          </cell>
        </row>
        <row r="591">
          <cell r="B591" t="str">
            <v>Conector Tubular 1/0 AWG</v>
          </cell>
        </row>
        <row r="592">
          <cell r="B592" t="str">
            <v>Conector Tubular 2 AWG</v>
          </cell>
        </row>
        <row r="593">
          <cell r="B593" t="str">
            <v>Conector Tubular 2/0 AWG</v>
          </cell>
        </row>
        <row r="594">
          <cell r="B594" t="str">
            <v>Conector Tubular 250 MCM</v>
          </cell>
        </row>
        <row r="595">
          <cell r="B595" t="str">
            <v>Conector Tubular 300 MCM</v>
          </cell>
        </row>
        <row r="596">
          <cell r="B596" t="str">
            <v>Conector Tubular 350 MCM</v>
          </cell>
        </row>
        <row r="597">
          <cell r="B597" t="str">
            <v>Conector Tubular 4 AWG</v>
          </cell>
        </row>
        <row r="598">
          <cell r="B598" t="str">
            <v>Conector Tubular 4/0 AWG</v>
          </cell>
        </row>
        <row r="599">
          <cell r="B599" t="str">
            <v>Conector Tubular 500 MCM</v>
          </cell>
        </row>
        <row r="600">
          <cell r="B600" t="str">
            <v>Conector Tubular 6 AWG</v>
          </cell>
        </row>
        <row r="601">
          <cell r="B601" t="str">
            <v>Conector Tubular bimetalico 1/0</v>
          </cell>
        </row>
        <row r="602">
          <cell r="B602" t="str">
            <v>Conector Tubular bimetalico 2</v>
          </cell>
        </row>
        <row r="603">
          <cell r="B603" t="str">
            <v>Conector Tubular bimetalico 2/0</v>
          </cell>
        </row>
        <row r="604">
          <cell r="B604" t="str">
            <v>Conector Tubular bimetalico 3/0</v>
          </cell>
        </row>
        <row r="605">
          <cell r="B605" t="str">
            <v>Conector Tubular bimetalico 300 MCM</v>
          </cell>
        </row>
        <row r="606">
          <cell r="B606" t="str">
            <v>Conector Tubular bimetalico 350 MCM</v>
          </cell>
        </row>
        <row r="607">
          <cell r="B607" t="str">
            <v>Conector Tubular bimetalico 4/0</v>
          </cell>
        </row>
        <row r="608">
          <cell r="B608" t="str">
            <v>Conmutador selector lovato 2 pos fijas  lov0378</v>
          </cell>
        </row>
        <row r="609">
          <cell r="B609" t="str">
            <v>Conmutador seta rojo 9001KR9RH2 P.E.c/enclavamiento 40mm</v>
          </cell>
        </row>
        <row r="610">
          <cell r="B610" t="str">
            <v>Conmutador tres posiciones fijas negro 9001KS43FBH13 30mm</v>
          </cell>
        </row>
        <row r="611">
          <cell r="B611" t="str">
            <v>Consumibles</v>
          </cell>
        </row>
        <row r="612">
          <cell r="B612" t="str">
            <v>Contactor LC1D09</v>
          </cell>
        </row>
        <row r="613">
          <cell r="B613" t="str">
            <v>Contactor LC1D115</v>
          </cell>
        </row>
        <row r="614">
          <cell r="B614" t="str">
            <v>Contactor LC1D12</v>
          </cell>
        </row>
        <row r="615">
          <cell r="B615" t="str">
            <v>Contactor LC1D150</v>
          </cell>
        </row>
        <row r="616">
          <cell r="B616" t="str">
            <v>Contactor LC1D18</v>
          </cell>
        </row>
        <row r="617">
          <cell r="B617" t="str">
            <v>Contactor LC1D25</v>
          </cell>
        </row>
        <row r="618">
          <cell r="B618" t="str">
            <v>Contactor LC1D32</v>
          </cell>
        </row>
        <row r="619">
          <cell r="B619" t="str">
            <v>Contactor LC1D38</v>
          </cell>
        </row>
        <row r="620">
          <cell r="B620" t="str">
            <v>Contactor LC1D40</v>
          </cell>
        </row>
        <row r="621">
          <cell r="B621" t="str">
            <v>Contactor LC1D50</v>
          </cell>
        </row>
        <row r="622">
          <cell r="B622" t="str">
            <v>Contactor LC1D65</v>
          </cell>
        </row>
        <row r="623">
          <cell r="B623" t="str">
            <v>Contactor LC1D80</v>
          </cell>
        </row>
        <row r="624">
          <cell r="B624" t="str">
            <v>Contactor LC1D95</v>
          </cell>
        </row>
        <row r="625">
          <cell r="B625" t="str">
            <v>Contactor LC1F330F7</v>
          </cell>
        </row>
        <row r="626">
          <cell r="B626" t="str">
            <v>Contactor MOL 0139 c/resistencia /condensad</v>
          </cell>
        </row>
        <row r="627">
          <cell r="B627" t="str">
            <v>Contactor MOL 0145 c/resistencia /condensad</v>
          </cell>
        </row>
        <row r="628">
          <cell r="B628" t="str">
            <v>Contactor serie K 20 A  K0910</v>
          </cell>
        </row>
        <row r="629">
          <cell r="B629" t="str">
            <v>Contador</v>
          </cell>
        </row>
        <row r="630">
          <cell r="B630" t="str">
            <v>Cortacircuito 100 A</v>
          </cell>
        </row>
        <row r="631">
          <cell r="B631" t="str">
            <v>Cortacircuito 100 A en acero inoxidable</v>
          </cell>
        </row>
        <row r="632">
          <cell r="B632" t="str">
            <v>Cortacircuito 200 A</v>
          </cell>
        </row>
        <row r="633">
          <cell r="B633" t="str">
            <v>Cortacircuito 200 A en acero inoxidable</v>
          </cell>
        </row>
        <row r="634">
          <cell r="B634" t="str">
            <v>Cruce Para Bandeja x 10</v>
          </cell>
        </row>
        <row r="635">
          <cell r="B635" t="str">
            <v>Cruce Para Bandeja x 20</v>
          </cell>
        </row>
        <row r="636">
          <cell r="B636" t="str">
            <v>Cruce Para Bandeja x 30</v>
          </cell>
        </row>
        <row r="637">
          <cell r="B637" t="str">
            <v>Cruce Para Bandeja x 40</v>
          </cell>
        </row>
        <row r="638">
          <cell r="B638" t="str">
            <v>Cruceta Angular Metalica Con Silla 1,8 m</v>
          </cell>
        </row>
        <row r="639">
          <cell r="B639" t="str">
            <v>Cruceta Angular Metalica Con Silla 2,4 m</v>
          </cell>
        </row>
        <row r="640">
          <cell r="B640" t="str">
            <v>cruceta de hierro de 5/16 x 21/2 x 6 M</v>
          </cell>
        </row>
        <row r="641">
          <cell r="B641" t="str">
            <v>Cruceta De Madera Con Bounder De 1,8m</v>
          </cell>
        </row>
        <row r="642">
          <cell r="B642" t="str">
            <v>Cruceta De Madera Con Bounder De 2,4m</v>
          </cell>
        </row>
        <row r="643">
          <cell r="B643" t="str">
            <v>Cruceta De Madera De 4"x4"x2,4 mts.</v>
          </cell>
        </row>
        <row r="644">
          <cell r="B644" t="str">
            <v>cubre luz galvanizado en caliente de 20 cm de ancho util MECANO Referencia: CL AG20</v>
          </cell>
        </row>
        <row r="645">
          <cell r="B645" t="str">
            <v>Cuerda De 5/8 Nylon Driza (50m)</v>
          </cell>
        </row>
        <row r="646">
          <cell r="B646" t="str">
            <v>Curador</v>
          </cell>
        </row>
        <row r="647">
          <cell r="B647" t="str">
            <v>Curva bandeja liv 20 cms liv</v>
          </cell>
        </row>
        <row r="648">
          <cell r="B648" t="str">
            <v>Curva Conduit PVC a 45°  De 1 1/2"</v>
          </cell>
        </row>
        <row r="649">
          <cell r="B649" t="str">
            <v>Curva Conduit PVC a 45°  De 1"</v>
          </cell>
        </row>
        <row r="650">
          <cell r="B650" t="str">
            <v>Curva Conduit PVC a 45°  De 2"</v>
          </cell>
        </row>
        <row r="651">
          <cell r="B651" t="str">
            <v>Curva Conduit PVC a 90°  De 1 1/2"</v>
          </cell>
        </row>
        <row r="652">
          <cell r="B652" t="str">
            <v>Curva Conduit PVCa 90°  De 1"</v>
          </cell>
        </row>
        <row r="653">
          <cell r="B653" t="str">
            <v>Curva Conduit PVC a 90°  De 2"</v>
          </cell>
        </row>
        <row r="654">
          <cell r="B654" t="str">
            <v>Curva Conduit Galv. (IMC) 1 1/2"</v>
          </cell>
        </row>
        <row r="655">
          <cell r="B655" t="str">
            <v>Curva Conduit Galv. (IMC) 1"</v>
          </cell>
        </row>
        <row r="656">
          <cell r="B656" t="str">
            <v>Curva Conduit Galv. (IMC) 1/2"</v>
          </cell>
        </row>
        <row r="657">
          <cell r="B657" t="str">
            <v>Curva Conduit Galv. (IMC) 2"</v>
          </cell>
        </row>
        <row r="658">
          <cell r="B658" t="str">
            <v>Curva Conduit Galv. (IMC) 3"</v>
          </cell>
        </row>
        <row r="659">
          <cell r="B659" t="str">
            <v>Curva Conduit Galv. (IMC) 3/4"</v>
          </cell>
        </row>
        <row r="660">
          <cell r="B660" t="str">
            <v>Curva Conduit Galv. (RIDGID) 1 1/2"</v>
          </cell>
        </row>
        <row r="661">
          <cell r="B661" t="str">
            <v>Curva Conduit Galv. (RIDGID) 1 1/4"</v>
          </cell>
        </row>
        <row r="662">
          <cell r="B662" t="str">
            <v>Curva Conduit Galv. (RIDGID) 1"</v>
          </cell>
        </row>
        <row r="663">
          <cell r="B663" t="str">
            <v>Curva Conduit Galv. (RIDGID) 1/2"</v>
          </cell>
        </row>
        <row r="664">
          <cell r="B664" t="str">
            <v>Curva Conduit Galv. (RIDGID) 2"</v>
          </cell>
        </row>
        <row r="665">
          <cell r="B665" t="str">
            <v>Curva Conduit Galv. (RIDGID) 3"</v>
          </cell>
        </row>
        <row r="666">
          <cell r="B666" t="str">
            <v>Curva Conduit Galv. (RIDGID) 3/4"</v>
          </cell>
        </row>
        <row r="667">
          <cell r="B667" t="str">
            <v>Curva Conduit Galv. (RIDGID) 4"</v>
          </cell>
        </row>
        <row r="668">
          <cell r="B668" t="str">
            <v>Curva Conduit PVC a 45 De 3/4"</v>
          </cell>
        </row>
        <row r="669">
          <cell r="B669" t="str">
            <v>Curva Conduit PVC a 90 De 3/4"</v>
          </cell>
        </row>
        <row r="670">
          <cell r="B670" t="str">
            <v>Curva Conduit PVC De 1/2"</v>
          </cell>
        </row>
        <row r="671">
          <cell r="B671" t="str">
            <v>Curva Conduit PVC De 3"</v>
          </cell>
        </row>
        <row r="672">
          <cell r="B672" t="str">
            <v>Curva Conduit PVC De 4"</v>
          </cell>
        </row>
        <row r="673">
          <cell r="B673" t="str">
            <v>Curva EMT de 1</v>
          </cell>
        </row>
        <row r="674">
          <cell r="B674" t="str">
            <v>Curva EMT de 1 1/4</v>
          </cell>
        </row>
        <row r="675">
          <cell r="B675" t="str">
            <v>Curva EMT de 1/2</v>
          </cell>
        </row>
        <row r="676">
          <cell r="B676" t="str">
            <v>Curva EMT de 1-1/2</v>
          </cell>
        </row>
        <row r="677">
          <cell r="B677" t="str">
            <v>Curva EMT de 2</v>
          </cell>
        </row>
        <row r="678">
          <cell r="B678" t="str">
            <v>Curva EMT de 3</v>
          </cell>
        </row>
        <row r="679">
          <cell r="B679" t="str">
            <v>Curva EMT de 3/4</v>
          </cell>
        </row>
        <row r="680">
          <cell r="B680" t="str">
            <v>Curva horizontal de 10x8 C22 TA</v>
          </cell>
        </row>
        <row r="681">
          <cell r="B681" t="str">
            <v>Curva horizontal de 20x8 C22 TA</v>
          </cell>
        </row>
        <row r="682">
          <cell r="B682" t="str">
            <v>Curva horizontal de 30x8 C22 TA</v>
          </cell>
        </row>
        <row r="683">
          <cell r="B683" t="str">
            <v>Curva Para Bandeja Horizontal  en 90º 20</v>
          </cell>
        </row>
        <row r="684">
          <cell r="B684" t="str">
            <v>Curva Para Bandeja Horizontal en 90º 10</v>
          </cell>
        </row>
        <row r="685">
          <cell r="B685" t="str">
            <v>Curva Para Bandeja Horizontal en 90º 30</v>
          </cell>
        </row>
        <row r="686">
          <cell r="B686" t="str">
            <v>Curva Para Bandeja Horizontal en 90º 40</v>
          </cell>
        </row>
        <row r="687">
          <cell r="B687" t="str">
            <v>Curva Para Bandeja Vertical en 90º 10</v>
          </cell>
        </row>
        <row r="688">
          <cell r="B688" t="str">
            <v>Curva Para Bandeja Vertical en 90º 20</v>
          </cell>
        </row>
        <row r="689">
          <cell r="B689" t="str">
            <v>Curva Para Bandeja Vertical en 90º 30</v>
          </cell>
        </row>
        <row r="690">
          <cell r="B690" t="str">
            <v>Curva Para Bandeja Vertical en 90º 40</v>
          </cell>
        </row>
        <row r="691">
          <cell r="B691" t="str">
            <v>Descargo Electricaribe</v>
          </cell>
        </row>
        <row r="692">
          <cell r="B692" t="str">
            <v>Diseños Electricos</v>
          </cell>
        </row>
        <row r="693">
          <cell r="B693" t="str">
            <v>DPS 12kv</v>
          </cell>
        </row>
        <row r="694">
          <cell r="B694" t="str">
            <v>DPS 7 modos 47120</v>
          </cell>
        </row>
        <row r="695">
          <cell r="B695" t="str">
            <v>DPS tipo panel ref 52120  4H + T  4 MODOS</v>
          </cell>
        </row>
        <row r="696">
          <cell r="B696" t="str">
            <v>Ducto canal con division 12x5x240 c/pintura electr</v>
          </cell>
        </row>
        <row r="697">
          <cell r="B697" t="str">
            <v xml:space="preserve">Enclavamiento mecanico LAD911502 </v>
          </cell>
        </row>
        <row r="698">
          <cell r="B698" t="str">
            <v>Espaciador de 1/2" x 10 LG</v>
          </cell>
        </row>
        <row r="699">
          <cell r="B699" t="str">
            <v>Esparrago 5/8x24</v>
          </cell>
        </row>
        <row r="700">
          <cell r="B700" t="str">
            <v>Espigo corto line post</v>
          </cell>
        </row>
        <row r="701">
          <cell r="B701" t="str">
            <v xml:space="preserve">Espiral para proteccion de cables </v>
          </cell>
        </row>
        <row r="702">
          <cell r="B702" t="str">
            <v>Estuco De Sika</v>
          </cell>
        </row>
        <row r="703">
          <cell r="B703" t="str">
            <v>Estudio de Conexion y Factibilidad</v>
          </cell>
        </row>
        <row r="704">
          <cell r="B704" t="str">
            <v>Estudio para SPT</v>
          </cell>
        </row>
        <row r="705">
          <cell r="B705" t="str">
            <v>Extractor de aire 6" Mit 0209</v>
          </cell>
        </row>
        <row r="706">
          <cell r="B706" t="str">
            <v>Face Plate con conector coaxial</v>
          </cell>
        </row>
        <row r="707">
          <cell r="B707" t="str">
            <v>Face Plate Siemons.10GMX-FPS04-02B</v>
          </cell>
        </row>
        <row r="708">
          <cell r="B708" t="str">
            <v>FACEPLATE 10G MAX 2 PTO VERTICAL BLANCO B</v>
          </cell>
        </row>
        <row r="709">
          <cell r="B709" t="str">
            <v>FACEPLATE 10G MAX 4 PTO HORIZONTAL BLANCO</v>
          </cell>
        </row>
        <row r="710">
          <cell r="B710" t="str">
            <v>FACEPLATE MAX 2 PTO VERTICAL BLANCO B</v>
          </cell>
        </row>
        <row r="711">
          <cell r="B711" t="str">
            <v>FACEPLATE MAX 4 PTO VERTICAL BLANCO B</v>
          </cell>
        </row>
        <row r="712">
          <cell r="B712" t="str">
            <v>Favigel</v>
          </cell>
        </row>
        <row r="713">
          <cell r="B713" t="str">
            <v>Fibra</v>
          </cell>
        </row>
        <row r="714">
          <cell r="B714" t="str">
            <v xml:space="preserve">Flexi Conduit Liquid Tight De 1 1/2" </v>
          </cell>
        </row>
        <row r="715">
          <cell r="B715" t="str">
            <v xml:space="preserve">Flexi Conduit Liquid Tight De 1" </v>
          </cell>
        </row>
        <row r="716">
          <cell r="B716" t="str">
            <v xml:space="preserve">Flexi Conduit Liquid Tight De 1/2" </v>
          </cell>
        </row>
        <row r="717">
          <cell r="B717" t="str">
            <v xml:space="preserve">Flexi Conduit Liquid Tight De 2" </v>
          </cell>
        </row>
        <row r="718">
          <cell r="B718" t="str">
            <v xml:space="preserve">Flexi Conduit Liquid Tight De 3" </v>
          </cell>
        </row>
        <row r="719">
          <cell r="B719" t="str">
            <v xml:space="preserve">Flexi Conduit Liquid Tight De 3/4" </v>
          </cell>
        </row>
        <row r="720">
          <cell r="B720" t="str">
            <v>Flotador tipo sapito plastico</v>
          </cell>
        </row>
        <row r="721">
          <cell r="B721" t="str">
            <v>Formaleta En Madera</v>
          </cell>
        </row>
        <row r="722">
          <cell r="B722" t="str">
            <v>Fotocelda  220v</v>
          </cell>
        </row>
        <row r="723">
          <cell r="B723" t="str">
            <v xml:space="preserve">Fotocelda para 480 V </v>
          </cell>
        </row>
        <row r="724">
          <cell r="B724" t="str">
            <v>Freno para borna</v>
          </cell>
        </row>
        <row r="725">
          <cell r="B725" t="str">
            <v>Fusible 1 A</v>
          </cell>
        </row>
        <row r="726">
          <cell r="B726" t="str">
            <v>fusible 2A</v>
          </cell>
        </row>
        <row r="727">
          <cell r="B727" t="str">
            <v>fusible 5A</v>
          </cell>
        </row>
        <row r="728">
          <cell r="B728" t="str">
            <v>fusible 7A</v>
          </cell>
        </row>
        <row r="729">
          <cell r="B729" t="str">
            <v>fusible 10A</v>
          </cell>
        </row>
        <row r="730">
          <cell r="B730" t="str">
            <v>fusible 20A</v>
          </cell>
        </row>
        <row r="731">
          <cell r="B731" t="str">
            <v>fusible 15 amp</v>
          </cell>
        </row>
        <row r="732">
          <cell r="B732" t="str">
            <v>Fusible 200 A</v>
          </cell>
        </row>
        <row r="733">
          <cell r="B733" t="str">
            <v>Fusible Tipo HH de 32 Amp</v>
          </cell>
        </row>
        <row r="734">
          <cell r="B734" t="str">
            <v>Fusible Tipo HH de 63 Amp</v>
          </cell>
        </row>
        <row r="735">
          <cell r="B735" t="str">
            <v xml:space="preserve">Granito </v>
          </cell>
        </row>
        <row r="736">
          <cell r="B736" t="str">
            <v>Grapa doble ala o uña de 1/2</v>
          </cell>
        </row>
        <row r="737">
          <cell r="B737" t="str">
            <v>Grapa doble ala o uña de 3/4</v>
          </cell>
        </row>
        <row r="738">
          <cell r="B738" t="str">
            <v>Grapa doble ala o uña de 1</v>
          </cell>
        </row>
        <row r="739">
          <cell r="B739" t="str">
            <v>Grapa doble ala o uña de 2</v>
          </cell>
        </row>
        <row r="740">
          <cell r="B740" t="str">
            <v>Grapa 1 1/2 acero inoxidable</v>
          </cell>
        </row>
        <row r="741">
          <cell r="B741" t="str">
            <v>Grapa 1 1/2 FT AG112</v>
          </cell>
        </row>
        <row r="742">
          <cell r="B742" t="str">
            <v>Grapa 1 1/4  FT 2AG114N</v>
          </cell>
        </row>
        <row r="743">
          <cell r="B743" t="str">
            <v>Grapa 1 FT 2AG100N</v>
          </cell>
        </row>
        <row r="744">
          <cell r="B744" t="str">
            <v>Grapa 1" acero inoxidable</v>
          </cell>
        </row>
        <row r="745">
          <cell r="B745" t="str">
            <v>Grapa 1/2 FT 2AG012N</v>
          </cell>
        </row>
        <row r="746">
          <cell r="B746" t="str">
            <v>Grapa 2"</v>
          </cell>
        </row>
        <row r="747">
          <cell r="B747" t="str">
            <v>Grapa 3 FPAG300</v>
          </cell>
        </row>
        <row r="748">
          <cell r="B748" t="str">
            <v>Grapa 3" acero inoxidable</v>
          </cell>
        </row>
        <row r="749">
          <cell r="B749" t="str">
            <v>Grapa 3/4 FT 2AG034N</v>
          </cell>
        </row>
        <row r="750">
          <cell r="B750" t="str">
            <v>Grapa 3/4" acero inoxidable</v>
          </cell>
        </row>
        <row r="751">
          <cell r="B751" t="str">
            <v>Grapa 4"</v>
          </cell>
        </row>
        <row r="752">
          <cell r="B752" t="str">
            <v>grapa channel 1 1/4</v>
          </cell>
        </row>
        <row r="753">
          <cell r="B753" t="str">
            <v xml:space="preserve">grapa channel 1 </v>
          </cell>
        </row>
        <row r="754">
          <cell r="B754" t="str">
            <v>grapa channel 3/4</v>
          </cell>
        </row>
        <row r="755">
          <cell r="B755" t="str">
            <v>Grapa De 3 Pernos (1/2" 3/8 X 1½ X 6")</v>
          </cell>
        </row>
        <row r="756">
          <cell r="B756" t="str">
            <v>Grapa De 3 Pernos (3/8" X 2" X 6")</v>
          </cell>
        </row>
        <row r="757">
          <cell r="B757" t="str">
            <v>Grapa De Retencion</v>
          </cell>
        </row>
        <row r="758">
          <cell r="B758" t="str">
            <v>Grapa De Suspension Para Cable 556,5 MCM</v>
          </cell>
        </row>
        <row r="759">
          <cell r="B759" t="str">
            <v>Grapa De Uña De 3/8</v>
          </cell>
        </row>
        <row r="760">
          <cell r="B760" t="str">
            <v>Grapa en S.S. 304 CAL 16 Con Tornillo Hexagonal para Tubo 11/2"</v>
          </cell>
        </row>
        <row r="761">
          <cell r="B761" t="str">
            <v>Grapa en S.S. 304 CAL 16 Con Tornillo Hexagonal para Tubo 2"</v>
          </cell>
        </row>
        <row r="762">
          <cell r="B762" t="str">
            <v>Grapa en S.S. 304 CAL 16 Con Tornillo Hexagonal para Tubo 3/4"</v>
          </cell>
        </row>
        <row r="763">
          <cell r="B763" t="str">
            <v>Grapa o abrazadera de 1/2"</v>
          </cell>
        </row>
        <row r="764">
          <cell r="B764" t="str">
            <v>Grapa o abrazadera de 3/4"</v>
          </cell>
        </row>
        <row r="765">
          <cell r="B765" t="str">
            <v xml:space="preserve">Grapa retención y suspensión red trenzada  </v>
          </cell>
        </row>
        <row r="766">
          <cell r="B766" t="str">
            <v>Grapas De Retension Tipo Pistola En AL  3U</v>
          </cell>
        </row>
        <row r="767">
          <cell r="B767" t="str">
            <v>Grapas De Retension Tipo Pistola En AL  4U</v>
          </cell>
        </row>
        <row r="768">
          <cell r="B768" t="str">
            <v>Grapas De Retension Tipo Pistola En AL 2U</v>
          </cell>
        </row>
        <row r="769">
          <cell r="B769" t="str">
            <v>Guantes De Alta (1)</v>
          </cell>
        </row>
        <row r="770">
          <cell r="B770" t="str">
            <v>Guarda Cabo (Para Retenida De 5/8" Tipo Pesado)</v>
          </cell>
        </row>
        <row r="771">
          <cell r="B771" t="str">
            <v>Guardamotor GV2-ME03/10</v>
          </cell>
        </row>
        <row r="772">
          <cell r="B772" t="str">
            <v>Guardamotor GV2-ME14/20</v>
          </cell>
        </row>
        <row r="773">
          <cell r="B773" t="str">
            <v>Guardamotor GV2-ME21/32</v>
          </cell>
        </row>
        <row r="774">
          <cell r="B774" t="str">
            <v>Guaya galv de 1/8"</v>
          </cell>
        </row>
        <row r="775">
          <cell r="B775" t="str">
            <v>Guaya galv de 3/16"</v>
          </cell>
        </row>
        <row r="776">
          <cell r="B776" t="str">
            <v>Hebilla Para Bandit</v>
          </cell>
        </row>
        <row r="777">
          <cell r="B777" t="str">
            <v>Herraje Para Patch Panel 24 Port.Siemons</v>
          </cell>
        </row>
        <row r="778">
          <cell r="B778" t="str">
            <v>HERRAJE PATCH PANEL 48 PTS.ANGULADO</v>
          </cell>
        </row>
        <row r="779">
          <cell r="B779" t="str">
            <v>HERRAJE PATCH PANEL 48 PTS.MAX</v>
          </cell>
        </row>
        <row r="780">
          <cell r="B780" t="str">
            <v>Hidrosolta 10kg</v>
          </cell>
        </row>
        <row r="781">
          <cell r="B781" t="str">
            <v>Hub De 1 1/2"</v>
          </cell>
        </row>
        <row r="782">
          <cell r="B782" t="str">
            <v>Hub De 1"</v>
          </cell>
        </row>
        <row r="783">
          <cell r="B783" t="str">
            <v>Hub De 1/2"</v>
          </cell>
        </row>
        <row r="784">
          <cell r="B784" t="str">
            <v>Hub De 2"</v>
          </cell>
        </row>
        <row r="785">
          <cell r="B785" t="str">
            <v>Hub De 3"</v>
          </cell>
        </row>
        <row r="786">
          <cell r="B786" t="str">
            <v>Hub De 3/4"</v>
          </cell>
        </row>
        <row r="787">
          <cell r="B787" t="str">
            <v>Hub De 4"</v>
          </cell>
        </row>
        <row r="788">
          <cell r="B788" t="str">
            <v>Interrup Bipolar C60N Merlin Gerin 1 - 4A</v>
          </cell>
        </row>
        <row r="789">
          <cell r="B789" t="str">
            <v>Interrup Bipolar C60N Merlin Gerin 40A</v>
          </cell>
        </row>
        <row r="790">
          <cell r="B790" t="str">
            <v>Interrup Bipolar C60N Merlin Gerin 50A</v>
          </cell>
        </row>
        <row r="791">
          <cell r="B791" t="str">
            <v>Interrup Bipolar C60N Merlin Gerin 6 - 32A</v>
          </cell>
        </row>
        <row r="792">
          <cell r="B792" t="str">
            <v>Interrup Bipolar C60N Merlin Gerin 63A</v>
          </cell>
        </row>
        <row r="793">
          <cell r="B793" t="str">
            <v>Interrup Bipolar THQL 15 - 30 A</v>
          </cell>
        </row>
        <row r="794">
          <cell r="B794" t="str">
            <v>Interrup bipolar THQL 15 - 30 A  GFI</v>
          </cell>
        </row>
        <row r="795">
          <cell r="B795" t="str">
            <v>Interrup Bipolar THQL 40 - 60 A</v>
          </cell>
        </row>
        <row r="796">
          <cell r="B796" t="str">
            <v>Interrup bipolar THQL 40 A  GFI</v>
          </cell>
        </row>
        <row r="797">
          <cell r="B797" t="str">
            <v>Interrup Bipolar THQL 70- 100 A</v>
          </cell>
        </row>
        <row r="798">
          <cell r="B798" t="str">
            <v>Interrup Monopo C60N Merlin Gerin 40 - 63A</v>
          </cell>
        </row>
        <row r="799">
          <cell r="B799" t="str">
            <v>Interrup Monopo C60N Merlin Gerin 6 - 32A</v>
          </cell>
        </row>
        <row r="800">
          <cell r="B800" t="str">
            <v>Interrup monopolar THQL 15 - 20 A  GFI</v>
          </cell>
        </row>
        <row r="801">
          <cell r="B801" t="str">
            <v>Interrup Monopolar THQL 15-20A</v>
          </cell>
        </row>
        <row r="802">
          <cell r="B802" t="str">
            <v>Interrup Monopolar THQL 30A</v>
          </cell>
        </row>
        <row r="803">
          <cell r="B803" t="str">
            <v>Interrup Tripolar C60N Merlin Gerin 20A</v>
          </cell>
        </row>
        <row r="804">
          <cell r="B804" t="str">
            <v>Interrup Tripolar C60N Merlin Gerin 30A</v>
          </cell>
        </row>
        <row r="805">
          <cell r="B805" t="str">
            <v>Interrup Tripolar C60N Merlin Gerin 40A</v>
          </cell>
        </row>
        <row r="806">
          <cell r="B806" t="str">
            <v>Interrup Tripolar C60N Merlin Gerin 50A</v>
          </cell>
        </row>
        <row r="807">
          <cell r="B807" t="str">
            <v>Interrup Tripolar C60N Merlin Gerin 60A</v>
          </cell>
        </row>
        <row r="808">
          <cell r="B808" t="str">
            <v>Interrup Tripolar C60N Merlin Gerin 70A</v>
          </cell>
        </row>
        <row r="809">
          <cell r="B809" t="str">
            <v>Interrup Tripolar THQL 15 - 30 A</v>
          </cell>
        </row>
        <row r="810">
          <cell r="B810" t="str">
            <v>Interrup Tripolar THQL 40A</v>
          </cell>
        </row>
        <row r="811">
          <cell r="B811" t="str">
            <v>Interrup Tripolar THQL 50A</v>
          </cell>
        </row>
        <row r="812">
          <cell r="B812" t="str">
            <v>Interrup Tripolar THQL 60A</v>
          </cell>
        </row>
        <row r="813">
          <cell r="B813" t="str">
            <v>Interrup Tripolar THQL 70A</v>
          </cell>
        </row>
        <row r="814">
          <cell r="B814" t="str">
            <v>Interuptor bipolar vela</v>
          </cell>
        </row>
        <row r="815">
          <cell r="B815" t="str">
            <v>Interuptor boton ciego vela ref 681500</v>
          </cell>
        </row>
        <row r="816">
          <cell r="B816" t="str">
            <v xml:space="preserve">Interuptor con unidad disparo electronica ref 
33466 </v>
          </cell>
        </row>
        <row r="817">
          <cell r="B817" t="str">
            <v>Interuptor conmutable sencillo</v>
          </cell>
        </row>
        <row r="818">
          <cell r="B818" t="str">
            <v xml:space="preserve">Interuptor doble </v>
          </cell>
        </row>
        <row r="819">
          <cell r="B819" t="str">
            <v>Interuptor Doble dekora c/luz piloto 1754 LW</v>
          </cell>
        </row>
        <row r="820">
          <cell r="B820" t="str">
            <v>Interuptor Doble Levinton</v>
          </cell>
        </row>
        <row r="821">
          <cell r="B821" t="str">
            <v xml:space="preserve">Interuptor placa </v>
          </cell>
        </row>
        <row r="822">
          <cell r="B822" t="str">
            <v>Interuptor sencillo</v>
          </cell>
        </row>
        <row r="823">
          <cell r="B823" t="str">
            <v>Interuptor sencillo ambia conmutable luminex</v>
          </cell>
        </row>
        <row r="824">
          <cell r="B824" t="str">
            <v>Interuptor sencillo ambia luminex</v>
          </cell>
        </row>
        <row r="825">
          <cell r="B825" t="str">
            <v>Interuptor Sencillo dekora 5601 2W</v>
          </cell>
        </row>
        <row r="826">
          <cell r="B826" t="str">
            <v>Interuptor Sencillo dekora c/luz piloto 5613 W</v>
          </cell>
        </row>
        <row r="827">
          <cell r="B827" t="str">
            <v xml:space="preserve">Interuptor Sencillo dekora c/luz piloto conmutable </v>
          </cell>
        </row>
        <row r="828">
          <cell r="B828" t="str">
            <v>Interuptor Sencillo Levinton</v>
          </cell>
        </row>
        <row r="829">
          <cell r="B829" t="str">
            <v>Interuptor Sencillo Luminex modulo doble vela ref 681503</v>
          </cell>
        </row>
        <row r="830">
          <cell r="B830" t="str">
            <v>Interuptor Sencillo Luminex vela ref 681501</v>
          </cell>
        </row>
        <row r="831">
          <cell r="B831" t="str">
            <v xml:space="preserve">Interuptor triple </v>
          </cell>
        </row>
        <row r="832">
          <cell r="B832" t="str">
            <v>Interuptor triplex Luminex vela ref 681505</v>
          </cell>
        </row>
        <row r="833">
          <cell r="B833" t="str">
            <v>Interuptor vela (promedio)</v>
          </cell>
        </row>
        <row r="834">
          <cell r="B834" t="str">
            <v>JACK 6 MAX ANGUL. AZUL B</v>
          </cell>
        </row>
        <row r="835">
          <cell r="B835" t="str">
            <v>JACK 6 MAX ANGUL. BLANCO B</v>
          </cell>
        </row>
        <row r="836">
          <cell r="B836" t="str">
            <v>JACK 6 MAX ANGUL. ROJO B</v>
          </cell>
        </row>
        <row r="837">
          <cell r="B837" t="str">
            <v>JACK 6 MAX PLANO AZUL B</v>
          </cell>
        </row>
        <row r="838">
          <cell r="B838" t="str">
            <v>JACK 6 MAX PLANO BLANCO B</v>
          </cell>
        </row>
        <row r="839">
          <cell r="B839" t="str">
            <v>JACK 6 MAX PLANO NEGRO B</v>
          </cell>
        </row>
        <row r="840">
          <cell r="B840" t="str">
            <v>JACK 6 MAX PLANO ROJO B</v>
          </cell>
        </row>
        <row r="841">
          <cell r="B841" t="str">
            <v>Kit balasto de 250-400 W MH   CWA</v>
          </cell>
        </row>
        <row r="842">
          <cell r="B842" t="str">
            <v>Kit balasto de 250-400 W sodio CWA</v>
          </cell>
        </row>
        <row r="843">
          <cell r="B843" t="str">
            <v xml:space="preserve">Kit equipo de medicion </v>
          </cell>
        </row>
        <row r="844">
          <cell r="B844" t="str">
            <v>Ladrillo</v>
          </cell>
        </row>
        <row r="845">
          <cell r="B845" t="str">
            <v>Lamina alfajor 2,5 x 0,30 x 1,2 m</v>
          </cell>
        </row>
        <row r="846">
          <cell r="B846" t="str">
            <v>Lamina especular para lampara 2x32 con su soporte</v>
          </cell>
        </row>
        <row r="847">
          <cell r="B847" t="str">
            <v xml:space="preserve">Lamina y Angulo </v>
          </cell>
        </row>
        <row r="848">
          <cell r="B848" t="str">
            <v>limpiador removedor para PVC  1/4</v>
          </cell>
        </row>
        <row r="849">
          <cell r="B849" t="str">
            <v>Luminaria BC indulux methalide CWA 250-400 w c/bombilla</v>
          </cell>
        </row>
        <row r="850">
          <cell r="B850" t="str">
            <v>Luminaria BC indulux sodio CWA 150-400 w c/bombilla</v>
          </cell>
        </row>
        <row r="851">
          <cell r="B851" t="str">
            <v xml:space="preserve">Luminaria calima de  sodio  22OV  150-400 w c/bombilla </v>
          </cell>
        </row>
        <row r="852">
          <cell r="B852" t="str">
            <v xml:space="preserve">Luminaria calima de  sodio  CWA  150-400 w c/bombilla </v>
          </cell>
        </row>
        <row r="853">
          <cell r="B853" t="str">
            <v>Luminaria calima de methalhalide 220V  250-400w c/bombilla</v>
          </cell>
        </row>
        <row r="854">
          <cell r="B854" t="str">
            <v>Luminaria de 2x32 incrustar con lamina especular</v>
          </cell>
        </row>
        <row r="855">
          <cell r="B855" t="str">
            <v>Luminaria de emergencia 2x20 W  hubbell</v>
          </cell>
        </row>
        <row r="856">
          <cell r="B856" t="str">
            <v>Luminaria de emergencia 2x5,8 W  ref
ELM-2  2x5,8W SD lithonia</v>
          </cell>
        </row>
        <row r="857">
          <cell r="B857" t="str">
            <v>luminaria de sodio 250W tipo alumbrado publico</v>
          </cell>
        </row>
        <row r="858">
          <cell r="B858" t="str">
            <v>Luminaria decorativa DJK MH 175 W</v>
          </cell>
        </row>
        <row r="859">
          <cell r="B859" t="str">
            <v>Luminaria decorativa DJK sodio 70 W</v>
          </cell>
        </row>
        <row r="860">
          <cell r="B860" t="str">
            <v>Luminaria explosion proof de 2x32 iluram</v>
          </cell>
        </row>
        <row r="861">
          <cell r="B861" t="str">
            <v>Luminaria Fluorescente 2x32 Cerrada En Policarbonato IP65</v>
          </cell>
        </row>
        <row r="862">
          <cell r="B862" t="str">
            <v>Luminaria fluorescente 4x17 T-8 empotrar balasto electronico</v>
          </cell>
        </row>
        <row r="863">
          <cell r="B863" t="str">
            <v>Luminaria fluorescente 4x17 T-8 empotrar balasto electronico emergencia</v>
          </cell>
        </row>
        <row r="864">
          <cell r="B864" t="str">
            <v xml:space="preserve">Luminaria fluorescente cerrada IP-65 de 2x17 </v>
          </cell>
        </row>
        <row r="865">
          <cell r="B865" t="str">
            <v>LUMINARIA FLUORECENTE DE 2X54 ip-65</v>
          </cell>
        </row>
        <row r="866">
          <cell r="B866" t="str">
            <v>LUMINARIA FLUORECENTE DE 2X32</v>
          </cell>
        </row>
        <row r="867">
          <cell r="B867" t="str">
            <v xml:space="preserve">LUMINARIA FLUORECENTE DE 2X32 FONDO BLANCO </v>
          </cell>
        </row>
        <row r="868">
          <cell r="B868" t="str">
            <v xml:space="preserve">LUMINARIA FLUORECENTE DE 2X32 CON REJILLA </v>
          </cell>
        </row>
        <row r="869">
          <cell r="B869" t="str">
            <v>luminarias Salidas de seguridad</v>
          </cell>
        </row>
        <row r="870">
          <cell r="B870" t="str">
            <v>Luminaria de Emergencia Mickey Mouse</v>
          </cell>
        </row>
        <row r="871">
          <cell r="B871" t="str">
            <v xml:space="preserve">Luminaria horizontal cerrada con vidrio curvo de vapor de sodio alta presion fotocelda incorporada, 250W/220V </v>
          </cell>
        </row>
        <row r="872">
          <cell r="B872" t="str">
            <v xml:space="preserve">Luminaria horizontal cerrada con vidrio curvo de vapor de sodio alta presion fotocelda incorporada, 70W/220V </v>
          </cell>
        </row>
        <row r="873">
          <cell r="B873" t="str">
            <v>LUMINARIA SCHREDER ONYX-1 1097 FH SODIO 150W 208/220V S.P. B.F.C.</v>
          </cell>
        </row>
        <row r="874">
          <cell r="B874" t="str">
            <v>LUMINARIA SCHREDER ONYX-1 1097 FH SODIO 250W 208/220V S.P. B.F.C. s/A-R-H-+ 2 FUS MARCADA AP BGA</v>
          </cell>
        </row>
        <row r="875">
          <cell r="B875" t="str">
            <v xml:space="preserve">Luminaria TE 400S E17S 480 HA DF LCPP PPH SCK LPI SBY </v>
          </cell>
        </row>
        <row r="876">
          <cell r="B876" t="str">
            <v>Luminaria tipo aplique con bombillo ahorrador 20 W con carcaza plastica y reflector en viidrio opal</v>
          </cell>
        </row>
        <row r="877">
          <cell r="B877" t="str">
            <v>Luminaria Tipo Wall Pack  MH 175 W</v>
          </cell>
        </row>
        <row r="878">
          <cell r="B878" t="str">
            <v>Luminaria Tipo Wall Pack  SODIO 150 W</v>
          </cell>
        </row>
        <row r="879">
          <cell r="B879" t="str">
            <v>Luminaria Tipo Wall Pack Sodio 70 W</v>
          </cell>
        </row>
        <row r="880">
          <cell r="B880" t="str">
            <v>Malla Galvanizada</v>
          </cell>
        </row>
        <row r="881">
          <cell r="B881" t="str">
            <v xml:space="preserve">Mantenimiento trafo 112,5 KVA </v>
          </cell>
        </row>
        <row r="882">
          <cell r="B882" t="str">
            <v xml:space="preserve">Mantenimiento trafo 25 KVA </v>
          </cell>
        </row>
        <row r="883">
          <cell r="B883" t="str">
            <v xml:space="preserve">Mantenimiento trafo 75 KVA </v>
          </cell>
        </row>
        <row r="884">
          <cell r="B884" t="str">
            <v>Marcador tipo boligrafo</v>
          </cell>
        </row>
        <row r="885">
          <cell r="B885" t="str">
            <v>Marquilla para marcacion interna</v>
          </cell>
        </row>
        <row r="886">
          <cell r="B886" t="str">
            <v>Marquilla punto de bloqueo</v>
          </cell>
        </row>
        <row r="887">
          <cell r="B887" t="str">
            <v>Marquillas en acrílico 10*5, 12*6, 14*7</v>
          </cell>
        </row>
        <row r="888">
          <cell r="B888" t="str">
            <v>Marquillas en acrílico 4*2, 6*3, 8*4</v>
          </cell>
        </row>
        <row r="889">
          <cell r="B889" t="str">
            <v>Marquillas tipo anillo dexson o similar</v>
          </cell>
        </row>
        <row r="890">
          <cell r="B890" t="str">
            <v>Material Seleccionado</v>
          </cell>
        </row>
        <row r="891">
          <cell r="B891" t="str">
            <v>Medidor digital DM 6000</v>
          </cell>
        </row>
        <row r="892">
          <cell r="B892" t="str">
            <v>Medidor Trifilar 2 x 120/208V 15-100 A</v>
          </cell>
        </row>
        <row r="893">
          <cell r="B893" t="str">
            <v>Mini interuptor mono multi 9 de 6 amps</v>
          </cell>
        </row>
        <row r="894">
          <cell r="B894" t="str">
            <v>Mini Split 12000 BTU</v>
          </cell>
        </row>
        <row r="895">
          <cell r="B895" t="str">
            <v>Modem de comunicaciones</v>
          </cell>
        </row>
        <row r="896">
          <cell r="B896" t="str">
            <v>Muerto De Concreto Para Retenida</v>
          </cell>
        </row>
        <row r="897">
          <cell r="B897" t="str">
            <v>Multimetro analizador DMK 32 c/software</v>
          </cell>
        </row>
        <row r="898">
          <cell r="B898" t="str">
            <v>Ocho De Seguridad (1)</v>
          </cell>
        </row>
        <row r="899">
          <cell r="B899" t="str">
            <v>Outlet (Toma) Siemons.10GMX-FS</v>
          </cell>
        </row>
        <row r="900">
          <cell r="B900" t="str">
            <v>P/CORD CAT. 6 1.5M AZUL  B</v>
          </cell>
        </row>
        <row r="901">
          <cell r="B901" t="str">
            <v>P/CORD CAT. 6 1.5M GRIS B</v>
          </cell>
        </row>
        <row r="902">
          <cell r="B902" t="str">
            <v>P/CORD CAT. 6 1.5M ROJO B</v>
          </cell>
        </row>
        <row r="903">
          <cell r="B903" t="str">
            <v>P/CORD CAT. 6 1M AZUL B</v>
          </cell>
        </row>
        <row r="904">
          <cell r="B904" t="str">
            <v>P/CORD CAT. 6 1M GRIS B</v>
          </cell>
        </row>
        <row r="905">
          <cell r="B905" t="str">
            <v>P/CORD CAT. 6 1M ROJO B</v>
          </cell>
        </row>
        <row r="906">
          <cell r="B906" t="str">
            <v>P/CORD CAT. 6 2M AZUL B</v>
          </cell>
        </row>
        <row r="907">
          <cell r="B907" t="str">
            <v>P/CORD CAT. 6 2M GRIS B</v>
          </cell>
        </row>
        <row r="908">
          <cell r="B908" t="str">
            <v>P/CORD CAT. 6 2M ROJO B</v>
          </cell>
        </row>
        <row r="909">
          <cell r="B909" t="str">
            <v>P/CORD CAT. 6 3M AZUL B</v>
          </cell>
        </row>
        <row r="910">
          <cell r="B910" t="str">
            <v>P/CORD CAT. 6 3M GRIS B</v>
          </cell>
        </row>
        <row r="911">
          <cell r="B911" t="str">
            <v>P/CORD CAT. 6 3M ROJO B</v>
          </cell>
        </row>
        <row r="912">
          <cell r="B912" t="str">
            <v>P/PANEL CAT 6 24PTO C/ORGANIZ</v>
          </cell>
        </row>
        <row r="913">
          <cell r="B913" t="str">
            <v>P/PANEL CAT 6 48PTS S/ORGANIZ</v>
          </cell>
        </row>
        <row r="914">
          <cell r="B914" t="str">
            <v>Pantalla para borna cable 10</v>
          </cell>
        </row>
        <row r="915">
          <cell r="B915" t="str">
            <v>Parada de emergencia y cabeza pulsador de hongo XB4BC42</v>
          </cell>
        </row>
        <row r="916">
          <cell r="B916" t="str">
            <v>Pararrayo 13,2 kv</v>
          </cell>
        </row>
        <row r="917">
          <cell r="B917" t="str">
            <v>Pararrayo 4160 v</v>
          </cell>
        </row>
        <row r="918">
          <cell r="B918" t="str">
            <v>Patch Cord de 1m</v>
          </cell>
        </row>
        <row r="919">
          <cell r="B919" t="str">
            <v>Patch Cord de 2m</v>
          </cell>
        </row>
        <row r="920">
          <cell r="B920" t="str">
            <v>Pegante PVC  1/4 gal</v>
          </cell>
        </row>
        <row r="921">
          <cell r="B921" t="str">
            <v>Pegante PVC  1/ 16 gal</v>
          </cell>
        </row>
        <row r="922">
          <cell r="B922" t="str">
            <v>Percha Galvanizada (Pesada) De Cuatro Puestos</v>
          </cell>
        </row>
        <row r="923">
          <cell r="B923" t="str">
            <v>Percha Galvanizada (Pesada) De Tres Puestos</v>
          </cell>
        </row>
        <row r="924">
          <cell r="B924" t="str">
            <v>Percha Galvanizada (Pesada) De Un Puesto</v>
          </cell>
        </row>
        <row r="925">
          <cell r="B925" t="str">
            <v xml:space="preserve">Perfil cal 16 en acero inoxidable </v>
          </cell>
        </row>
        <row r="926">
          <cell r="B926" t="str">
            <v>Perfil channel  2,4 m galv</v>
          </cell>
        </row>
        <row r="927">
          <cell r="B927" t="str">
            <v>Perfil channel de acero inoxidable 2,4 m</v>
          </cell>
        </row>
        <row r="928">
          <cell r="B928" t="str">
            <v>Perfil Mecano</v>
          </cell>
        </row>
        <row r="929">
          <cell r="B929" t="str">
            <v>Perfil omega</v>
          </cell>
        </row>
        <row r="930">
          <cell r="B930" t="str">
            <v>Perfil P1000 15/8"x15/8x CAL 16 x 235 LG</v>
          </cell>
        </row>
        <row r="931">
          <cell r="B931" t="str">
            <v>Perfil P1000 15/8"x15/8x CAL 16 x 400LG</v>
          </cell>
        </row>
        <row r="932">
          <cell r="B932" t="str">
            <v>Perfil X 100 LG</v>
          </cell>
        </row>
        <row r="933">
          <cell r="B933" t="str">
            <v>Perno carruaje 5/8x12"</v>
          </cell>
        </row>
        <row r="934">
          <cell r="B934" t="str">
            <v>Perno carruaje 5/8x6"</v>
          </cell>
        </row>
        <row r="935">
          <cell r="B935" t="str">
            <v>Perno carruaje ombligo 5/8x1 1/2</v>
          </cell>
        </row>
        <row r="936">
          <cell r="B936" t="str">
            <v>Perno de 1/2"  largo de 1/2 a 2" galv c/tuerca y arandela</v>
          </cell>
        </row>
        <row r="937">
          <cell r="B937" t="str">
            <v>Perno de 1/4"  largo de 1/2 a 2" galv c/tuerca y arandela</v>
          </cell>
        </row>
        <row r="938">
          <cell r="B938" t="str">
            <v>Perno de 3/8"  largo de 1/2 a 2" galv c/tuerca y arandela</v>
          </cell>
        </row>
        <row r="939">
          <cell r="B939" t="str">
            <v>Perno De Carruaje De 5/8" x 1 1/2"</v>
          </cell>
        </row>
        <row r="940">
          <cell r="B940" t="str">
            <v>Perno de expansion 1/2 x 3"</v>
          </cell>
        </row>
        <row r="941">
          <cell r="B941" t="str">
            <v>Perno de expansion 1/4"</v>
          </cell>
        </row>
        <row r="942">
          <cell r="B942" t="str">
            <v>Perno de expansion 3/8 x 2"</v>
          </cell>
        </row>
        <row r="943">
          <cell r="B943" t="str">
            <v>Perno de Expansion de 3/8" x 17/8"</v>
          </cell>
        </row>
        <row r="944">
          <cell r="B944" t="str">
            <v xml:space="preserve">Perno de Expansion Hembra 1/2" </v>
          </cell>
        </row>
        <row r="945">
          <cell r="B945" t="str">
            <v>Perno De Maquina 5/8 x 1 1/2</v>
          </cell>
        </row>
        <row r="946">
          <cell r="B946" t="str">
            <v>Perno De Maquina De 1/2" x 6"</v>
          </cell>
        </row>
        <row r="947">
          <cell r="B947" t="str">
            <v>Perno De Maquina De 5/8" x 12"</v>
          </cell>
        </row>
        <row r="948">
          <cell r="B948" t="str">
            <v>Perno De Ombligo 5/8 x 1 1/2</v>
          </cell>
        </row>
        <row r="949">
          <cell r="B949" t="str">
            <v>Pernos De Anclaje</v>
          </cell>
        </row>
        <row r="950">
          <cell r="B950" t="str">
            <v>Pernos De Expansion</v>
          </cell>
        </row>
        <row r="951">
          <cell r="B951" t="str">
            <v>Pernos de Ojo</v>
          </cell>
        </row>
        <row r="952">
          <cell r="B952" t="str">
            <v>Perro de 1/8</v>
          </cell>
        </row>
        <row r="953">
          <cell r="B953" t="str">
            <v>Perro de 3/16</v>
          </cell>
        </row>
        <row r="954">
          <cell r="B954" t="str">
            <v xml:space="preserve">Pèrtiga De Extension (1) </v>
          </cell>
        </row>
        <row r="955">
          <cell r="B955" t="str">
            <v>Piloto de señalizacion con led ref 9001KP40G-R-A-9 30 mm</v>
          </cell>
        </row>
        <row r="956">
          <cell r="B956" t="str">
            <v>Piloto de señalizacion con led ref XB4BVG3/4/5</v>
          </cell>
        </row>
        <row r="957">
          <cell r="B957" t="str">
            <v>Pin Para Aisladores</v>
          </cell>
        </row>
        <row r="958">
          <cell r="B958" t="str">
            <v>Pin Para Lines Post corto cruc metalic</v>
          </cell>
        </row>
        <row r="959">
          <cell r="B959" t="str">
            <v>Pin Para Lines Post largo cruc Madera</v>
          </cell>
        </row>
        <row r="960">
          <cell r="B960" t="str">
            <v>Pintura Acabado Poliuretano</v>
          </cell>
        </row>
        <row r="961">
          <cell r="B961" t="str">
            <v>Pintura Anticorrosiva</v>
          </cell>
        </row>
        <row r="962">
          <cell r="B962" t="str">
            <v>Pintura Anticorrosiva Atoxica Primer</v>
          </cell>
        </row>
        <row r="963">
          <cell r="B963" t="str">
            <v>Pintura De Acabado Pintucoat</v>
          </cell>
        </row>
        <row r="964">
          <cell r="B964" t="str">
            <v>Pintura Esnalte De Pintuco</v>
          </cell>
        </row>
        <row r="965">
          <cell r="B965" t="str">
            <v>Pintura Vinilo Pintulux De Pintuco</v>
          </cell>
        </row>
        <row r="966">
          <cell r="B966" t="str">
            <v>Platina conectora en L ref M21033 ; PLD2AG</v>
          </cell>
        </row>
        <row r="967">
          <cell r="B967" t="str">
            <v>Platina de cobre de 1 x 1/8</v>
          </cell>
        </row>
        <row r="968">
          <cell r="B968" t="str">
            <v>Platina Union Bandeja</v>
          </cell>
        </row>
        <row r="969">
          <cell r="B969" t="str">
            <v>Platina, Angulo de 11/0" X 3/16</v>
          </cell>
        </row>
        <row r="970">
          <cell r="B970" t="str">
            <v>Platinas para Asegurar Malla al Tubo</v>
          </cell>
        </row>
        <row r="971">
          <cell r="B971" t="str">
            <v>Polvo Mineral Rojo</v>
          </cell>
        </row>
        <row r="972">
          <cell r="B972" t="str">
            <v>Portacandado</v>
          </cell>
        </row>
        <row r="973">
          <cell r="B973" t="str">
            <v>Portalampara o soporte intemperie plastico</v>
          </cell>
        </row>
        <row r="974">
          <cell r="B974" t="str">
            <v>Poste de concreto APH=10m, CR=510 Kg</v>
          </cell>
        </row>
        <row r="975">
          <cell r="B975" t="str">
            <v>Poste de concreto APH=12m, CR=510 Kg</v>
          </cell>
        </row>
        <row r="976">
          <cell r="B976" t="str">
            <v>Poste de concreto APH=8m, CR=510 Kg</v>
          </cell>
        </row>
        <row r="977">
          <cell r="B977" t="str">
            <v>Poste en tuberia de 4 y 3</v>
          </cell>
        </row>
        <row r="978">
          <cell r="B978" t="str">
            <v>Postes De 10m de 1050kg</v>
          </cell>
        </row>
        <row r="979">
          <cell r="B979" t="str">
            <v>Postes De 10m de 750kg</v>
          </cell>
        </row>
        <row r="980">
          <cell r="B980" t="str">
            <v>Postes De 12m de 1050kg</v>
          </cell>
        </row>
        <row r="981">
          <cell r="B981" t="str">
            <v>Postes De 12m de 750kg</v>
          </cell>
        </row>
        <row r="982">
          <cell r="B982" t="str">
            <v>Postes De 14m de 1050kg</v>
          </cell>
        </row>
        <row r="983">
          <cell r="B983" t="str">
            <v>Postes De 14m de 750kg</v>
          </cell>
        </row>
        <row r="984">
          <cell r="B984" t="str">
            <v>Prensaestopa  13 mm cables 10 4PE21  3/4</v>
          </cell>
        </row>
        <row r="985">
          <cell r="B985" t="str">
            <v>Prensaestopa  9 mm cables 7 mm 3PE9 5/16</v>
          </cell>
        </row>
        <row r="986">
          <cell r="B986" t="str">
            <v>Prensaestopa 3/4"</v>
          </cell>
        </row>
        <row r="987">
          <cell r="B987" t="str">
            <v>Programador Horario Digital Semanal CCT15720</v>
          </cell>
        </row>
        <row r="988">
          <cell r="B988" t="str">
            <v>Protocolo de pruebas</v>
          </cell>
        </row>
        <row r="989">
          <cell r="B989" t="str">
            <v>PROYECTO SCHREDER NEOS 3 1709 400W N 208/220V S.P.MARCADO AP BGA + 2 FUS</v>
          </cell>
        </row>
        <row r="990">
          <cell r="B990" t="str">
            <v>Prueba de pararrayos</v>
          </cell>
        </row>
        <row r="991">
          <cell r="B991" t="str">
            <v>Pulsador arranque parada motor</v>
          </cell>
        </row>
        <row r="992">
          <cell r="B992" t="str">
            <v>Punta Franklin especial</v>
          </cell>
        </row>
        <row r="993">
          <cell r="B993" t="str">
            <v xml:space="preserve">Punta Franklin sencilla </v>
          </cell>
        </row>
        <row r="994">
          <cell r="B994" t="str">
            <v>Puntilla</v>
          </cell>
        </row>
        <row r="995">
          <cell r="B995" t="str">
            <v>Rack Manejador de 19"</v>
          </cell>
        </row>
        <row r="996">
          <cell r="B996" t="str">
            <v>Reducción 2 1/2" x 2"</v>
          </cell>
        </row>
        <row r="997">
          <cell r="B997" t="str">
            <v>Reflector MH 400 w  277</v>
          </cell>
        </row>
        <row r="998">
          <cell r="B998" t="str">
            <v>Reflector MH 400 w 220 v reactor</v>
          </cell>
        </row>
        <row r="999">
          <cell r="B999" t="str">
            <v>Reflector MH 400 w 480 v reactor</v>
          </cell>
        </row>
        <row r="1000">
          <cell r="B1000" t="str">
            <v>Reflector Sodio 400 w  277</v>
          </cell>
        </row>
        <row r="1001">
          <cell r="B1001" t="str">
            <v>Reflector Sodio 400 w 220 v reactor</v>
          </cell>
        </row>
        <row r="1002">
          <cell r="B1002" t="str">
            <v>Reflector Sodio 400 w 480 v reactor</v>
          </cell>
        </row>
        <row r="1003">
          <cell r="B1003" t="str">
            <v>Reflector TFL 400W  SRA -2TBV CR LTI c/bombilla</v>
          </cell>
        </row>
        <row r="1004">
          <cell r="B1004" t="str">
            <v>Registro de concreto 0,30x0,30x0,4</v>
          </cell>
        </row>
        <row r="1005">
          <cell r="B1005" t="str">
            <v>Regleta</v>
          </cell>
        </row>
        <row r="1006">
          <cell r="B1006" t="str">
            <v>Regleta plastica 12 polos blanca 20A</v>
          </cell>
        </row>
        <row r="1007">
          <cell r="B1007" t="str">
            <v>Regulador factor potencia lovato ref LOV 0293</v>
          </cell>
        </row>
        <row r="1008">
          <cell r="B1008" t="str">
            <v>Regulador factor potencia varlogic ref 52448</v>
          </cell>
        </row>
        <row r="1009">
          <cell r="B1009" t="str">
            <v xml:space="preserve">Rele bloque de pruebas </v>
          </cell>
        </row>
        <row r="1010">
          <cell r="B1010" t="str">
            <v xml:space="preserve">Rele de 11 pines </v>
          </cell>
        </row>
        <row r="1011">
          <cell r="B1011" t="str">
            <v>Rele de tiempo electronico multirango on - off - delay, estr - triangulo</v>
          </cell>
        </row>
        <row r="1012">
          <cell r="B1012" t="str">
            <v>Rele monitor de fase RM35TF30</v>
          </cell>
        </row>
        <row r="1013">
          <cell r="B1013" t="str">
            <v>Retenida 3/8 (3 toneladas)</v>
          </cell>
        </row>
        <row r="1014">
          <cell r="B1014" t="str">
            <v>Riel Omega</v>
          </cell>
        </row>
        <row r="1015">
          <cell r="B1015" t="str">
            <v>Riostras</v>
          </cell>
        </row>
        <row r="1016">
          <cell r="B1016" t="str">
            <v>Secador de manos</v>
          </cell>
        </row>
        <row r="1017">
          <cell r="B1017" t="str">
            <v>Selector de dos posiciones</v>
          </cell>
        </row>
        <row r="1018">
          <cell r="B1018" t="str">
            <v>Selector de tres posiciones 9001KS43FBH13</v>
          </cell>
        </row>
        <row r="1019">
          <cell r="B1019" t="str">
            <v>Sello Cortafuego explosion proof 1 1/2"</v>
          </cell>
        </row>
        <row r="1020">
          <cell r="B1020" t="str">
            <v>Sello Cortafuego explosion proof 1"</v>
          </cell>
        </row>
        <row r="1021">
          <cell r="B1021" t="str">
            <v>Sello Cortafuego explosion proof 1/2"</v>
          </cell>
        </row>
        <row r="1022">
          <cell r="B1022" t="str">
            <v>Sello Cortafuego explosion proof 2"</v>
          </cell>
        </row>
        <row r="1023">
          <cell r="B1023" t="str">
            <v>Sello Cortafuego explosion proof 3/4"</v>
          </cell>
        </row>
        <row r="1024">
          <cell r="B1024" t="str">
            <v>Sikabond</v>
          </cell>
        </row>
        <row r="1025">
          <cell r="B1025" t="str">
            <v>Sikasil C (Silicona)</v>
          </cell>
        </row>
        <row r="1026">
          <cell r="B1026" t="str">
            <v>Sikatop 122</v>
          </cell>
        </row>
        <row r="1027">
          <cell r="B1027" t="str">
            <v>Silla Para Cruceta</v>
          </cell>
        </row>
        <row r="1028">
          <cell r="B1028" t="str">
            <v>Sirena a 110 V o 220 V</v>
          </cell>
        </row>
        <row r="1029">
          <cell r="B1029" t="str">
            <v>Socket para tubo fluorescente</v>
          </cell>
        </row>
        <row r="1030">
          <cell r="B1030" t="str">
            <v>Soldadura electrodos</v>
          </cell>
        </row>
        <row r="1031">
          <cell r="B1031" t="str">
            <v>Soldadura Exotérmica De 115 gr</v>
          </cell>
        </row>
        <row r="1032">
          <cell r="B1032" t="str">
            <v>Soldadura Exotérmica De 150 gr</v>
          </cell>
        </row>
        <row r="1033">
          <cell r="B1033" t="str">
            <v>Soldadura Exotérmica De 200 gr</v>
          </cell>
        </row>
        <row r="1034">
          <cell r="B1034" t="str">
            <v>Soldadura Exotérmica De 45 gr</v>
          </cell>
        </row>
        <row r="1035">
          <cell r="B1035" t="str">
            <v>Soldadura Exotérmica De 65 gr</v>
          </cell>
        </row>
        <row r="1036">
          <cell r="B1036" t="str">
            <v>Soldadura Exotérmica De 90 gr</v>
          </cell>
        </row>
        <row r="1037">
          <cell r="B1037" t="str">
            <v>Soporte para montar modulos seis espacios 4x4 vela ref 685098</v>
          </cell>
        </row>
        <row r="1038">
          <cell r="B1038" t="str">
            <v>Soporte para montar modulos tres espacios vela ref 681599</v>
          </cell>
        </row>
        <row r="1039">
          <cell r="B1039" t="str">
            <v>Soporte peldaño 20 cms</v>
          </cell>
        </row>
        <row r="1040">
          <cell r="B1040" t="str">
            <v>Soporte Tipo Repisa Galvanizada en Caliente</v>
          </cell>
        </row>
        <row r="1041">
          <cell r="B1041" t="str">
            <v>Suiche selector de manija negra 2 posiciones ref XB4BD21</v>
          </cell>
        </row>
        <row r="1042">
          <cell r="B1042" t="str">
            <v>Suiche selector de manija negra 3 posiciones ref XB4BD33</v>
          </cell>
        </row>
        <row r="1043">
          <cell r="B1043" t="str">
            <v>Sujetador de Bandeja</v>
          </cell>
        </row>
        <row r="1044">
          <cell r="B1044" t="str">
            <v>Sujetador de Bandeja Vertical</v>
          </cell>
        </row>
        <row r="1045">
          <cell r="B1045" t="str">
            <v>Suministro trasporte e instalación de red canalizada en cable concéntrico antifraude Cu 75 C° 3X1/0+1/0 AWG 600V (PE/PVC)</v>
          </cell>
        </row>
        <row r="1046">
          <cell r="B1046" t="str">
            <v>Suplemento para caja 4x4 galvanizada</v>
          </cell>
        </row>
        <row r="1047">
          <cell r="B1047" t="str">
            <v>Suplemento para caja 4x4 plastica</v>
          </cell>
        </row>
        <row r="1048">
          <cell r="B1048" t="str">
            <v>Suplemento para caja 4x4 radwelt</v>
          </cell>
        </row>
        <row r="1049">
          <cell r="B1049" t="str">
            <v>Tabla cepillada</v>
          </cell>
        </row>
        <row r="1050">
          <cell r="B1050" t="str">
            <v>Tablero general 2,20 x 1,9i0 x 0,60 cms</v>
          </cell>
        </row>
        <row r="1051">
          <cell r="B1051" t="str">
            <v>Tablero trifasico NTQ 412 con puerta</v>
          </cell>
        </row>
        <row r="1052">
          <cell r="B1052" t="str">
            <v>Tablero trifasico NTQ 418 con puerta</v>
          </cell>
        </row>
        <row r="1053">
          <cell r="B1053" t="str">
            <v>Tablero trifasico NTQ 424 con puerta</v>
          </cell>
        </row>
        <row r="1054">
          <cell r="B1054" t="str">
            <v>Tablero trifasico NTQ 430 con puerta</v>
          </cell>
        </row>
        <row r="1055">
          <cell r="B1055" t="str">
            <v>Tablero trifasico NTQ 436 con puerta</v>
          </cell>
        </row>
        <row r="1056">
          <cell r="B1056" t="str">
            <v>Tablero trifasico NTQ 442 con puerta</v>
          </cell>
        </row>
        <row r="1057">
          <cell r="B1057" t="str">
            <v>Tablero trifasico NTQ -T-12 circuitos con espacio para totalizador</v>
          </cell>
        </row>
        <row r="1058">
          <cell r="B1058" t="str">
            <v>Tablero trifasico NTQ -T-18 circuitos con espacio para totalizador</v>
          </cell>
        </row>
        <row r="1059">
          <cell r="B1059" t="str">
            <v>Tablero trifasico NTQ -T-24 circuitos con espacio para totalizador</v>
          </cell>
        </row>
        <row r="1060">
          <cell r="B1060" t="str">
            <v>Tablero trifasico NTQ -T-30 circuitos con espacio para totalizador</v>
          </cell>
        </row>
        <row r="1061">
          <cell r="B1061" t="str">
            <v>Tablero trifasico NTQ -T-36 circuitos con espacio para totalizador</v>
          </cell>
        </row>
        <row r="1062">
          <cell r="B1062" t="str">
            <v>Tablero trifasico NTQ -T-42 circuitos con espacio para totalizador</v>
          </cell>
        </row>
        <row r="1063">
          <cell r="B1063" t="str">
            <v xml:space="preserve">Tablon Vitrificado Formato 0,2 X 0,2 </v>
          </cell>
        </row>
        <row r="1064">
          <cell r="B1064" t="str">
            <v>Talicon</v>
          </cell>
        </row>
        <row r="1065">
          <cell r="B1065" t="str">
            <v>Tapa Ciega 2x4</v>
          </cell>
        </row>
        <row r="1066">
          <cell r="B1066" t="str">
            <v xml:space="preserve">Tapa Ciega Metalica 4x4 </v>
          </cell>
        </row>
        <row r="1067">
          <cell r="B1067" t="str">
            <v>TAPA CIEGA MX BLANCA 10UND</v>
          </cell>
        </row>
        <row r="1068">
          <cell r="B1068" t="str">
            <v xml:space="preserve">Tapa Ciega Octagonal </v>
          </cell>
        </row>
        <row r="1069">
          <cell r="B1069" t="str">
            <v>Tapa Ciega Octagonal radwelt</v>
          </cell>
        </row>
        <row r="1070">
          <cell r="B1070" t="str">
            <v>Tapa Interruptor Sencillo</v>
          </cell>
        </row>
        <row r="1071">
          <cell r="B1071" t="str">
            <v>Tapa metalica toma 20 A y 30 A</v>
          </cell>
        </row>
        <row r="1072">
          <cell r="B1072" t="str">
            <v>Tapa Para Bandeja 10</v>
          </cell>
        </row>
        <row r="1073">
          <cell r="B1073" t="str">
            <v>Tapa Para Bandeja 20</v>
          </cell>
        </row>
        <row r="1074">
          <cell r="B1074" t="str">
            <v>Tapa Para Bandeja 30</v>
          </cell>
        </row>
        <row r="1075">
          <cell r="B1075" t="str">
            <v>Tapa Para Bandeja 40</v>
          </cell>
        </row>
        <row r="1076">
          <cell r="B1076" t="str">
            <v>Tapa Para Bandeja en Cruce x 10</v>
          </cell>
        </row>
        <row r="1077">
          <cell r="B1077" t="str">
            <v>Tapa Para Bandeja en Cruce x 20</v>
          </cell>
        </row>
        <row r="1078">
          <cell r="B1078" t="str">
            <v>Tapa Para Bandeja en Cruce x 30</v>
          </cell>
        </row>
        <row r="1079">
          <cell r="B1079" t="str">
            <v>Tapa Para Bandeja en Cruce x 40</v>
          </cell>
        </row>
        <row r="1080">
          <cell r="B1080" t="str">
            <v>Tapa Para Bandeja en Curva Horizontal 90º  30</v>
          </cell>
        </row>
        <row r="1081">
          <cell r="B1081" t="str">
            <v>Tapa Para Bandeja en Curva Horizontal 90º 10</v>
          </cell>
        </row>
        <row r="1082">
          <cell r="B1082" t="str">
            <v>Tapa Para Bandeja en Curva Horizontal 90º 20</v>
          </cell>
        </row>
        <row r="1083">
          <cell r="B1083" t="str">
            <v>Tapa Para Bandeja en Curva Horizontal 90º 40</v>
          </cell>
        </row>
        <row r="1084">
          <cell r="B1084" t="str">
            <v>Tapa Para Bandeja en Curva Vertical 90º 10</v>
          </cell>
        </row>
        <row r="1085">
          <cell r="B1085" t="str">
            <v>Tapa Para Bandeja en Curva Vertical 90º 20</v>
          </cell>
        </row>
        <row r="1086">
          <cell r="B1086" t="str">
            <v>Tapa Para Bandeja en Curva Vertical 90º 30</v>
          </cell>
        </row>
        <row r="1087">
          <cell r="B1087" t="str">
            <v>Tapa Para Bandeja en Curva Vertical 90º 40</v>
          </cell>
        </row>
        <row r="1088">
          <cell r="B1088" t="str">
            <v xml:space="preserve">Tapa Para Bandeja en Te 10 </v>
          </cell>
        </row>
        <row r="1089">
          <cell r="B1089" t="str">
            <v>Tapa Para Bandeja en Te 20</v>
          </cell>
        </row>
        <row r="1090">
          <cell r="B1090" t="str">
            <v>Tapa Para Bandeja en Te 30</v>
          </cell>
        </row>
        <row r="1091">
          <cell r="B1091" t="str">
            <v>Tapa Para Bandeja en Te 40</v>
          </cell>
        </row>
        <row r="1092">
          <cell r="B1092" t="str">
            <v xml:space="preserve">Tapa Toma Doble </v>
          </cell>
        </row>
        <row r="1093">
          <cell r="B1093" t="str">
            <v>Tapa Toma Doble Seguridad Intemperie</v>
          </cell>
        </row>
        <row r="1094">
          <cell r="B1094" t="str">
            <v>Tapa Toma metalica locking ref 84020  20 y 30 A</v>
          </cell>
        </row>
        <row r="1095">
          <cell r="B1095" t="str">
            <v>Tapa Toma Trifilar</v>
          </cell>
        </row>
        <row r="1096">
          <cell r="B1096" t="str">
            <v>Tapa troquel 12x5 universal color almendra</v>
          </cell>
        </row>
        <row r="1097">
          <cell r="B1097" t="str">
            <v xml:space="preserve">Tapa troquel datos 11x5 </v>
          </cell>
        </row>
        <row r="1098">
          <cell r="B1098" t="str">
            <v xml:space="preserve">Tapa troquel datos doble 11x5 </v>
          </cell>
        </row>
        <row r="1099">
          <cell r="B1099" t="str">
            <v xml:space="preserve">Tapa troquel energia 11x5 </v>
          </cell>
        </row>
        <row r="1100">
          <cell r="B1100" t="str">
            <v xml:space="preserve">Tapa troquel universal doble 11x5 </v>
          </cell>
        </row>
        <row r="1101">
          <cell r="B1101" t="str">
            <v>Tapon de 1"</v>
          </cell>
        </row>
        <row r="1102">
          <cell r="B1102" t="str">
            <v>Tapon de 3" soldado PVC</v>
          </cell>
        </row>
        <row r="1103">
          <cell r="B1103" t="str">
            <v>Te Para Bandeja en 10</v>
          </cell>
        </row>
        <row r="1104">
          <cell r="B1104" t="str">
            <v>Te Para Bandeja en 20</v>
          </cell>
        </row>
        <row r="1105">
          <cell r="B1105" t="str">
            <v>Tee bandeja 20 cms liv</v>
          </cell>
        </row>
        <row r="1106">
          <cell r="B1106" t="str">
            <v>Temporizador programable</v>
          </cell>
        </row>
        <row r="1107">
          <cell r="B1107" t="str">
            <v>Tensor de 1/8" x 8</v>
          </cell>
        </row>
        <row r="1108">
          <cell r="B1108" t="str">
            <v>Tensor de 1/4x3 1/2</v>
          </cell>
        </row>
        <row r="1109">
          <cell r="B1109" t="str">
            <v>Tensor de 5/16x 4 1/4</v>
          </cell>
        </row>
        <row r="1110">
          <cell r="B1110" t="str">
            <v>Tensor de 3/8 x 6</v>
          </cell>
        </row>
        <row r="1111">
          <cell r="B1111" t="str">
            <v>Terminal  bimetalico 750  2 huecos</v>
          </cell>
        </row>
        <row r="1112">
          <cell r="B1112" t="str">
            <v>Terminal Campana PVC 1"</v>
          </cell>
        </row>
        <row r="1113">
          <cell r="B1113" t="str">
            <v>Terminal Campana PVC 11/2"</v>
          </cell>
        </row>
        <row r="1114">
          <cell r="B1114" t="str">
            <v>Terminal Campana PVC 2"</v>
          </cell>
        </row>
        <row r="1115">
          <cell r="B1115" t="str">
            <v>Terminal Campana PVC 3/4"</v>
          </cell>
        </row>
        <row r="1116">
          <cell r="B1116" t="str">
            <v>Terminal de cobre de compresión marca Burndy para cable N. 1/0 AWG Catalog Number: YA25L4-BOX</v>
          </cell>
        </row>
        <row r="1117">
          <cell r="B1117" t="str">
            <v>terminal de cobre de compresión marca Burndy para cable No. 4 AWG  Catalog Number YA4CL4-BOX.</v>
          </cell>
        </row>
        <row r="1118">
          <cell r="B1118" t="str">
            <v>Terminal de cobre de compresión marca Burndy para cable No.14 AWG Catalog Number: YAV10-BOX</v>
          </cell>
        </row>
        <row r="1119">
          <cell r="B1119" t="str">
            <v>terminal de compresion para cable 2 AWG Burndy Catalog Number YA2CL6-BOX</v>
          </cell>
        </row>
        <row r="1120">
          <cell r="B1120" t="str">
            <v>Terminal de compresion para cable 2/0 AWG Burndy Catalog Number YA26L-BOX</v>
          </cell>
        </row>
        <row r="1121">
          <cell r="B1121" t="str">
            <v xml:space="preserve">Terminal de gorrito </v>
          </cell>
        </row>
        <row r="1122">
          <cell r="B1122" t="str">
            <v>Terminal de un hueco No 1/0</v>
          </cell>
        </row>
        <row r="1123">
          <cell r="B1123" t="str">
            <v>Terminal de un hueco No 1/0 bimetalico</v>
          </cell>
        </row>
        <row r="1124">
          <cell r="B1124" t="str">
            <v>Terminal de un hueco No 2</v>
          </cell>
        </row>
        <row r="1125">
          <cell r="B1125" t="str">
            <v>Terminal de un hueco No 2 bimetalico</v>
          </cell>
        </row>
        <row r="1126">
          <cell r="B1126" t="str">
            <v>Terminal de un hueco No 2/0</v>
          </cell>
        </row>
        <row r="1127">
          <cell r="B1127" t="str">
            <v>Terminal de un hueco No 2/0 bimetalico</v>
          </cell>
        </row>
        <row r="1128">
          <cell r="B1128" t="str">
            <v>Terminal de un hueco No 250</v>
          </cell>
        </row>
        <row r="1129">
          <cell r="B1129" t="str">
            <v>Terminal de un hueco No 3/0</v>
          </cell>
        </row>
        <row r="1130">
          <cell r="B1130" t="str">
            <v>Terminal de un hueco No 3/0 bimetalico</v>
          </cell>
        </row>
        <row r="1131">
          <cell r="B1131" t="str">
            <v>Terminal de un hueco No 300</v>
          </cell>
        </row>
        <row r="1132">
          <cell r="B1132" t="str">
            <v>Terminal de un hueco No 300 bimetalico</v>
          </cell>
        </row>
        <row r="1133">
          <cell r="B1133" t="str">
            <v>Terminal de un hueco No 350</v>
          </cell>
        </row>
        <row r="1134">
          <cell r="B1134" t="str">
            <v>Terminal de un hueco No 350 bimetalico</v>
          </cell>
        </row>
        <row r="1135">
          <cell r="B1135" t="str">
            <v>Terminal de un hueco No 4</v>
          </cell>
        </row>
        <row r="1136">
          <cell r="B1136" t="str">
            <v>Terminal de un hueco No 4/0</v>
          </cell>
        </row>
        <row r="1137">
          <cell r="B1137" t="str">
            <v>Terminal de un hueco No 4/0 bimetalico</v>
          </cell>
        </row>
        <row r="1138">
          <cell r="B1138" t="str">
            <v>Terminal de un hueco No 500</v>
          </cell>
        </row>
        <row r="1139">
          <cell r="B1139" t="str">
            <v>Terminal de un hueco No 6</v>
          </cell>
        </row>
        <row r="1140">
          <cell r="B1140" t="str">
            <v xml:space="preserve">Terminal dos huecos 250 MCM </v>
          </cell>
        </row>
        <row r="1141">
          <cell r="B1141" t="str">
            <v xml:space="preserve">Terminal dos huecos 350 MCM </v>
          </cell>
        </row>
        <row r="1142">
          <cell r="B1142" t="str">
            <v>Terminal dos huecos 4/0 MCM</v>
          </cell>
        </row>
        <row r="1143">
          <cell r="B1143" t="str">
            <v>Terminal dos huecos 500 MCM 3M</v>
          </cell>
        </row>
        <row r="1144">
          <cell r="B1144" t="str">
            <v>Terminal dos huecos No 2/0 bimetalico</v>
          </cell>
        </row>
        <row r="1145">
          <cell r="B1145" t="str">
            <v>Terminal dos huecos No 300 bimetalico</v>
          </cell>
        </row>
        <row r="1146">
          <cell r="B1146" t="str">
            <v>Terminal dos huecos No 350 bimetalico</v>
          </cell>
        </row>
        <row r="1147">
          <cell r="B1147" t="str">
            <v>Terminal dos huecos No 4/0 bimetalico</v>
          </cell>
        </row>
        <row r="1148">
          <cell r="B1148" t="str">
            <v>Terminal dos huecos No 500 bimetalico</v>
          </cell>
        </row>
        <row r="1149">
          <cell r="B1149" t="str">
            <v xml:space="preserve">Terminal en U  16 - 14 </v>
          </cell>
        </row>
        <row r="1150">
          <cell r="B1150" t="str">
            <v>Terminal No.10-12</v>
          </cell>
        </row>
        <row r="1151">
          <cell r="B1151" t="str">
            <v>Terminal No.8</v>
          </cell>
        </row>
        <row r="1152">
          <cell r="B1152" t="str">
            <v>Terminal Premoldeado De 2 Awg-4/0 Tipo Intemperie, 15kv</v>
          </cell>
        </row>
        <row r="1153">
          <cell r="B1153" t="str">
            <v>Terminal Premoldeado De 2awg-4/0 Tipo Interior, 15kv</v>
          </cell>
        </row>
        <row r="1154">
          <cell r="B1154" t="str">
            <v>Terminal Premoldeado De 3/0-600MCM Tipo Intemperie, 15kv</v>
          </cell>
        </row>
        <row r="1155">
          <cell r="B1155" t="str">
            <v>Terminal Premoldeado De 3/0-600MCM Tipo Interior, 15kv</v>
          </cell>
        </row>
        <row r="1156">
          <cell r="B1156" t="str">
            <v>Terminales Lug</v>
          </cell>
        </row>
        <row r="1157">
          <cell r="B1157" t="str">
            <v>Termoencogible 10 a 3</v>
          </cell>
        </row>
        <row r="1158">
          <cell r="B1158" t="str">
            <v>Termoencogible 16 a 5</v>
          </cell>
        </row>
        <row r="1159">
          <cell r="B1159" t="str">
            <v>Termoencogible 25 a 8</v>
          </cell>
        </row>
        <row r="1160">
          <cell r="B1160" t="str">
            <v>Termoencogible 600v 2 A 4/0</v>
          </cell>
        </row>
        <row r="1161">
          <cell r="B1161" t="str">
            <v>Termoencogible  250 MCM – 500 MCM</v>
          </cell>
        </row>
        <row r="1162">
          <cell r="B1162" t="str">
            <v>Thinner</v>
          </cell>
        </row>
        <row r="1163">
          <cell r="B1163" t="str">
            <v>Thinner 21050</v>
          </cell>
        </row>
        <row r="1164">
          <cell r="B1164" t="str">
            <v xml:space="preserve">Timbre pulsador </v>
          </cell>
        </row>
        <row r="1165">
          <cell r="B1165" t="str">
            <v>Timbre tipo campana</v>
          </cell>
        </row>
        <row r="1166">
          <cell r="B1166" t="str">
            <v>toma 220v</v>
          </cell>
        </row>
        <row r="1167">
          <cell r="B1167" t="str">
            <v xml:space="preserve">Toma  30 Amps 250V ref 2620 </v>
          </cell>
        </row>
        <row r="1168">
          <cell r="B1168" t="str">
            <v xml:space="preserve">Toma  63 Amps 250Vol  trifasica </v>
          </cell>
        </row>
        <row r="1169">
          <cell r="B1169" t="str">
            <v>Toma  Codelca 20 Amps</v>
          </cell>
        </row>
        <row r="1170">
          <cell r="B1170" t="str">
            <v>Toma  Doble Levinton 15 Amps blanco</v>
          </cell>
        </row>
        <row r="1171">
          <cell r="B1171" t="str">
            <v>Toma  Doble Levinton 15 Amps crema</v>
          </cell>
        </row>
        <row r="1172">
          <cell r="B1172" t="str">
            <v>Toma  Doble Levinton 20 Amps</v>
          </cell>
        </row>
        <row r="1173">
          <cell r="B1173" t="str">
            <v>Toma de DATO Luminex vela ref 682856</v>
          </cell>
        </row>
        <row r="1174">
          <cell r="B1174" t="str">
            <v>Toma de incrustar L 15- 30 ref 2720  30 amp</v>
          </cell>
        </row>
        <row r="1175">
          <cell r="B1175" t="str">
            <v>Toma de incrustar L 21- 30 ref 2810  30 amp</v>
          </cell>
        </row>
        <row r="1176">
          <cell r="B1176" t="str">
            <v>Toma de incrustar L 6-30 ref 2620  30 amp</v>
          </cell>
        </row>
        <row r="1177">
          <cell r="B1177" t="str">
            <v>toma interruptor mixto</v>
          </cell>
        </row>
        <row r="1178">
          <cell r="B1178" t="str">
            <v>Toma Doble GFCI 15A 125v</v>
          </cell>
        </row>
        <row r="1179">
          <cell r="B1179" t="str">
            <v>Toma Doble HGR 15A 125v 8200</v>
          </cell>
        </row>
        <row r="1180">
          <cell r="B1180" t="str">
            <v>Toma Doble Luminex vela 220 V ref 681547</v>
          </cell>
        </row>
        <row r="1181">
          <cell r="B1181" t="str">
            <v>Toma Doble Luminex vela 681542</v>
          </cell>
        </row>
        <row r="1182">
          <cell r="B1182" t="str">
            <v>Toma doble vela (promedio)</v>
          </cell>
        </row>
        <row r="1183">
          <cell r="B1183" t="str">
            <v>Toma wallplate c/tapa ref VPG 1601</v>
          </cell>
        </row>
        <row r="1184">
          <cell r="B1184" t="str">
            <v>Tomacorriente 20A Twis Lock Leviton O Similar</v>
          </cell>
        </row>
        <row r="1185">
          <cell r="B1185" t="str">
            <v>Tomacorriente 30A Twis Lock Leviton</v>
          </cell>
        </row>
        <row r="1186">
          <cell r="B1186" t="str">
            <v>Tomacorriente Doble 15A Twis Lock Leviton</v>
          </cell>
        </row>
        <row r="1187">
          <cell r="B1187" t="str">
            <v>Tomacorriente doble Grado Hosp naranja 8200 IG</v>
          </cell>
        </row>
        <row r="1188">
          <cell r="B1188" t="str">
            <v>Tornillo  1/4, 3/8</v>
          </cell>
        </row>
        <row r="1189">
          <cell r="B1189" t="str">
            <v>tornillo autoperforante 1/4 x 1</v>
          </cell>
        </row>
        <row r="1190">
          <cell r="B1190" t="str">
            <v>tornillo autoperforante 5/16x 1</v>
          </cell>
        </row>
        <row r="1191">
          <cell r="B1191" t="str">
            <v xml:space="preserve">tornillo autoperforante 5/16 </v>
          </cell>
        </row>
        <row r="1192">
          <cell r="B1192" t="str">
            <v>Tornillo acero inoxidable 3/8x1"</v>
          </cell>
        </row>
        <row r="1193">
          <cell r="B1193" t="str">
            <v>Tramites ante Electricaribe</v>
          </cell>
        </row>
        <row r="1194">
          <cell r="B1194" t="str">
            <v>Transformador corriente 10/20/5</v>
          </cell>
        </row>
        <row r="1195">
          <cell r="B1195" t="str">
            <v>Transformador De Control De 300VA</v>
          </cell>
        </row>
        <row r="1196">
          <cell r="B1196" t="str">
            <v>Transformador de corriente de 1200 a 5</v>
          </cell>
        </row>
        <row r="1197">
          <cell r="B1197" t="str">
            <v xml:space="preserve">Transformador de corriente de 300 a 5 </v>
          </cell>
        </row>
        <row r="1198">
          <cell r="B1198" t="str">
            <v>Transformador de corriente de 800 a 5</v>
          </cell>
        </row>
        <row r="1199">
          <cell r="B1199" t="str">
            <v>Transformador potencial 13200/120V</v>
          </cell>
        </row>
        <row r="1200">
          <cell r="B1200" t="str">
            <v>Transformador Trifasico 112,5 KVA 
13,200/120/220 V pad mounted</v>
          </cell>
        </row>
        <row r="1201">
          <cell r="B1201" t="str">
            <v>Transformador Trifasico 45 KVA 13,2/120/220 V</v>
          </cell>
        </row>
        <row r="1202">
          <cell r="B1202" t="str">
            <v>Transformador trifasico seco ahorrador suntec 225 KVA 13200/220/127 V</v>
          </cell>
        </row>
        <row r="1203">
          <cell r="B1203" t="str">
            <v>Transformador monofasico en vacio 10kva 13,2kv/240-120</v>
          </cell>
        </row>
        <row r="1204">
          <cell r="B1204" t="str">
            <v>Transformador monofasico en vacio 15kva 13,2kv/240-120</v>
          </cell>
        </row>
        <row r="1205">
          <cell r="B1205" t="str">
            <v>Transformador monofasico de 50kva.13,2kv 240/120</v>
          </cell>
        </row>
        <row r="1206">
          <cell r="B1206" t="str">
            <v>Triturado</v>
          </cell>
        </row>
        <row r="1207">
          <cell r="B1207" t="str">
            <v>Tuberia Acero 1" sch 40</v>
          </cell>
        </row>
        <row r="1208">
          <cell r="B1208" t="str">
            <v>Tuberia Acero 1/2" sch 40</v>
          </cell>
        </row>
        <row r="1209">
          <cell r="B1209" t="str">
            <v>Tuberia Acero 3/4" sch 40</v>
          </cell>
        </row>
        <row r="1210">
          <cell r="B1210" t="str">
            <v>Tuberia conduflex 1/2</v>
          </cell>
        </row>
        <row r="1211">
          <cell r="B1211" t="str">
            <v>Tuberia conduflex 3/4</v>
          </cell>
        </row>
        <row r="1212">
          <cell r="B1212" t="str">
            <v>Tuberia conduflex 1</v>
          </cell>
        </row>
        <row r="1213">
          <cell r="B1213" t="str">
            <v>Tuberia Conduit Galv. (IMC) De 1 1/2"</v>
          </cell>
        </row>
        <row r="1214">
          <cell r="B1214" t="str">
            <v>Tuberia Conduit Galv. (IMC) De 1 1/4"</v>
          </cell>
        </row>
        <row r="1215">
          <cell r="B1215" t="str">
            <v>Tuberia Conduit Galv. (IMC) De 1"</v>
          </cell>
        </row>
        <row r="1216">
          <cell r="B1216" t="str">
            <v>Tuberia Conduit Galv. (IMC) De 1/2"</v>
          </cell>
        </row>
        <row r="1217">
          <cell r="B1217" t="str">
            <v>Tuberia Conduit Galv. (IMC) De 2"</v>
          </cell>
        </row>
        <row r="1218">
          <cell r="B1218" t="str">
            <v>Tuberia Conduit Galv. (IMC) De 3"</v>
          </cell>
        </row>
        <row r="1219">
          <cell r="B1219" t="str">
            <v>Tuberia Conduit Galv. (IMC) De 3/4"</v>
          </cell>
        </row>
        <row r="1220">
          <cell r="B1220" t="str">
            <v>Tuberia Conduit Galv. (IMC) De 4"</v>
          </cell>
        </row>
        <row r="1221">
          <cell r="B1221" t="str">
            <v>Tuberia Conduit Galv. (Ridgid) De 1 1/2"</v>
          </cell>
        </row>
        <row r="1222">
          <cell r="B1222" t="str">
            <v>Tuberia Conduit Galv. (Ridgid) De 1 1/4"</v>
          </cell>
        </row>
        <row r="1223">
          <cell r="B1223" t="str">
            <v>Tuberia Conduit Galv. (Ridgid) De 1"</v>
          </cell>
        </row>
        <row r="1224">
          <cell r="B1224" t="str">
            <v>Tuberia Conduit Galv. (Ridgid) De 1/2"</v>
          </cell>
        </row>
        <row r="1225">
          <cell r="B1225" t="str">
            <v>Tuberia Conduit Galv. (Ridgid) De 2"</v>
          </cell>
        </row>
        <row r="1226">
          <cell r="B1226" t="str">
            <v>Tuberia Conduit Galv. (Ridgid) De 3"</v>
          </cell>
        </row>
        <row r="1227">
          <cell r="B1227" t="str">
            <v>Tuberia Conduit Galv. (Ridgid) De 3/4"</v>
          </cell>
        </row>
        <row r="1228">
          <cell r="B1228" t="str">
            <v>Tuberia Conduit Galv. (Ridgid) De 4"</v>
          </cell>
        </row>
        <row r="1229">
          <cell r="B1229" t="str">
            <v>Tuberia EMT De 1 1/2"</v>
          </cell>
        </row>
        <row r="1230">
          <cell r="B1230" t="str">
            <v>Tuberia EMT De 1 1/4"</v>
          </cell>
        </row>
        <row r="1231">
          <cell r="B1231" t="str">
            <v>Tuberia EMT De 1"</v>
          </cell>
        </row>
        <row r="1232">
          <cell r="B1232" t="str">
            <v>Tuberia EMT De 1/2"</v>
          </cell>
        </row>
        <row r="1233">
          <cell r="B1233" t="str">
            <v>Tubería EMT De 2"</v>
          </cell>
        </row>
        <row r="1234">
          <cell r="B1234" t="str">
            <v>Tuberia EMT De 3"</v>
          </cell>
        </row>
        <row r="1235">
          <cell r="B1235" t="str">
            <v>Tuberia EMT De 3/4"</v>
          </cell>
        </row>
        <row r="1236">
          <cell r="B1236" t="str">
            <v>Tuberia EMT De 4"</v>
          </cell>
        </row>
        <row r="1237">
          <cell r="B1237" t="str">
            <v>Tuberia Galv de 3/4"</v>
          </cell>
        </row>
        <row r="1238">
          <cell r="B1238" t="str">
            <v>Tuberia PVC De 1 1/2"</v>
          </cell>
        </row>
        <row r="1239">
          <cell r="B1239" t="str">
            <v>Tuberia PVC De 1"</v>
          </cell>
        </row>
        <row r="1240">
          <cell r="B1240" t="str">
            <v>Tuberia PVC De 1/2"</v>
          </cell>
        </row>
        <row r="1241">
          <cell r="B1241" t="str">
            <v>Tuberia PVC De 11/4"</v>
          </cell>
        </row>
        <row r="1242">
          <cell r="B1242" t="str">
            <v>Tuberia PVC De 2"</v>
          </cell>
        </row>
        <row r="1243">
          <cell r="B1243" t="str">
            <v>Tuberia PVC De 3"</v>
          </cell>
        </row>
        <row r="1244">
          <cell r="B1244" t="str">
            <v>Tuberia PVC De 3/4"</v>
          </cell>
        </row>
        <row r="1245">
          <cell r="B1245" t="str">
            <v>Tuberia PVC De 4"</v>
          </cell>
        </row>
        <row r="1246">
          <cell r="B1246" t="str">
            <v xml:space="preserve">Tubo termocontractil 10 -3 </v>
          </cell>
        </row>
        <row r="1247">
          <cell r="B1247" t="str">
            <v xml:space="preserve">Tubo termocontractil 16 -5 </v>
          </cell>
        </row>
        <row r="1248">
          <cell r="B1248" t="str">
            <v xml:space="preserve">Tubo termocontractil 25 -8 </v>
          </cell>
        </row>
        <row r="1249">
          <cell r="B1249" t="str">
            <v xml:space="preserve">Tubo Fluoresentes 54w t5 blanco </v>
          </cell>
        </row>
        <row r="1250">
          <cell r="B1250" t="str">
            <v xml:space="preserve">Tubos Fluoresentes 32w t-8 Azul </v>
          </cell>
        </row>
        <row r="1251">
          <cell r="B1251" t="str">
            <v xml:space="preserve">Tubos Fluoresentes 32w t-8 Rojo  </v>
          </cell>
        </row>
        <row r="1252">
          <cell r="B1252" t="str">
            <v xml:space="preserve">Tubos Fluoresentes 32w t-8 Verde </v>
          </cell>
        </row>
        <row r="1253">
          <cell r="B1253" t="str">
            <v>tubos fluorecentes t8 17w</v>
          </cell>
        </row>
        <row r="1254">
          <cell r="B1254" t="str">
            <v>tubos fluorecentes t8 32 w</v>
          </cell>
        </row>
        <row r="1255">
          <cell r="B1255" t="str">
            <v>tubos fluorecentes t12 48 w</v>
          </cell>
        </row>
        <row r="1256">
          <cell r="B1256" t="str">
            <v>Tuerca de ojo  5/8 - 3/4</v>
          </cell>
        </row>
        <row r="1257">
          <cell r="B1257" t="str">
            <v xml:space="preserve">Tuerca galvanizada </v>
          </cell>
        </row>
        <row r="1258">
          <cell r="B1258" t="str">
            <v>Tuerca Hexagonal de 1/2"</v>
          </cell>
        </row>
        <row r="1259">
          <cell r="B1259" t="str">
            <v>Tuerca Rectangular con Resorte</v>
          </cell>
        </row>
        <row r="1260">
          <cell r="B1260" t="str">
            <v>Tuercas De Ojo De 5/8"</v>
          </cell>
        </row>
        <row r="1261">
          <cell r="B1261" t="str">
            <v>Union 1" sch 40</v>
          </cell>
        </row>
        <row r="1262">
          <cell r="B1262" t="str">
            <v>Union 1/2" sch 40</v>
          </cell>
        </row>
        <row r="1263">
          <cell r="B1263" t="str">
            <v>Union 3/4" sch 40</v>
          </cell>
        </row>
        <row r="1264">
          <cell r="B1264" t="str">
            <v>Union conduit galvanizada (IMC) de 1 1/4"</v>
          </cell>
        </row>
        <row r="1265">
          <cell r="B1265" t="str">
            <v>Union conduit galvanizada (IMC) de 1"</v>
          </cell>
        </row>
        <row r="1266">
          <cell r="B1266" t="str">
            <v>Union conduit galvanizada (IMC) de 1/2"</v>
          </cell>
        </row>
        <row r="1267">
          <cell r="B1267" t="str">
            <v>Union conduit galvanizada (IMC) de 1-1/2"</v>
          </cell>
        </row>
        <row r="1268">
          <cell r="B1268" t="str">
            <v>Union conduit galvanizada (IMC) de 2"</v>
          </cell>
        </row>
        <row r="1269">
          <cell r="B1269" t="str">
            <v>Union conduit galvanizada (IMC) de 3"</v>
          </cell>
        </row>
        <row r="1270">
          <cell r="B1270" t="str">
            <v>Union conduit galvanizada (IMC) de 3/4"</v>
          </cell>
        </row>
        <row r="1271">
          <cell r="B1271" t="str">
            <v>Union conduit galvanizada (IMC) de 4"</v>
          </cell>
        </row>
        <row r="1272">
          <cell r="B1272" t="str">
            <v>Union conduit galvanizada (RIGID) de 1 1/2"</v>
          </cell>
        </row>
        <row r="1273">
          <cell r="B1273" t="str">
            <v>Union conduit galvanizada (RIGID) de 1"</v>
          </cell>
        </row>
        <row r="1274">
          <cell r="B1274" t="str">
            <v>Union conduit galvanizada (RIGID) de 1/2"</v>
          </cell>
        </row>
        <row r="1275">
          <cell r="B1275" t="str">
            <v>Union conduit galvanizada (RIGID) de 2"</v>
          </cell>
        </row>
        <row r="1276">
          <cell r="B1276" t="str">
            <v>Union conduit galvanizada (RIGID) de 3"</v>
          </cell>
        </row>
        <row r="1277">
          <cell r="B1277" t="str">
            <v>Union conduit galvanizada (RIGID) de 3/4"</v>
          </cell>
        </row>
        <row r="1278">
          <cell r="B1278" t="str">
            <v>Union conduit galvanizada (RIGID) de 4"</v>
          </cell>
        </row>
        <row r="1279">
          <cell r="B1279" t="str">
            <v>Union conduit PVC de 1"</v>
          </cell>
        </row>
        <row r="1280">
          <cell r="B1280" t="str">
            <v>Union conduit PVC de 1/2"</v>
          </cell>
        </row>
        <row r="1281">
          <cell r="B1281" t="str">
            <v>Union conduit PVC de 1-1/2"</v>
          </cell>
        </row>
        <row r="1282">
          <cell r="B1282" t="str">
            <v>Union conduit PVC de 2"</v>
          </cell>
        </row>
        <row r="1283">
          <cell r="B1283" t="str">
            <v>Union conduit PVC de 3"</v>
          </cell>
        </row>
        <row r="1284">
          <cell r="B1284" t="str">
            <v>Union conduit PVC de 3/4"</v>
          </cell>
        </row>
        <row r="1285">
          <cell r="B1285" t="str">
            <v>Union conduit PVC de 4"</v>
          </cell>
        </row>
        <row r="1286">
          <cell r="B1286" t="str">
            <v>Union EMT de 1</v>
          </cell>
        </row>
        <row r="1287">
          <cell r="B1287" t="str">
            <v>Union EMT de 1/2</v>
          </cell>
        </row>
        <row r="1288">
          <cell r="B1288" t="str">
            <v>Union EMT de 1-1/2</v>
          </cell>
        </row>
        <row r="1289">
          <cell r="B1289" t="str">
            <v>Union EMT de 2</v>
          </cell>
        </row>
        <row r="1290">
          <cell r="B1290" t="str">
            <v>Union EMT de 3</v>
          </cell>
        </row>
        <row r="1291">
          <cell r="B1291" t="str">
            <v>Union EMT de 3/4</v>
          </cell>
        </row>
        <row r="1292">
          <cell r="B1292" t="str">
            <v>Union EMT de 4</v>
          </cell>
        </row>
        <row r="1293">
          <cell r="B1293" t="str">
            <v>Union Universal De 1 1/2"</v>
          </cell>
        </row>
        <row r="1294">
          <cell r="B1294" t="str">
            <v>Union Universal De 1"</v>
          </cell>
        </row>
        <row r="1295">
          <cell r="B1295" t="str">
            <v>Union Universal De 1/2"</v>
          </cell>
        </row>
        <row r="1296">
          <cell r="B1296" t="str">
            <v>Union Universal De 2"</v>
          </cell>
        </row>
        <row r="1297">
          <cell r="B1297" t="str">
            <v>Union Universal De 3/4"</v>
          </cell>
        </row>
        <row r="1298">
          <cell r="B1298" t="str">
            <v>Varilla Copperweld 5/8 x 2,4 mts</v>
          </cell>
        </row>
        <row r="1299">
          <cell r="B1299" t="str">
            <v>Varilla Corrugada 1/2</v>
          </cell>
        </row>
        <row r="1300">
          <cell r="B1300" t="str">
            <v>Varilla Corrugada 3/8</v>
          </cell>
        </row>
        <row r="1301">
          <cell r="B1301" t="str">
            <v>Varilla De Anclaje De Acero Galvanizado 5/8" x 1,80 mts</v>
          </cell>
        </row>
        <row r="1302">
          <cell r="B1302" t="str">
            <v>Varilla Roscada</v>
          </cell>
        </row>
        <row r="1303">
          <cell r="B1303" t="str">
            <v>Vaselina</v>
          </cell>
        </row>
      </sheetData>
      <sheetData sheetId="3"/>
      <sheetData sheetId="4">
        <row r="2">
          <cell r="B2" t="str">
            <v>-</v>
          </cell>
        </row>
        <row r="3">
          <cell r="B3" t="str">
            <v>Alicate</v>
          </cell>
        </row>
        <row r="4">
          <cell r="B4" t="str">
            <v>Arnes</v>
          </cell>
        </row>
        <row r="5">
          <cell r="B5" t="str">
            <v>Copa Cierra</v>
          </cell>
        </row>
        <row r="6">
          <cell r="B6" t="str">
            <v>Corta Frio</v>
          </cell>
        </row>
        <row r="7">
          <cell r="B7" t="str">
            <v>Destonillador estria</v>
          </cell>
        </row>
        <row r="8">
          <cell r="B8" t="str">
            <v>Destornillador Bornero</v>
          </cell>
        </row>
        <row r="9">
          <cell r="B9" t="str">
            <v>Destornillador Pala</v>
          </cell>
        </row>
        <row r="10">
          <cell r="B10" t="str">
            <v>Dobla tubo</v>
          </cell>
        </row>
        <row r="11">
          <cell r="B11" t="str">
            <v>Escalera de tijera hasta 10 pasos</v>
          </cell>
        </row>
        <row r="12">
          <cell r="B12" t="str">
            <v>Escalera de extension hasta 24 pasos</v>
          </cell>
        </row>
        <row r="13">
          <cell r="B13" t="str">
            <v>Juego llave Allen</v>
          </cell>
        </row>
        <row r="14">
          <cell r="B14" t="str">
            <v>Llaves mixtas</v>
          </cell>
        </row>
        <row r="15">
          <cell r="B15" t="str">
            <v>Martillo</v>
          </cell>
        </row>
        <row r="16">
          <cell r="B16" t="str">
            <v>Molde cadwlet</v>
          </cell>
        </row>
        <row r="17">
          <cell r="B17" t="str">
            <v>Pinza para molde</v>
          </cell>
        </row>
        <row r="18">
          <cell r="B18" t="str">
            <v>Pinza voltiamperimetrica</v>
          </cell>
        </row>
        <row r="19">
          <cell r="B19" t="str">
            <v>Ponchadora</v>
          </cell>
        </row>
        <row r="20">
          <cell r="B20" t="str">
            <v>Pretales</v>
          </cell>
        </row>
        <row r="21">
          <cell r="B21" t="str">
            <v>Pulidora</v>
          </cell>
        </row>
        <row r="22">
          <cell r="B22" t="str">
            <v>Sacabocado hidraulico</v>
          </cell>
        </row>
        <row r="23">
          <cell r="B23" t="str">
            <v xml:space="preserve">Taladro </v>
          </cell>
        </row>
        <row r="24">
          <cell r="B24" t="str">
            <v>Taladro Percutor</v>
          </cell>
        </row>
        <row r="25">
          <cell r="B25" t="str">
            <v>Andamios</v>
          </cell>
        </row>
        <row r="26">
          <cell r="B26" t="str">
            <v xml:space="preserve">Mona </v>
          </cell>
        </row>
        <row r="27">
          <cell r="B27" t="str">
            <v>Cincel</v>
          </cell>
        </row>
        <row r="28">
          <cell r="B28" t="str">
            <v>Calentador Manual</v>
          </cell>
        </row>
        <row r="29">
          <cell r="B29" t="str">
            <v>Nivel</v>
          </cell>
        </row>
        <row r="30">
          <cell r="B30" t="str">
            <v>Sonda</v>
          </cell>
        </row>
        <row r="31">
          <cell r="B31" t="str">
            <v>metro</v>
          </cell>
        </row>
        <row r="32">
          <cell r="B32" t="str">
            <v>cegueta</v>
          </cell>
        </row>
        <row r="33">
          <cell r="B33" t="str">
            <v>caucho dobla tubo 1/2</v>
          </cell>
        </row>
        <row r="34">
          <cell r="B34" t="str">
            <v>caucho dobla tubo 3/4</v>
          </cell>
        </row>
        <row r="35">
          <cell r="B35" t="str">
            <v>cizalla</v>
          </cell>
        </row>
        <row r="36">
          <cell r="B36" t="str">
            <v>Tripode</v>
          </cell>
        </row>
        <row r="37">
          <cell r="B37" t="str">
            <v>Juego llave Ratchet</v>
          </cell>
        </row>
        <row r="38">
          <cell r="B38" t="str">
            <v>Zunchadora</v>
          </cell>
        </row>
        <row r="39">
          <cell r="B39" t="str">
            <v>Megger Aislamiento</v>
          </cell>
        </row>
        <row r="40">
          <cell r="B40" t="str">
            <v>Maquina soldar</v>
          </cell>
        </row>
        <row r="41">
          <cell r="B41" t="str">
            <v>Cinturon Herramientas</v>
          </cell>
        </row>
        <row r="42">
          <cell r="B42" t="str">
            <v>Caja de Herramientas</v>
          </cell>
        </row>
        <row r="43">
          <cell r="B43" t="str">
            <v>Navaja</v>
          </cell>
        </row>
        <row r="44">
          <cell r="B44" t="str">
            <v>Remachadora</v>
          </cell>
        </row>
        <row r="45">
          <cell r="B45" t="str">
            <v>Escuadra Profesional</v>
          </cell>
        </row>
        <row r="46">
          <cell r="B46" t="str">
            <v>Palaustre</v>
          </cell>
        </row>
        <row r="47">
          <cell r="B47" t="str">
            <v>Cinta Metrica x 30 mts</v>
          </cell>
        </row>
        <row r="48">
          <cell r="B48" t="str">
            <v>Analizador de Redes</v>
          </cell>
        </row>
        <row r="49">
          <cell r="B49" t="str">
            <v>Pertiga</v>
          </cell>
        </row>
        <row r="50">
          <cell r="B50" t="str">
            <v>celular</v>
          </cell>
        </row>
      </sheetData>
      <sheetData sheetId="5">
        <row r="3">
          <cell r="B3" t="str">
            <v>-</v>
          </cell>
        </row>
        <row r="4">
          <cell r="B4" t="str">
            <v>Hora Hombre ayudante en horario diurno</v>
          </cell>
        </row>
        <row r="5">
          <cell r="B5" t="str">
            <v>Hora Hombre Oficial Eléctrico (con licencia Conte con categoria T1 y T3 en horario diurno)</v>
          </cell>
        </row>
        <row r="6">
          <cell r="B6" t="str">
            <v>Hombre día de Oficial Eléctrico (con licencia Conte con la categoría T5 (Técnico en Redes) en horario diurno</v>
          </cell>
        </row>
        <row r="7">
          <cell r="B7" t="str">
            <v>Hombre dia oficial Soldador diurno</v>
          </cell>
        </row>
        <row r="8">
          <cell r="B8" t="str">
            <v>Hora Hombre Técnico Dibujante Diurno</v>
          </cell>
        </row>
        <row r="9">
          <cell r="B9" t="str">
            <v xml:space="preserve">Hora Hombre Supervisor de seguridad </v>
          </cell>
        </row>
        <row r="10">
          <cell r="B10" t="str">
            <v xml:space="preserve">Hora Hombre Supervisor eléctricista residente  </v>
          </cell>
        </row>
        <row r="11">
          <cell r="B11" t="str">
            <v xml:space="preserve">Hora Hombre Ingeniero eléctricista residente de obra </v>
          </cell>
        </row>
        <row r="12">
          <cell r="B12">
            <v>0</v>
          </cell>
        </row>
        <row r="13">
          <cell r="B13">
            <v>0</v>
          </cell>
        </row>
        <row r="14">
          <cell r="B14">
            <v>0</v>
          </cell>
        </row>
        <row r="15">
          <cell r="B15">
            <v>0</v>
          </cell>
        </row>
        <row r="16">
          <cell r="B16">
            <v>0</v>
          </cell>
        </row>
        <row r="17">
          <cell r="B17">
            <v>0</v>
          </cell>
        </row>
        <row r="18">
          <cell r="B18">
            <v>0</v>
          </cell>
        </row>
        <row r="19">
          <cell r="B19">
            <v>0</v>
          </cell>
        </row>
        <row r="20">
          <cell r="B20">
            <v>0</v>
          </cell>
        </row>
        <row r="21">
          <cell r="B21">
            <v>0</v>
          </cell>
        </row>
        <row r="22">
          <cell r="B22">
            <v>0</v>
          </cell>
        </row>
        <row r="23">
          <cell r="B23">
            <v>0</v>
          </cell>
        </row>
        <row r="24">
          <cell r="B24">
            <v>0</v>
          </cell>
        </row>
      </sheetData>
      <sheetData sheetId="6">
        <row r="5">
          <cell r="C5" t="str">
            <v>-</v>
          </cell>
        </row>
        <row r="6">
          <cell r="C6" t="str">
            <v>CAMION TURBO NHR CHEVROLET</v>
          </cell>
        </row>
        <row r="7">
          <cell r="C7" t="str">
            <v>GRUA HIDRAULICA</v>
          </cell>
        </row>
        <row r="8">
          <cell r="C8" t="str">
            <v>CAMION TURBO NPR</v>
          </cell>
        </row>
        <row r="9">
          <cell r="C9" t="str">
            <v xml:space="preserve">Grua carga postes brazo extensor hidraulico </v>
          </cell>
        </row>
        <row r="10">
          <cell r="C10" t="str">
            <v>camioneta DC</v>
          </cell>
        </row>
        <row r="11">
          <cell r="C11" t="str">
            <v>Volqueta</v>
          </cell>
        </row>
        <row r="12">
          <cell r="C12" t="str">
            <v>Pajarita</v>
          </cell>
        </row>
        <row r="13">
          <cell r="C13">
            <v>0</v>
          </cell>
        </row>
        <row r="14">
          <cell r="C14">
            <v>0</v>
          </cell>
        </row>
        <row r="15">
          <cell r="C15">
            <v>0</v>
          </cell>
        </row>
        <row r="16">
          <cell r="C16">
            <v>0</v>
          </cell>
        </row>
        <row r="17">
          <cell r="C17">
            <v>0</v>
          </cell>
        </row>
        <row r="18">
          <cell r="C18">
            <v>0</v>
          </cell>
        </row>
        <row r="19">
          <cell r="C19">
            <v>0</v>
          </cell>
        </row>
        <row r="20">
          <cell r="C20">
            <v>0</v>
          </cell>
        </row>
        <row r="21">
          <cell r="C21">
            <v>0</v>
          </cell>
        </row>
        <row r="22">
          <cell r="C22">
            <v>0</v>
          </cell>
        </row>
        <row r="23">
          <cell r="C23">
            <v>0</v>
          </cell>
        </row>
        <row r="24">
          <cell r="C24">
            <v>0</v>
          </cell>
        </row>
        <row r="25">
          <cell r="C25">
            <v>0</v>
          </cell>
        </row>
        <row r="26">
          <cell r="C26">
            <v>0</v>
          </cell>
        </row>
        <row r="27">
          <cell r="C27">
            <v>0</v>
          </cell>
        </row>
        <row r="28">
          <cell r="C28">
            <v>0</v>
          </cell>
        </row>
        <row r="29">
          <cell r="C29">
            <v>0</v>
          </cell>
        </row>
        <row r="30">
          <cell r="C30">
            <v>0</v>
          </cell>
        </row>
        <row r="31">
          <cell r="C31">
            <v>0</v>
          </cell>
        </row>
        <row r="32">
          <cell r="C32">
            <v>0</v>
          </cell>
        </row>
        <row r="33">
          <cell r="C33">
            <v>0</v>
          </cell>
        </row>
        <row r="34">
          <cell r="C34">
            <v>0</v>
          </cell>
        </row>
        <row r="35">
          <cell r="C35">
            <v>0</v>
          </cell>
        </row>
        <row r="36">
          <cell r="C36">
            <v>0</v>
          </cell>
        </row>
        <row r="37">
          <cell r="C37">
            <v>0</v>
          </cell>
        </row>
        <row r="38">
          <cell r="C38">
            <v>0</v>
          </cell>
        </row>
        <row r="39">
          <cell r="C39">
            <v>0</v>
          </cell>
        </row>
        <row r="40">
          <cell r="C40">
            <v>0</v>
          </cell>
        </row>
        <row r="41">
          <cell r="C41">
            <v>0</v>
          </cell>
        </row>
      </sheetData>
      <sheetData sheetId="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
      <sheetName val="Materiales "/>
      <sheetName val="Trabajos"/>
      <sheetName val="Mano Obra"/>
      <sheetName val="Hoja1"/>
      <sheetName val="Hoja2"/>
      <sheetName val="Hoja3"/>
    </sheetNames>
    <sheetDataSet>
      <sheetData sheetId="0" refreshError="1"/>
      <sheetData sheetId="1">
        <row r="2">
          <cell r="C2" t="str">
            <v>-</v>
          </cell>
        </row>
        <row r="3">
          <cell r="C3" t="str">
            <v>Abrazadera de 6-7</v>
          </cell>
        </row>
        <row r="4">
          <cell r="C4" t="str">
            <v>Abrazadera de 7-8</v>
          </cell>
        </row>
        <row r="5">
          <cell r="C5" t="str">
            <v>Abrazadera de 8-9</v>
          </cell>
        </row>
        <row r="6">
          <cell r="C6" t="str">
            <v>Abrazadera Doble Ala</v>
          </cell>
        </row>
        <row r="7">
          <cell r="C7" t="str">
            <v>Accesorios De Fijación</v>
          </cell>
        </row>
        <row r="8">
          <cell r="C8" t="str">
            <v>Acero De Refuerzo</v>
          </cell>
        </row>
        <row r="9">
          <cell r="C9" t="str">
            <v>Acople de explosión 1 1/2"</v>
          </cell>
        </row>
        <row r="10">
          <cell r="C10" t="str">
            <v>Acople de explosión 1"</v>
          </cell>
        </row>
        <row r="11">
          <cell r="C11" t="str">
            <v>Acople de explosión 1/2"</v>
          </cell>
        </row>
        <row r="12">
          <cell r="C12" t="str">
            <v>Acople de explosión 2"</v>
          </cell>
        </row>
        <row r="13">
          <cell r="C13" t="str">
            <v>Acople de explosión 3/4"</v>
          </cell>
        </row>
        <row r="14">
          <cell r="C14" t="str">
            <v>Acrílico</v>
          </cell>
        </row>
        <row r="15">
          <cell r="C15" t="str">
            <v>Adaptador Hembra PVC 1 1/2"</v>
          </cell>
        </row>
        <row r="16">
          <cell r="C16" t="str">
            <v>Adaptador Hembra PVC 1 1/4"</v>
          </cell>
        </row>
        <row r="17">
          <cell r="C17" t="str">
            <v>Adaptador Hembra PVC 1"</v>
          </cell>
        </row>
        <row r="18">
          <cell r="C18" t="str">
            <v>Adaptador Hembra PVC 2"</v>
          </cell>
        </row>
        <row r="19">
          <cell r="C19" t="str">
            <v>Adaptador Hembra PVC 3"</v>
          </cell>
        </row>
        <row r="20">
          <cell r="C20" t="str">
            <v>Adaptador Hembra PVC 3/4"</v>
          </cell>
        </row>
        <row r="21">
          <cell r="C21" t="str">
            <v>Adaptador Hembra PVC1/2"</v>
          </cell>
        </row>
        <row r="22">
          <cell r="C22" t="str">
            <v>Adaptador Hembra PVC4"</v>
          </cell>
        </row>
        <row r="23">
          <cell r="C23" t="str">
            <v>Adaptador Terminal PVC 1 1/2"</v>
          </cell>
        </row>
        <row r="24">
          <cell r="C24" t="str">
            <v>Adaptador Terminal PVC 1 1/4"</v>
          </cell>
        </row>
        <row r="25">
          <cell r="C25" t="str">
            <v>Adaptador Terminal PVC 1"</v>
          </cell>
        </row>
        <row r="26">
          <cell r="C26" t="str">
            <v>Adaptador Terminal PVC 1/2"</v>
          </cell>
        </row>
        <row r="27">
          <cell r="C27" t="str">
            <v>Adaptador Terminal PVC 2"</v>
          </cell>
        </row>
        <row r="28">
          <cell r="C28" t="str">
            <v>Adaptador Terminal PVC 3"</v>
          </cell>
        </row>
        <row r="29">
          <cell r="C29" t="str">
            <v>Adaptador Terminal PVC 3/4"</v>
          </cell>
        </row>
        <row r="30">
          <cell r="C30" t="str">
            <v>Adaptador Terminal PVC 4"</v>
          </cell>
        </row>
        <row r="31">
          <cell r="C31" t="str">
            <v>Agua</v>
          </cell>
        </row>
        <row r="32">
          <cell r="C32" t="str">
            <v>Aislador Para Barraje</v>
          </cell>
        </row>
        <row r="33">
          <cell r="C33" t="str">
            <v>Aislador Polimérico 13.2 kv</v>
          </cell>
        </row>
        <row r="34">
          <cell r="C34" t="str">
            <v>Aislador Polimérico 7.2 kv</v>
          </cell>
        </row>
        <row r="35">
          <cell r="C35" t="str">
            <v>Aislador Polimérico De Retención para 13.2kv.</v>
          </cell>
        </row>
        <row r="36">
          <cell r="C36" t="str">
            <v>Aislador Polimérico De Retención para 24kv.</v>
          </cell>
        </row>
        <row r="37">
          <cell r="C37" t="str">
            <v>Aislador Polimérico para 4160v</v>
          </cell>
        </row>
        <row r="38">
          <cell r="C38" t="str">
            <v>Aislador Post-Line para 13,2kv</v>
          </cell>
        </row>
        <row r="39">
          <cell r="C39" t="str">
            <v>Aislador Post-Line para 24kv</v>
          </cell>
        </row>
        <row r="40">
          <cell r="C40" t="str">
            <v>Aislador Post-Line para 34kv</v>
          </cell>
        </row>
        <row r="41">
          <cell r="C41" t="str">
            <v>Aislador Post-Line para 4160kv</v>
          </cell>
        </row>
        <row r="42">
          <cell r="C42" t="str">
            <v>Aisladores para barraje 25mm</v>
          </cell>
        </row>
        <row r="43">
          <cell r="C43" t="str">
            <v>Aisladores para barraje 30 mm</v>
          </cell>
        </row>
        <row r="44">
          <cell r="C44" t="str">
            <v>Aisladores para barraje 35 mm</v>
          </cell>
        </row>
        <row r="45">
          <cell r="C45" t="str">
            <v>Aisladores para barraje 51 mm</v>
          </cell>
        </row>
        <row r="46">
          <cell r="C46" t="str">
            <v>Aislador Tensor 3"</v>
          </cell>
        </row>
        <row r="47">
          <cell r="C47" t="str">
            <v>Aislador Tensor 4"</v>
          </cell>
        </row>
        <row r="48">
          <cell r="C48" t="str">
            <v>Aisladores De Disco 10"</v>
          </cell>
        </row>
        <row r="49">
          <cell r="C49" t="str">
            <v>Aisladores Multipart (line post)</v>
          </cell>
        </row>
        <row r="50">
          <cell r="C50" t="str">
            <v>Aisladores Tipo Carrete 3 3/8"</v>
          </cell>
        </row>
        <row r="51">
          <cell r="C51" t="str">
            <v>Ajustador PINTUCO ref. 121.135</v>
          </cell>
        </row>
        <row r="52">
          <cell r="C52" t="str">
            <v>Alambre cobre desnudo # 10</v>
          </cell>
        </row>
        <row r="53">
          <cell r="C53" t="str">
            <v>Alambre cobre desnudo # 12</v>
          </cell>
        </row>
        <row r="54">
          <cell r="C54" t="str">
            <v>Alambre De Cobre Desnudo #10 AWG</v>
          </cell>
        </row>
        <row r="55">
          <cell r="C55" t="str">
            <v>Alambre De Cobre Desnudo #12 AWG</v>
          </cell>
        </row>
        <row r="56">
          <cell r="C56" t="str">
            <v>Alambre forrado THWN # 10</v>
          </cell>
        </row>
        <row r="57">
          <cell r="C57" t="str">
            <v>Alambre forrado THWN # 12</v>
          </cell>
        </row>
        <row r="58">
          <cell r="C58" t="str">
            <v>Alambre forrado THWN # 14</v>
          </cell>
        </row>
        <row r="59">
          <cell r="C59" t="str">
            <v>Alambre Negro No.18</v>
          </cell>
        </row>
        <row r="60">
          <cell r="C60" t="str">
            <v>Alambre No 10 THHN Amarillo</v>
          </cell>
        </row>
        <row r="61">
          <cell r="C61" t="str">
            <v>Alambre No 10 THHN Azul</v>
          </cell>
        </row>
        <row r="62">
          <cell r="C62" t="str">
            <v>Alambre No 10 THHN Blanco</v>
          </cell>
        </row>
        <row r="63">
          <cell r="C63" t="str">
            <v>Alambre No 10 THHN Negro</v>
          </cell>
        </row>
        <row r="64">
          <cell r="C64" t="str">
            <v>Alambre No 10 THHN Rojo</v>
          </cell>
        </row>
        <row r="65">
          <cell r="C65" t="str">
            <v>Alambre No 12 THHN Amarillo</v>
          </cell>
        </row>
        <row r="66">
          <cell r="C66" t="str">
            <v>Alambre No 12 THHN Azul</v>
          </cell>
        </row>
        <row r="67">
          <cell r="C67" t="str">
            <v>Alambre No 12 THHN Blanco</v>
          </cell>
        </row>
        <row r="68">
          <cell r="C68" t="str">
            <v>Alambre No 12 THHN Negro</v>
          </cell>
        </row>
        <row r="69">
          <cell r="C69" t="str">
            <v>Alambre No 12 THHN Rojo</v>
          </cell>
        </row>
        <row r="70">
          <cell r="C70" t="str">
            <v>Alambre No 12 THHN verde</v>
          </cell>
        </row>
        <row r="71">
          <cell r="C71" t="str">
            <v>Alambre No 14 THHN</v>
          </cell>
        </row>
        <row r="72">
          <cell r="C72" t="str">
            <v>Alambre No 8 THHN</v>
          </cell>
        </row>
        <row r="73">
          <cell r="C73" t="str">
            <v>Alambre Verde</v>
          </cell>
        </row>
        <row r="74">
          <cell r="C74" t="str">
            <v>Amarra plastica 10"</v>
          </cell>
        </row>
        <row r="75">
          <cell r="C75" t="str">
            <v>Amarra plastica 4"</v>
          </cell>
        </row>
        <row r="76">
          <cell r="C76" t="str">
            <v>Amarra plastica 8"</v>
          </cell>
        </row>
        <row r="77">
          <cell r="C77" t="str">
            <v>Amarras Plásticas</v>
          </cell>
        </row>
        <row r="78">
          <cell r="C78" t="str">
            <v>Amortiguador Para Cable De Guarda</v>
          </cell>
        </row>
        <row r="79">
          <cell r="C79" t="str">
            <v>Amortiguador Para Línea De 69kv Para Cable AAAC de 556.5mcm</v>
          </cell>
        </row>
        <row r="80">
          <cell r="C80" t="str">
            <v>Anclaje de 3/8 x 3"</v>
          </cell>
        </row>
        <row r="81">
          <cell r="C81" t="str">
            <v>Anclaje hilti HD4</v>
          </cell>
        </row>
        <row r="82">
          <cell r="C82" t="str">
            <v>Anclaje plastico 1/4"</v>
          </cell>
        </row>
        <row r="83">
          <cell r="C83" t="str">
            <v xml:space="preserve">Angulo acero inoxidable 3/16 x 1 1/2" </v>
          </cell>
        </row>
        <row r="84">
          <cell r="C84" t="str">
            <v xml:space="preserve">Angulo acero inoxidable 3/16 x 2" </v>
          </cell>
        </row>
        <row r="85">
          <cell r="C85" t="str">
            <v>Angulo de 1/4"x2"x2" x 1250</v>
          </cell>
        </row>
        <row r="86">
          <cell r="C86" t="str">
            <v>Angulo de 1/4"x2"x2" x 950</v>
          </cell>
        </row>
        <row r="87">
          <cell r="C87" t="str">
            <v>Angulo de 3/16x1x6mts</v>
          </cell>
        </row>
        <row r="88">
          <cell r="C88" t="str">
            <v>Angulo perforado para techo</v>
          </cell>
        </row>
        <row r="89">
          <cell r="C89" t="str">
            <v>Arandela 1/2; 5/8; 11/16; 3/4</v>
          </cell>
        </row>
        <row r="90">
          <cell r="C90" t="str">
            <v>Arandela Cuadrada 11/16"</v>
          </cell>
        </row>
        <row r="91">
          <cell r="C91" t="str">
            <v>Arandela Cuadrada 9/16"</v>
          </cell>
        </row>
        <row r="92">
          <cell r="C92" t="str">
            <v>Arandela De 2x2  de 5/8</v>
          </cell>
        </row>
        <row r="93">
          <cell r="C93" t="str">
            <v>Arandela De presion</v>
          </cell>
        </row>
        <row r="94">
          <cell r="C94" t="str">
            <v>Arandela plana redonda 5/8</v>
          </cell>
        </row>
        <row r="95">
          <cell r="C95" t="str">
            <v>Arena</v>
          </cell>
        </row>
        <row r="96">
          <cell r="C96" t="str">
            <v>Arnés de seguridad (1)</v>
          </cell>
        </row>
        <row r="97">
          <cell r="C97" t="str">
            <v>Arrancador GV2DM103</v>
          </cell>
        </row>
        <row r="98">
          <cell r="C98" t="str">
            <v>Arrancador GV2DM104</v>
          </cell>
        </row>
        <row r="99">
          <cell r="C99" t="str">
            <v>Arrancador GV2DM105</v>
          </cell>
        </row>
        <row r="100">
          <cell r="C100" t="str">
            <v>Arrancador GV2DM106</v>
          </cell>
        </row>
        <row r="101">
          <cell r="C101" t="str">
            <v>Arrancador GV2DM107</v>
          </cell>
        </row>
        <row r="102">
          <cell r="C102" t="str">
            <v>Arrancador GV2DM108</v>
          </cell>
        </row>
        <row r="103">
          <cell r="C103" t="str">
            <v>Arrancador GV2DM110</v>
          </cell>
        </row>
        <row r="104">
          <cell r="C104" t="str">
            <v>Arrancador GV2DM114</v>
          </cell>
        </row>
        <row r="105">
          <cell r="C105" t="str">
            <v>Arrancador GV2DM116</v>
          </cell>
        </row>
        <row r="106">
          <cell r="C106" t="str">
            <v>Arrancador GV2DM120</v>
          </cell>
        </row>
        <row r="107">
          <cell r="C107" t="str">
            <v>Arrancador GV2DM121</v>
          </cell>
        </row>
        <row r="108">
          <cell r="C108" t="str">
            <v>Arrancador GV2DM122</v>
          </cell>
        </row>
        <row r="109">
          <cell r="C109" t="str">
            <v>Arrancador GV2DM132</v>
          </cell>
        </row>
        <row r="110">
          <cell r="C110" t="str">
            <v>Arrancador luminaria MH 250W</v>
          </cell>
        </row>
        <row r="111">
          <cell r="C111" t="str">
            <v>Avisos En Acrílico y Vinilo Reflectivo  0.3 x 0.4 m</v>
          </cell>
        </row>
        <row r="112">
          <cell r="C112" t="str">
            <v xml:space="preserve">Balasto de 175 a 400 W MH  CWA  </v>
          </cell>
        </row>
        <row r="113">
          <cell r="C113" t="str">
            <v xml:space="preserve">Balasto de 250 a 400 W sodio  CWA </v>
          </cell>
        </row>
        <row r="114">
          <cell r="C114" t="str">
            <v>Balasto de 250 W MH  220 V</v>
          </cell>
        </row>
        <row r="115">
          <cell r="C115" t="str">
            <v>Balasto de 4x32 electronico 120V T8</v>
          </cell>
        </row>
        <row r="116">
          <cell r="C116" t="str">
            <v xml:space="preserve">Balasto de 70 a 150 W sodio  CWA </v>
          </cell>
        </row>
        <row r="117">
          <cell r="C117" t="str">
            <v>Balasto Electronico 4 x 17w</v>
          </cell>
        </row>
        <row r="118">
          <cell r="C118" t="str">
            <v>BALASTO ELECTRONICO DE 2 x 32 W. T-8 PHILLLIPS</v>
          </cell>
        </row>
        <row r="119">
          <cell r="C119" t="str">
            <v>BALASTO SLIN LINE DE 2 X 48" 39W.</v>
          </cell>
        </row>
        <row r="120">
          <cell r="C120" t="str">
            <v>Balasto reactor de 250 W MH  220 V</v>
          </cell>
        </row>
        <row r="121">
          <cell r="C121" t="str">
            <v>Baldosa Granito</v>
          </cell>
        </row>
        <row r="122">
          <cell r="C122" t="str">
            <v>Banda galvanizada de 6-7</v>
          </cell>
        </row>
        <row r="123">
          <cell r="C123" t="str">
            <v>Banda soporte de 1/2"</v>
          </cell>
        </row>
        <row r="124">
          <cell r="C124" t="str">
            <v>Bandeja Portacables Galv. 10 x 8cm</v>
          </cell>
        </row>
        <row r="125">
          <cell r="C125" t="str">
            <v>Bandeja Portacables Galv. 20 liv</v>
          </cell>
        </row>
        <row r="126">
          <cell r="C126" t="str">
            <v>Bandeja Portacables Galv. 20 x 8cm</v>
          </cell>
        </row>
        <row r="127">
          <cell r="C127" t="str">
            <v>Bandeja Portacables Galv. 30 x 8cm</v>
          </cell>
        </row>
        <row r="128">
          <cell r="C128" t="str">
            <v>Bandeja Portacables Galv. 40 x 8cm</v>
          </cell>
        </row>
        <row r="129">
          <cell r="C129" t="str">
            <v>Barraje De 316*2*0.33 m</v>
          </cell>
        </row>
        <row r="130">
          <cell r="C130" t="str">
            <v>Barraje de cobre De  1/4 x 1 1/2”</v>
          </cell>
        </row>
        <row r="131">
          <cell r="C131" t="str">
            <v>Barraje de cobre De  1/4 x 1” -</v>
          </cell>
        </row>
        <row r="132">
          <cell r="C132" t="str">
            <v>Barraje de cobre De  1/4 x 2” -</v>
          </cell>
        </row>
        <row r="133">
          <cell r="C133" t="str">
            <v>Barraje de cobre De  1/8 x 1/2” -</v>
          </cell>
        </row>
        <row r="134">
          <cell r="C134" t="str">
            <v xml:space="preserve">Barraje de cobre De  1/8 x3/4” </v>
          </cell>
        </row>
        <row r="135">
          <cell r="C135" t="str">
            <v>Barraje de cobre De  3/16 x 3/4”</v>
          </cell>
        </row>
        <row r="136">
          <cell r="C136" t="str">
            <v>Barraje de cobre De  3/8 x 2” -</v>
          </cell>
        </row>
        <row r="137">
          <cell r="C137" t="str">
            <v xml:space="preserve">Barraje de cobre De  3/8 x 3” </v>
          </cell>
        </row>
        <row r="138">
          <cell r="C138" t="str">
            <v>Barraje de cobre De  5/16 x 2” -</v>
          </cell>
        </row>
        <row r="139">
          <cell r="C139" t="str">
            <v>Barraje de cobre De  5/16 x 3”</v>
          </cell>
        </row>
        <row r="140">
          <cell r="C140" t="str">
            <v>Base autoadhesiva 21x21</v>
          </cell>
        </row>
        <row r="141">
          <cell r="C141" t="str">
            <v>Base autoadhesiva 25x25</v>
          </cell>
        </row>
        <row r="142">
          <cell r="C142" t="str">
            <v>Base de bronce</v>
          </cell>
        </row>
        <row r="143">
          <cell r="C143" t="str">
            <v>Base Fotocelda</v>
          </cell>
        </row>
        <row r="144">
          <cell r="C144" t="str">
            <v>Base rele 11 pines</v>
          </cell>
        </row>
        <row r="145">
          <cell r="C145" t="str">
            <v>Bayoneta Doble 1/4 x 2 1/2 x 1 m</v>
          </cell>
        </row>
        <row r="146">
          <cell r="C146" t="str">
            <v>Bayoneta Sencilla 1/4 x 2 1/2 x 1 m</v>
          </cell>
        </row>
        <row r="147">
          <cell r="C147" t="str">
            <v>Bombilla de MH  1000 W</v>
          </cell>
        </row>
        <row r="148">
          <cell r="C148" t="str">
            <v>Bombilla de MH  150 - 250 W</v>
          </cell>
        </row>
        <row r="149">
          <cell r="C149" t="str">
            <v>Bombilla de MH  400 W</v>
          </cell>
        </row>
        <row r="150">
          <cell r="C150" t="str">
            <v>Bombilla de neon o tipo bayoneta piloto o pulsadores luminosos</v>
          </cell>
        </row>
        <row r="151">
          <cell r="C151" t="str">
            <v>Bombilla de sodio 1000  W</v>
          </cell>
        </row>
        <row r="152">
          <cell r="C152" t="str">
            <v>Bombilla de sodio 70 -400  W</v>
          </cell>
        </row>
        <row r="153">
          <cell r="C153" t="str">
            <v>Bombilla incandescente de 100 W</v>
          </cell>
        </row>
        <row r="154">
          <cell r="C154" t="str">
            <v>Bombilla luz mixta 160 W  110V</v>
          </cell>
        </row>
        <row r="155">
          <cell r="C155" t="str">
            <v>Bombillo ahorrador de 11- 23 W</v>
          </cell>
        </row>
        <row r="156">
          <cell r="C156" t="str">
            <v>Bonder Alambre No. 4 Cobre Desnudo</v>
          </cell>
        </row>
        <row r="157">
          <cell r="C157" t="str">
            <v>Boquilla 1 1/2"  aislada</v>
          </cell>
        </row>
        <row r="158">
          <cell r="C158" t="str">
            <v>Boquilla 1"   aislada</v>
          </cell>
        </row>
        <row r="159">
          <cell r="C159" t="str">
            <v>Boquilla 1/2"  aislada</v>
          </cell>
        </row>
        <row r="160">
          <cell r="C160" t="str">
            <v>Boquilla 2"  aislada</v>
          </cell>
        </row>
        <row r="161">
          <cell r="C161" t="str">
            <v>Boquilla 3"  aislada</v>
          </cell>
        </row>
        <row r="162">
          <cell r="C162" t="str">
            <v>Boquilla 3/4"  aislada</v>
          </cell>
        </row>
        <row r="163">
          <cell r="C163" t="str">
            <v>Boquilla 4"  aislada</v>
          </cell>
        </row>
        <row r="164">
          <cell r="C164" t="str">
            <v>Borna de conexión 24 amps</v>
          </cell>
        </row>
        <row r="165">
          <cell r="C165" t="str">
            <v>Borna de conexión cable 10  47 amps</v>
          </cell>
        </row>
        <row r="166">
          <cell r="C166" t="str">
            <v>Bota pre moldeada termo contráctil  de 4” para cable  XenLPE hasta el 4/0</v>
          </cell>
        </row>
        <row r="167">
          <cell r="C167" t="str">
            <v>BOTON SELECTOR 2 POSICIONES X B4BD33</v>
          </cell>
        </row>
        <row r="168">
          <cell r="C168" t="str">
            <v>Brazo para luminaria Calima</v>
          </cell>
        </row>
        <row r="169">
          <cell r="C169" t="str">
            <v>Brazo pa iluminacion galv. 1 1/4 x 2mts</v>
          </cell>
        </row>
        <row r="170">
          <cell r="C170" t="str">
            <v xml:space="preserve">Breaker 3x20 tipo riel </v>
          </cell>
        </row>
        <row r="171">
          <cell r="C171" t="str">
            <v xml:space="preserve">Breaker 3x40 tipo riel </v>
          </cell>
        </row>
        <row r="172">
          <cell r="C172" t="str">
            <v>Breaker con unidad magnetica MA 100 
ref 430835 NSX 160H</v>
          </cell>
        </row>
        <row r="173">
          <cell r="C173" t="str">
            <v>Breaker enchufable 1x20 amps</v>
          </cell>
        </row>
        <row r="174">
          <cell r="C174" t="str">
            <v>Breaker enchufable 2x20 amps</v>
          </cell>
        </row>
        <row r="175">
          <cell r="C175" t="str">
            <v>Breaker enchufable 2x30 amps</v>
          </cell>
        </row>
        <row r="176">
          <cell r="C176" t="str">
            <v>Breaker enchufable 2x40 amps</v>
          </cell>
        </row>
        <row r="177">
          <cell r="C177" t="str">
            <v>Breaker enchufable 3x20 amps</v>
          </cell>
        </row>
        <row r="178">
          <cell r="C178" t="str">
            <v>Breaker enchufable 3x30 amps</v>
          </cell>
        </row>
        <row r="179">
          <cell r="C179" t="str">
            <v>Breaker enchufable 3x40 amps</v>
          </cell>
        </row>
        <row r="180">
          <cell r="C180" t="str">
            <v>Breaker enchufable HOM GFI 1x20 amps</v>
          </cell>
        </row>
        <row r="181">
          <cell r="C181" t="str">
            <v>Breaker Industrial 3f En Caja Moldeable Ajustable De 100-125 Amp, 250v 85ka</v>
          </cell>
        </row>
        <row r="182">
          <cell r="C182" t="str">
            <v>Breaker Industrial 3f En Caja Moldeable Ajustable De 128-160 Amp, 250v 85ka</v>
          </cell>
        </row>
        <row r="183">
          <cell r="C183" t="str">
            <v>Breaker Industrial 3f En Caja Moldeable Ajustable De 160-200 Amp, 250v 85ka</v>
          </cell>
        </row>
        <row r="184">
          <cell r="C184" t="str">
            <v>Breaker Industrial 3f En Caja Moldeable Ajustable De 160-400 Amp, 250v 40ka ref LV540306</v>
          </cell>
        </row>
        <row r="185">
          <cell r="C185" t="str">
            <v>Breaker Industrial 3f En Caja Moldeable Ajustable De 200-250 Amp, 250v 85ka</v>
          </cell>
        </row>
        <row r="186">
          <cell r="C186" t="str">
            <v>Breaker Industrial 3f En Caja Moldeable Ajustable De 224-320 Amp, 250v 40 ka ref LV540305</v>
          </cell>
        </row>
        <row r="187">
          <cell r="C187" t="str">
            <v>Breaker Industrial 3f En Caja Moldeable Ajustable De 32-40 Amp, 250v 40ka</v>
          </cell>
        </row>
        <row r="188">
          <cell r="C188" t="str">
            <v>Breaker Industrial 3f En Caja Moldeable Ajustable De 50.4-63 Amp,  250v 40ka</v>
          </cell>
        </row>
        <row r="189">
          <cell r="C189" t="str">
            <v>Breaker Industrial 3f En Caja Moldeable Ajustable De 64-80 Amp,  250v 40ka</v>
          </cell>
        </row>
        <row r="190">
          <cell r="C190" t="str">
            <v xml:space="preserve">Breaker Industrial 3f En Caja Moldeable Ajustable De 80-100 Amp ,250v 40ka, </v>
          </cell>
        </row>
        <row r="191">
          <cell r="C191" t="str">
            <v>Breaker Industrial 3f En Caja Moldeable De 15 Amp, Para Montaje En Riel Omega, 250v 10ka</v>
          </cell>
        </row>
        <row r="192">
          <cell r="C192" t="str">
            <v>Breaker Industrial 3f En Caja Moldeable De 20 Amp, 250v 10ka</v>
          </cell>
        </row>
        <row r="193">
          <cell r="C193" t="str">
            <v>Breaker Industrial 3f En Caja Moldeable De 30 Amp, 250v 10ka</v>
          </cell>
        </row>
        <row r="194">
          <cell r="C194" t="str">
            <v>Breaker Industrial 3f En Caja Moldeable
Ajustable De 160-400 amp, 250v 85ka.</v>
          </cell>
        </row>
        <row r="195">
          <cell r="C195" t="str">
            <v>Breaker Industrial de 800 A</v>
          </cell>
        </row>
        <row r="196">
          <cell r="C196" t="str">
            <v>Breaker industrial EZC100N 100 A</v>
          </cell>
        </row>
        <row r="197">
          <cell r="C197" t="str">
            <v>breaker industrial EZC100N 20 A</v>
          </cell>
        </row>
        <row r="198">
          <cell r="C198" t="str">
            <v>breaker industrial EZC100N 30 A</v>
          </cell>
        </row>
        <row r="199">
          <cell r="C199" t="str">
            <v>breaker industrial EZC100N 40 A</v>
          </cell>
        </row>
        <row r="200">
          <cell r="C200" t="str">
            <v>breaker industrial EZC100N 50 A</v>
          </cell>
        </row>
        <row r="201">
          <cell r="C201" t="str">
            <v>breaker industrial EZC100N 60 A</v>
          </cell>
        </row>
        <row r="202">
          <cell r="C202" t="str">
            <v>Breaker industrial EZC100N 80 A</v>
          </cell>
        </row>
        <row r="203">
          <cell r="C203" t="str">
            <v>breaker industrial EZC250N 125 A</v>
          </cell>
        </row>
        <row r="204">
          <cell r="C204" t="str">
            <v xml:space="preserve">breaker industrial EZC250N 150 A </v>
          </cell>
        </row>
        <row r="205">
          <cell r="C205" t="str">
            <v>breaker industrial EZC250N 200 A</v>
          </cell>
        </row>
        <row r="206">
          <cell r="C206" t="str">
            <v>breaker industrial EZC250N 250 A</v>
          </cell>
        </row>
        <row r="207">
          <cell r="C207" t="str">
            <v>BREAKER INDUSTRIAL EZC 3X100AMP</v>
          </cell>
        </row>
        <row r="208">
          <cell r="C208" t="str">
            <v>BREAKER INDUSTRIAL  EZC 3X125AMP</v>
          </cell>
        </row>
        <row r="209">
          <cell r="C209" t="str">
            <v>BREAKER INDUSTRIAL  EZC 3X15 AMP</v>
          </cell>
        </row>
        <row r="210">
          <cell r="C210" t="str">
            <v>BREAKER INDUSTRIAL  EZC 3X20 AMP</v>
          </cell>
        </row>
        <row r="211">
          <cell r="C211" t="str">
            <v>BREAKER INDUSTRIAL  EZC 3X225AMP</v>
          </cell>
        </row>
        <row r="212">
          <cell r="C212" t="str">
            <v>BREAKER INDUSTRIAL  EZC 3X30 AMP</v>
          </cell>
        </row>
        <row r="213">
          <cell r="C213" t="str">
            <v>BREAKER INDUSTRIAL  EZC 3X40 AMP</v>
          </cell>
        </row>
        <row r="214">
          <cell r="C214" t="str">
            <v>BREAKER INDUSTRIAL  EZC 3X50 AMP</v>
          </cell>
        </row>
        <row r="215">
          <cell r="C215" t="str">
            <v>BREAKER INDUSTRIAL  EZC 3X60AMP</v>
          </cell>
        </row>
        <row r="216">
          <cell r="C216" t="str">
            <v>BREAKER INDUSTRIAL  EZC 3X80 AMP</v>
          </cell>
        </row>
        <row r="217">
          <cell r="C217" t="str">
            <v>Breaker industrial EZC250N 80 a 100 A</v>
          </cell>
        </row>
        <row r="218">
          <cell r="C218" t="str">
            <v xml:space="preserve">Breaker K60 monopolar 1x40/50/60 A </v>
          </cell>
        </row>
        <row r="219">
          <cell r="C219" t="str">
            <v>Breaker multi 9 C60N 3x1 amp</v>
          </cell>
        </row>
        <row r="220">
          <cell r="C220" t="str">
            <v>Breaker multi 9 C60N 3x2 amp</v>
          </cell>
        </row>
        <row r="221">
          <cell r="C221" t="str">
            <v>Breaker multi 9 C60N bipolar 2x1 amp</v>
          </cell>
        </row>
        <row r="222">
          <cell r="C222" t="str">
            <v>Breaker multi 9 C60N monopolar 10 a 32 amps</v>
          </cell>
        </row>
        <row r="223">
          <cell r="C223" t="str">
            <v>Breaker multi 9 C60N monopolar 1x2 amp</v>
          </cell>
        </row>
        <row r="224">
          <cell r="C224" t="str">
            <v>Breaker multi 9 C60N monopolar 40 a 63 amps</v>
          </cell>
        </row>
        <row r="225">
          <cell r="C225" t="str">
            <v>BREAKER MULTINUEVE DOMAE 1X20</v>
          </cell>
        </row>
        <row r="226">
          <cell r="C226" t="str">
            <v>BREAKER MULTINUEVE DOMAE 1X25</v>
          </cell>
        </row>
        <row r="227">
          <cell r="C227" t="str">
            <v>BREAKER MULTINUEVE DOMAE 1X32</v>
          </cell>
        </row>
        <row r="228">
          <cell r="C228" t="str">
            <v>BREAKER MULTINUEVE DOMAE 1x40</v>
          </cell>
        </row>
        <row r="229">
          <cell r="C229" t="str">
            <v>BREAKER MULTINUEVE DOMAE 2X10</v>
          </cell>
        </row>
        <row r="230">
          <cell r="C230" t="str">
            <v>BREAKER MULTINUEVE DOMAE 2X16</v>
          </cell>
        </row>
        <row r="231">
          <cell r="C231" t="str">
            <v>BREAKER MULTINUEVE DOMAE 2X20</v>
          </cell>
        </row>
        <row r="232">
          <cell r="C232" t="str">
            <v>BREAKER MULTINUEVE DOMAE 2X25</v>
          </cell>
        </row>
        <row r="233">
          <cell r="C233" t="str">
            <v>BREAKER MULTINUEVE DOMAE 2X32</v>
          </cell>
        </row>
        <row r="234">
          <cell r="C234" t="str">
            <v>BREAKER MULTINUEVE DOMAE 2X40</v>
          </cell>
        </row>
        <row r="235">
          <cell r="C235" t="str">
            <v>BREAKER MULTINUEVE DOMAE 2X50</v>
          </cell>
        </row>
        <row r="236">
          <cell r="C236" t="str">
            <v>BREAKER MULTINUEVE DOMAE 2X6</v>
          </cell>
        </row>
        <row r="237">
          <cell r="C237" t="str">
            <v>BREAKER MULTINUEVE DOMAE 3x16</v>
          </cell>
        </row>
        <row r="238">
          <cell r="C238" t="str">
            <v>BREAKER MULTINUEVE DOMAE 3X20</v>
          </cell>
        </row>
        <row r="239">
          <cell r="C239" t="str">
            <v>BREAKER MULTINUEVE DOMAE 3X32</v>
          </cell>
        </row>
        <row r="240">
          <cell r="C240" t="str">
            <v>BREAKER MULTINUEVE K60 1X10</v>
          </cell>
        </row>
        <row r="241">
          <cell r="C241" t="str">
            <v>BREAKER MULTINUEVE K60 1X6</v>
          </cell>
        </row>
        <row r="242">
          <cell r="C242" t="str">
            <v>BREAKER MULTINUEVE K60 1x63</v>
          </cell>
        </row>
        <row r="243">
          <cell r="C243" t="str">
            <v>BREAKER MULTINUEVE K60 2X16</v>
          </cell>
        </row>
        <row r="244">
          <cell r="C244" t="str">
            <v>BREAKER MULTINUEVE K60 2X63</v>
          </cell>
        </row>
        <row r="245">
          <cell r="C245" t="str">
            <v>BREAKER MULTINUEVE K60 3X10</v>
          </cell>
        </row>
        <row r="246">
          <cell r="C246" t="str">
            <v>BREAKER NSX100F/TM DE 28/40AMP LV 429634</v>
          </cell>
        </row>
        <row r="247">
          <cell r="C247" t="str">
            <v>BREAKER NSX100F/TM DE 44/63AMP LV29632</v>
          </cell>
        </row>
        <row r="248">
          <cell r="C248" t="str">
            <v>BREAKER NSX100F/TM DE 56/80AMP LV 429631</v>
          </cell>
        </row>
        <row r="249">
          <cell r="C249" t="str">
            <v xml:space="preserve">BREAKER NSX100F/TM DE 70/100AMP LV 429630 </v>
          </cell>
        </row>
        <row r="250">
          <cell r="C250" t="str">
            <v>BREAKER SENCILLO THQL SIEMEN</v>
          </cell>
        </row>
        <row r="251">
          <cell r="C251" t="str">
            <v xml:space="preserve">BREAKER SQUAR-D FAL 36330 30AMP </v>
          </cell>
        </row>
        <row r="252">
          <cell r="C252" t="str">
            <v xml:space="preserve">BREAKER SQUAR-D KAL 31625 125AMP </v>
          </cell>
        </row>
        <row r="253">
          <cell r="C253" t="str">
            <v>BREAKER TM 125 DE 88/125AMP LV 430631</v>
          </cell>
        </row>
        <row r="254">
          <cell r="C254" t="str">
            <v>BREAKER TM 250 DE 175/250AMP LV.431630</v>
          </cell>
        </row>
        <row r="255">
          <cell r="C255" t="str">
            <v>Cable 2 × 10 AWG</v>
          </cell>
        </row>
        <row r="256">
          <cell r="C256" t="str">
            <v>Cable 2 × 12 AWG</v>
          </cell>
        </row>
        <row r="257">
          <cell r="C257" t="str">
            <v>Cable 2 × 14 AWG</v>
          </cell>
        </row>
        <row r="258">
          <cell r="C258" t="str">
            <v>Cable 2 × 16 AWG</v>
          </cell>
        </row>
        <row r="259">
          <cell r="C259" t="str">
            <v>Cable 2 × 6 AWG</v>
          </cell>
        </row>
        <row r="260">
          <cell r="C260" t="str">
            <v>Cable 2 × 8 AWG</v>
          </cell>
        </row>
        <row r="261">
          <cell r="C261" t="str">
            <v>Cable 3 × 10 AWG</v>
          </cell>
        </row>
        <row r="262">
          <cell r="C262" t="str">
            <v>Cable 3 × 14 AWG</v>
          </cell>
        </row>
        <row r="263">
          <cell r="C263" t="str">
            <v>Cable 3 × 16 AWG</v>
          </cell>
        </row>
        <row r="264">
          <cell r="C264" t="str">
            <v>Cable 3 × 18 AWG</v>
          </cell>
        </row>
        <row r="265">
          <cell r="C265" t="str">
            <v>Cable 3 × 6 AWG</v>
          </cell>
        </row>
        <row r="266">
          <cell r="C266" t="str">
            <v>Cable 3 × 8 AWG</v>
          </cell>
        </row>
        <row r="267">
          <cell r="C267" t="str">
            <v>Cable 4 × 10 AWG</v>
          </cell>
        </row>
        <row r="268">
          <cell r="C268" t="str">
            <v>Cable 4 × 12 AWG</v>
          </cell>
        </row>
        <row r="269">
          <cell r="C269" t="str">
            <v>Cable 4 × 14 AWG</v>
          </cell>
        </row>
        <row r="270">
          <cell r="C270" t="str">
            <v>Cable 4 × 16 AWG</v>
          </cell>
        </row>
        <row r="271">
          <cell r="C271" t="str">
            <v>Cable 4 × 18 AWG</v>
          </cell>
        </row>
        <row r="272">
          <cell r="C272" t="str">
            <v>Cable 4 × 6 AWG</v>
          </cell>
        </row>
        <row r="273">
          <cell r="C273" t="str">
            <v>Cable 4 × 8 AWG</v>
          </cell>
        </row>
        <row r="274">
          <cell r="C274" t="str">
            <v>CABLE 4PR UTP CAT 6 GRIS CM 305m</v>
          </cell>
        </row>
        <row r="275">
          <cell r="C275" t="str">
            <v>Cable ACSR No 1/0</v>
          </cell>
        </row>
        <row r="276">
          <cell r="C276" t="str">
            <v>Cable ACSR No 2</v>
          </cell>
        </row>
        <row r="277">
          <cell r="C277" t="str">
            <v>Cable ACSR No 2/0</v>
          </cell>
        </row>
        <row r="278">
          <cell r="C278" t="str">
            <v>Cable ACSR No 4</v>
          </cell>
        </row>
        <row r="279">
          <cell r="C279" t="str">
            <v>Cable Alumoweld 7 no. 10</v>
          </cell>
        </row>
        <row r="280">
          <cell r="C280" t="str">
            <v>Cable Alumoweld 7 no. 8</v>
          </cell>
        </row>
        <row r="281">
          <cell r="C281" t="str">
            <v>Cable concentrico 2 x 8 + 8</v>
          </cell>
        </row>
        <row r="282">
          <cell r="C282" t="str">
            <v>Cable Concentrico ARE Cu 75oC 3X6+6 AWG 600V (PE/PVC)</v>
          </cell>
        </row>
        <row r="283">
          <cell r="C283" t="str">
            <v>Cable De 3/8" Para Retenida</v>
          </cell>
        </row>
        <row r="284">
          <cell r="C284" t="str">
            <v>Cable De Acero Galvanizado De 1/4 SUPERGX</v>
          </cell>
        </row>
        <row r="285">
          <cell r="C285" t="str">
            <v>Cable De Cobre Desnudo #1/0 AWG</v>
          </cell>
        </row>
        <row r="286">
          <cell r="C286" t="str">
            <v>Cable De Cobre Desnudo #10 AWG</v>
          </cell>
        </row>
        <row r="287">
          <cell r="C287" t="str">
            <v>Cable De Cobre Desnudo #12 AWG</v>
          </cell>
        </row>
        <row r="288">
          <cell r="C288" t="str">
            <v>Cable De Cobre Desnudo #2 AWG</v>
          </cell>
        </row>
        <row r="289">
          <cell r="C289" t="str">
            <v>Cable De Cobre Desnudo #2/0 AWG</v>
          </cell>
        </row>
        <row r="290">
          <cell r="C290" t="str">
            <v>Cable De Cobre Desnudo #4 AWG</v>
          </cell>
        </row>
        <row r="291">
          <cell r="C291" t="str">
            <v>Cable De Cobre Desnudo #4/0 AWG</v>
          </cell>
        </row>
        <row r="292">
          <cell r="C292" t="str">
            <v>Cable De Cobre Desnudo #6 AWG</v>
          </cell>
        </row>
        <row r="293">
          <cell r="C293" t="str">
            <v>Cable De Cobre Desnudo #8 AWG</v>
          </cell>
        </row>
        <row r="294">
          <cell r="C294" t="str">
            <v>Cable De Cobre Desnudo 350MCM</v>
          </cell>
        </row>
        <row r="295">
          <cell r="C295" t="str">
            <v>Cable duplex plano 2x14</v>
          </cell>
        </row>
        <row r="296">
          <cell r="C296" t="str">
            <v>Cable encauchetado 2 × 18 AWG</v>
          </cell>
        </row>
        <row r="297">
          <cell r="C297" t="str">
            <v>Cable Encauchetado 3x12</v>
          </cell>
        </row>
        <row r="298">
          <cell r="C298" t="str">
            <v>Cable Encauchetado 3x10</v>
          </cell>
        </row>
        <row r="299">
          <cell r="C299" t="str">
            <v>Cable encauchetado 3x8</v>
          </cell>
        </row>
        <row r="300">
          <cell r="C300" t="str">
            <v>cable encauchetado 4x10</v>
          </cell>
        </row>
        <row r="301">
          <cell r="C301" t="str">
            <v>cable encauchetado 4x12</v>
          </cell>
        </row>
        <row r="302">
          <cell r="C302" t="str">
            <v>cable encauchetado 4 x 14</v>
          </cell>
        </row>
        <row r="303">
          <cell r="C303" t="str">
            <v>Cable Encauchetado 4x4 potencia</v>
          </cell>
        </row>
        <row r="304">
          <cell r="C304" t="str">
            <v>Cable encauchetado 7×12 + 20 AWG</v>
          </cell>
        </row>
        <row r="305">
          <cell r="C305" t="str">
            <v>Cable encauchetado 7×14 +20  AWG</v>
          </cell>
        </row>
        <row r="306">
          <cell r="C306" t="str">
            <v>Cable encauchetado pltc 24×14 + 20 AWG</v>
          </cell>
        </row>
        <row r="307">
          <cell r="C307" t="str">
            <v>Cable encauchetado pltc 4×18 + 20 AWG</v>
          </cell>
        </row>
        <row r="308">
          <cell r="C308" t="str">
            <v>Cable instrumentacion 18x18+20 apant</v>
          </cell>
        </row>
        <row r="309">
          <cell r="C309" t="str">
            <v>Cable instrumentacion 2x16+20 apant</v>
          </cell>
        </row>
        <row r="310">
          <cell r="C310" t="str">
            <v>Cable instrumentacion 4x16+20 apant</v>
          </cell>
        </row>
        <row r="311">
          <cell r="C311" t="str">
            <v>Cable instrumentacion 9x18+20 apant</v>
          </cell>
        </row>
        <row r="312">
          <cell r="C312" t="str">
            <v>Cable mensajero 1/4"</v>
          </cell>
        </row>
        <row r="313">
          <cell r="C313" t="str">
            <v>Cable No 1/0 THW</v>
          </cell>
        </row>
        <row r="314">
          <cell r="C314" t="str">
            <v>Cable No 10 AWG - THW Amarillo</v>
          </cell>
        </row>
        <row r="315">
          <cell r="C315" t="str">
            <v>Cable No 10 AWG - THW Azul</v>
          </cell>
        </row>
        <row r="316">
          <cell r="C316" t="str">
            <v>Cable No 10 AWG - THW Blanco</v>
          </cell>
        </row>
        <row r="317">
          <cell r="C317" t="str">
            <v>Cable No 10 AWG - THW Negro</v>
          </cell>
        </row>
        <row r="318">
          <cell r="C318" t="str">
            <v>Cable No 10 AWG - THW Rojo</v>
          </cell>
        </row>
        <row r="319">
          <cell r="C319" t="str">
            <v>Cable No 10 AWG - THW Verde</v>
          </cell>
        </row>
        <row r="320">
          <cell r="C320" t="str">
            <v>Cable No 12 AWG - THW Amarillo</v>
          </cell>
        </row>
        <row r="321">
          <cell r="C321" t="str">
            <v>Cable No 12 AWG - THW Azul</v>
          </cell>
        </row>
        <row r="322">
          <cell r="C322" t="str">
            <v>Cable No 12 AWG - THW Blanco</v>
          </cell>
        </row>
        <row r="323">
          <cell r="C323" t="str">
            <v>Cable No 12 AWG - THW Negro</v>
          </cell>
        </row>
        <row r="324">
          <cell r="C324" t="str">
            <v>Cable No 12 AWG - THW Rojo</v>
          </cell>
        </row>
        <row r="325">
          <cell r="C325" t="str">
            <v>Cable No 12 AWG - THW Verde</v>
          </cell>
        </row>
        <row r="326">
          <cell r="C326" t="str">
            <v>Cable No 14 AWG - THW</v>
          </cell>
        </row>
        <row r="327">
          <cell r="C327" t="str">
            <v>Cable No 2 AWG - THW</v>
          </cell>
        </row>
        <row r="328">
          <cell r="C328" t="str">
            <v>Cable No 4 AWG - THW</v>
          </cell>
        </row>
        <row r="329">
          <cell r="C329" t="str">
            <v>Cable No 6 AWG - THW</v>
          </cell>
        </row>
        <row r="330">
          <cell r="C330" t="str">
            <v>Cable No 8 AWG - THW</v>
          </cell>
        </row>
        <row r="331">
          <cell r="C331" t="str">
            <v>Cable No. 2/0 THW</v>
          </cell>
        </row>
        <row r="332">
          <cell r="C332" t="str">
            <v>Cable No. 250 MCM THHN</v>
          </cell>
        </row>
        <row r="333">
          <cell r="C333" t="str">
            <v>Cable No. 3/0 THW</v>
          </cell>
        </row>
        <row r="334">
          <cell r="C334" t="str">
            <v>Cable No. 300 MCM THHN</v>
          </cell>
        </row>
        <row r="335">
          <cell r="C335" t="str">
            <v>Cable No. 350 MCM THHN</v>
          </cell>
        </row>
        <row r="336">
          <cell r="C336" t="str">
            <v>Cable No. 4/0 THW</v>
          </cell>
        </row>
        <row r="337">
          <cell r="C337" t="str">
            <v>Cable No. 400 MCM THHN</v>
          </cell>
        </row>
        <row r="338">
          <cell r="C338" t="str">
            <v>Cable No. 500 MCM THHN</v>
          </cell>
        </row>
        <row r="339">
          <cell r="C339" t="str">
            <v>Cable RG 6 U</v>
          </cell>
        </row>
        <row r="340">
          <cell r="C340" t="str">
            <v>Cable telefonico de 10 pares</v>
          </cell>
        </row>
        <row r="341">
          <cell r="C341" t="str">
            <v>Cable TFF No 16</v>
          </cell>
        </row>
        <row r="342">
          <cell r="C342" t="str">
            <v>Cable THW 1/0 AL  Serie 8000 135 A</v>
          </cell>
        </row>
        <row r="343">
          <cell r="C343" t="str">
            <v>Cable THW 2 AL  Serie 8000 100 A</v>
          </cell>
        </row>
        <row r="344">
          <cell r="C344" t="str">
            <v>Cable THW 4 AL  Serie 8000 100 A</v>
          </cell>
        </row>
        <row r="345">
          <cell r="C345" t="str">
            <v>Cable THW 4/0 AL  Serie 8000 135 A</v>
          </cell>
        </row>
        <row r="346">
          <cell r="C346" t="str">
            <v>Cable Trenzado 4 x 1/0</v>
          </cell>
        </row>
        <row r="347">
          <cell r="C347" t="str">
            <v>Cable Trenzado 4 x 2</v>
          </cell>
        </row>
        <row r="348">
          <cell r="C348" t="str">
            <v>Cable Trenzado 4 x 4</v>
          </cell>
        </row>
        <row r="349">
          <cell r="C349" t="str">
            <v>Cable Trenzado 4 x 6</v>
          </cell>
        </row>
        <row r="350">
          <cell r="C350" t="str">
            <v>Cable UTP 4x2x24  amp cat 6  200 MHz</v>
          </cell>
        </row>
        <row r="351">
          <cell r="C351" t="str">
            <v>Cable XLPE No 1/0 100 %</v>
          </cell>
        </row>
        <row r="352">
          <cell r="C352" t="str">
            <v>Cable XLPE No 2  100 %</v>
          </cell>
        </row>
        <row r="353">
          <cell r="C353" t="str">
            <v>Cable XLPE No 2  133 %</v>
          </cell>
        </row>
        <row r="354">
          <cell r="C354" t="str">
            <v>Cable XLPE No 2/0 100 %</v>
          </cell>
        </row>
        <row r="355">
          <cell r="C355" t="str">
            <v>Caja De Distribución Eléctrica De 6x6x4" - Nema 12 cal 18</v>
          </cell>
        </row>
        <row r="356">
          <cell r="C356" t="str">
            <v>Caja De Distribución Eléctrica De 8x8x4"  - Nema 12 cal 18</v>
          </cell>
        </row>
        <row r="357">
          <cell r="C357" t="str">
            <v>Caja de empalme 8x8x6</v>
          </cell>
        </row>
        <row r="358">
          <cell r="C358" t="str">
            <v>Caja de empalme 15x15x10</v>
          </cell>
        </row>
        <row r="359">
          <cell r="C359" t="str">
            <v>Caja de empalme 20x20x15</v>
          </cell>
        </row>
        <row r="360">
          <cell r="C360" t="str">
            <v>Caja de empalme 50x50x20</v>
          </cell>
        </row>
        <row r="361">
          <cell r="C361" t="str">
            <v>Caja Doble ( 4x4" ) (Fundida Para Sobreponer)</v>
          </cell>
        </row>
        <row r="362">
          <cell r="C362" t="str">
            <v>Caja Doble ( 4x4" ) (Lámina PVC  Para Empotrar)</v>
          </cell>
        </row>
        <row r="363">
          <cell r="C363" t="str">
            <v>Caja doble (4x4")  (Fundida Para Sobreponer)</v>
          </cell>
        </row>
        <row r="364">
          <cell r="C364" t="str">
            <v>Caja doble (4x4")  PVC o galv incrustar</v>
          </cell>
        </row>
        <row r="365">
          <cell r="C365" t="str">
            <v>Caja IP 65 30x20x16</v>
          </cell>
        </row>
        <row r="366">
          <cell r="C366" t="str">
            <v>Caja metalica distribucion metálica CDM12</v>
          </cell>
        </row>
        <row r="367">
          <cell r="C367" t="str">
            <v>Caja metalica distribucion metálica CDM4</v>
          </cell>
        </row>
        <row r="368">
          <cell r="C368" t="str">
            <v>Caja metalica distribucion metálica CDM6</v>
          </cell>
        </row>
        <row r="369">
          <cell r="C369" t="str">
            <v>Caja metalica distribucion metálica CDM9</v>
          </cell>
        </row>
        <row r="370">
          <cell r="C370" t="str">
            <v>Caja minipragma opaca 6 pasos sobreponer multi 9</v>
          </cell>
        </row>
        <row r="371">
          <cell r="C371" t="str">
            <v>Caja minipragma transparente 10 pasos incrustar multi 9</v>
          </cell>
        </row>
        <row r="372">
          <cell r="C372" t="str">
            <v>Caja minipragma transparente 16 pasos incrustar multi 9</v>
          </cell>
        </row>
        <row r="373">
          <cell r="C373" t="str">
            <v>Caja Octagonal (Fundida Para Sobreponer)</v>
          </cell>
        </row>
        <row r="374">
          <cell r="C374" t="str">
            <v>Caja Octagonal (Lámina Para Empotrar)</v>
          </cell>
        </row>
        <row r="375">
          <cell r="C375" t="str">
            <v>Caja Octagonal PVC</v>
          </cell>
        </row>
        <row r="376">
          <cell r="C376" t="str">
            <v>CAJAS PRIMARIAS 15 KV</v>
          </cell>
        </row>
        <row r="377">
          <cell r="C377" t="str">
            <v>Caja para Medidor Tipo C</v>
          </cell>
        </row>
        <row r="378">
          <cell r="C378" t="str">
            <v>Caja PVC 2x4 Para Empotrar</v>
          </cell>
        </row>
        <row r="379">
          <cell r="C379" t="str">
            <v>Caja PVC 4x4</v>
          </cell>
        </row>
        <row r="380">
          <cell r="C380" t="str">
            <v>Caja Plástica Dexson 2x4 Para Sobreponer, Utilizadas Con Canaleta</v>
          </cell>
        </row>
        <row r="381">
          <cell r="C381" t="str">
            <v>CAJA RAWELT GALVANIZADA OCTAGONAL 4 SALIDAS 3/4</v>
          </cell>
        </row>
        <row r="382">
          <cell r="C382" t="str">
            <v>Cajas Radwelt 2 x 4</v>
          </cell>
        </row>
        <row r="383">
          <cell r="C383" t="str">
            <v>Cajas Radwelt 2 x 4 salida 3/4</v>
          </cell>
        </row>
        <row r="384">
          <cell r="C384" t="str">
            <v>Cajas Radwelt 4 x 4 salida 3/4</v>
          </cell>
        </row>
        <row r="385">
          <cell r="C385" t="str">
            <v>Cajas Radwelt 4 x 4</v>
          </cell>
        </row>
        <row r="386">
          <cell r="C386" t="str">
            <v>Caja Sencilla (2x4")  (Fundida Para Sobreponer)</v>
          </cell>
        </row>
        <row r="387">
          <cell r="C387" t="str">
            <v>Caja Sencilla (2x4") (Lámina Para Empotrar)</v>
          </cell>
        </row>
        <row r="388">
          <cell r="C388" t="str">
            <v>Canaleta c/division de 11x5 c/tapa</v>
          </cell>
        </row>
        <row r="389">
          <cell r="C389" t="str">
            <v>Canaleta DLP</v>
          </cell>
        </row>
        <row r="390">
          <cell r="C390" t="str">
            <v>Canaleta Metálica De 10 x 12.5mm</v>
          </cell>
        </row>
        <row r="391">
          <cell r="C391" t="str">
            <v xml:space="preserve">Canaleta Metálica De 10 x 8 cm  C 22 TA  </v>
          </cell>
        </row>
        <row r="392">
          <cell r="C392" t="str">
            <v>Canaleta Metálica De 20 x 12.5mm</v>
          </cell>
        </row>
        <row r="393">
          <cell r="C393" t="str">
            <v>Canaleta Metálica De 20 x 8 cm  C 22 TA</v>
          </cell>
        </row>
        <row r="394">
          <cell r="C394" t="str">
            <v>Canaleta Metálica De 30 x 8 cm  C 22 TA</v>
          </cell>
        </row>
        <row r="395">
          <cell r="C395" t="str">
            <v>Canaleta Metálica De 32 x 12.5mm</v>
          </cell>
        </row>
        <row r="396">
          <cell r="C396" t="str">
            <v>Canaleta Metálica De 40 x 12,5 mm</v>
          </cell>
        </row>
        <row r="397">
          <cell r="C397" t="str">
            <v>Canaleta Plástica 10x12,5</v>
          </cell>
        </row>
        <row r="398">
          <cell r="C398" t="str">
            <v>Canaleta Plástica 20x12,5</v>
          </cell>
        </row>
        <row r="399">
          <cell r="C399" t="str">
            <v>Canaleta Plástica 32x12,5</v>
          </cell>
        </row>
        <row r="400">
          <cell r="C400" t="str">
            <v>Canaleta ranurada 60x40</v>
          </cell>
        </row>
        <row r="401">
          <cell r="C401" t="str">
            <v>Canaleta soporte colgante</v>
          </cell>
        </row>
        <row r="402">
          <cell r="C402" t="str">
            <v>Candado Master</v>
          </cell>
        </row>
        <row r="403">
          <cell r="C403" t="str">
            <v>Capacete De 1 1/2"</v>
          </cell>
        </row>
        <row r="404">
          <cell r="C404" t="str">
            <v>Capacete De 1", 3/4", o 1/2"</v>
          </cell>
        </row>
        <row r="405">
          <cell r="C405" t="str">
            <v>Capacete De 2"</v>
          </cell>
        </row>
        <row r="406">
          <cell r="C406" t="str">
            <v>Capacete De 3"</v>
          </cell>
        </row>
        <row r="407">
          <cell r="C407" t="str">
            <v>Celda con seccionador y fusibles HH 630 amps</v>
          </cell>
        </row>
        <row r="408">
          <cell r="C408" t="str">
            <v xml:space="preserve">Celda de Proteccion con seccionador de Operación Bajo Carga Base Portafusibles </v>
          </cell>
        </row>
        <row r="409">
          <cell r="C409" t="str">
            <v>Celda de Remonte de Cables Sin Barraje GAM-0</v>
          </cell>
        </row>
        <row r="410">
          <cell r="C410" t="str">
            <v>Celda para transformador de 225 KVA</v>
          </cell>
        </row>
        <row r="411">
          <cell r="C411" t="str">
            <v>Cemento Gris</v>
          </cell>
        </row>
        <row r="412">
          <cell r="C412" t="str">
            <v>Certificacion RETIE</v>
          </cell>
        </row>
        <row r="413">
          <cell r="C413" t="str">
            <v>Channel alto</v>
          </cell>
        </row>
        <row r="414">
          <cell r="C414" t="str">
            <v>Channel bajo</v>
          </cell>
        </row>
        <row r="415">
          <cell r="C415" t="str">
            <v>Channel acero inoxidable</v>
          </cell>
        </row>
        <row r="416">
          <cell r="C416" t="str">
            <v>Chazos</v>
          </cell>
        </row>
        <row r="417">
          <cell r="C417" t="str">
            <v>Chico</v>
          </cell>
        </row>
        <row r="418">
          <cell r="C418" t="str">
            <v>Cinta bandit</v>
          </cell>
        </row>
        <row r="419">
          <cell r="C419" t="str">
            <v>Cinta Demarcacion</v>
          </cell>
        </row>
        <row r="420">
          <cell r="C420" t="str">
            <v>Cinta super 33</v>
          </cell>
        </row>
        <row r="421">
          <cell r="C421" t="str">
            <v>CINTA SCOTH #23</v>
          </cell>
        </row>
        <row r="422">
          <cell r="C422" t="str">
            <v>CINTA SCOTH #50</v>
          </cell>
        </row>
        <row r="423">
          <cell r="C423" t="str">
            <v>Cinta tenflex 1700 x 10 mts</v>
          </cell>
        </row>
        <row r="424">
          <cell r="C424" t="str">
            <v>Cinta tenflex 1700 x 20 mts</v>
          </cell>
        </row>
        <row r="425">
          <cell r="C425" t="str">
            <v>Clavija 20A Twis Lock Uso Industrial Leviton O Similar 110v</v>
          </cell>
        </row>
        <row r="426">
          <cell r="C426" t="str">
            <v>Clavija 30A Twis Lock Uso Industrial Leviton O Similar ref 2621</v>
          </cell>
        </row>
        <row r="427">
          <cell r="C427" t="str">
            <v>Clavija 30A Twis Lock Uso Industrial Leviton O Similar ref 2721</v>
          </cell>
        </row>
        <row r="428">
          <cell r="C428" t="str">
            <v>Clavija 30A Twis Lock Uso Industrial Leviton O Similar ref 2811</v>
          </cell>
        </row>
        <row r="429">
          <cell r="C429" t="str">
            <v xml:space="preserve">Clavija Con Polo A Tierra De 20 Amp. A 120v. </v>
          </cell>
        </row>
        <row r="430">
          <cell r="C430" t="str">
            <v xml:space="preserve">Clavija de caucho con polo a tierra 15 amp 110 V </v>
          </cell>
        </row>
        <row r="431">
          <cell r="C431" t="str">
            <v>CLAVIJAS NEMA L16-20 AMP</v>
          </cell>
        </row>
        <row r="432">
          <cell r="C432" t="str">
            <v>CLAVIJAS NEMA L15-30 AMP</v>
          </cell>
        </row>
        <row r="433">
          <cell r="C433" t="str">
            <v>CLAVIJAS NEMA L5-20 AMP</v>
          </cell>
        </row>
        <row r="434">
          <cell r="C434" t="str">
            <v>CLAVIJAS NEMA L6-30 AMP</v>
          </cell>
        </row>
        <row r="435">
          <cell r="C435" t="str">
            <v>Clavija Trifásica Tripolar De 20 Amp - 250v, 4 hilos leviton</v>
          </cell>
        </row>
        <row r="436">
          <cell r="C436" t="str">
            <v>Clavija Trifásica Tripolar De 30 Amp - 250v, 4 hilos leviton</v>
          </cell>
        </row>
        <row r="437">
          <cell r="C437" t="str">
            <v>Clavija Trifásica Tripolar De 50 Amp - 250v, 4 hilos leviton o similar</v>
          </cell>
        </row>
        <row r="438">
          <cell r="C438" t="str">
            <v>Clavo de 2" (puntilla)</v>
          </cell>
        </row>
        <row r="439">
          <cell r="C439" t="str">
            <v>Clevis 10"</v>
          </cell>
        </row>
        <row r="440">
          <cell r="C440" t="str">
            <v>Clevis 6"</v>
          </cell>
        </row>
        <row r="441">
          <cell r="C441" t="str">
            <v>Codo 1" sch 40</v>
          </cell>
        </row>
        <row r="442">
          <cell r="C442" t="str">
            <v>Codo 1/2" sch 40</v>
          </cell>
        </row>
        <row r="443">
          <cell r="C443" t="str">
            <v>Codo 3/4" sch 40</v>
          </cell>
        </row>
        <row r="444">
          <cell r="C444" t="str">
            <v>Cofre De 30x20x15</v>
          </cell>
        </row>
        <row r="445">
          <cell r="C445" t="str">
            <v>Cofre De 40x30x20</v>
          </cell>
        </row>
        <row r="446">
          <cell r="C446" t="str">
            <v>Cofre De 50x30x20</v>
          </cell>
        </row>
        <row r="447">
          <cell r="C447" t="str">
            <v>Cofre De 50x40x20</v>
          </cell>
        </row>
        <row r="448">
          <cell r="C448" t="str">
            <v>Cofre De 60x40x25</v>
          </cell>
        </row>
        <row r="449">
          <cell r="C449" t="str">
            <v>Cofre Lamina Galv  100x80x30</v>
          </cell>
        </row>
        <row r="450">
          <cell r="C450" t="str">
            <v>Cofre Lamina Galv  90x70x30</v>
          </cell>
        </row>
        <row r="451">
          <cell r="C451" t="str">
            <v>Cofre Lamina Galv 120x80x40</v>
          </cell>
        </row>
        <row r="452">
          <cell r="C452" t="str">
            <v>Cofre Lamina Galv 150x80x40</v>
          </cell>
        </row>
        <row r="453">
          <cell r="C453" t="str">
            <v>Cofre Lamina Galv 200x120x100</v>
          </cell>
        </row>
        <row r="454">
          <cell r="C454" t="str">
            <v>Cofre Lamina Galv 200x120x100 sin barraje</v>
          </cell>
        </row>
        <row r="455">
          <cell r="C455" t="str">
            <v>Cofre Lamina Galv 70x50x25</v>
          </cell>
        </row>
        <row r="456">
          <cell r="C456" t="str">
            <v>Cofre Plástico Transparente IP65 de 16 cm de profundidad</v>
          </cell>
        </row>
        <row r="457">
          <cell r="C457" t="str">
            <v>Collarín De Doble Derivación De 6-7 pulg.</v>
          </cell>
        </row>
        <row r="458">
          <cell r="C458" t="str">
            <v>Collarín De Doble Derivación De 7-8 pulg.</v>
          </cell>
        </row>
        <row r="459">
          <cell r="C459" t="str">
            <v>Collarín De Doble Derivación De 8-9 pulg.</v>
          </cell>
        </row>
        <row r="460">
          <cell r="C460" t="str">
            <v>Combustible</v>
          </cell>
        </row>
        <row r="461">
          <cell r="C461" t="str">
            <v>Concreto fc=2000 psi</v>
          </cell>
        </row>
        <row r="462">
          <cell r="C462" t="str">
            <v>Concreto fc=2500 psi</v>
          </cell>
        </row>
        <row r="463">
          <cell r="C463" t="str">
            <v>Concreto fc=3000 psi</v>
          </cell>
        </row>
        <row r="464">
          <cell r="C464" t="str">
            <v>Concreto fc=4000 psi</v>
          </cell>
        </row>
        <row r="465">
          <cell r="C465" t="str">
            <v>Condensador de 12 kvar 240V</v>
          </cell>
        </row>
        <row r="466">
          <cell r="C466" t="str">
            <v>Condensador de 30 uf 220V</v>
          </cell>
        </row>
        <row r="467">
          <cell r="C467" t="str">
            <v>Condensador de 6 kvar 240V</v>
          </cell>
        </row>
        <row r="468">
          <cell r="C468" t="str">
            <v>Conductor ACSR 1/0</v>
          </cell>
        </row>
        <row r="469">
          <cell r="C469" t="str">
            <v>Conductor ACSR 2</v>
          </cell>
        </row>
        <row r="470">
          <cell r="C470" t="str">
            <v>Conductor ACSR 2/0</v>
          </cell>
        </row>
        <row r="471">
          <cell r="C471" t="str">
            <v>Conductor ACSR 4</v>
          </cell>
        </row>
        <row r="472">
          <cell r="C472" t="str">
            <v>Conductor ACSR 4/0</v>
          </cell>
        </row>
        <row r="473">
          <cell r="C473" t="str">
            <v>Conductor XLPE Para 15kv, 1/0</v>
          </cell>
        </row>
        <row r="474">
          <cell r="C474" t="str">
            <v>Conductor XLPE Para 15kv, 2</v>
          </cell>
        </row>
        <row r="475">
          <cell r="C475" t="str">
            <v>Conductor XLPE Para 15kv, 2/0</v>
          </cell>
        </row>
        <row r="476">
          <cell r="C476" t="str">
            <v>Conductor XLPE Para 15kv, 250mcm</v>
          </cell>
        </row>
        <row r="477">
          <cell r="C477" t="str">
            <v>Conductor XLPE Para 15kv, 3/0</v>
          </cell>
        </row>
        <row r="478">
          <cell r="C478" t="str">
            <v>Conductor XLPE Para 15kv, 4/0</v>
          </cell>
        </row>
        <row r="479">
          <cell r="C479" t="str">
            <v>Conduleta PVC LB 1/2</v>
          </cell>
        </row>
        <row r="480">
          <cell r="C480" t="str">
            <v>Conduleta PVC LB 3/4</v>
          </cell>
        </row>
        <row r="481">
          <cell r="C481" t="str">
            <v>Conduleta PVC  LB 1</v>
          </cell>
        </row>
        <row r="482">
          <cell r="C482" t="str">
            <v>Conduleta PVC LB  1 1/2</v>
          </cell>
        </row>
        <row r="483">
          <cell r="C483" t="str">
            <v>Conduleta PVC LB 2</v>
          </cell>
        </row>
        <row r="484">
          <cell r="C484" t="str">
            <v>Conduleta PVC LR 1/2</v>
          </cell>
        </row>
        <row r="485">
          <cell r="C485" t="str">
            <v>ConduletaPVC  LR 3/4</v>
          </cell>
        </row>
        <row r="486">
          <cell r="C486" t="str">
            <v>Conduleta PVC LR 1</v>
          </cell>
        </row>
        <row r="487">
          <cell r="C487" t="str">
            <v>Conduleta PVC LR  1 1/2</v>
          </cell>
        </row>
        <row r="488">
          <cell r="C488" t="str">
            <v>Conduleta PVC LR 2</v>
          </cell>
        </row>
        <row r="489">
          <cell r="C489" t="str">
            <v>ConduletaPVC  LL 1/2</v>
          </cell>
        </row>
        <row r="490">
          <cell r="C490" t="str">
            <v>ConduletaPVC LL 3/4</v>
          </cell>
        </row>
        <row r="491">
          <cell r="C491" t="str">
            <v>Conduleta PVC LL 1</v>
          </cell>
        </row>
        <row r="492">
          <cell r="C492" t="str">
            <v>Conduleta PVC LL  1 1/2</v>
          </cell>
        </row>
        <row r="493">
          <cell r="C493" t="str">
            <v>Conduleta PVC LL 2</v>
          </cell>
        </row>
        <row r="494">
          <cell r="C494" t="str">
            <v>Conduleta PVC LT 1/2</v>
          </cell>
        </row>
        <row r="495">
          <cell r="C495" t="str">
            <v>Conduleta PVC LT 3/4</v>
          </cell>
        </row>
        <row r="496">
          <cell r="C496" t="str">
            <v>Conduleta PVC LT 1</v>
          </cell>
        </row>
        <row r="497">
          <cell r="C497" t="str">
            <v>Conduleta PVC LT 1 1/2</v>
          </cell>
        </row>
        <row r="498">
          <cell r="C498" t="str">
            <v>ConduletaPVC  LT 2</v>
          </cell>
        </row>
        <row r="499">
          <cell r="C499" t="str">
            <v>Conduleta LB 1/2</v>
          </cell>
        </row>
        <row r="500">
          <cell r="C500" t="str">
            <v>Conduleta LB 3/4</v>
          </cell>
        </row>
        <row r="501">
          <cell r="C501" t="str">
            <v>Conduleta LB 1</v>
          </cell>
        </row>
        <row r="502">
          <cell r="C502" t="str">
            <v>Conduleta LB  1 1/2</v>
          </cell>
        </row>
        <row r="503">
          <cell r="C503" t="str">
            <v>Conduleta LB 2</v>
          </cell>
        </row>
        <row r="504">
          <cell r="C504" t="str">
            <v>Conduleta LR 1/2</v>
          </cell>
        </row>
        <row r="505">
          <cell r="C505" t="str">
            <v>Conduleta LR 3/4</v>
          </cell>
        </row>
        <row r="506">
          <cell r="C506" t="str">
            <v>Conduleta LR 1</v>
          </cell>
        </row>
        <row r="507">
          <cell r="C507" t="str">
            <v>Conduleta LR  1 1/2</v>
          </cell>
        </row>
        <row r="508">
          <cell r="C508" t="str">
            <v>Conduleta LR 2</v>
          </cell>
        </row>
        <row r="509">
          <cell r="C509" t="str">
            <v>Conduleta LL 1/2</v>
          </cell>
        </row>
        <row r="510">
          <cell r="C510" t="str">
            <v>Conduleta LL 3/4</v>
          </cell>
        </row>
        <row r="511">
          <cell r="C511" t="str">
            <v>Conduleta LL 1</v>
          </cell>
        </row>
        <row r="512">
          <cell r="C512" t="str">
            <v>Conduleta LL  1 1/2</v>
          </cell>
        </row>
        <row r="513">
          <cell r="C513" t="str">
            <v>Conduleta LL 2</v>
          </cell>
        </row>
        <row r="514">
          <cell r="C514" t="str">
            <v>Conduleta LT 1/2</v>
          </cell>
        </row>
        <row r="515">
          <cell r="C515" t="str">
            <v>Conduleta LT 3/4</v>
          </cell>
        </row>
        <row r="516">
          <cell r="C516" t="str">
            <v>Conduleta LT 1</v>
          </cell>
        </row>
        <row r="517">
          <cell r="C517" t="str">
            <v>Conduleta LT 1 1/2</v>
          </cell>
        </row>
        <row r="518">
          <cell r="C518" t="str">
            <v>Conduleta LT 2</v>
          </cell>
        </row>
        <row r="519">
          <cell r="C519" t="str">
            <v>Conduleta EMT de 1 1/4" liviana</v>
          </cell>
        </row>
        <row r="520">
          <cell r="C520" t="str">
            <v>Conduleta EMT de 1 liviana</v>
          </cell>
        </row>
        <row r="521">
          <cell r="C521" t="str">
            <v>Conduleta EMT de 1/2 liviana</v>
          </cell>
        </row>
        <row r="522">
          <cell r="C522" t="str">
            <v>Conduleta EMT de 1-1/2 liviana</v>
          </cell>
        </row>
        <row r="523">
          <cell r="C523" t="str">
            <v>Conduleta EMT de 2 liviana</v>
          </cell>
        </row>
        <row r="524">
          <cell r="C524" t="str">
            <v>Conduleta EMT de 3 liviana</v>
          </cell>
        </row>
        <row r="525">
          <cell r="C525" t="str">
            <v>Conduleta EMT de 3/4 liviana</v>
          </cell>
        </row>
        <row r="526">
          <cell r="C526" t="str">
            <v>Conduleta GUAB o GUAL  16 1/2"</v>
          </cell>
        </row>
        <row r="527">
          <cell r="C527" t="str">
            <v>Conduleta GUAB o GUAL  26 3/4"</v>
          </cell>
        </row>
        <row r="528">
          <cell r="C528" t="str">
            <v>Conduleta GUAB o GUAL  36 1"</v>
          </cell>
        </row>
        <row r="529">
          <cell r="C529" t="str">
            <v>Conduleta GUAB o GUAL  56 1 1/2"</v>
          </cell>
        </row>
        <row r="530">
          <cell r="C530" t="str">
            <v>Conduleta GUAB o GUAL  66 2"</v>
          </cell>
        </row>
        <row r="531">
          <cell r="C531" t="str">
            <v>Conduleta pesada   1 1/2"</v>
          </cell>
        </row>
        <row r="532">
          <cell r="C532" t="str">
            <v>Conduleta pesada   1 1/4"</v>
          </cell>
        </row>
        <row r="533">
          <cell r="C533" t="str">
            <v>Conduleta pesada   1"</v>
          </cell>
        </row>
        <row r="534">
          <cell r="C534" t="str">
            <v>Conduleta pesada   1/2"</v>
          </cell>
        </row>
        <row r="535">
          <cell r="C535" t="str">
            <v>Conduleta pesada   2"</v>
          </cell>
        </row>
        <row r="536">
          <cell r="C536" t="str">
            <v>Conduleta pesada   3"</v>
          </cell>
        </row>
        <row r="537">
          <cell r="C537" t="str">
            <v>Conduleta pesada   3/4"</v>
          </cell>
        </row>
        <row r="538">
          <cell r="C538" t="str">
            <v>Conduleta pesada   4"</v>
          </cell>
        </row>
        <row r="539">
          <cell r="C539" t="str">
            <v>Conduleta PVC Tipo C De 1 1/4"</v>
          </cell>
        </row>
        <row r="540">
          <cell r="C540" t="str">
            <v>Conduleta PVC Tipo C De 1"</v>
          </cell>
        </row>
        <row r="541">
          <cell r="C541" t="str">
            <v>Conduleta PVC Tipo C De 1/2"</v>
          </cell>
        </row>
        <row r="542">
          <cell r="C542" t="str">
            <v>Conduleta PVC Tipo C De 1-1/2"</v>
          </cell>
        </row>
        <row r="543">
          <cell r="C543" t="str">
            <v>Conduleta PVC Tipo C De 2"</v>
          </cell>
        </row>
        <row r="544">
          <cell r="C544" t="str">
            <v>Conduleta PVC Tipo C De 3"</v>
          </cell>
        </row>
        <row r="545">
          <cell r="C545" t="str">
            <v>Conduleta PVC Tipo C De 3/4"</v>
          </cell>
        </row>
        <row r="546">
          <cell r="C546" t="str">
            <v>Conduleta PVC Tipo C De 4"</v>
          </cell>
        </row>
        <row r="547">
          <cell r="C547" t="str">
            <v>Conector Ampact</v>
          </cell>
        </row>
        <row r="548">
          <cell r="C548" t="str">
            <v xml:space="preserve">Conector ampact aislado 2 al 3/0  </v>
          </cell>
        </row>
        <row r="549">
          <cell r="C549" t="str">
            <v>Conector ampact aislado  4/0 al 300 MCM</v>
          </cell>
        </row>
        <row r="550">
          <cell r="C550" t="str">
            <v xml:space="preserve">Conector ampact tipo aluminio cuña 2 al 4/0 </v>
          </cell>
        </row>
        <row r="551">
          <cell r="C551" t="str">
            <v>Conector autodesf XA 3m 80610052765</v>
          </cell>
        </row>
        <row r="552">
          <cell r="C552" t="str">
            <v>Conector curvo de 2" no metalico</v>
          </cell>
        </row>
        <row r="553">
          <cell r="C553" t="str">
            <v>Conector de tierra Burndy Catalog Number: GC4C4C</v>
          </cell>
        </row>
        <row r="554">
          <cell r="C554" t="str">
            <v>Conector EMT 1 1/4"</v>
          </cell>
        </row>
        <row r="555">
          <cell r="C555" t="str">
            <v>Conector EMT 1"</v>
          </cell>
        </row>
        <row r="556">
          <cell r="C556" t="str">
            <v>Conector EMT 1/2"</v>
          </cell>
        </row>
        <row r="557">
          <cell r="C557" t="str">
            <v>Conector EMT 1-1/2"</v>
          </cell>
        </row>
        <row r="558">
          <cell r="C558" t="str">
            <v>Conector EMT 2"</v>
          </cell>
        </row>
        <row r="559">
          <cell r="C559" t="str">
            <v>Conector EMT 3/4"</v>
          </cell>
        </row>
        <row r="560">
          <cell r="C560" t="str">
            <v>Conector EMT  3"</v>
          </cell>
        </row>
        <row r="561">
          <cell r="C561" t="str">
            <v>Conector EMT  4"</v>
          </cell>
        </row>
        <row r="562">
          <cell r="C562" t="str">
            <v>Conector GAR 2"</v>
          </cell>
        </row>
        <row r="563">
          <cell r="C563" t="str">
            <v>Conector GAR 3"</v>
          </cell>
        </row>
        <row r="564">
          <cell r="C564" t="str">
            <v>Conector hub 1/2</v>
          </cell>
        </row>
        <row r="565">
          <cell r="C565" t="str">
            <v>Conector hub 3/4</v>
          </cell>
        </row>
        <row r="566">
          <cell r="C566" t="str">
            <v>Conector hub 1</v>
          </cell>
        </row>
        <row r="567">
          <cell r="C567" t="str">
            <v>Conector hub 2</v>
          </cell>
        </row>
        <row r="568">
          <cell r="C568" t="str">
            <v xml:space="preserve">Conector Liquid Tight De 1 1/2" </v>
          </cell>
        </row>
        <row r="569">
          <cell r="C569" t="str">
            <v xml:space="preserve">Conector Liquid Tight De 1 1/4" </v>
          </cell>
        </row>
        <row r="570">
          <cell r="C570" t="str">
            <v xml:space="preserve">Conector Liquid Tight De 1" </v>
          </cell>
        </row>
        <row r="571">
          <cell r="C571" t="str">
            <v xml:space="preserve">Conector Liquid Tight De 1/2" </v>
          </cell>
        </row>
        <row r="572">
          <cell r="C572" t="str">
            <v xml:space="preserve">Conector Liquid Tight De 2" </v>
          </cell>
        </row>
        <row r="573">
          <cell r="C573" t="str">
            <v>Conector Liquid Tight De 3"</v>
          </cell>
        </row>
        <row r="574">
          <cell r="C574" t="str">
            <v xml:space="preserve">Conector Liquid Tight De 3/4" </v>
          </cell>
        </row>
        <row r="575">
          <cell r="C575" t="str">
            <v>Conector Pvc 1/2</v>
          </cell>
        </row>
        <row r="576">
          <cell r="C576" t="str">
            <v>Conector Pvc 3/4</v>
          </cell>
        </row>
        <row r="577">
          <cell r="C577" t="str">
            <v>Conector Pvc 1</v>
          </cell>
        </row>
        <row r="578">
          <cell r="C578" t="str">
            <v>Conector Pvc 1 1/2</v>
          </cell>
        </row>
        <row r="579">
          <cell r="C579" t="str">
            <v>Conector Pvc 1 1/4</v>
          </cell>
        </row>
        <row r="580">
          <cell r="C580" t="str">
            <v>Conector Pvc 2</v>
          </cell>
        </row>
        <row r="581">
          <cell r="C581" t="str">
            <v>Conector Pvc hembra 1/2</v>
          </cell>
        </row>
        <row r="582">
          <cell r="C582" t="str">
            <v>Conector Pvc hembra 3/4</v>
          </cell>
        </row>
        <row r="583">
          <cell r="C583" t="str">
            <v>Conector Pvc  hembra 1</v>
          </cell>
        </row>
        <row r="584">
          <cell r="C584" t="str">
            <v>Conector Pvc hembra 1 1/2</v>
          </cell>
        </row>
        <row r="585">
          <cell r="C585" t="str">
            <v>Conector Pvc hembra 1 1/4</v>
          </cell>
        </row>
        <row r="586">
          <cell r="C586" t="str">
            <v>Conector Pvc hembra  2</v>
          </cell>
        </row>
        <row r="587">
          <cell r="C587" t="str">
            <v>Conector recto hubbell no metalico 2"</v>
          </cell>
        </row>
        <row r="588">
          <cell r="C588" t="str">
            <v>Conector resortado</v>
          </cell>
        </row>
        <row r="589">
          <cell r="C589" t="str">
            <v>Conector Tipo Cuña 1/0 al 2</v>
          </cell>
        </row>
        <row r="590">
          <cell r="C590" t="str">
            <v>Conector Tipo Cuña 2 al 2/0</v>
          </cell>
        </row>
        <row r="591">
          <cell r="C591" t="str">
            <v>Conector Tubular 1/0 AWG</v>
          </cell>
        </row>
        <row r="592">
          <cell r="C592" t="str">
            <v>Conector Tubular 2 AWG</v>
          </cell>
        </row>
        <row r="593">
          <cell r="C593" t="str">
            <v>Conector Tubular 2/0 AWG</v>
          </cell>
        </row>
        <row r="594">
          <cell r="C594" t="str">
            <v>Conector Tubular 250 MCM</v>
          </cell>
        </row>
        <row r="595">
          <cell r="C595" t="str">
            <v>Conector Tubular 300 MCM</v>
          </cell>
        </row>
        <row r="596">
          <cell r="C596" t="str">
            <v>Conector Tubular 350 MCM</v>
          </cell>
        </row>
        <row r="597">
          <cell r="C597" t="str">
            <v>Conector Tubular 4 AWG</v>
          </cell>
        </row>
        <row r="598">
          <cell r="C598" t="str">
            <v>Conector Tubular 4/0 AWG</v>
          </cell>
        </row>
        <row r="599">
          <cell r="C599" t="str">
            <v>Conector Tubular 500 MCM</v>
          </cell>
        </row>
        <row r="600">
          <cell r="C600" t="str">
            <v>Conector Tubular 6 AWG</v>
          </cell>
        </row>
        <row r="601">
          <cell r="C601" t="str">
            <v>Conector Tubular bimetalico 1/0</v>
          </cell>
        </row>
        <row r="602">
          <cell r="C602" t="str">
            <v>Conector Tubular bimetalico 2</v>
          </cell>
        </row>
        <row r="603">
          <cell r="C603" t="str">
            <v>Conector Tubular bimetalico 2/0</v>
          </cell>
        </row>
        <row r="604">
          <cell r="C604" t="str">
            <v>Conector Tubular bimetalico 3/0</v>
          </cell>
        </row>
        <row r="605">
          <cell r="C605" t="str">
            <v>Conector Tubular bimetalico 300 MCM</v>
          </cell>
        </row>
        <row r="606">
          <cell r="C606" t="str">
            <v>Conector Tubular bimetalico 350 MCM</v>
          </cell>
        </row>
        <row r="607">
          <cell r="C607" t="str">
            <v>Conector Tubular bimetalico 4/0</v>
          </cell>
        </row>
        <row r="608">
          <cell r="C608" t="str">
            <v>Conmutador selector lovato 2 pos fijas  lov0378</v>
          </cell>
        </row>
        <row r="609">
          <cell r="C609" t="str">
            <v>Conmutador seta rojo 9001KR9RH2 P.E.c/enclavamiento 40mm</v>
          </cell>
        </row>
        <row r="610">
          <cell r="C610" t="str">
            <v>Conmutador tres posiciones fijas negro 9001KS43FBH13 30mm</v>
          </cell>
        </row>
        <row r="611">
          <cell r="C611" t="str">
            <v>Consumibles</v>
          </cell>
        </row>
        <row r="612">
          <cell r="C612" t="str">
            <v>Contactor LC1D09</v>
          </cell>
        </row>
        <row r="613">
          <cell r="C613" t="str">
            <v>Contactor LC1D115</v>
          </cell>
        </row>
        <row r="614">
          <cell r="C614" t="str">
            <v>Contactor LC1D12</v>
          </cell>
        </row>
        <row r="615">
          <cell r="C615" t="str">
            <v>Contactor LC1D150</v>
          </cell>
        </row>
        <row r="616">
          <cell r="C616" t="str">
            <v>Contactor LC1D18</v>
          </cell>
        </row>
        <row r="617">
          <cell r="C617" t="str">
            <v>Contactor LC1D25</v>
          </cell>
        </row>
        <row r="618">
          <cell r="C618" t="str">
            <v>Contactor LC1D32</v>
          </cell>
        </row>
        <row r="619">
          <cell r="C619" t="str">
            <v>Contactor LC1D38</v>
          </cell>
        </row>
        <row r="620">
          <cell r="C620" t="str">
            <v>Contactor LC1D40</v>
          </cell>
        </row>
        <row r="621">
          <cell r="C621" t="str">
            <v>Contactor LC1D50</v>
          </cell>
        </row>
        <row r="622">
          <cell r="C622" t="str">
            <v>Contactor LC1D65</v>
          </cell>
        </row>
        <row r="623">
          <cell r="C623" t="str">
            <v>Contactor LC1D80</v>
          </cell>
        </row>
        <row r="624">
          <cell r="C624" t="str">
            <v>Contactor LC1D95</v>
          </cell>
        </row>
        <row r="625">
          <cell r="C625" t="str">
            <v>Contactor LC1F330F7</v>
          </cell>
        </row>
        <row r="626">
          <cell r="C626" t="str">
            <v>Contactor MOL 0139 c/resistencia /condensad</v>
          </cell>
        </row>
        <row r="627">
          <cell r="C627" t="str">
            <v>Contactor MOL 0145 c/resistencia /condensad</v>
          </cell>
        </row>
        <row r="628">
          <cell r="C628" t="str">
            <v>Contactor serie K 20 A  K0910</v>
          </cell>
        </row>
        <row r="629">
          <cell r="C629" t="str">
            <v>Contador</v>
          </cell>
        </row>
        <row r="630">
          <cell r="C630" t="str">
            <v>Cortacircuito 100 A</v>
          </cell>
        </row>
        <row r="631">
          <cell r="C631" t="str">
            <v>Cortacircuito 100 A en acero inoxidable</v>
          </cell>
        </row>
        <row r="632">
          <cell r="C632" t="str">
            <v>Cortacircuito 200 A</v>
          </cell>
        </row>
        <row r="633">
          <cell r="C633" t="str">
            <v>Cortacircuito 200 A en acero inoxidable</v>
          </cell>
        </row>
        <row r="634">
          <cell r="C634" t="str">
            <v>Cruce Para Bandeja x 10</v>
          </cell>
        </row>
        <row r="635">
          <cell r="C635" t="str">
            <v>Cruce Para Bandeja x 20</v>
          </cell>
        </row>
        <row r="636">
          <cell r="C636" t="str">
            <v>Cruce Para Bandeja x 30</v>
          </cell>
        </row>
        <row r="637">
          <cell r="C637" t="str">
            <v>Cruce Para Bandeja x 40</v>
          </cell>
        </row>
        <row r="638">
          <cell r="C638" t="str">
            <v>Cruceta Angular Metalica Con Silla 1,8 m</v>
          </cell>
        </row>
        <row r="639">
          <cell r="C639" t="str">
            <v>Cruceta Angular Metalica Con Silla 2,4 m</v>
          </cell>
        </row>
        <row r="640">
          <cell r="C640" t="str">
            <v>cruceta de hierro de 5/16 x 21/2 x 6 M</v>
          </cell>
        </row>
        <row r="641">
          <cell r="C641" t="str">
            <v>Cruceta De Madera Con Bounder De 1,8m</v>
          </cell>
        </row>
        <row r="642">
          <cell r="C642" t="str">
            <v>Cruceta De Madera Con Bounder De 2,4m</v>
          </cell>
        </row>
        <row r="643">
          <cell r="C643" t="str">
            <v>Cruceta De Madera De 4"x4"x2,4 mts.</v>
          </cell>
        </row>
        <row r="644">
          <cell r="C644" t="str">
            <v>cubre luz galvanizado en caliente de 20 cm de ancho util MECANO Referencia: CL AG20</v>
          </cell>
        </row>
        <row r="645">
          <cell r="C645" t="str">
            <v>Cuerda De 5/8 Nylon Driza (50m)</v>
          </cell>
        </row>
        <row r="646">
          <cell r="C646" t="str">
            <v>Curador</v>
          </cell>
        </row>
        <row r="647">
          <cell r="C647" t="str">
            <v>Curva bandeja liv 20 cms liv</v>
          </cell>
        </row>
        <row r="648">
          <cell r="C648" t="str">
            <v>Curva Conduit PVC a 45°  De 1 1/2"</v>
          </cell>
        </row>
        <row r="649">
          <cell r="C649" t="str">
            <v>Curva Conduit PVC a 45°  De 1"</v>
          </cell>
        </row>
        <row r="650">
          <cell r="C650" t="str">
            <v>Curva Conduit PVC a 45°  De 2"</v>
          </cell>
        </row>
        <row r="651">
          <cell r="C651" t="str">
            <v>Curva Conduit PVC a 90°  De 1 1/2"</v>
          </cell>
        </row>
        <row r="652">
          <cell r="C652" t="str">
            <v>Curva Conduit PVCa 90°  De 1"</v>
          </cell>
        </row>
        <row r="653">
          <cell r="C653" t="str">
            <v>Curva Conduit PVC a 90°  De 2"</v>
          </cell>
        </row>
        <row r="654">
          <cell r="C654" t="str">
            <v>Curva Conduit Galv. (IMC) 1 1/2"</v>
          </cell>
        </row>
        <row r="655">
          <cell r="C655" t="str">
            <v>Curva Conduit Galv. (IMC) 1"</v>
          </cell>
        </row>
        <row r="656">
          <cell r="C656" t="str">
            <v>Curva Conduit Galv. (IMC) 1/2"</v>
          </cell>
        </row>
        <row r="657">
          <cell r="C657" t="str">
            <v>Curva Conduit Galv. (IMC) 2"</v>
          </cell>
        </row>
        <row r="658">
          <cell r="C658" t="str">
            <v>Curva Conduit Galv. (IMC) 3"</v>
          </cell>
        </row>
        <row r="659">
          <cell r="C659" t="str">
            <v>Curva Conduit Galv. (IMC) 3/4"</v>
          </cell>
        </row>
        <row r="660">
          <cell r="C660" t="str">
            <v>Curva Conduit Galv. (RIDGID) 1 1/2"</v>
          </cell>
        </row>
        <row r="661">
          <cell r="C661" t="str">
            <v>Curva Conduit Galv. (RIDGID) 1 1/4"</v>
          </cell>
        </row>
        <row r="662">
          <cell r="C662" t="str">
            <v>Curva Conduit Galv. (RIDGID) 1"</v>
          </cell>
        </row>
        <row r="663">
          <cell r="C663" t="str">
            <v>Curva Conduit Galv. (RIDGID) 1/2"</v>
          </cell>
        </row>
        <row r="664">
          <cell r="C664" t="str">
            <v>Curva Conduit Galv. (RIDGID) 2"</v>
          </cell>
        </row>
        <row r="665">
          <cell r="C665" t="str">
            <v>Curva Conduit Galv. (RIDGID) 3"</v>
          </cell>
        </row>
        <row r="666">
          <cell r="C666" t="str">
            <v>Curva Conduit Galv. (RIDGID) 3/4"</v>
          </cell>
        </row>
        <row r="667">
          <cell r="C667" t="str">
            <v>Curva Conduit Galv. (RIDGID) 4"</v>
          </cell>
        </row>
        <row r="668">
          <cell r="C668" t="str">
            <v>Curva Conduit PVC a 45 De 3/4"</v>
          </cell>
        </row>
        <row r="669">
          <cell r="C669" t="str">
            <v>Curva Conduit PVC a 90 De 3/4"</v>
          </cell>
        </row>
        <row r="670">
          <cell r="C670" t="str">
            <v>Curva Conduit PVC De 1/2"</v>
          </cell>
        </row>
        <row r="671">
          <cell r="C671" t="str">
            <v>Curva Conduit PVC De 3"</v>
          </cell>
        </row>
        <row r="672">
          <cell r="C672" t="str">
            <v>Curva Conduit PVC De 4"</v>
          </cell>
        </row>
        <row r="673">
          <cell r="C673" t="str">
            <v>Curva EMT de 1</v>
          </cell>
        </row>
        <row r="674">
          <cell r="C674" t="str">
            <v>Curva EMT de 1 1/4</v>
          </cell>
        </row>
        <row r="675">
          <cell r="C675" t="str">
            <v>Curva EMT de 1/2</v>
          </cell>
        </row>
        <row r="676">
          <cell r="C676" t="str">
            <v>Curva EMT de 1-1/2</v>
          </cell>
        </row>
        <row r="677">
          <cell r="C677" t="str">
            <v>Curva EMT de 2</v>
          </cell>
        </row>
        <row r="678">
          <cell r="C678" t="str">
            <v>Curva EMT de 3</v>
          </cell>
        </row>
        <row r="679">
          <cell r="C679" t="str">
            <v>Curva EMT de 3/4</v>
          </cell>
        </row>
        <row r="680">
          <cell r="C680" t="str">
            <v>Curva horizontal de 10x8 C22 TA</v>
          </cell>
        </row>
        <row r="681">
          <cell r="C681" t="str">
            <v>Curva horizontal de 20x8 C22 TA</v>
          </cell>
        </row>
        <row r="682">
          <cell r="C682" t="str">
            <v>Curva horizontal de 30x8 C22 TA</v>
          </cell>
        </row>
        <row r="683">
          <cell r="C683" t="str">
            <v>Curva Para Bandeja Horizontal  en 90º 20</v>
          </cell>
        </row>
        <row r="684">
          <cell r="C684" t="str">
            <v>Curva Para Bandeja Horizontal en 90º 10</v>
          </cell>
        </row>
        <row r="685">
          <cell r="C685" t="str">
            <v>Curva Para Bandeja Horizontal en 90º 30</v>
          </cell>
        </row>
        <row r="686">
          <cell r="C686" t="str">
            <v>Curva Para Bandeja Horizontal en 90º 40</v>
          </cell>
        </row>
        <row r="687">
          <cell r="C687" t="str">
            <v>Curva Para Bandeja Vertical en 90º 10</v>
          </cell>
        </row>
        <row r="688">
          <cell r="C688" t="str">
            <v>Curva Para Bandeja Vertical en 90º 20</v>
          </cell>
        </row>
        <row r="689">
          <cell r="C689" t="str">
            <v>Curva Para Bandeja Vertical en 90º 30</v>
          </cell>
        </row>
        <row r="690">
          <cell r="C690" t="str">
            <v>Curva Para Bandeja Vertical en 90º 40</v>
          </cell>
        </row>
        <row r="691">
          <cell r="C691" t="str">
            <v>Descargo Electricaribe</v>
          </cell>
        </row>
        <row r="692">
          <cell r="C692" t="str">
            <v>Diseños Electricos</v>
          </cell>
        </row>
        <row r="693">
          <cell r="C693" t="str">
            <v>DPS 12kv</v>
          </cell>
        </row>
        <row r="694">
          <cell r="C694" t="str">
            <v>DPS 7 modos 47120</v>
          </cell>
        </row>
        <row r="695">
          <cell r="C695" t="str">
            <v>DPS tipo panel ref 52120  4H + T  4 MODOS</v>
          </cell>
        </row>
        <row r="696">
          <cell r="C696" t="str">
            <v>Ducto canal con division 12x5x240 c/pintura electr</v>
          </cell>
        </row>
        <row r="697">
          <cell r="C697" t="str">
            <v xml:space="preserve">Enclavamiento mecanico LAD911502 </v>
          </cell>
        </row>
        <row r="698">
          <cell r="C698" t="str">
            <v>Espaciador de 1/2" x 10 LG</v>
          </cell>
        </row>
        <row r="699">
          <cell r="C699" t="str">
            <v>Esparrago 5/8x24</v>
          </cell>
        </row>
        <row r="700">
          <cell r="C700" t="str">
            <v>Espigo corto line post</v>
          </cell>
        </row>
        <row r="701">
          <cell r="C701" t="str">
            <v xml:space="preserve">Espiral para proteccion de cables </v>
          </cell>
        </row>
        <row r="702">
          <cell r="C702" t="str">
            <v>Estuco De Sika</v>
          </cell>
        </row>
        <row r="703">
          <cell r="C703" t="str">
            <v>Estudio de Conexion y Factibilidad</v>
          </cell>
        </row>
        <row r="704">
          <cell r="C704" t="str">
            <v>Estudio para SPT</v>
          </cell>
        </row>
        <row r="705">
          <cell r="C705" t="str">
            <v>Extractor de aire 6" Mit 0209</v>
          </cell>
        </row>
        <row r="706">
          <cell r="C706" t="str">
            <v>Face Plate con conector coaxial</v>
          </cell>
        </row>
        <row r="707">
          <cell r="C707" t="str">
            <v>Face Plate Siemons.10GMX-FPS04-02B</v>
          </cell>
        </row>
        <row r="708">
          <cell r="C708" t="str">
            <v>FACEPLATE 10G MAX 2 PTO VERTICAL BLANCO B</v>
          </cell>
        </row>
        <row r="709">
          <cell r="C709" t="str">
            <v>FACEPLATE 10G MAX 4 PTO HORIZONTAL BLANCO</v>
          </cell>
        </row>
        <row r="710">
          <cell r="C710" t="str">
            <v>FACEPLATE MAX 2 PTO VERTICAL BLANCO B</v>
          </cell>
        </row>
        <row r="711">
          <cell r="C711" t="str">
            <v>FACEPLATE MAX 4 PTO VERTICAL BLANCO B</v>
          </cell>
        </row>
        <row r="712">
          <cell r="C712" t="str">
            <v>Favigel</v>
          </cell>
        </row>
        <row r="713">
          <cell r="C713" t="str">
            <v>Fibra</v>
          </cell>
        </row>
        <row r="714">
          <cell r="C714" t="str">
            <v xml:space="preserve">Flexi Conduit Liquid Tight De 1 1/2" </v>
          </cell>
        </row>
        <row r="715">
          <cell r="C715" t="str">
            <v xml:space="preserve">Flexi Conduit Liquid Tight De 1" </v>
          </cell>
        </row>
        <row r="716">
          <cell r="C716" t="str">
            <v xml:space="preserve">Flexi Conduit Liquid Tight De 1/2" </v>
          </cell>
        </row>
        <row r="717">
          <cell r="C717" t="str">
            <v xml:space="preserve">Flexi Conduit Liquid Tight De 2" </v>
          </cell>
        </row>
        <row r="718">
          <cell r="C718" t="str">
            <v xml:space="preserve">Flexi Conduit Liquid Tight De 3" </v>
          </cell>
        </row>
        <row r="719">
          <cell r="C719" t="str">
            <v xml:space="preserve">Flexi Conduit Liquid Tight De 3/4" </v>
          </cell>
        </row>
        <row r="720">
          <cell r="C720" t="str">
            <v>Flotador tipo sapito plastico</v>
          </cell>
        </row>
        <row r="721">
          <cell r="C721" t="str">
            <v>Formaleta En Madera</v>
          </cell>
        </row>
        <row r="722">
          <cell r="C722" t="str">
            <v>Fotocelda  220v</v>
          </cell>
        </row>
        <row r="723">
          <cell r="C723" t="str">
            <v xml:space="preserve">Fotocelda para 480 V </v>
          </cell>
        </row>
        <row r="724">
          <cell r="C724" t="str">
            <v>Freno para borna</v>
          </cell>
        </row>
        <row r="725">
          <cell r="C725" t="str">
            <v>Fusible 1 A</v>
          </cell>
        </row>
        <row r="726">
          <cell r="C726" t="str">
            <v>fusible 2A</v>
          </cell>
        </row>
        <row r="727">
          <cell r="C727" t="str">
            <v>fusible 5A</v>
          </cell>
        </row>
        <row r="728">
          <cell r="C728" t="str">
            <v>fusible 7A</v>
          </cell>
        </row>
        <row r="729">
          <cell r="C729" t="str">
            <v>fusible 10A</v>
          </cell>
        </row>
        <row r="730">
          <cell r="C730" t="str">
            <v>fusible 20A</v>
          </cell>
        </row>
        <row r="731">
          <cell r="C731" t="str">
            <v>fusible 15 amp</v>
          </cell>
        </row>
        <row r="732">
          <cell r="C732" t="str">
            <v>Fusible 200 A</v>
          </cell>
        </row>
        <row r="733">
          <cell r="C733" t="str">
            <v>Fusible Tipo HH de 32 Amp</v>
          </cell>
        </row>
        <row r="734">
          <cell r="C734" t="str">
            <v>Fusible Tipo HH de 63 Amp</v>
          </cell>
        </row>
        <row r="735">
          <cell r="C735" t="str">
            <v xml:space="preserve">Granito </v>
          </cell>
        </row>
        <row r="736">
          <cell r="C736" t="str">
            <v>Grapa doble ala o uña de 1/2</v>
          </cell>
        </row>
        <row r="737">
          <cell r="C737" t="str">
            <v>Grapa doble ala o uña de 3/4</v>
          </cell>
        </row>
        <row r="738">
          <cell r="C738" t="str">
            <v>Grapa doble ala o uña de 1</v>
          </cell>
        </row>
        <row r="739">
          <cell r="C739" t="str">
            <v>Grapa doble ala o uña de 2</v>
          </cell>
        </row>
        <row r="740">
          <cell r="C740" t="str">
            <v>Grapa 1 1/2 acero inoxidable</v>
          </cell>
        </row>
        <row r="741">
          <cell r="C741" t="str">
            <v>Grapa 1 1/2 FT AG112</v>
          </cell>
        </row>
        <row r="742">
          <cell r="C742" t="str">
            <v>Grapa 1 1/4  FT 2AG114N</v>
          </cell>
        </row>
        <row r="743">
          <cell r="C743" t="str">
            <v>Grapa 1 FT 2AG100N</v>
          </cell>
        </row>
        <row r="744">
          <cell r="C744" t="str">
            <v>Grapa 1" acero inoxidable</v>
          </cell>
        </row>
        <row r="745">
          <cell r="C745" t="str">
            <v>Grapa 1/2 FT 2AG012N</v>
          </cell>
        </row>
        <row r="746">
          <cell r="C746" t="str">
            <v>Grapa 2"</v>
          </cell>
        </row>
        <row r="747">
          <cell r="C747" t="str">
            <v>Grapa 3 FPAG300</v>
          </cell>
        </row>
        <row r="748">
          <cell r="C748" t="str">
            <v>Grapa 3" acero inoxidable</v>
          </cell>
        </row>
        <row r="749">
          <cell r="C749" t="str">
            <v>Grapa 3/4 FT 2AG034N</v>
          </cell>
        </row>
        <row r="750">
          <cell r="C750" t="str">
            <v>Grapa 3/4" acero inoxidable</v>
          </cell>
        </row>
        <row r="751">
          <cell r="C751" t="str">
            <v>Grapa 4"</v>
          </cell>
        </row>
        <row r="752">
          <cell r="C752" t="str">
            <v>grapa channel 1 1/4</v>
          </cell>
        </row>
        <row r="753">
          <cell r="C753" t="str">
            <v xml:space="preserve">grapa channel 1 </v>
          </cell>
        </row>
        <row r="754">
          <cell r="C754" t="str">
            <v>grapa channel 3/4</v>
          </cell>
        </row>
        <row r="755">
          <cell r="C755" t="str">
            <v>Grapa De 3 Pernos (1/2" 3/8 X 1½ X 6")</v>
          </cell>
        </row>
        <row r="756">
          <cell r="C756" t="str">
            <v>Grapa De 3 Pernos (3/8" X 2" X 6")</v>
          </cell>
        </row>
        <row r="757">
          <cell r="C757" t="str">
            <v>Grapa De Retencion</v>
          </cell>
        </row>
        <row r="758">
          <cell r="C758" t="str">
            <v>Grapa De Suspension Para Cable 556,5 MCM</v>
          </cell>
        </row>
        <row r="759">
          <cell r="C759" t="str">
            <v>Grapa De Uña De 3/8</v>
          </cell>
        </row>
        <row r="760">
          <cell r="C760" t="str">
            <v>Grapa en S.S. 304 CAL 16 Con Tornillo Hexagonal para Tubo 11/2"</v>
          </cell>
        </row>
        <row r="761">
          <cell r="C761" t="str">
            <v>Grapa en S.S. 304 CAL 16 Con Tornillo Hexagonal para Tubo 2"</v>
          </cell>
        </row>
        <row r="762">
          <cell r="C762" t="str">
            <v>Grapa en S.S. 304 CAL 16 Con Tornillo Hexagonal para Tubo 3/4"</v>
          </cell>
        </row>
        <row r="763">
          <cell r="C763" t="str">
            <v>Grapa o abrazadera de 1/2"</v>
          </cell>
        </row>
        <row r="764">
          <cell r="C764" t="str">
            <v>Grapa o abrazadera de 3/4"</v>
          </cell>
        </row>
        <row r="765">
          <cell r="C765" t="str">
            <v xml:space="preserve">Grapa retención y suspensión red trenzada  </v>
          </cell>
        </row>
        <row r="766">
          <cell r="C766" t="str">
            <v>Grapas De Retension Tipo Pistola En AL  3U</v>
          </cell>
        </row>
        <row r="767">
          <cell r="C767" t="str">
            <v>Grapas De Retension Tipo Pistola En AL  4U</v>
          </cell>
        </row>
        <row r="768">
          <cell r="C768" t="str">
            <v>Grapas De Retension Tipo Pistola En AL 2U</v>
          </cell>
        </row>
        <row r="769">
          <cell r="C769" t="str">
            <v>Guantes De Alta (1)</v>
          </cell>
        </row>
        <row r="770">
          <cell r="C770" t="str">
            <v>Guarda Cabo (Para Retenida De 5/8" Tipo Pesado)</v>
          </cell>
        </row>
        <row r="771">
          <cell r="C771" t="str">
            <v>Guardamotor GV2-ME03/10</v>
          </cell>
        </row>
        <row r="772">
          <cell r="C772" t="str">
            <v>Guardamotor GV2-ME14/20</v>
          </cell>
        </row>
        <row r="773">
          <cell r="C773" t="str">
            <v>Guardamotor GV2-ME21/32</v>
          </cell>
        </row>
        <row r="774">
          <cell r="C774" t="str">
            <v>Guaya galv de 1/8"</v>
          </cell>
        </row>
        <row r="775">
          <cell r="C775" t="str">
            <v>Guaya galv de 3/16"</v>
          </cell>
        </row>
        <row r="776">
          <cell r="C776" t="str">
            <v>Hebilla Para Bandit</v>
          </cell>
        </row>
        <row r="777">
          <cell r="C777" t="str">
            <v>Herraje Para Patch Panel 24 Port.Siemons</v>
          </cell>
        </row>
        <row r="778">
          <cell r="C778" t="str">
            <v>HERRAJE PATCH PANEL 48 PTS.ANGULADO</v>
          </cell>
        </row>
        <row r="779">
          <cell r="C779" t="str">
            <v>HERRAJE PATCH PANEL 48 PTS.MAX</v>
          </cell>
        </row>
        <row r="780">
          <cell r="C780" t="str">
            <v>Hidrosolta 10kg</v>
          </cell>
        </row>
        <row r="781">
          <cell r="C781" t="str">
            <v>Hub De 1 1/2"</v>
          </cell>
        </row>
        <row r="782">
          <cell r="C782" t="str">
            <v>Hub De 1"</v>
          </cell>
        </row>
        <row r="783">
          <cell r="C783" t="str">
            <v>Hub De 1/2"</v>
          </cell>
        </row>
        <row r="784">
          <cell r="C784" t="str">
            <v>Hub De 2"</v>
          </cell>
        </row>
        <row r="785">
          <cell r="C785" t="str">
            <v>Hub De 3"</v>
          </cell>
        </row>
        <row r="786">
          <cell r="C786" t="str">
            <v>Hub De 3/4"</v>
          </cell>
        </row>
        <row r="787">
          <cell r="C787" t="str">
            <v>Hub De 4"</v>
          </cell>
        </row>
        <row r="788">
          <cell r="C788" t="str">
            <v>Interrup Bipolar C60N Merlin Gerin 1 - 4A</v>
          </cell>
        </row>
        <row r="789">
          <cell r="C789" t="str">
            <v>Interrup Bipolar C60N Merlin Gerin 40A</v>
          </cell>
        </row>
        <row r="790">
          <cell r="C790" t="str">
            <v>Interrup Bipolar C60N Merlin Gerin 50A</v>
          </cell>
        </row>
        <row r="791">
          <cell r="C791" t="str">
            <v>Interrup Bipolar C60N Merlin Gerin 6 - 32A</v>
          </cell>
        </row>
        <row r="792">
          <cell r="C792" t="str">
            <v>Interrup Bipolar C60N Merlin Gerin 63A</v>
          </cell>
        </row>
        <row r="793">
          <cell r="C793" t="str">
            <v>Interrup Bipolar THQL 15 - 30 A</v>
          </cell>
        </row>
        <row r="794">
          <cell r="C794" t="str">
            <v>Interrup bipolar THQL 15 - 30 A  GFI</v>
          </cell>
        </row>
        <row r="795">
          <cell r="C795" t="str">
            <v>Interrup Bipolar THQL 40 - 60 A</v>
          </cell>
        </row>
        <row r="796">
          <cell r="C796" t="str">
            <v>Interrup bipolar THQL 40 A  GFI</v>
          </cell>
        </row>
        <row r="797">
          <cell r="C797" t="str">
            <v>Interrup Bipolar THQL 70- 100 A</v>
          </cell>
        </row>
        <row r="798">
          <cell r="C798" t="str">
            <v>Interrup Monopo C60N Merlin Gerin 40 - 63A</v>
          </cell>
        </row>
        <row r="799">
          <cell r="C799" t="str">
            <v>Interrup Monopo C60N Merlin Gerin 6 - 32A</v>
          </cell>
        </row>
        <row r="800">
          <cell r="C800" t="str">
            <v>Interrup monopolar THQL 15 - 20 A  GFI</v>
          </cell>
        </row>
        <row r="801">
          <cell r="C801" t="str">
            <v>Interrup Monopolar THQL 15-20A</v>
          </cell>
        </row>
        <row r="802">
          <cell r="C802" t="str">
            <v>Interrup Monopolar THQL 30A</v>
          </cell>
        </row>
        <row r="803">
          <cell r="C803" t="str">
            <v>Interrup Tripolar C60N Merlin Gerin 20A</v>
          </cell>
        </row>
        <row r="804">
          <cell r="C804" t="str">
            <v>Interrup Tripolar C60N Merlin Gerin 30A</v>
          </cell>
        </row>
        <row r="805">
          <cell r="C805" t="str">
            <v>Interrup Tripolar C60N Merlin Gerin 40A</v>
          </cell>
        </row>
        <row r="806">
          <cell r="C806" t="str">
            <v>Interrup Tripolar C60N Merlin Gerin 50A</v>
          </cell>
        </row>
        <row r="807">
          <cell r="C807" t="str">
            <v>Interrup Tripolar C60N Merlin Gerin 60A</v>
          </cell>
        </row>
        <row r="808">
          <cell r="C808" t="str">
            <v>Interrup Tripolar C60N Merlin Gerin 70A</v>
          </cell>
        </row>
        <row r="809">
          <cell r="C809" t="str">
            <v>Interrup Tripolar THQL 15 - 30 A</v>
          </cell>
        </row>
        <row r="810">
          <cell r="C810" t="str">
            <v>Interrup Tripolar THQL 40A</v>
          </cell>
        </row>
        <row r="811">
          <cell r="C811" t="str">
            <v>Interrup Tripolar THQL 50A</v>
          </cell>
        </row>
        <row r="812">
          <cell r="C812" t="str">
            <v>Interrup Tripolar THQL 60A</v>
          </cell>
        </row>
        <row r="813">
          <cell r="C813" t="str">
            <v>Interrup Tripolar THQL 70A</v>
          </cell>
        </row>
        <row r="814">
          <cell r="C814" t="str">
            <v>Interuptor bipolar vela</v>
          </cell>
        </row>
        <row r="815">
          <cell r="C815" t="str">
            <v>Interuptor boton ciego vela ref 681500</v>
          </cell>
        </row>
        <row r="816">
          <cell r="C816" t="str">
            <v xml:space="preserve">Interuptor con unidad disparo electronica ref 
33466 </v>
          </cell>
        </row>
        <row r="817">
          <cell r="C817" t="str">
            <v>Interuptor conmutable sencillo</v>
          </cell>
        </row>
        <row r="818">
          <cell r="C818" t="str">
            <v xml:space="preserve">Interuptor doble </v>
          </cell>
        </row>
        <row r="819">
          <cell r="C819" t="str">
            <v>Interuptor Doble dekora c/luz piloto 1754 LW</v>
          </cell>
        </row>
        <row r="820">
          <cell r="C820" t="str">
            <v>Interuptor Doble Levinton</v>
          </cell>
        </row>
        <row r="821">
          <cell r="C821" t="str">
            <v xml:space="preserve">Interuptor placa </v>
          </cell>
        </row>
        <row r="822">
          <cell r="C822" t="str">
            <v>Interuptor sencillo</v>
          </cell>
        </row>
        <row r="823">
          <cell r="C823" t="str">
            <v>Interuptor sencillo ambia conmutable luminex</v>
          </cell>
        </row>
        <row r="824">
          <cell r="C824" t="str">
            <v>Interuptor sencillo ambia luminex</v>
          </cell>
        </row>
        <row r="825">
          <cell r="C825" t="str">
            <v>Interuptor Sencillo dekora 5601 2W</v>
          </cell>
        </row>
        <row r="826">
          <cell r="C826" t="str">
            <v>Interuptor Sencillo dekora c/luz piloto 5613 W</v>
          </cell>
        </row>
        <row r="827">
          <cell r="C827" t="str">
            <v xml:space="preserve">Interuptor Sencillo dekora c/luz piloto conmutable </v>
          </cell>
        </row>
        <row r="828">
          <cell r="C828" t="str">
            <v>Interuptor Sencillo Levinton</v>
          </cell>
        </row>
        <row r="829">
          <cell r="C829" t="str">
            <v>Interuptor Sencillo Luminex modulo doble vela ref 681503</v>
          </cell>
        </row>
        <row r="830">
          <cell r="C830" t="str">
            <v>Interuptor Sencillo Luminex vela ref 681501</v>
          </cell>
        </row>
        <row r="831">
          <cell r="C831" t="str">
            <v xml:space="preserve">Interuptor triple </v>
          </cell>
        </row>
        <row r="832">
          <cell r="C832" t="str">
            <v>Interuptor triplex Luminex vela ref 681505</v>
          </cell>
        </row>
        <row r="833">
          <cell r="C833" t="str">
            <v>Interuptor vela (promedio)</v>
          </cell>
        </row>
        <row r="834">
          <cell r="C834" t="str">
            <v>JACK 6 MAX ANGUL. AZUL B</v>
          </cell>
        </row>
        <row r="835">
          <cell r="C835" t="str">
            <v>JACK 6 MAX ANGUL. BLANCO B</v>
          </cell>
        </row>
        <row r="836">
          <cell r="C836" t="str">
            <v>JACK 6 MAX ANGUL. ROJO B</v>
          </cell>
        </row>
        <row r="837">
          <cell r="C837" t="str">
            <v>JACK 6 MAX PLANO AZUL B</v>
          </cell>
        </row>
        <row r="838">
          <cell r="C838" t="str">
            <v>JACK 6 MAX PLANO BLANCO B</v>
          </cell>
        </row>
        <row r="839">
          <cell r="C839" t="str">
            <v>JACK 6 MAX PLANO NEGRO B</v>
          </cell>
        </row>
        <row r="840">
          <cell r="C840" t="str">
            <v>JACK 6 MAX PLANO ROJO B</v>
          </cell>
        </row>
        <row r="841">
          <cell r="C841" t="str">
            <v>Kit balasto de 250-400 W MH   CWA</v>
          </cell>
        </row>
        <row r="842">
          <cell r="C842" t="str">
            <v>Kit balasto de 250-400 W sodio CWA</v>
          </cell>
        </row>
        <row r="843">
          <cell r="C843" t="str">
            <v xml:space="preserve">Kit equipo de medicion </v>
          </cell>
        </row>
        <row r="844">
          <cell r="C844" t="str">
            <v>Ladrillo</v>
          </cell>
        </row>
        <row r="845">
          <cell r="C845" t="str">
            <v>Lamina alfajor 2,5 x 0,30 x 1,2 m</v>
          </cell>
        </row>
        <row r="846">
          <cell r="C846" t="str">
            <v>Lamina especular para lampara 2x32 con su soporte</v>
          </cell>
        </row>
        <row r="847">
          <cell r="C847" t="str">
            <v xml:space="preserve">Lamina y Angulo </v>
          </cell>
        </row>
        <row r="848">
          <cell r="C848" t="str">
            <v>limpiador removedor para PVC  1/4</v>
          </cell>
        </row>
        <row r="849">
          <cell r="C849" t="str">
            <v>Luminaria BC indulux methalide CWA 250-400 w c/bombilla</v>
          </cell>
        </row>
        <row r="850">
          <cell r="C850" t="str">
            <v>Luminaria BC indulux sodio CWA 150-400 w c/bombilla</v>
          </cell>
        </row>
        <row r="851">
          <cell r="C851" t="str">
            <v xml:space="preserve">Luminaria calima de  sodio  22OV  150-400 w c/bombilla </v>
          </cell>
        </row>
        <row r="852">
          <cell r="C852" t="str">
            <v xml:space="preserve">Luminaria calima de  sodio  CWA  150-400 w c/bombilla </v>
          </cell>
        </row>
        <row r="853">
          <cell r="C853" t="str">
            <v>Luminaria calima de methalhalide 220V  250-400w c/bombilla</v>
          </cell>
        </row>
        <row r="854">
          <cell r="C854" t="str">
            <v>Luminaria de 2x32 incrustar con lamina especular</v>
          </cell>
        </row>
        <row r="855">
          <cell r="C855" t="str">
            <v>Luminaria de emergencia 2x20 W  hubbell</v>
          </cell>
        </row>
        <row r="856">
          <cell r="C856" t="str">
            <v>Luminaria de emergencia 2x5,8 W  ref
ELM-2  2x5,8W SD lithonia</v>
          </cell>
        </row>
        <row r="857">
          <cell r="C857" t="str">
            <v>luminaria de sodio 250W tipo alumbrado publico</v>
          </cell>
        </row>
        <row r="858">
          <cell r="C858" t="str">
            <v>Luminaria decorativa DJK MH 175 W</v>
          </cell>
        </row>
        <row r="859">
          <cell r="C859" t="str">
            <v>Luminaria decorativa DJK sodio 70 W</v>
          </cell>
        </row>
        <row r="860">
          <cell r="C860" t="str">
            <v>Luminaria explosion proof de 2x32 iluram</v>
          </cell>
        </row>
        <row r="861">
          <cell r="C861" t="str">
            <v>Luminaria Fluorescente 2x32 Cerrada En Policarbonato IP65</v>
          </cell>
        </row>
        <row r="862">
          <cell r="C862" t="str">
            <v>Luminaria fluorescente 4x17 T-8 empotrar balasto electronico</v>
          </cell>
        </row>
        <row r="863">
          <cell r="C863" t="str">
            <v>Luminaria fluorescente 4x17 T-8 empotrar balasto electronico emergencia</v>
          </cell>
        </row>
        <row r="864">
          <cell r="C864" t="str">
            <v xml:space="preserve">Luminaria fluorescente cerrada IP-65 de 2x17 </v>
          </cell>
        </row>
        <row r="865">
          <cell r="C865" t="str">
            <v>LUMINARIA FLUORECENTE DE 2X54 ip-65</v>
          </cell>
        </row>
        <row r="866">
          <cell r="C866" t="str">
            <v>LUMINARIA FLUORECENTE DE 2X32</v>
          </cell>
        </row>
        <row r="867">
          <cell r="C867" t="str">
            <v xml:space="preserve">LUMINARIA FLUORECENTE DE 2X32 FONDO BLANCO </v>
          </cell>
        </row>
        <row r="868">
          <cell r="C868" t="str">
            <v xml:space="preserve">LUMINARIA FLUORECENTE DE 2X32 CON REJILLA </v>
          </cell>
        </row>
        <row r="869">
          <cell r="C869" t="str">
            <v>luminarias Salidas de seguridad</v>
          </cell>
        </row>
        <row r="870">
          <cell r="C870" t="str">
            <v>Luminaria de Emergencia Mickey Mouse</v>
          </cell>
        </row>
        <row r="871">
          <cell r="C871" t="str">
            <v xml:space="preserve">Luminaria horizontal cerrada con vidrio curvo de vapor de sodio alta presion fotocelda incorporada, 250W/220V </v>
          </cell>
        </row>
        <row r="872">
          <cell r="C872" t="str">
            <v xml:space="preserve">Luminaria horizontal cerrada con vidrio curvo de vapor de sodio alta presion fotocelda incorporada, 70W/220V </v>
          </cell>
        </row>
        <row r="873">
          <cell r="C873" t="str">
            <v>LUMINARIA SCHREDER ONYX-1 1097 FH SODIO 150W 208/220V S.P. B.F.C.</v>
          </cell>
        </row>
        <row r="874">
          <cell r="C874" t="str">
            <v>LUMINARIA SCHREDER ONYX-1 1097 FH SODIO 250W 208/220V S.P. B.F.C. s/A-R-H-+ 2 FUS MARCADA AP BGA</v>
          </cell>
        </row>
        <row r="875">
          <cell r="C875" t="str">
            <v xml:space="preserve">Luminaria TE 400S E17S 480 HA DF LCPP PPH SCK LPI SBY </v>
          </cell>
        </row>
        <row r="876">
          <cell r="C876" t="str">
            <v>Luminaria tipo aplique con bombillo ahorrador 20 W con carcaza plastica y reflector en viidrio opal</v>
          </cell>
        </row>
        <row r="877">
          <cell r="C877" t="str">
            <v>Luminaria Tipo Wall Pack  MH 175 W</v>
          </cell>
        </row>
        <row r="878">
          <cell r="C878" t="str">
            <v>Luminaria Tipo Wall Pack  SODIO 150 W</v>
          </cell>
        </row>
        <row r="879">
          <cell r="C879" t="str">
            <v>Luminaria Tipo Wall Pack Sodio 70 W</v>
          </cell>
        </row>
        <row r="880">
          <cell r="C880" t="str">
            <v>Malla Galvanizada</v>
          </cell>
        </row>
        <row r="881">
          <cell r="C881" t="str">
            <v xml:space="preserve">Mantenimiento trafo 112,5 KVA </v>
          </cell>
        </row>
        <row r="882">
          <cell r="C882" t="str">
            <v xml:space="preserve">Mantenimiento trafo 25 KVA </v>
          </cell>
        </row>
        <row r="883">
          <cell r="C883" t="str">
            <v xml:space="preserve">Mantenimiento trafo 75 KVA </v>
          </cell>
        </row>
        <row r="884">
          <cell r="C884" t="str">
            <v>Marcador tipo boligrafo</v>
          </cell>
        </row>
        <row r="885">
          <cell r="C885" t="str">
            <v>Marquilla para marcacion interna</v>
          </cell>
        </row>
        <row r="886">
          <cell r="C886" t="str">
            <v>Marquilla punto de bloqueo</v>
          </cell>
        </row>
        <row r="887">
          <cell r="C887" t="str">
            <v>Marquillas en acrílico 10*5, 12*6, 14*7</v>
          </cell>
        </row>
        <row r="888">
          <cell r="C888" t="str">
            <v>Marquillas en acrílico 4*2, 6*3, 8*4</v>
          </cell>
        </row>
        <row r="889">
          <cell r="C889" t="str">
            <v>Marquillas tipo anillo dexson o similar</v>
          </cell>
        </row>
        <row r="890">
          <cell r="C890" t="str">
            <v>Material Seleccionado</v>
          </cell>
        </row>
        <row r="891">
          <cell r="C891" t="str">
            <v>Medidor digital DM 6000</v>
          </cell>
        </row>
        <row r="892">
          <cell r="C892" t="str">
            <v>Medidor Trifilar 2 x 120/208V 15-100 A</v>
          </cell>
        </row>
        <row r="893">
          <cell r="C893" t="str">
            <v>Mini interuptor mono multi 9 de 6 amps</v>
          </cell>
        </row>
        <row r="894">
          <cell r="C894" t="str">
            <v>Mini Split 12000 BTU</v>
          </cell>
        </row>
        <row r="895">
          <cell r="C895" t="str">
            <v>Modem de comunicaciones</v>
          </cell>
        </row>
        <row r="896">
          <cell r="C896" t="str">
            <v>Muerto De Concreto Para Retenida</v>
          </cell>
        </row>
        <row r="897">
          <cell r="C897" t="str">
            <v>Multimetro analizador DMK 32 c/software</v>
          </cell>
        </row>
        <row r="898">
          <cell r="C898" t="str">
            <v>Ocho De Seguridad (1)</v>
          </cell>
        </row>
        <row r="899">
          <cell r="C899" t="str">
            <v>Outlet (Toma) Siemons.10GMX-FS</v>
          </cell>
        </row>
        <row r="900">
          <cell r="C900" t="str">
            <v>P/CORD CAT. 6 1.5M AZUL  B</v>
          </cell>
        </row>
        <row r="901">
          <cell r="C901" t="str">
            <v>P/CORD CAT. 6 1.5M GRIS B</v>
          </cell>
        </row>
        <row r="902">
          <cell r="C902" t="str">
            <v>P/CORD CAT. 6 1.5M ROJO B</v>
          </cell>
        </row>
        <row r="903">
          <cell r="C903" t="str">
            <v>P/CORD CAT. 6 1M AZUL B</v>
          </cell>
        </row>
        <row r="904">
          <cell r="C904" t="str">
            <v>P/CORD CAT. 6 1M GRIS B</v>
          </cell>
        </row>
        <row r="905">
          <cell r="C905" t="str">
            <v>P/CORD CAT. 6 1M ROJO B</v>
          </cell>
        </row>
        <row r="906">
          <cell r="C906" t="str">
            <v>P/CORD CAT. 6 2M AZUL B</v>
          </cell>
        </row>
        <row r="907">
          <cell r="C907" t="str">
            <v>P/CORD CAT. 6 2M GRIS B</v>
          </cell>
        </row>
        <row r="908">
          <cell r="C908" t="str">
            <v>P/CORD CAT. 6 2M ROJO B</v>
          </cell>
        </row>
        <row r="909">
          <cell r="C909" t="str">
            <v>P/CORD CAT. 6 3M AZUL B</v>
          </cell>
        </row>
        <row r="910">
          <cell r="C910" t="str">
            <v>P/CORD CAT. 6 3M GRIS B</v>
          </cell>
        </row>
        <row r="911">
          <cell r="C911" t="str">
            <v>P/CORD CAT. 6 3M ROJO B</v>
          </cell>
        </row>
        <row r="912">
          <cell r="C912" t="str">
            <v>P/PANEL CAT 6 24PTO C/ORGANIZ</v>
          </cell>
        </row>
        <row r="913">
          <cell r="C913" t="str">
            <v>P/PANEL CAT 6 48PTS S/ORGANIZ</v>
          </cell>
        </row>
        <row r="914">
          <cell r="C914" t="str">
            <v>Pantalla para borna cable 10</v>
          </cell>
        </row>
        <row r="915">
          <cell r="C915" t="str">
            <v>Parada de emergencia y cabeza pulsador de hongo XB4BC42</v>
          </cell>
        </row>
        <row r="916">
          <cell r="C916" t="str">
            <v>Pararrayo 13,2 kv</v>
          </cell>
        </row>
        <row r="917">
          <cell r="C917" t="str">
            <v>Pararrayo 4160 v</v>
          </cell>
        </row>
        <row r="918">
          <cell r="C918" t="str">
            <v>Patch Cord de 1m</v>
          </cell>
        </row>
        <row r="919">
          <cell r="C919" t="str">
            <v>Patch Cord de 2m</v>
          </cell>
        </row>
        <row r="920">
          <cell r="C920" t="str">
            <v>Pegante PVC  1/4 gal</v>
          </cell>
        </row>
        <row r="921">
          <cell r="C921" t="str">
            <v>Pegante PVC  1/ 16 gal</v>
          </cell>
        </row>
        <row r="922">
          <cell r="C922" t="str">
            <v>Percha Galvanizada (Pesada) De Cuatro Puestos</v>
          </cell>
        </row>
        <row r="923">
          <cell r="C923" t="str">
            <v>Percha Galvanizada (Pesada) De Tres Puestos</v>
          </cell>
        </row>
        <row r="924">
          <cell r="C924" t="str">
            <v>Percha Galvanizada (Pesada) De Un Puesto</v>
          </cell>
        </row>
        <row r="925">
          <cell r="C925" t="str">
            <v xml:space="preserve">Perfil cal 16 en acero inoxidable </v>
          </cell>
        </row>
        <row r="926">
          <cell r="C926" t="str">
            <v>Perfil channel  2,4 m galv</v>
          </cell>
        </row>
        <row r="927">
          <cell r="C927" t="str">
            <v>Perfil channel de acero inoxidable 2,4 m</v>
          </cell>
        </row>
        <row r="928">
          <cell r="C928" t="str">
            <v>Perfil Mecano</v>
          </cell>
        </row>
        <row r="929">
          <cell r="C929" t="str">
            <v>Perfil omega</v>
          </cell>
        </row>
        <row r="930">
          <cell r="C930" t="str">
            <v>Perfil P1000 15/8"x15/8x CAL 16 x 235 LG</v>
          </cell>
        </row>
        <row r="931">
          <cell r="C931" t="str">
            <v>Perfil P1000 15/8"x15/8x CAL 16 x 400LG</v>
          </cell>
        </row>
        <row r="932">
          <cell r="C932" t="str">
            <v>Perfil X 100 LG</v>
          </cell>
        </row>
        <row r="933">
          <cell r="C933" t="str">
            <v>Perno carruaje 5/8x12"</v>
          </cell>
        </row>
        <row r="934">
          <cell r="C934" t="str">
            <v>Perno carruaje 5/8x6"</v>
          </cell>
        </row>
        <row r="935">
          <cell r="C935" t="str">
            <v>Perno carruaje ombligo 5/8x1 1/2</v>
          </cell>
        </row>
        <row r="936">
          <cell r="C936" t="str">
            <v>Perno de 1/2"  largo de 1/2 a 2" galv c/tuerca y arandela</v>
          </cell>
        </row>
        <row r="937">
          <cell r="C937" t="str">
            <v>Perno de 1/4"  largo de 1/2 a 2" galv c/tuerca y arandela</v>
          </cell>
        </row>
        <row r="938">
          <cell r="C938" t="str">
            <v>Perno de 3/8"  largo de 1/2 a 2" galv c/tuerca y arandela</v>
          </cell>
        </row>
        <row r="939">
          <cell r="C939" t="str">
            <v>Perno De Carruaje De 5/8" x 1 1/2"</v>
          </cell>
        </row>
        <row r="940">
          <cell r="C940" t="str">
            <v>Perno de expansion 1/2 x 3"</v>
          </cell>
        </row>
        <row r="941">
          <cell r="C941" t="str">
            <v>Perno de expansion 1/4"</v>
          </cell>
        </row>
        <row r="942">
          <cell r="C942" t="str">
            <v>Perno de expansion 3/8 x 2"</v>
          </cell>
        </row>
        <row r="943">
          <cell r="C943" t="str">
            <v>Perno de Expansion de 3/8" x 17/8"</v>
          </cell>
        </row>
        <row r="944">
          <cell r="C944" t="str">
            <v xml:space="preserve">Perno de Expansion Hembra 1/2" </v>
          </cell>
        </row>
        <row r="945">
          <cell r="C945" t="str">
            <v>Perno De Maquina 5/8 x 1 1/2</v>
          </cell>
        </row>
        <row r="946">
          <cell r="C946" t="str">
            <v>Perno De Maquina De 1/2" x 6"</v>
          </cell>
        </row>
        <row r="947">
          <cell r="C947" t="str">
            <v>Perno De Maquina De 5/8" x 12"</v>
          </cell>
        </row>
        <row r="948">
          <cell r="C948" t="str">
            <v>Perno De Ombligo 5/8 x 1 1/2</v>
          </cell>
        </row>
        <row r="949">
          <cell r="C949" t="str">
            <v>Pernos De Anclaje</v>
          </cell>
        </row>
        <row r="950">
          <cell r="C950" t="str">
            <v>Pernos De Expansion</v>
          </cell>
        </row>
        <row r="951">
          <cell r="C951" t="str">
            <v>Pernos de Ojo</v>
          </cell>
        </row>
        <row r="952">
          <cell r="C952" t="str">
            <v>Perro de 1/8</v>
          </cell>
        </row>
        <row r="953">
          <cell r="C953" t="str">
            <v>Perro de 3/16</v>
          </cell>
        </row>
        <row r="954">
          <cell r="C954" t="str">
            <v xml:space="preserve">Pèrtiga De Extension (1) </v>
          </cell>
        </row>
        <row r="955">
          <cell r="C955" t="str">
            <v>Piloto de señalizacion con led ref 9001KP40G-R-A-9 30 mm</v>
          </cell>
        </row>
        <row r="956">
          <cell r="C956" t="str">
            <v>Piloto de señalizacion con led ref XB4BVG3/4/5</v>
          </cell>
        </row>
        <row r="957">
          <cell r="C957" t="str">
            <v>Pin Para Aisladores</v>
          </cell>
        </row>
        <row r="958">
          <cell r="C958" t="str">
            <v>Pin Para Lines Post corto cruc metalic</v>
          </cell>
        </row>
        <row r="959">
          <cell r="C959" t="str">
            <v>Pin Para Lines Post largo cruc Madera</v>
          </cell>
        </row>
        <row r="960">
          <cell r="C960" t="str">
            <v>Pintura Acabado Poliuretano</v>
          </cell>
        </row>
        <row r="961">
          <cell r="C961" t="str">
            <v>Pintura Anticorrosiva</v>
          </cell>
        </row>
        <row r="962">
          <cell r="C962" t="str">
            <v>Pintura Anticorrosiva Atoxica Primer</v>
          </cell>
        </row>
        <row r="963">
          <cell r="C963" t="str">
            <v>Pintura De Acabado Pintucoat</v>
          </cell>
        </row>
        <row r="964">
          <cell r="C964" t="str">
            <v>Pintura Esnalte De Pintuco</v>
          </cell>
        </row>
        <row r="965">
          <cell r="C965" t="str">
            <v>Pintura Vinilo Pintulux De Pintuco</v>
          </cell>
        </row>
        <row r="966">
          <cell r="C966" t="str">
            <v>Platina conectora en L ref M21033 ; PLD2AG</v>
          </cell>
        </row>
        <row r="967">
          <cell r="C967" t="str">
            <v>Platina de cobre de 1 x 1/8</v>
          </cell>
        </row>
        <row r="968">
          <cell r="C968" t="str">
            <v>Platina Union Bandeja</v>
          </cell>
        </row>
        <row r="969">
          <cell r="C969" t="str">
            <v>Platina, Angulo de 11/0" X 3/16</v>
          </cell>
        </row>
        <row r="970">
          <cell r="C970" t="str">
            <v>Platinas para Asegurar Malla al Tubo</v>
          </cell>
        </row>
        <row r="971">
          <cell r="C971" t="str">
            <v>Polvo Mineral Rojo</v>
          </cell>
        </row>
        <row r="972">
          <cell r="C972" t="str">
            <v>Portacandado</v>
          </cell>
        </row>
        <row r="973">
          <cell r="C973" t="str">
            <v>Portalampara o soporte intemperie plastico</v>
          </cell>
        </row>
        <row r="974">
          <cell r="C974" t="str">
            <v>Poste de concreto APH=10m, CR=510 Kg</v>
          </cell>
        </row>
        <row r="975">
          <cell r="C975" t="str">
            <v>Poste de concreto APH=12m, CR=510 Kg</v>
          </cell>
        </row>
        <row r="976">
          <cell r="C976" t="str">
            <v>Poste de concreto APH=8m, CR=510 Kg</v>
          </cell>
        </row>
        <row r="977">
          <cell r="C977" t="str">
            <v>Poste en tuberia de 4 y 3</v>
          </cell>
        </row>
        <row r="978">
          <cell r="C978" t="str">
            <v>Postes De 10m de 1050kg</v>
          </cell>
        </row>
        <row r="979">
          <cell r="C979" t="str">
            <v>Postes De 10m de 750kg</v>
          </cell>
        </row>
        <row r="980">
          <cell r="C980" t="str">
            <v>Postes De 12m de 1050kg</v>
          </cell>
        </row>
        <row r="981">
          <cell r="C981" t="str">
            <v>Postes De 12m de 750kg</v>
          </cell>
        </row>
        <row r="982">
          <cell r="C982" t="str">
            <v>Postes De 14m de 1050kg</v>
          </cell>
        </row>
        <row r="983">
          <cell r="C983" t="str">
            <v>Postes De 14m de 750kg</v>
          </cell>
        </row>
        <row r="984">
          <cell r="C984" t="str">
            <v>Prensaestopa  13 mm cables 10 4PE21  3/4</v>
          </cell>
        </row>
        <row r="985">
          <cell r="C985" t="str">
            <v>Prensaestopa  9 mm cables 7 mm 3PE9 5/16</v>
          </cell>
        </row>
        <row r="986">
          <cell r="C986" t="str">
            <v>Prensaestopa 3/4"</v>
          </cell>
        </row>
        <row r="987">
          <cell r="C987" t="str">
            <v>Programador Horario Digital Semanal CCT15720</v>
          </cell>
        </row>
        <row r="988">
          <cell r="C988" t="str">
            <v>Protocolo de pruebas</v>
          </cell>
        </row>
        <row r="989">
          <cell r="C989" t="str">
            <v>PROYECTO SCHREDER NEOS 3 1709 400W N 208/220V S.P.MARCADO AP BGA + 2 FUS</v>
          </cell>
        </row>
        <row r="990">
          <cell r="C990" t="str">
            <v>Prueba de pararrayos</v>
          </cell>
        </row>
        <row r="991">
          <cell r="C991" t="str">
            <v>Pulsador arranque parada motor</v>
          </cell>
        </row>
        <row r="992">
          <cell r="C992" t="str">
            <v>Punta Franklin especial</v>
          </cell>
        </row>
        <row r="993">
          <cell r="C993" t="str">
            <v xml:space="preserve">Punta Franklin sencilla </v>
          </cell>
        </row>
        <row r="994">
          <cell r="C994" t="str">
            <v>Puntilla</v>
          </cell>
        </row>
        <row r="995">
          <cell r="C995" t="str">
            <v>Rack Manejador de 19"</v>
          </cell>
        </row>
        <row r="996">
          <cell r="C996" t="str">
            <v>Reducción 2 1/2" x 2"</v>
          </cell>
        </row>
        <row r="997">
          <cell r="C997" t="str">
            <v>Reflector MH 400 w  277</v>
          </cell>
        </row>
        <row r="998">
          <cell r="C998" t="str">
            <v>Reflector MH 400 w 220 v reactor</v>
          </cell>
        </row>
        <row r="999">
          <cell r="C999" t="str">
            <v>Reflector MH 400 w 480 v reactor</v>
          </cell>
        </row>
        <row r="1000">
          <cell r="C1000" t="str">
            <v>Reflector Sodio 400 w  277</v>
          </cell>
        </row>
        <row r="1001">
          <cell r="C1001" t="str">
            <v>Reflector Sodio 400 w 220 v reactor</v>
          </cell>
        </row>
        <row r="1002">
          <cell r="C1002" t="str">
            <v>Reflector Sodio 400 w 480 v reactor</v>
          </cell>
        </row>
        <row r="1003">
          <cell r="C1003" t="str">
            <v>Reflector TFL 400W  SRA -2TBV CR LTI c/bombilla</v>
          </cell>
        </row>
        <row r="1004">
          <cell r="C1004" t="str">
            <v>Registro de concreto 0,30x0,30x0,4</v>
          </cell>
        </row>
        <row r="1005">
          <cell r="C1005" t="str">
            <v>Regleta</v>
          </cell>
        </row>
        <row r="1006">
          <cell r="C1006" t="str">
            <v>Regleta plastica 12 polos blanca 20A</v>
          </cell>
        </row>
        <row r="1007">
          <cell r="C1007" t="str">
            <v>Regulador factor potencia lovato ref LOV 0293</v>
          </cell>
        </row>
        <row r="1008">
          <cell r="C1008" t="str">
            <v>Regulador factor potencia varlogic ref 52448</v>
          </cell>
        </row>
        <row r="1009">
          <cell r="C1009" t="str">
            <v xml:space="preserve">Rele bloque de pruebas </v>
          </cell>
        </row>
        <row r="1010">
          <cell r="C1010" t="str">
            <v xml:space="preserve">Rele de 11 pines </v>
          </cell>
        </row>
        <row r="1011">
          <cell r="C1011" t="str">
            <v>Rele de tiempo electronico multirango on - off - delay, estr - triangulo</v>
          </cell>
        </row>
        <row r="1012">
          <cell r="C1012" t="str">
            <v>Rele monitor de fase RM35TF30</v>
          </cell>
        </row>
        <row r="1013">
          <cell r="C1013" t="str">
            <v>Retenida 3/8 (3 toneladas)</v>
          </cell>
        </row>
        <row r="1014">
          <cell r="C1014" t="str">
            <v>Riel Omega</v>
          </cell>
        </row>
        <row r="1015">
          <cell r="C1015" t="str">
            <v>Riostras</v>
          </cell>
        </row>
        <row r="1016">
          <cell r="C1016" t="str">
            <v>Secador de manos</v>
          </cell>
        </row>
        <row r="1017">
          <cell r="C1017" t="str">
            <v>Selector de dos posiciones</v>
          </cell>
        </row>
        <row r="1018">
          <cell r="C1018" t="str">
            <v>Selector de tres posiciones 9001KS43FBH13</v>
          </cell>
        </row>
        <row r="1019">
          <cell r="C1019" t="str">
            <v>Sello Cortafuego explosion proof 1 1/2"</v>
          </cell>
        </row>
        <row r="1020">
          <cell r="C1020" t="str">
            <v>Sello Cortafuego explosion proof 1"</v>
          </cell>
        </row>
        <row r="1021">
          <cell r="C1021" t="str">
            <v>Sello Cortafuego explosion proof 1/2"</v>
          </cell>
        </row>
        <row r="1022">
          <cell r="C1022" t="str">
            <v>Sello Cortafuego explosion proof 2"</v>
          </cell>
        </row>
        <row r="1023">
          <cell r="C1023" t="str">
            <v>Sello Cortafuego explosion proof 3/4"</v>
          </cell>
        </row>
        <row r="1024">
          <cell r="C1024" t="str">
            <v>Sikabond</v>
          </cell>
        </row>
        <row r="1025">
          <cell r="C1025" t="str">
            <v>Sikasil C (Silicona)</v>
          </cell>
        </row>
        <row r="1026">
          <cell r="C1026" t="str">
            <v>Sikatop 122</v>
          </cell>
        </row>
        <row r="1027">
          <cell r="C1027" t="str">
            <v>Silla Para Cruceta</v>
          </cell>
        </row>
        <row r="1028">
          <cell r="C1028" t="str">
            <v>Sirena a 110 V o 220 V</v>
          </cell>
        </row>
        <row r="1029">
          <cell r="C1029" t="str">
            <v>Socket para tubo fluorescente</v>
          </cell>
        </row>
        <row r="1030">
          <cell r="C1030" t="str">
            <v>Soldadura electrodos</v>
          </cell>
        </row>
        <row r="1031">
          <cell r="C1031" t="str">
            <v>Soldadura Exotérmica De 115 gr</v>
          </cell>
        </row>
        <row r="1032">
          <cell r="C1032" t="str">
            <v>Soldadura Exotérmica De 150 gr</v>
          </cell>
        </row>
        <row r="1033">
          <cell r="C1033" t="str">
            <v>Soldadura Exotérmica De 200 gr</v>
          </cell>
        </row>
        <row r="1034">
          <cell r="C1034" t="str">
            <v>Soldadura Exotérmica De 45 gr</v>
          </cell>
        </row>
        <row r="1035">
          <cell r="C1035" t="str">
            <v>Soldadura Exotérmica De 65 gr</v>
          </cell>
        </row>
        <row r="1036">
          <cell r="C1036" t="str">
            <v>Soldadura Exotérmica De 90 gr</v>
          </cell>
        </row>
        <row r="1037">
          <cell r="C1037" t="str">
            <v>Soporte para montar modulos seis espacios 4x4 vela ref 685098</v>
          </cell>
        </row>
        <row r="1038">
          <cell r="C1038" t="str">
            <v>Soporte para montar modulos tres espacios vela ref 681599</v>
          </cell>
        </row>
        <row r="1039">
          <cell r="C1039" t="str">
            <v>Soporte peldaño 20 cms</v>
          </cell>
        </row>
        <row r="1040">
          <cell r="C1040" t="str">
            <v>Soporte Tipo Repisa Galvanizada en Caliente</v>
          </cell>
        </row>
        <row r="1041">
          <cell r="C1041" t="str">
            <v>Suiche selector de manija negra 2 posiciones ref XB4BD21</v>
          </cell>
        </row>
        <row r="1042">
          <cell r="C1042" t="str">
            <v>Suiche selector de manija negra 3 posiciones ref XB4BD33</v>
          </cell>
        </row>
        <row r="1043">
          <cell r="C1043" t="str">
            <v>Sujetador de Bandeja</v>
          </cell>
        </row>
        <row r="1044">
          <cell r="C1044" t="str">
            <v>Sujetador de Bandeja Vertical</v>
          </cell>
        </row>
        <row r="1045">
          <cell r="C1045" t="str">
            <v>Suministro trasporte e instalación de red canalizada en cable concéntrico antifraude Cu 75 C° 3X1/0+1/0 AWG 600V (PE/PVC)</v>
          </cell>
        </row>
        <row r="1046">
          <cell r="C1046" t="str">
            <v>Suplemento para caja 4x4 galvanizada</v>
          </cell>
        </row>
        <row r="1047">
          <cell r="C1047" t="str">
            <v>Suplemento para caja 4x4 plastica</v>
          </cell>
        </row>
        <row r="1048">
          <cell r="C1048" t="str">
            <v>Suplemento para caja 4x4 radwelt</v>
          </cell>
        </row>
        <row r="1049">
          <cell r="C1049" t="str">
            <v>Tabla cepillada</v>
          </cell>
        </row>
        <row r="1050">
          <cell r="C1050" t="str">
            <v>Tablero general 2,20 x 1,9i0 x 0,60 cms</v>
          </cell>
        </row>
        <row r="1051">
          <cell r="C1051" t="str">
            <v>Tablero trifasico NTQ 412 con puerta</v>
          </cell>
        </row>
        <row r="1052">
          <cell r="C1052" t="str">
            <v>Tablero trifasico NTQ 418 con puerta</v>
          </cell>
        </row>
        <row r="1053">
          <cell r="C1053" t="str">
            <v>Tablero trifasico NTQ 424 con puerta</v>
          </cell>
        </row>
        <row r="1054">
          <cell r="C1054" t="str">
            <v>Tablero trifasico NTQ 430 con puerta</v>
          </cell>
        </row>
        <row r="1055">
          <cell r="C1055" t="str">
            <v>Tablero trifasico NTQ 436 con puerta</v>
          </cell>
        </row>
        <row r="1056">
          <cell r="C1056" t="str">
            <v>Tablero trifasico NTQ 442 con puerta</v>
          </cell>
        </row>
        <row r="1057">
          <cell r="C1057" t="str">
            <v>Tablero trifasico NTQ -T-12 circuitos con espacio para totalizador</v>
          </cell>
        </row>
        <row r="1058">
          <cell r="C1058" t="str">
            <v>Tablero trifasico NTQ -T-18 circuitos con espacio para totalizador</v>
          </cell>
        </row>
        <row r="1059">
          <cell r="C1059" t="str">
            <v>Tablero trifasico NTQ -T-24 circuitos con espacio para totalizador</v>
          </cell>
        </row>
        <row r="1060">
          <cell r="C1060" t="str">
            <v>Tablero trifasico NTQ -T-30 circuitos con espacio para totalizador</v>
          </cell>
        </row>
        <row r="1061">
          <cell r="C1061" t="str">
            <v>Tablero trifasico NTQ -T-36 circuitos con espacio para totalizador</v>
          </cell>
        </row>
        <row r="1062">
          <cell r="C1062" t="str">
            <v>Tablero trifasico NTQ -T-42 circuitos con espacio para totalizador</v>
          </cell>
        </row>
        <row r="1063">
          <cell r="C1063" t="str">
            <v xml:space="preserve">Tablon Vitrificado Formato 0,2 X 0,2 </v>
          </cell>
        </row>
        <row r="1064">
          <cell r="C1064" t="str">
            <v>Talicon</v>
          </cell>
        </row>
        <row r="1065">
          <cell r="C1065" t="str">
            <v>Tapa Ciega 2x4</v>
          </cell>
        </row>
        <row r="1066">
          <cell r="C1066" t="str">
            <v xml:space="preserve">Tapa Ciega Metalica 4x4 </v>
          </cell>
        </row>
        <row r="1067">
          <cell r="C1067" t="str">
            <v>TAPA CIEGA MX BLANCA 10UND</v>
          </cell>
        </row>
        <row r="1068">
          <cell r="C1068" t="str">
            <v xml:space="preserve">Tapa Ciega Octagonal </v>
          </cell>
        </row>
        <row r="1069">
          <cell r="C1069" t="str">
            <v>Tapa Ciega Octagonal radwelt</v>
          </cell>
        </row>
        <row r="1070">
          <cell r="C1070" t="str">
            <v>Tapa Interruptor Sencillo</v>
          </cell>
        </row>
        <row r="1071">
          <cell r="C1071" t="str">
            <v>Tapa metalica toma 20 A y 30 A</v>
          </cell>
        </row>
        <row r="1072">
          <cell r="C1072" t="str">
            <v>Tapa Para Bandeja 10</v>
          </cell>
        </row>
        <row r="1073">
          <cell r="C1073" t="str">
            <v>Tapa Para Bandeja 20</v>
          </cell>
        </row>
        <row r="1074">
          <cell r="C1074" t="str">
            <v>Tapa Para Bandeja 30</v>
          </cell>
        </row>
        <row r="1075">
          <cell r="C1075" t="str">
            <v>Tapa Para Bandeja 40</v>
          </cell>
        </row>
        <row r="1076">
          <cell r="C1076" t="str">
            <v>Tapa Para Bandeja en Cruce x 10</v>
          </cell>
        </row>
        <row r="1077">
          <cell r="C1077" t="str">
            <v>Tapa Para Bandeja en Cruce x 20</v>
          </cell>
        </row>
        <row r="1078">
          <cell r="C1078" t="str">
            <v>Tapa Para Bandeja en Cruce x 30</v>
          </cell>
        </row>
        <row r="1079">
          <cell r="C1079" t="str">
            <v>Tapa Para Bandeja en Cruce x 40</v>
          </cell>
        </row>
        <row r="1080">
          <cell r="C1080" t="str">
            <v>Tapa Para Bandeja en Curva Horizontal 90º  30</v>
          </cell>
        </row>
        <row r="1081">
          <cell r="C1081" t="str">
            <v>Tapa Para Bandeja en Curva Horizontal 90º 10</v>
          </cell>
        </row>
        <row r="1082">
          <cell r="C1082" t="str">
            <v>Tapa Para Bandeja en Curva Horizontal 90º 20</v>
          </cell>
        </row>
        <row r="1083">
          <cell r="C1083" t="str">
            <v>Tapa Para Bandeja en Curva Horizontal 90º 40</v>
          </cell>
        </row>
        <row r="1084">
          <cell r="C1084" t="str">
            <v>Tapa Para Bandeja en Curva Vertical 90º 10</v>
          </cell>
        </row>
        <row r="1085">
          <cell r="C1085" t="str">
            <v>Tapa Para Bandeja en Curva Vertical 90º 20</v>
          </cell>
        </row>
        <row r="1086">
          <cell r="C1086" t="str">
            <v>Tapa Para Bandeja en Curva Vertical 90º 30</v>
          </cell>
        </row>
        <row r="1087">
          <cell r="C1087" t="str">
            <v>Tapa Para Bandeja en Curva Vertical 90º 40</v>
          </cell>
        </row>
        <row r="1088">
          <cell r="C1088" t="str">
            <v xml:space="preserve">Tapa Para Bandeja en Te 10 </v>
          </cell>
        </row>
        <row r="1089">
          <cell r="C1089" t="str">
            <v>Tapa Para Bandeja en Te 20</v>
          </cell>
        </row>
        <row r="1090">
          <cell r="C1090" t="str">
            <v>Tapa Para Bandeja en Te 30</v>
          </cell>
        </row>
        <row r="1091">
          <cell r="C1091" t="str">
            <v>Tapa Para Bandeja en Te 40</v>
          </cell>
        </row>
        <row r="1092">
          <cell r="C1092" t="str">
            <v xml:space="preserve">Tapa Toma Doble </v>
          </cell>
        </row>
        <row r="1093">
          <cell r="C1093" t="str">
            <v>Tapa Toma Doble Seguridad Intemperie</v>
          </cell>
        </row>
        <row r="1094">
          <cell r="C1094" t="str">
            <v>Tapa Toma metalica locking ref 84020  20 y 30 A</v>
          </cell>
        </row>
        <row r="1095">
          <cell r="C1095" t="str">
            <v>Tapa Toma Trifilar</v>
          </cell>
        </row>
        <row r="1096">
          <cell r="C1096" t="str">
            <v>Tapa troquel 12x5 universal color almendra</v>
          </cell>
        </row>
        <row r="1097">
          <cell r="C1097" t="str">
            <v xml:space="preserve">Tapa troquel datos 11x5 </v>
          </cell>
        </row>
        <row r="1098">
          <cell r="C1098" t="str">
            <v xml:space="preserve">Tapa troquel datos doble 11x5 </v>
          </cell>
        </row>
        <row r="1099">
          <cell r="C1099" t="str">
            <v xml:space="preserve">Tapa troquel energia 11x5 </v>
          </cell>
        </row>
        <row r="1100">
          <cell r="C1100" t="str">
            <v xml:space="preserve">Tapa troquel universal doble 11x5 </v>
          </cell>
        </row>
        <row r="1101">
          <cell r="C1101" t="str">
            <v>Tapon de 1"</v>
          </cell>
        </row>
        <row r="1102">
          <cell r="C1102" t="str">
            <v>Tapon de 3" soldado PVC</v>
          </cell>
        </row>
        <row r="1103">
          <cell r="C1103" t="str">
            <v>Te Para Bandeja en 10</v>
          </cell>
        </row>
        <row r="1104">
          <cell r="C1104" t="str">
            <v>Te Para Bandeja en 20</v>
          </cell>
        </row>
        <row r="1105">
          <cell r="C1105" t="str">
            <v>Tee bandeja 20 cms liv</v>
          </cell>
        </row>
        <row r="1106">
          <cell r="C1106" t="str">
            <v>Temporizador programable</v>
          </cell>
        </row>
        <row r="1107">
          <cell r="C1107" t="str">
            <v>Tensor de 1/8" x 8</v>
          </cell>
        </row>
        <row r="1108">
          <cell r="C1108" t="str">
            <v>Tensor de 1/4x3 1/2</v>
          </cell>
        </row>
        <row r="1109">
          <cell r="C1109" t="str">
            <v>Tensor de 5/16x 4 1/4</v>
          </cell>
        </row>
        <row r="1110">
          <cell r="C1110" t="str">
            <v>Tensor de 3/8 x 6</v>
          </cell>
        </row>
        <row r="1111">
          <cell r="C1111" t="str">
            <v>Terminal  bimetalico 750  2 huecos</v>
          </cell>
        </row>
        <row r="1112">
          <cell r="C1112" t="str">
            <v>Terminal Campana PVC 1"</v>
          </cell>
        </row>
        <row r="1113">
          <cell r="C1113" t="str">
            <v>Terminal Campana PVC 11/2"</v>
          </cell>
        </row>
        <row r="1114">
          <cell r="C1114" t="str">
            <v>Terminal Campana PVC 2"</v>
          </cell>
        </row>
        <row r="1115">
          <cell r="C1115" t="str">
            <v>Terminal Campana PVC 3/4"</v>
          </cell>
        </row>
        <row r="1116">
          <cell r="C1116" t="str">
            <v>Terminal de cobre de compresión marca Burndy para cable N. 1/0 AWG Catalog Number: YA25L4-BOX</v>
          </cell>
        </row>
        <row r="1117">
          <cell r="C1117" t="str">
            <v>terminal de cobre de compresión marca Burndy para cable No. 4 AWG  Catalog Number YA4CL4-BOX.</v>
          </cell>
        </row>
        <row r="1118">
          <cell r="C1118" t="str">
            <v>Terminal de cobre de compresión marca Burndy para cable No.14 AWG Catalog Number: YAV10-BOX</v>
          </cell>
        </row>
        <row r="1119">
          <cell r="C1119" t="str">
            <v>terminal de compresion para cable 2 AWG Burndy Catalog Number YA2CL6-BOX</v>
          </cell>
        </row>
        <row r="1120">
          <cell r="C1120" t="str">
            <v>Terminal de compresion para cable 2/0 AWG Burndy Catalog Number YA26L-BOX</v>
          </cell>
        </row>
        <row r="1121">
          <cell r="C1121" t="str">
            <v xml:space="preserve">Terminal de gorrito </v>
          </cell>
        </row>
        <row r="1122">
          <cell r="C1122" t="str">
            <v>Terminal de un hueco No 1/0</v>
          </cell>
        </row>
        <row r="1123">
          <cell r="C1123" t="str">
            <v>Terminal de un hueco No 1/0 bimetalico</v>
          </cell>
        </row>
        <row r="1124">
          <cell r="C1124" t="str">
            <v>Terminal de un hueco No 2</v>
          </cell>
        </row>
        <row r="1125">
          <cell r="C1125" t="str">
            <v>Terminal de un hueco No 2 bimetalico</v>
          </cell>
        </row>
        <row r="1126">
          <cell r="C1126" t="str">
            <v>Terminal de un hueco No 2/0</v>
          </cell>
        </row>
        <row r="1127">
          <cell r="C1127" t="str">
            <v>Terminal de un hueco No 2/0 bimetalico</v>
          </cell>
        </row>
        <row r="1128">
          <cell r="C1128" t="str">
            <v>Terminal de un hueco No 250</v>
          </cell>
        </row>
        <row r="1129">
          <cell r="C1129" t="str">
            <v>Terminal de un hueco No 3/0</v>
          </cell>
        </row>
        <row r="1130">
          <cell r="C1130" t="str">
            <v>Terminal de un hueco No 3/0 bimetalico</v>
          </cell>
        </row>
        <row r="1131">
          <cell r="C1131" t="str">
            <v>Terminal de un hueco No 300</v>
          </cell>
        </row>
        <row r="1132">
          <cell r="C1132" t="str">
            <v>Terminal de un hueco No 300 bimetalico</v>
          </cell>
        </row>
        <row r="1133">
          <cell r="C1133" t="str">
            <v>Terminal de un hueco No 350</v>
          </cell>
        </row>
        <row r="1134">
          <cell r="C1134" t="str">
            <v>Terminal de un hueco No 350 bimetalico</v>
          </cell>
        </row>
        <row r="1135">
          <cell r="C1135" t="str">
            <v>Terminal de un hueco No 4</v>
          </cell>
        </row>
        <row r="1136">
          <cell r="C1136" t="str">
            <v>Terminal de un hueco No 4/0</v>
          </cell>
        </row>
        <row r="1137">
          <cell r="C1137" t="str">
            <v>Terminal de un hueco No 4/0 bimetalico</v>
          </cell>
        </row>
        <row r="1138">
          <cell r="C1138" t="str">
            <v>Terminal de un hueco No 500</v>
          </cell>
        </row>
        <row r="1139">
          <cell r="C1139" t="str">
            <v>Terminal de un hueco No 6</v>
          </cell>
        </row>
        <row r="1140">
          <cell r="C1140" t="str">
            <v xml:space="preserve">Terminal dos huecos 250 MCM </v>
          </cell>
        </row>
        <row r="1141">
          <cell r="C1141" t="str">
            <v xml:space="preserve">Terminal dos huecos 350 MCM </v>
          </cell>
        </row>
        <row r="1142">
          <cell r="C1142" t="str">
            <v>Terminal dos huecos 4/0 MCM</v>
          </cell>
        </row>
        <row r="1143">
          <cell r="C1143" t="str">
            <v>Terminal dos huecos 500 MCM 3M</v>
          </cell>
        </row>
        <row r="1144">
          <cell r="C1144" t="str">
            <v>Terminal dos huecos No 2/0 bimetalico</v>
          </cell>
        </row>
        <row r="1145">
          <cell r="C1145" t="str">
            <v>Terminal dos huecos No 300 bimetalico</v>
          </cell>
        </row>
        <row r="1146">
          <cell r="C1146" t="str">
            <v>Terminal dos huecos No 350 bimetalico</v>
          </cell>
        </row>
        <row r="1147">
          <cell r="C1147" t="str">
            <v>Terminal dos huecos No 4/0 bimetalico</v>
          </cell>
        </row>
        <row r="1148">
          <cell r="C1148" t="str">
            <v>Terminal dos huecos No 500 bimetalico</v>
          </cell>
        </row>
        <row r="1149">
          <cell r="C1149" t="str">
            <v xml:space="preserve">Terminal en U  16 - 14 </v>
          </cell>
        </row>
        <row r="1150">
          <cell r="C1150" t="str">
            <v>Terminal No.10-12</v>
          </cell>
        </row>
        <row r="1151">
          <cell r="C1151" t="str">
            <v>Terminal No.8</v>
          </cell>
        </row>
        <row r="1152">
          <cell r="C1152" t="str">
            <v>Terminal Premoldeado De 2 Awg-4/0 Tipo Intemperie, 15kv</v>
          </cell>
        </row>
        <row r="1153">
          <cell r="C1153" t="str">
            <v>Terminal Premoldeado De 2awg-4/0 Tipo Interior, 15kv</v>
          </cell>
        </row>
        <row r="1154">
          <cell r="C1154" t="str">
            <v>Terminal Premoldeado De 3/0-600MCM Tipo Intemperie, 15kv</v>
          </cell>
        </row>
        <row r="1155">
          <cell r="C1155" t="str">
            <v>Terminal Premoldeado De 3/0-600MCM Tipo Interior, 15kv</v>
          </cell>
        </row>
        <row r="1156">
          <cell r="C1156" t="str">
            <v>Terminales Lug</v>
          </cell>
        </row>
        <row r="1157">
          <cell r="C1157" t="str">
            <v>Termoencogible 10 a 3</v>
          </cell>
        </row>
        <row r="1158">
          <cell r="C1158" t="str">
            <v>Termoencogible 16 a 5</v>
          </cell>
        </row>
        <row r="1159">
          <cell r="C1159" t="str">
            <v>Termoencogible 25 a 8</v>
          </cell>
        </row>
        <row r="1160">
          <cell r="C1160" t="str">
            <v>Termoencogible 600v 2 A 4/0</v>
          </cell>
        </row>
        <row r="1161">
          <cell r="C1161" t="str">
            <v>Termoencogible  250 MCM – 500 MCM</v>
          </cell>
        </row>
        <row r="1162">
          <cell r="C1162" t="str">
            <v>Thinner</v>
          </cell>
        </row>
        <row r="1163">
          <cell r="C1163" t="str">
            <v>Thinner 21050</v>
          </cell>
        </row>
        <row r="1164">
          <cell r="C1164" t="str">
            <v xml:space="preserve">Timbre pulsador </v>
          </cell>
        </row>
        <row r="1165">
          <cell r="C1165" t="str">
            <v>Timbre tipo campana</v>
          </cell>
        </row>
        <row r="1166">
          <cell r="C1166" t="str">
            <v>toma 220v</v>
          </cell>
        </row>
        <row r="1167">
          <cell r="C1167" t="str">
            <v xml:space="preserve">Toma  30 Amps 250V ref 2620 </v>
          </cell>
        </row>
        <row r="1168">
          <cell r="C1168" t="str">
            <v xml:space="preserve">Toma  63 Amps 250Vol  trifasica </v>
          </cell>
        </row>
        <row r="1169">
          <cell r="C1169" t="str">
            <v>Toma  Codelca 20 Amps</v>
          </cell>
        </row>
        <row r="1170">
          <cell r="C1170" t="str">
            <v>Toma  Doble Levinton 15 Amps blanco</v>
          </cell>
        </row>
        <row r="1171">
          <cell r="C1171" t="str">
            <v>Toma  Doble Levinton 15 Amps crema</v>
          </cell>
        </row>
        <row r="1172">
          <cell r="C1172" t="str">
            <v>Toma  Doble Levinton 20 Amps</v>
          </cell>
        </row>
        <row r="1173">
          <cell r="C1173" t="str">
            <v>Toma de DATO Luminex vela ref 682856</v>
          </cell>
        </row>
        <row r="1174">
          <cell r="C1174" t="str">
            <v>Toma de incrustar L 15- 30 ref 2720  30 amp</v>
          </cell>
        </row>
        <row r="1175">
          <cell r="C1175" t="str">
            <v>Toma de incrustar L 21- 30 ref 2810  30 amp</v>
          </cell>
        </row>
        <row r="1176">
          <cell r="C1176" t="str">
            <v>Toma de incrustar L 6-30 ref 2620  30 amp</v>
          </cell>
        </row>
        <row r="1177">
          <cell r="C1177" t="str">
            <v>toma interruptor mixto</v>
          </cell>
        </row>
        <row r="1178">
          <cell r="C1178" t="str">
            <v>Toma Doble GFCI 15A 125v</v>
          </cell>
        </row>
        <row r="1179">
          <cell r="C1179" t="str">
            <v>Toma Doble HGR 15A 125v 8200</v>
          </cell>
        </row>
        <row r="1180">
          <cell r="C1180" t="str">
            <v>Toma Doble Luminex vela 220 V ref 681547</v>
          </cell>
        </row>
        <row r="1181">
          <cell r="C1181" t="str">
            <v>Toma Doble Luminex vela 681542</v>
          </cell>
        </row>
        <row r="1182">
          <cell r="C1182" t="str">
            <v>Toma doble vela (promedio)</v>
          </cell>
        </row>
        <row r="1183">
          <cell r="C1183" t="str">
            <v>Toma wallplate c/tapa ref VPG 1601</v>
          </cell>
        </row>
        <row r="1184">
          <cell r="C1184" t="str">
            <v>Tomacorriente 20A Twis Lock Leviton O Similar</v>
          </cell>
        </row>
        <row r="1185">
          <cell r="C1185" t="str">
            <v>Tomacorriente 30A Twis Lock Leviton</v>
          </cell>
        </row>
        <row r="1186">
          <cell r="C1186" t="str">
            <v>Tomacorriente Doble 15A Twis Lock Leviton</v>
          </cell>
        </row>
        <row r="1187">
          <cell r="C1187" t="str">
            <v>Tomacorriente doble Grado Hosp naranja 8200 IG</v>
          </cell>
        </row>
        <row r="1188">
          <cell r="C1188" t="str">
            <v>Tornillo  1/4, 3/8</v>
          </cell>
        </row>
        <row r="1189">
          <cell r="C1189" t="str">
            <v>tornillo autoperforante 1/4 x 1</v>
          </cell>
        </row>
        <row r="1190">
          <cell r="C1190" t="str">
            <v>tornillo autoperforante 5/16x 1</v>
          </cell>
        </row>
        <row r="1191">
          <cell r="C1191" t="str">
            <v xml:space="preserve">tornillo autoperforante 5/16 </v>
          </cell>
        </row>
        <row r="1192">
          <cell r="C1192" t="str">
            <v>Tornillo acero inoxidable 3/8x1"</v>
          </cell>
        </row>
        <row r="1193">
          <cell r="C1193" t="str">
            <v>Tramites ante Electricaribe</v>
          </cell>
        </row>
        <row r="1194">
          <cell r="C1194" t="str">
            <v>Transformador corriente 10/20/5</v>
          </cell>
        </row>
        <row r="1195">
          <cell r="C1195" t="str">
            <v>Transformador De Control De 300VA</v>
          </cell>
        </row>
        <row r="1196">
          <cell r="C1196" t="str">
            <v>Transformador de corriente de 1200 a 5</v>
          </cell>
        </row>
        <row r="1197">
          <cell r="C1197" t="str">
            <v xml:space="preserve">Transformador de corriente de 300 a 5 </v>
          </cell>
        </row>
        <row r="1198">
          <cell r="C1198" t="str">
            <v>Transformador de corriente de 800 a 5</v>
          </cell>
        </row>
        <row r="1199">
          <cell r="C1199" t="str">
            <v>Transformador potencial 13200/120V</v>
          </cell>
        </row>
        <row r="1200">
          <cell r="C1200" t="str">
            <v>Transformador Trifasico 112,5 KVA 
13,200/120/220 V pad mounted</v>
          </cell>
        </row>
        <row r="1201">
          <cell r="C1201" t="str">
            <v>Transformador Trifasico 45 KVA 13,2/120/220 V</v>
          </cell>
        </row>
        <row r="1202">
          <cell r="C1202" t="str">
            <v>Transformador trifasico seco ahorrador suntec 225 KVA 13200/220/127 V</v>
          </cell>
        </row>
        <row r="1203">
          <cell r="C1203" t="str">
            <v>Transformador monofasico en vacio 10kva 13,2kv/240-120</v>
          </cell>
        </row>
        <row r="1204">
          <cell r="C1204" t="str">
            <v>Transformador monofasico en vacio 15kva 13,2kv/240-120</v>
          </cell>
        </row>
        <row r="1205">
          <cell r="C1205" t="str">
            <v>Transformador monofasico de 50kva.13,2kv 240/120</v>
          </cell>
        </row>
        <row r="1206">
          <cell r="C1206" t="str">
            <v>Triturado</v>
          </cell>
        </row>
        <row r="1207">
          <cell r="C1207" t="str">
            <v>Tuberia Acero 1" sch 40</v>
          </cell>
        </row>
        <row r="1208">
          <cell r="C1208" t="str">
            <v>Tuberia Acero 1/2" sch 40</v>
          </cell>
        </row>
        <row r="1209">
          <cell r="C1209" t="str">
            <v>Tuberia Acero 3/4" sch 40</v>
          </cell>
        </row>
        <row r="1210">
          <cell r="C1210" t="str">
            <v>Tuberia conduflex 1/2</v>
          </cell>
        </row>
        <row r="1211">
          <cell r="C1211" t="str">
            <v>Tuberia conduflex 3/4</v>
          </cell>
        </row>
        <row r="1212">
          <cell r="C1212" t="str">
            <v>Tuberia conduflex 1</v>
          </cell>
        </row>
        <row r="1213">
          <cell r="C1213" t="str">
            <v>Tuberia Conduit Galv. (IMC) De 1 1/2"</v>
          </cell>
        </row>
        <row r="1214">
          <cell r="C1214" t="str">
            <v>Tuberia Conduit Galv. (IMC) De 1 1/4"</v>
          </cell>
        </row>
        <row r="1215">
          <cell r="C1215" t="str">
            <v>Tuberia Conduit Galv. (IMC) De 1"</v>
          </cell>
        </row>
        <row r="1216">
          <cell r="C1216" t="str">
            <v>Tuberia Conduit Galv. (IMC) De 1/2"</v>
          </cell>
        </row>
        <row r="1217">
          <cell r="C1217" t="str">
            <v>Tuberia Conduit Galv. (IMC) De 2"</v>
          </cell>
        </row>
        <row r="1218">
          <cell r="C1218" t="str">
            <v>Tuberia Conduit Galv. (IMC) De 3"</v>
          </cell>
        </row>
        <row r="1219">
          <cell r="C1219" t="str">
            <v>Tuberia Conduit Galv. (IMC) De 3/4"</v>
          </cell>
        </row>
        <row r="1220">
          <cell r="C1220" t="str">
            <v>Tuberia Conduit Galv. (IMC) De 4"</v>
          </cell>
        </row>
        <row r="1221">
          <cell r="C1221" t="str">
            <v>Tuberia Conduit Galv. (Ridgid) De 1 1/2"</v>
          </cell>
        </row>
        <row r="1222">
          <cell r="C1222" t="str">
            <v>Tuberia Conduit Galv. (Ridgid) De 1 1/4"</v>
          </cell>
        </row>
        <row r="1223">
          <cell r="C1223" t="str">
            <v>Tuberia Conduit Galv. (Ridgid) De 1"</v>
          </cell>
        </row>
        <row r="1224">
          <cell r="C1224" t="str">
            <v>Tuberia Conduit Galv. (Ridgid) De 1/2"</v>
          </cell>
        </row>
        <row r="1225">
          <cell r="C1225" t="str">
            <v>Tuberia Conduit Galv. (Ridgid) De 2"</v>
          </cell>
        </row>
        <row r="1226">
          <cell r="C1226" t="str">
            <v>Tuberia Conduit Galv. (Ridgid) De 3"</v>
          </cell>
        </row>
        <row r="1227">
          <cell r="C1227" t="str">
            <v>Tuberia Conduit Galv. (Ridgid) De 3/4"</v>
          </cell>
        </row>
        <row r="1228">
          <cell r="C1228" t="str">
            <v>Tuberia Conduit Galv. (Ridgid) De 4"</v>
          </cell>
        </row>
        <row r="1229">
          <cell r="C1229" t="str">
            <v>Tuberia EMT De 1 1/2"</v>
          </cell>
        </row>
        <row r="1230">
          <cell r="C1230" t="str">
            <v>Tuberia EMT De 1 1/4"</v>
          </cell>
        </row>
        <row r="1231">
          <cell r="C1231" t="str">
            <v>Tuberia EMT De 1"</v>
          </cell>
        </row>
        <row r="1232">
          <cell r="C1232" t="str">
            <v>Tuberia EMT De 1/2"</v>
          </cell>
        </row>
        <row r="1233">
          <cell r="C1233" t="str">
            <v>Tubería EMT De 2"</v>
          </cell>
        </row>
        <row r="1234">
          <cell r="C1234" t="str">
            <v>Tuberia EMT De 3"</v>
          </cell>
        </row>
        <row r="1235">
          <cell r="C1235" t="str">
            <v>Tuberia EMT De 3/4"</v>
          </cell>
        </row>
        <row r="1236">
          <cell r="C1236" t="str">
            <v>Tuberia EMT De 4"</v>
          </cell>
        </row>
        <row r="1237">
          <cell r="C1237" t="str">
            <v>Tuberia Galv de 3/4"</v>
          </cell>
        </row>
        <row r="1238">
          <cell r="C1238" t="str">
            <v>Tuberia PVC De 1 1/2"</v>
          </cell>
        </row>
        <row r="1239">
          <cell r="C1239" t="str">
            <v>Tuberia PVC De 1"</v>
          </cell>
        </row>
        <row r="1240">
          <cell r="C1240" t="str">
            <v>Tuberia PVC De 1/2"</v>
          </cell>
        </row>
        <row r="1241">
          <cell r="C1241" t="str">
            <v>Tuberia PVC De 11/4"</v>
          </cell>
        </row>
        <row r="1242">
          <cell r="C1242" t="str">
            <v>Tuberia PVC De 2"</v>
          </cell>
        </row>
        <row r="1243">
          <cell r="C1243" t="str">
            <v>Tuberia PVC De 3"</v>
          </cell>
        </row>
        <row r="1244">
          <cell r="C1244" t="str">
            <v>Tuberia PVC De 3/4"</v>
          </cell>
        </row>
        <row r="1245">
          <cell r="C1245" t="str">
            <v>Tuberia PVC De 4"</v>
          </cell>
        </row>
        <row r="1246">
          <cell r="C1246" t="str">
            <v xml:space="preserve">Tubo termocontractil 10 -3 </v>
          </cell>
        </row>
        <row r="1247">
          <cell r="C1247" t="str">
            <v xml:space="preserve">Tubo termocontractil 16 -5 </v>
          </cell>
        </row>
        <row r="1248">
          <cell r="C1248" t="str">
            <v xml:space="preserve">Tubo termocontractil 25 -8 </v>
          </cell>
        </row>
        <row r="1249">
          <cell r="C1249" t="str">
            <v>Tubo Fluoresentes 54w t5 blanco caja 25 un</v>
          </cell>
        </row>
        <row r="1250">
          <cell r="C1250" t="str">
            <v>Tubos Fluoresentes 32w t-8 Azul caja 25 un</v>
          </cell>
        </row>
        <row r="1251">
          <cell r="C1251" t="str">
            <v>Tubos Fluoresentes 32w t-8 Rojo  caja 25 un</v>
          </cell>
        </row>
        <row r="1252">
          <cell r="C1252" t="str">
            <v>Tubos Fluoresentes 32w t-8 Verde  caja 25 un</v>
          </cell>
        </row>
        <row r="1253">
          <cell r="C1253" t="str">
            <v>tubos fluorecentes t8 17w</v>
          </cell>
        </row>
        <row r="1254">
          <cell r="C1254" t="str">
            <v>tubos fluorecentes t8 32 w</v>
          </cell>
        </row>
        <row r="1255">
          <cell r="C1255" t="str">
            <v>tubos fluorecentes t12 48 w</v>
          </cell>
        </row>
        <row r="1256">
          <cell r="C1256" t="str">
            <v>Tuerca de ojo  5/8 - 3/4</v>
          </cell>
        </row>
        <row r="1257">
          <cell r="C1257" t="str">
            <v xml:space="preserve">Tuerca galvanizada </v>
          </cell>
        </row>
        <row r="1258">
          <cell r="C1258" t="str">
            <v>Tuerca Hexagonal de 1/2"</v>
          </cell>
        </row>
        <row r="1259">
          <cell r="C1259" t="str">
            <v>Tuerca Rectangular con Resorte</v>
          </cell>
        </row>
        <row r="1260">
          <cell r="C1260" t="str">
            <v>Tuercas De Ojo De 5/8"</v>
          </cell>
        </row>
        <row r="1261">
          <cell r="C1261" t="str">
            <v>Union 1" sch 40</v>
          </cell>
        </row>
        <row r="1262">
          <cell r="C1262" t="str">
            <v>Union 1/2" sch 40</v>
          </cell>
        </row>
        <row r="1263">
          <cell r="C1263" t="str">
            <v>Union 3/4" sch 40</v>
          </cell>
        </row>
        <row r="1264">
          <cell r="C1264" t="str">
            <v>Union conduit galvanizada (IMC) de 1 1/4"</v>
          </cell>
        </row>
        <row r="1265">
          <cell r="C1265" t="str">
            <v>Union conduit galvanizada (IMC) de 1"</v>
          </cell>
        </row>
        <row r="1266">
          <cell r="C1266" t="str">
            <v>Union conduit galvanizada (IMC) de 1/2"</v>
          </cell>
        </row>
        <row r="1267">
          <cell r="C1267" t="str">
            <v>Union conduit galvanizada (IMC) de 1-1/2"</v>
          </cell>
        </row>
        <row r="1268">
          <cell r="C1268" t="str">
            <v>Union conduit galvanizada (IMC) de 2"</v>
          </cell>
        </row>
        <row r="1269">
          <cell r="C1269" t="str">
            <v>Union conduit galvanizada (IMC) de 3"</v>
          </cell>
        </row>
        <row r="1270">
          <cell r="C1270" t="str">
            <v>Union conduit galvanizada (IMC) de 3/4"</v>
          </cell>
        </row>
        <row r="1271">
          <cell r="C1271" t="str">
            <v>Union conduit galvanizada (IMC) de 4"</v>
          </cell>
        </row>
        <row r="1272">
          <cell r="C1272" t="str">
            <v>Union conduit galvanizada (RIGID) de 1 1/2"</v>
          </cell>
        </row>
        <row r="1273">
          <cell r="C1273" t="str">
            <v>Union conduit galvanizada (RIGID) de 1"</v>
          </cell>
        </row>
        <row r="1274">
          <cell r="C1274" t="str">
            <v>Union conduit galvanizada (RIGID) de 1/2"</v>
          </cell>
        </row>
        <row r="1275">
          <cell r="C1275" t="str">
            <v>Union conduit galvanizada (RIGID) de 2"</v>
          </cell>
        </row>
        <row r="1276">
          <cell r="C1276" t="str">
            <v>Union conduit galvanizada (RIGID) de 3"</v>
          </cell>
        </row>
        <row r="1277">
          <cell r="C1277" t="str">
            <v>Union conduit galvanizada (RIGID) de 3/4"</v>
          </cell>
        </row>
        <row r="1278">
          <cell r="C1278" t="str">
            <v>Union conduit galvanizada (RIGID) de 4"</v>
          </cell>
        </row>
        <row r="1279">
          <cell r="C1279" t="str">
            <v>Union conduit PVC de 1"</v>
          </cell>
        </row>
        <row r="1280">
          <cell r="C1280" t="str">
            <v>Union conduit PVC de 1/2"</v>
          </cell>
        </row>
        <row r="1281">
          <cell r="C1281" t="str">
            <v>Union conduit PVC de 1-1/2"</v>
          </cell>
        </row>
        <row r="1282">
          <cell r="C1282" t="str">
            <v>Union conduit PVC de 2"</v>
          </cell>
        </row>
        <row r="1283">
          <cell r="C1283" t="str">
            <v>Union conduit PVC de 3"</v>
          </cell>
        </row>
        <row r="1284">
          <cell r="C1284" t="str">
            <v>Union conduit PVC de 3/4"</v>
          </cell>
        </row>
        <row r="1285">
          <cell r="C1285" t="str">
            <v>Union conduit PVC de 4"</v>
          </cell>
        </row>
        <row r="1286">
          <cell r="C1286" t="str">
            <v>Union EMT de 1</v>
          </cell>
        </row>
        <row r="1287">
          <cell r="C1287" t="str">
            <v>Union EMT de 1/2</v>
          </cell>
        </row>
        <row r="1288">
          <cell r="C1288" t="str">
            <v>Union EMT de 1-1/2</v>
          </cell>
        </row>
        <row r="1289">
          <cell r="C1289" t="str">
            <v>Union EMT de 2</v>
          </cell>
        </row>
        <row r="1290">
          <cell r="C1290" t="str">
            <v>Union EMT de 3</v>
          </cell>
        </row>
        <row r="1291">
          <cell r="C1291" t="str">
            <v>Union EMT de 3/4</v>
          </cell>
        </row>
        <row r="1292">
          <cell r="C1292" t="str">
            <v>Union EMT de 4</v>
          </cell>
        </row>
        <row r="1293">
          <cell r="C1293" t="str">
            <v>Union Universal De 1 1/2"</v>
          </cell>
        </row>
        <row r="1294">
          <cell r="C1294" t="str">
            <v>Union Universal De 1"</v>
          </cell>
        </row>
        <row r="1295">
          <cell r="C1295" t="str">
            <v>Union Universal De 1/2"</v>
          </cell>
        </row>
        <row r="1296">
          <cell r="C1296" t="str">
            <v>Union Universal De 2"</v>
          </cell>
        </row>
        <row r="1297">
          <cell r="C1297" t="str">
            <v>Union Universal De 3/4"</v>
          </cell>
        </row>
        <row r="1298">
          <cell r="C1298" t="str">
            <v>Varilla Copperweld 5/8 x 2,4 mts</v>
          </cell>
        </row>
        <row r="1299">
          <cell r="C1299" t="str">
            <v>Varilla Corrugada 1/2</v>
          </cell>
        </row>
        <row r="1300">
          <cell r="C1300" t="str">
            <v>Varilla Corrugada 3/8</v>
          </cell>
        </row>
        <row r="1301">
          <cell r="C1301" t="str">
            <v>Varilla De Anclaje De Acero Galvanizado 5/8" x 1,80 mts</v>
          </cell>
        </row>
        <row r="1302">
          <cell r="C1302" t="str">
            <v>Varilla Roscada</v>
          </cell>
        </row>
        <row r="1303">
          <cell r="C1303" t="str">
            <v>Vaselina</v>
          </cell>
        </row>
      </sheetData>
      <sheetData sheetId="2">
        <row r="3">
          <cell r="B3" t="str">
            <v>-</v>
          </cell>
        </row>
        <row r="4">
          <cell r="B4" t="str">
            <v>Apertura de seccionadores</v>
          </cell>
        </row>
        <row r="5">
          <cell r="B5" t="str">
            <v>Apertura y cierre Cajas Primarias</v>
          </cell>
        </row>
        <row r="6">
          <cell r="B6" t="str">
            <v>Armada de cofre metalico 40x30x20</v>
          </cell>
        </row>
        <row r="7">
          <cell r="B7" t="str">
            <v>Balanceo de cargas tablero principal</v>
          </cell>
        </row>
        <row r="8">
          <cell r="B8" t="str">
            <v>Camion turbito</v>
          </cell>
        </row>
        <row r="9">
          <cell r="B9" t="str">
            <v>Camion turbo</v>
          </cell>
        </row>
        <row r="10">
          <cell r="B10" t="str">
            <v>camioneta 4x4</v>
          </cell>
        </row>
        <row r="11">
          <cell r="B11" t="str">
            <v>Conexión a tablero</v>
          </cell>
        </row>
        <row r="12">
          <cell r="B12" t="str">
            <v>Conexión y Desconexion de Terminales Premoldeados tipo exterior 15 kv</v>
          </cell>
        </row>
        <row r="13">
          <cell r="B13" t="str">
            <v>Cuadrilla stand by</v>
          </cell>
        </row>
        <row r="14">
          <cell r="B14" t="str">
            <v>Demolición concreto manual y retiro</v>
          </cell>
        </row>
        <row r="15">
          <cell r="B15" t="str">
            <v>Deshincada de poste 10mts hombro</v>
          </cell>
        </row>
        <row r="16">
          <cell r="B16" t="str">
            <v>Desmonte e instalacion de puentes en red energizada</v>
          </cell>
        </row>
        <row r="17">
          <cell r="B17" t="str">
            <v>Excavacion alrededor del poste de concreto</v>
          </cell>
        </row>
        <row r="18">
          <cell r="B18" t="str">
            <v>Excavación de hueco para poste</v>
          </cell>
        </row>
        <row r="19">
          <cell r="B19" t="str">
            <v xml:space="preserve">Grua carga postes brazo extensor hidraulico </v>
          </cell>
        </row>
        <row r="20">
          <cell r="B20" t="str">
            <v>Grua hidraulica carro canasta</v>
          </cell>
        </row>
        <row r="21">
          <cell r="B21" t="str">
            <v xml:space="preserve">Hincada de poste 12mts" </v>
          </cell>
        </row>
        <row r="22">
          <cell r="B22" t="str">
            <v>Instalacion de bajante en tuberia de 2" para acometida secundaria transformador 45KVA</v>
          </cell>
        </row>
        <row r="23">
          <cell r="B23" t="str">
            <v>Instalacion de bjante de puesta a tierra  crucetas metalicas.</v>
          </cell>
        </row>
        <row r="24">
          <cell r="B24" t="str">
            <v xml:space="preserve">Instalacion de bjante de puesta a tierra  DPS  </v>
          </cell>
        </row>
        <row r="25">
          <cell r="B25" t="str">
            <v>Instalacion de bjante de puesta a tierra transformador</v>
          </cell>
        </row>
        <row r="26">
          <cell r="B26" t="str">
            <v>Instalación de Sistema de Puesta a Tierra</v>
          </cell>
        </row>
        <row r="27">
          <cell r="B27" t="str">
            <v>Instalación de Subida a Poste</v>
          </cell>
        </row>
        <row r="28">
          <cell r="B28" t="str">
            <v>instalacion de terminal ponchable bimetalico para calibre 2 AWG</v>
          </cell>
        </row>
        <row r="29">
          <cell r="B29" t="str">
            <v>instalacion de tuberia Galvanizada IMC de 2" para bajante de Acometida trafo 30kva</v>
          </cell>
        </row>
        <row r="30">
          <cell r="B30" t="str">
            <v>Instalacion tuberia emt 1 1/4"</v>
          </cell>
        </row>
        <row r="31">
          <cell r="B31" t="str">
            <v>Instalacion tuberia pvc 1 1/4"</v>
          </cell>
        </row>
        <row r="32">
          <cell r="B32" t="str">
            <v>Instalacion tuberia pvc 2"</v>
          </cell>
        </row>
        <row r="33">
          <cell r="B33" t="str">
            <v>Limpieza equipos de media tension</v>
          </cell>
        </row>
        <row r="34">
          <cell r="B34" t="str">
            <v>Mantenimiento general tablero principal de distribucion (Limpieza y reapretar conexiones)</v>
          </cell>
        </row>
        <row r="35">
          <cell r="B35" t="str">
            <v>Montaje en poste  de transformador de 45 kv 13.2 kv/220v/127v</v>
          </cell>
        </row>
        <row r="36">
          <cell r="B36" t="str">
            <v>Pajarita</v>
          </cell>
        </row>
        <row r="37">
          <cell r="B37" t="str">
            <v>Protección para poste</v>
          </cell>
        </row>
        <row r="38">
          <cell r="B38" t="str">
            <v>Pruebas, energización y puesta en servicio</v>
          </cell>
        </row>
        <row r="39">
          <cell r="B39" t="str">
            <v>Reparacion sistema electrico sistema de control</v>
          </cell>
        </row>
        <row r="40">
          <cell r="B40" t="str">
            <v>Retiro e instalacion cable mensajero</v>
          </cell>
        </row>
        <row r="41">
          <cell r="B41" t="str">
            <v>Retiro e instalación cruceta sencilla (con grapas)</v>
          </cell>
        </row>
        <row r="42">
          <cell r="B42" t="str">
            <v>Retiro e instalación de aislador line post</v>
          </cell>
        </row>
        <row r="43">
          <cell r="B43" t="str">
            <v>Retiro e instalación de aislador line post en Caliente</v>
          </cell>
        </row>
        <row r="44">
          <cell r="B44" t="str">
            <v>Retiro e instalación de armado cruceta doble</v>
          </cell>
        </row>
        <row r="45">
          <cell r="B45" t="str">
            <v>Retiro e instalación de cortacircuitos</v>
          </cell>
        </row>
        <row r="46">
          <cell r="B46" t="str">
            <v>Retiro e instalación de cortacircuitos en Caliente</v>
          </cell>
        </row>
        <row r="47">
          <cell r="B47" t="str">
            <v>Retiro e instalación de descargadores de sobretensión</v>
          </cell>
        </row>
        <row r="48">
          <cell r="B48" t="str">
            <v>Retiro e instalación de descargadores de sobretensión en caliente</v>
          </cell>
        </row>
        <row r="49">
          <cell r="B49" t="str">
            <v>Retiro e instalación de lampara</v>
          </cell>
        </row>
        <row r="50">
          <cell r="B50" t="str">
            <v>Retiro e instalación de lineas baja tension y alumbrado</v>
          </cell>
        </row>
        <row r="51">
          <cell r="B51" t="str">
            <v>Retiro e instalacion de percha red baja tension y alumbrado</v>
          </cell>
        </row>
        <row r="52">
          <cell r="B52" t="str">
            <v>Retiro e instalación de premoldeados tipo exterior</v>
          </cell>
        </row>
        <row r="53">
          <cell r="B53" t="str">
            <v>Retiro y colocacion de amarre</v>
          </cell>
        </row>
        <row r="54">
          <cell r="B54" t="str">
            <v>Revision de conexión cajas primarias</v>
          </cell>
        </row>
        <row r="55">
          <cell r="B55" t="str">
            <v>Tendido de cable encachetado 4x8 mas tierra n. 10</v>
          </cell>
        </row>
        <row r="56">
          <cell r="B56" t="str">
            <v>Tendido de cable n. 10</v>
          </cell>
        </row>
        <row r="57">
          <cell r="B57" t="str">
            <v>Volqueta</v>
          </cell>
        </row>
        <row r="58">
          <cell r="B58" t="str">
            <v>Instalacion de fusibles de 200 Amp</v>
          </cell>
        </row>
        <row r="59">
          <cell r="B59" t="str">
            <v xml:space="preserve">Instalacion de fusibles  </v>
          </cell>
        </row>
        <row r="60">
          <cell r="B60" t="str">
            <v>Pruebas con fusibles 2 Amp</v>
          </cell>
        </row>
        <row r="61">
          <cell r="B61" t="str">
            <v>Relleno y Compactacion de huecos</v>
          </cell>
        </row>
      </sheetData>
      <sheetData sheetId="3" refreshError="1"/>
      <sheetData sheetId="4" refreshError="1"/>
      <sheetData sheetId="5" refreshError="1"/>
      <sheetData sheetId="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STOS"/>
      <sheetName val="APU"/>
      <sheetName val="Materiales "/>
      <sheetName val="Hoja1"/>
      <sheetName val="Mano Obra"/>
      <sheetName val="Equip, Herr y Transp"/>
      <sheetName val="Presupuesto EPP"/>
      <sheetName val="RELACION EXTRA"/>
      <sheetName val="Directorio"/>
      <sheetName val="Lista Maestra Materiales"/>
    </sheetNames>
    <sheetDataSet>
      <sheetData sheetId="0">
        <row r="14">
          <cell r="C14" t="str">
            <v>MODERNIZACION TEGNOLOGIA LED MUNICIPIO DE MOMPOX</v>
          </cell>
        </row>
        <row r="16">
          <cell r="D16" t="str">
            <v>Luminarias</v>
          </cell>
        </row>
      </sheetData>
      <sheetData sheetId="1"/>
      <sheetData sheetId="2">
        <row r="2">
          <cell r="C2" t="str">
            <v>-</v>
          </cell>
          <cell r="D2" t="str">
            <v>-</v>
          </cell>
          <cell r="E2" t="str">
            <v>-</v>
          </cell>
          <cell r="F2">
            <v>0</v>
          </cell>
        </row>
        <row r="3">
          <cell r="C3" t="str">
            <v>Aislador tipo carrete (ansi 53-2)</v>
          </cell>
          <cell r="D3">
            <v>148</v>
          </cell>
          <cell r="E3" t="str">
            <v>Und</v>
          </cell>
          <cell r="F3">
            <v>2677.5</v>
          </cell>
        </row>
        <row r="4">
          <cell r="C4" t="str">
            <v>Aislador Line post 23 kv</v>
          </cell>
          <cell r="D4">
            <v>151</v>
          </cell>
          <cell r="E4" t="str">
            <v>Und</v>
          </cell>
          <cell r="F4">
            <v>0</v>
          </cell>
        </row>
        <row r="5">
          <cell r="C5" t="str">
            <v>Aislador suspensión polimerico 15kV</v>
          </cell>
          <cell r="D5">
            <v>153</v>
          </cell>
          <cell r="E5" t="str">
            <v>Und</v>
          </cell>
          <cell r="F5">
            <v>53550</v>
          </cell>
        </row>
        <row r="6">
          <cell r="C6" t="str">
            <v>Aislador tensor 3/8</v>
          </cell>
          <cell r="D6">
            <v>156</v>
          </cell>
          <cell r="E6" t="str">
            <v>Und</v>
          </cell>
          <cell r="F6">
            <v>7623.1399999999994</v>
          </cell>
        </row>
        <row r="7">
          <cell r="C7" t="str">
            <v>Alambre acero galvanizado 10 grado comun</v>
          </cell>
          <cell r="D7">
            <v>10165</v>
          </cell>
          <cell r="E7" t="str">
            <v>Und</v>
          </cell>
          <cell r="F7">
            <v>0</v>
          </cell>
        </row>
        <row r="8">
          <cell r="C8" t="str">
            <v>Alambre aluminio aislado # 8</v>
          </cell>
          <cell r="D8">
            <v>176</v>
          </cell>
          <cell r="E8" t="str">
            <v>Und</v>
          </cell>
          <cell r="F8">
            <v>0</v>
          </cell>
        </row>
        <row r="9">
          <cell r="C9" t="str">
            <v>Alambre aluminio aislado # 6</v>
          </cell>
          <cell r="D9">
            <v>9614</v>
          </cell>
          <cell r="E9" t="str">
            <v>Und</v>
          </cell>
          <cell r="F9">
            <v>1904</v>
          </cell>
        </row>
        <row r="10">
          <cell r="C10" t="str">
            <v>Amarra plastica de 100 mm</v>
          </cell>
          <cell r="D10">
            <v>8809</v>
          </cell>
          <cell r="E10" t="str">
            <v>Und</v>
          </cell>
          <cell r="F10">
            <v>55.001799999999996</v>
          </cell>
        </row>
        <row r="11">
          <cell r="C11" t="str">
            <v>Amarra plastica de 200 mm</v>
          </cell>
          <cell r="D11">
            <v>9647</v>
          </cell>
          <cell r="E11" t="str">
            <v>Und</v>
          </cell>
          <cell r="F11">
            <v>80.92</v>
          </cell>
        </row>
        <row r="12">
          <cell r="C12" t="str">
            <v>Amarra plastica de 300 mm</v>
          </cell>
          <cell r="D12">
            <v>8808</v>
          </cell>
          <cell r="E12" t="str">
            <v>Und</v>
          </cell>
          <cell r="F12">
            <v>97.496700000000004</v>
          </cell>
        </row>
        <row r="13">
          <cell r="C13" t="str">
            <v>Arandela plana redonda 1/2</v>
          </cell>
          <cell r="D13">
            <v>4279</v>
          </cell>
          <cell r="E13" t="str">
            <v>Und</v>
          </cell>
          <cell r="F13">
            <v>267.47629999999998</v>
          </cell>
        </row>
        <row r="14">
          <cell r="C14" t="str">
            <v>Arandela plana redonda 1/4</v>
          </cell>
          <cell r="D14">
            <v>4280</v>
          </cell>
          <cell r="E14" t="str">
            <v>Und</v>
          </cell>
          <cell r="F14">
            <v>178.5</v>
          </cell>
        </row>
        <row r="15">
          <cell r="C15" t="str">
            <v>Arandela plana redonda 5/8</v>
          </cell>
          <cell r="D15">
            <v>4286</v>
          </cell>
          <cell r="E15" t="str">
            <v>Und</v>
          </cell>
          <cell r="F15">
            <v>282.7559</v>
          </cell>
        </row>
        <row r="16">
          <cell r="C16" t="str">
            <v>Arandela Presion 1/2</v>
          </cell>
          <cell r="D16">
            <v>288</v>
          </cell>
          <cell r="E16" t="str">
            <v>Und</v>
          </cell>
          <cell r="F16">
            <v>952</v>
          </cell>
        </row>
        <row r="17">
          <cell r="C17" t="str">
            <v>Arandela Presion 5/8</v>
          </cell>
          <cell r="D17">
            <v>4297</v>
          </cell>
          <cell r="E17" t="str">
            <v>Und</v>
          </cell>
          <cell r="F17">
            <v>328.97549999999995</v>
          </cell>
        </row>
        <row r="18">
          <cell r="C18" t="str">
            <v>Arandela cuadrada de 5/8 x 2 x 2</v>
          </cell>
          <cell r="D18">
            <v>272</v>
          </cell>
          <cell r="E18" t="str">
            <v>Und</v>
          </cell>
          <cell r="F18">
            <v>738.99</v>
          </cell>
        </row>
        <row r="19">
          <cell r="C19" t="str">
            <v>Arandela cuadrada de 5/8 x 4 x 4</v>
          </cell>
          <cell r="D19">
            <v>276</v>
          </cell>
          <cell r="E19" t="str">
            <v>Und</v>
          </cell>
          <cell r="F19">
            <v>4320.8899999999994</v>
          </cell>
        </row>
        <row r="20">
          <cell r="C20" t="str">
            <v>BALA LED de piso 18w</v>
          </cell>
          <cell r="D20"/>
          <cell r="E20" t="str">
            <v>Und</v>
          </cell>
          <cell r="F20">
            <v>196588</v>
          </cell>
        </row>
        <row r="21">
          <cell r="C21" t="str">
            <v>BALA LED de piso 14w, 1020lm</v>
          </cell>
          <cell r="D21">
            <v>6757</v>
          </cell>
          <cell r="E21" t="str">
            <v>Und</v>
          </cell>
          <cell r="F21">
            <v>148750</v>
          </cell>
        </row>
        <row r="22">
          <cell r="C22" t="str">
            <v>Base para fotocelda con soporte en L</v>
          </cell>
          <cell r="D22">
            <v>372</v>
          </cell>
          <cell r="E22" t="str">
            <v>Und</v>
          </cell>
          <cell r="F22">
            <v>4879</v>
          </cell>
        </row>
        <row r="23">
          <cell r="C23" t="str">
            <v>Base para cortacircuito  en L</v>
          </cell>
          <cell r="D23">
            <v>10267</v>
          </cell>
          <cell r="E23" t="str">
            <v>Und</v>
          </cell>
          <cell r="F23">
            <v>17850</v>
          </cell>
        </row>
        <row r="24">
          <cell r="C24" t="str">
            <v>Brazo metalico galvanizado 1 1/2", angulo 52°/0°, 2 metros, para soporte con collarin.</v>
          </cell>
          <cell r="D24">
            <v>7173</v>
          </cell>
          <cell r="E24" t="str">
            <v>Und</v>
          </cell>
          <cell r="F24">
            <v>36057</v>
          </cell>
        </row>
        <row r="25">
          <cell r="C25" t="str">
            <v>Brazo metalico galvanizado 1 1/2", angulo 52°/0°, 1.5 metros, para soporte con collarin.</v>
          </cell>
          <cell r="D25">
            <v>7172</v>
          </cell>
          <cell r="E25" t="str">
            <v>Und</v>
          </cell>
          <cell r="F25">
            <v>27846</v>
          </cell>
        </row>
        <row r="26">
          <cell r="C26" t="str">
            <v>Bloque anclaje de  400x300x100mm</v>
          </cell>
          <cell r="D26">
            <v>10168</v>
          </cell>
          <cell r="E26" t="str">
            <v>Und</v>
          </cell>
          <cell r="F26">
            <v>77350</v>
          </cell>
        </row>
        <row r="27">
          <cell r="C27" t="str">
            <v>Cable de acero Galvanizado 3/8" extra alta resistencia</v>
          </cell>
          <cell r="D27">
            <v>710</v>
          </cell>
          <cell r="E27" t="str">
            <v>Ml</v>
          </cell>
          <cell r="F27">
            <v>2439.5</v>
          </cell>
        </row>
        <row r="28">
          <cell r="C28" t="str">
            <v>Cable de acero Galvanizado 1/4" extra alta resistencia</v>
          </cell>
          <cell r="D28">
            <v>10169</v>
          </cell>
          <cell r="E28" t="str">
            <v>Ml</v>
          </cell>
          <cell r="F28">
            <v>1984.9199999999998</v>
          </cell>
        </row>
        <row r="29">
          <cell r="C29" t="str">
            <v>Cable ACSR 4 awg</v>
          </cell>
          <cell r="D29">
            <v>6438</v>
          </cell>
          <cell r="E29" t="str">
            <v>Ml</v>
          </cell>
          <cell r="F29">
            <v>1487.5</v>
          </cell>
        </row>
        <row r="30">
          <cell r="C30" t="str">
            <v>Cable ACSR 2 awg</v>
          </cell>
          <cell r="D30">
            <v>662</v>
          </cell>
          <cell r="E30" t="str">
            <v>Ml</v>
          </cell>
          <cell r="F30">
            <v>1588.6499999999999</v>
          </cell>
        </row>
        <row r="31">
          <cell r="C31" t="str">
            <v>Cable AAAC 1/0 awg</v>
          </cell>
          <cell r="D31">
            <v>10543</v>
          </cell>
          <cell r="E31" t="str">
            <v>Ml</v>
          </cell>
          <cell r="F31">
            <v>3300.0722999999998</v>
          </cell>
        </row>
        <row r="32">
          <cell r="C32" t="str">
            <v>Cable poder manguera led</v>
          </cell>
          <cell r="D32">
            <v>709</v>
          </cell>
          <cell r="E32" t="str">
            <v>Ml</v>
          </cell>
          <cell r="F32">
            <v>1428</v>
          </cell>
        </row>
        <row r="33">
          <cell r="C33" t="str">
            <v xml:space="preserve">Cable Cu THHN-2 # 12 AWG </v>
          </cell>
          <cell r="D33"/>
          <cell r="E33" t="str">
            <v>Ml</v>
          </cell>
          <cell r="F33">
            <v>1487.5</v>
          </cell>
        </row>
        <row r="34">
          <cell r="C34" t="str">
            <v xml:space="preserve">Cable Cu THHN-2 # 14 AWG </v>
          </cell>
          <cell r="D34"/>
          <cell r="E34" t="str">
            <v>Ml</v>
          </cell>
          <cell r="F34">
            <v>1309</v>
          </cell>
        </row>
        <row r="35">
          <cell r="C35" t="str">
            <v>Cable Aluminio THHW # 4 AWG S 8000</v>
          </cell>
          <cell r="D35">
            <v>10264</v>
          </cell>
          <cell r="E35" t="str">
            <v>Ml</v>
          </cell>
          <cell r="F35">
            <v>2142</v>
          </cell>
        </row>
        <row r="36">
          <cell r="C36" t="str">
            <v>Cable Aluminio THHW # 2 AWG S 8000</v>
          </cell>
          <cell r="D36">
            <v>9032</v>
          </cell>
          <cell r="E36" t="str">
            <v>Ml</v>
          </cell>
          <cell r="F36">
            <v>2669.6460000000002</v>
          </cell>
        </row>
        <row r="37">
          <cell r="C37" t="str">
            <v>Cable Aluminio THHW # 6 AWG S 8000</v>
          </cell>
          <cell r="D37">
            <v>4341</v>
          </cell>
          <cell r="E37" t="str">
            <v>Ml</v>
          </cell>
          <cell r="F37">
            <v>1025.78</v>
          </cell>
        </row>
        <row r="38">
          <cell r="C38" t="str">
            <v>Cable encauchetado 3 x 8 AWG</v>
          </cell>
          <cell r="D38">
            <v>704</v>
          </cell>
          <cell r="E38" t="str">
            <v>Ml</v>
          </cell>
          <cell r="F38">
            <v>21420</v>
          </cell>
        </row>
        <row r="39">
          <cell r="C39" t="str">
            <v>Cable encauchetado 3 x 10 AWG</v>
          </cell>
          <cell r="D39">
            <v>700</v>
          </cell>
          <cell r="E39" t="str">
            <v>Ml</v>
          </cell>
          <cell r="F39">
            <v>11400.199999999999</v>
          </cell>
        </row>
        <row r="40">
          <cell r="C40" t="str">
            <v>Cable encauchetado 3 x 12 AWG</v>
          </cell>
          <cell r="D40">
            <v>701</v>
          </cell>
          <cell r="E40" t="str">
            <v>Ml</v>
          </cell>
          <cell r="F40">
            <v>6499.78</v>
          </cell>
        </row>
        <row r="41">
          <cell r="C41" t="str">
            <v>Cable encauchetado 3 x 14 AWG</v>
          </cell>
          <cell r="D41">
            <v>6734</v>
          </cell>
          <cell r="E41" t="str">
            <v>Ml</v>
          </cell>
          <cell r="F41">
            <v>4522</v>
          </cell>
        </row>
        <row r="42">
          <cell r="C42" t="str">
            <v>Cable Cuadruplex 3 x 2 + 2 AWG Al autosoportado</v>
          </cell>
          <cell r="D42">
            <v>9490</v>
          </cell>
          <cell r="E42" t="str">
            <v>Ml</v>
          </cell>
          <cell r="F42">
            <v>13030.5</v>
          </cell>
        </row>
        <row r="43">
          <cell r="C43" t="str">
            <v>Cable Cuadruplex 3 x 4 + 4 AWG Al autosoportado</v>
          </cell>
          <cell r="D43">
            <v>9613</v>
          </cell>
          <cell r="E43" t="str">
            <v>Ml</v>
          </cell>
          <cell r="F43">
            <v>10293.5</v>
          </cell>
        </row>
        <row r="44">
          <cell r="C44" t="str">
            <v>Cable triplex 2 x 1/0 + 1/0 AWG Al autosoportado</v>
          </cell>
          <cell r="D44">
            <v>667</v>
          </cell>
          <cell r="E44" t="str">
            <v>Ml</v>
          </cell>
          <cell r="F44">
            <v>0</v>
          </cell>
        </row>
        <row r="45">
          <cell r="C45" t="str">
            <v>Cable triplex 2 x 2 + 2  AWG Al autosoportado</v>
          </cell>
          <cell r="D45">
            <v>719</v>
          </cell>
          <cell r="E45" t="str">
            <v>Ml</v>
          </cell>
          <cell r="F45">
            <v>8541.82</v>
          </cell>
        </row>
        <row r="46">
          <cell r="C46" t="str">
            <v>Cable triplex 2 x 4 + 4  AWG Al autosoportado</v>
          </cell>
          <cell r="D46">
            <v>670</v>
          </cell>
          <cell r="E46" t="str">
            <v>Ml</v>
          </cell>
          <cell r="F46">
            <v>5950</v>
          </cell>
        </row>
        <row r="47">
          <cell r="C47" t="str">
            <v>Cable concentrico aluminio 8+8</v>
          </cell>
          <cell r="D47"/>
          <cell r="E47" t="str">
            <v>Ml</v>
          </cell>
          <cell r="F47">
            <v>4165</v>
          </cell>
        </row>
        <row r="48">
          <cell r="C48" t="str">
            <v>Cable #6 Cu forrado AWG THHN/THWN-2, 90 C°, 600 V.</v>
          </cell>
          <cell r="D48">
            <v>7220</v>
          </cell>
          <cell r="E48" t="str">
            <v>Ml</v>
          </cell>
          <cell r="F48">
            <v>7437.5</v>
          </cell>
        </row>
        <row r="49">
          <cell r="C49" t="str">
            <v>Cable #8 Cu forrado AWG THHN/THWN-2, 90 C°, 600 V.</v>
          </cell>
          <cell r="D49">
            <v>687</v>
          </cell>
          <cell r="E49" t="str">
            <v>Ml</v>
          </cell>
          <cell r="F49">
            <v>3760.3999999999996</v>
          </cell>
        </row>
        <row r="50">
          <cell r="C50" t="str">
            <v>Cable de cu Desnudo # 2</v>
          </cell>
          <cell r="D50">
            <v>5385</v>
          </cell>
          <cell r="E50" t="str">
            <v>Ml</v>
          </cell>
          <cell r="F50">
            <v>10513.65</v>
          </cell>
        </row>
        <row r="51">
          <cell r="C51" t="str">
            <v>Cable de cu Desnudo # 8</v>
          </cell>
          <cell r="D51">
            <v>7325</v>
          </cell>
          <cell r="E51" t="str">
            <v>Ml</v>
          </cell>
          <cell r="F51">
            <v>2795.31</v>
          </cell>
        </row>
        <row r="52">
          <cell r="C52" t="str">
            <v>Caja radwelt octagonal - 3 salidas 3/4</v>
          </cell>
          <cell r="D52"/>
          <cell r="E52" t="str">
            <v>Und</v>
          </cell>
          <cell r="F52">
            <v>11662</v>
          </cell>
        </row>
        <row r="53">
          <cell r="C53" t="str">
            <v>Caja radwelt 2x2 - 3 salidas 3/4</v>
          </cell>
          <cell r="D53">
            <v>731</v>
          </cell>
          <cell r="E53" t="str">
            <v>Und</v>
          </cell>
          <cell r="F53">
            <v>10472</v>
          </cell>
        </row>
        <row r="54">
          <cell r="C54" t="str">
            <v>Caja radwelt 4x4 - 3 salidas 3/4</v>
          </cell>
          <cell r="D54">
            <v>734</v>
          </cell>
          <cell r="E54" t="str">
            <v>Und</v>
          </cell>
          <cell r="F54">
            <v>15232</v>
          </cell>
        </row>
        <row r="55">
          <cell r="C55" t="str">
            <v xml:space="preserve">Caja prefabricada de 30x30 cm </v>
          </cell>
          <cell r="D55">
            <v>6233</v>
          </cell>
          <cell r="E55" t="str">
            <v>Und</v>
          </cell>
          <cell r="F55">
            <v>96390</v>
          </cell>
        </row>
        <row r="56">
          <cell r="C56" t="str">
            <v xml:space="preserve">Caja prefabricada de 40x40 cm </v>
          </cell>
          <cell r="D56">
            <v>10971</v>
          </cell>
          <cell r="E56" t="str">
            <v>Und</v>
          </cell>
          <cell r="F56">
            <v>158270</v>
          </cell>
        </row>
        <row r="57">
          <cell r="C57" t="str">
            <v>Capacete galvanizado de 2"</v>
          </cell>
          <cell r="D57">
            <v>808</v>
          </cell>
          <cell r="E57" t="str">
            <v>Und</v>
          </cell>
          <cell r="F57">
            <v>11155.06</v>
          </cell>
        </row>
        <row r="58">
          <cell r="C58" t="str">
            <v>Capacete galvanizado de 1 1/2"</v>
          </cell>
          <cell r="D58">
            <v>9994</v>
          </cell>
          <cell r="E58" t="str">
            <v>Und</v>
          </cell>
          <cell r="F58">
            <v>6240.36</v>
          </cell>
        </row>
        <row r="59">
          <cell r="C59" t="str">
            <v>Capacete galvanizado de 1"</v>
          </cell>
          <cell r="D59">
            <v>809</v>
          </cell>
          <cell r="E59" t="str">
            <v>Und</v>
          </cell>
          <cell r="F59">
            <v>2499</v>
          </cell>
        </row>
        <row r="60">
          <cell r="C60" t="str">
            <v>Capacete galvanizado de 3/4"</v>
          </cell>
          <cell r="D60">
            <v>807</v>
          </cell>
          <cell r="E60" t="str">
            <v>Und</v>
          </cell>
          <cell r="F60">
            <v>2462.1099999999997</v>
          </cell>
        </row>
        <row r="61">
          <cell r="C61" t="str">
            <v>Cimentacion concreto 3000 psi</v>
          </cell>
          <cell r="D61"/>
          <cell r="E61" t="str">
            <v>Rollo</v>
          </cell>
          <cell r="F61">
            <v>115192</v>
          </cell>
        </row>
        <row r="62">
          <cell r="C62" t="str">
            <v>Cinta aislante  23</v>
          </cell>
          <cell r="D62">
            <v>971</v>
          </cell>
          <cell r="E62" t="str">
            <v>Rollo</v>
          </cell>
          <cell r="F62">
            <v>38199</v>
          </cell>
        </row>
        <row r="63">
          <cell r="C63" t="str">
            <v>Cinta aislante Super 33</v>
          </cell>
          <cell r="D63">
            <v>968</v>
          </cell>
          <cell r="E63" t="str">
            <v>Rollo</v>
          </cell>
          <cell r="F63">
            <v>16660</v>
          </cell>
        </row>
        <row r="64">
          <cell r="C64" t="str">
            <v xml:space="preserve">Cinta aislante temflex color rojo </v>
          </cell>
          <cell r="D64">
            <v>1007</v>
          </cell>
          <cell r="E64" t="str">
            <v>Rollo</v>
          </cell>
          <cell r="F64">
            <v>3267.145</v>
          </cell>
        </row>
        <row r="65">
          <cell r="C65" t="str">
            <v>Cinta aislante temflex color blanco</v>
          </cell>
          <cell r="D65">
            <v>1004</v>
          </cell>
          <cell r="E65" t="str">
            <v>Rollo</v>
          </cell>
          <cell r="F65">
            <v>3267.145</v>
          </cell>
        </row>
        <row r="66">
          <cell r="C66" t="str">
            <v>Cinta aislante temflex color verde</v>
          </cell>
          <cell r="D66">
            <v>1008</v>
          </cell>
          <cell r="E66" t="str">
            <v>Rollo</v>
          </cell>
          <cell r="F66">
            <v>3266.5499999999997</v>
          </cell>
        </row>
        <row r="67">
          <cell r="C67" t="str">
            <v>Cinta señalizacion Amarillo negro peligro</v>
          </cell>
          <cell r="D67">
            <v>998</v>
          </cell>
          <cell r="E67" t="str">
            <v>Rollo</v>
          </cell>
          <cell r="F67">
            <v>20230</v>
          </cell>
        </row>
        <row r="68">
          <cell r="C68" t="str">
            <v>Cinta bandit 1/2" en acero marca eagle o similar</v>
          </cell>
          <cell r="D68">
            <v>7324</v>
          </cell>
          <cell r="E68" t="str">
            <v>Ml</v>
          </cell>
          <cell r="F68">
            <v>1720.7756999999999</v>
          </cell>
        </row>
        <row r="69">
          <cell r="C69" t="str">
            <v>Cinta bandit 5/8" en acero marca eagle o similar</v>
          </cell>
          <cell r="D69">
            <v>973</v>
          </cell>
          <cell r="E69" t="str">
            <v>Ml</v>
          </cell>
          <cell r="F69">
            <v>2082.5</v>
          </cell>
        </row>
        <row r="70">
          <cell r="C70" t="str">
            <v>Cinta bandit 3/4" en acero marca eagle o similar</v>
          </cell>
          <cell r="D70">
            <v>972</v>
          </cell>
          <cell r="E70" t="str">
            <v>Ml</v>
          </cell>
          <cell r="F70">
            <v>3110.66</v>
          </cell>
        </row>
        <row r="71">
          <cell r="C71" t="str">
            <v>Collarin de 5" a 6" una salida con tornillos 5/8 x 4"</v>
          </cell>
          <cell r="D71">
            <v>5360</v>
          </cell>
          <cell r="E71" t="str">
            <v>Und</v>
          </cell>
          <cell r="F71">
            <v>14042</v>
          </cell>
        </row>
        <row r="72">
          <cell r="C72" t="str">
            <v>Collarin de 5" a 6" dos salidas con tornillos 5/8 x 4"</v>
          </cell>
          <cell r="D72">
            <v>6740</v>
          </cell>
          <cell r="E72" t="str">
            <v>Und</v>
          </cell>
          <cell r="F72">
            <v>14339.5</v>
          </cell>
        </row>
        <row r="73">
          <cell r="C73" t="str">
            <v>Collarin de 6" a 7" una salida con tornillos 5/8 x 4"</v>
          </cell>
          <cell r="D73">
            <v>9607</v>
          </cell>
          <cell r="E73" t="str">
            <v>Und</v>
          </cell>
          <cell r="F73">
            <v>15351</v>
          </cell>
        </row>
        <row r="74">
          <cell r="C74" t="str">
            <v>Collarin de 6" a 7" dos salidas con tornillos 5/8 x 4"</v>
          </cell>
          <cell r="D74">
            <v>9604</v>
          </cell>
          <cell r="E74" t="str">
            <v>Und</v>
          </cell>
          <cell r="F74">
            <v>15922.199999999999</v>
          </cell>
        </row>
        <row r="75">
          <cell r="C75" t="str">
            <v>Collarin de 7" a 8" una salida con tornillos 5/8 x 10"</v>
          </cell>
          <cell r="D75">
            <v>1124</v>
          </cell>
          <cell r="E75" t="str">
            <v>Und</v>
          </cell>
          <cell r="F75">
            <v>15940.05</v>
          </cell>
        </row>
        <row r="76">
          <cell r="C76" t="str">
            <v>Collarin de 7" a 8" dos salidas con tornillos 5/8 x 10"</v>
          </cell>
          <cell r="D76">
            <v>7446</v>
          </cell>
          <cell r="E76" t="str">
            <v>Und</v>
          </cell>
          <cell r="F76">
            <v>16065</v>
          </cell>
        </row>
        <row r="77">
          <cell r="C77" t="str">
            <v>Collarin de 8" a 9" Una salida con tornillos 5/8 x 4"</v>
          </cell>
          <cell r="D77">
            <v>1125</v>
          </cell>
          <cell r="E77" t="str">
            <v>Und</v>
          </cell>
          <cell r="F77">
            <v>17731</v>
          </cell>
        </row>
        <row r="78">
          <cell r="C78" t="str">
            <v>Collarin de 8" a 9" dos salidas con tornillos 5/8 x 4"</v>
          </cell>
          <cell r="D78">
            <v>7447</v>
          </cell>
          <cell r="E78" t="str">
            <v>Und</v>
          </cell>
          <cell r="F78">
            <v>18088</v>
          </cell>
        </row>
        <row r="79">
          <cell r="C79" t="str">
            <v>Collarin para transformador</v>
          </cell>
          <cell r="D79">
            <v>1134</v>
          </cell>
          <cell r="E79" t="str">
            <v>Und</v>
          </cell>
          <cell r="F79">
            <v>27608</v>
          </cell>
        </row>
        <row r="80">
          <cell r="C80" t="str">
            <v>Platina de sujeccion para retenida</v>
          </cell>
          <cell r="D80">
            <v>2902</v>
          </cell>
          <cell r="E80" t="str">
            <v>Und</v>
          </cell>
          <cell r="F80">
            <v>13328</v>
          </cell>
        </row>
        <row r="81">
          <cell r="C81" t="str">
            <v>Collarin antiescalante</v>
          </cell>
          <cell r="D81">
            <v>5633</v>
          </cell>
          <cell r="E81" t="str">
            <v>Und</v>
          </cell>
          <cell r="F81">
            <v>15351</v>
          </cell>
        </row>
        <row r="82">
          <cell r="C82" t="str">
            <v>Conector de perforación CP120</v>
          </cell>
          <cell r="D82">
            <v>6742</v>
          </cell>
          <cell r="E82" t="str">
            <v>Und</v>
          </cell>
          <cell r="F82">
            <v>10353</v>
          </cell>
        </row>
        <row r="83">
          <cell r="C83" t="str">
            <v>Conector de perforación CP70</v>
          </cell>
          <cell r="D83">
            <v>1193</v>
          </cell>
          <cell r="E83" t="str">
            <v>Und</v>
          </cell>
          <cell r="F83">
            <v>6699.7</v>
          </cell>
        </row>
        <row r="84">
          <cell r="C84" t="str">
            <v>Conector ponchable AP1</v>
          </cell>
          <cell r="D84">
            <v>6555</v>
          </cell>
          <cell r="E84" t="str">
            <v>Und</v>
          </cell>
          <cell r="F84">
            <v>1547</v>
          </cell>
        </row>
        <row r="85">
          <cell r="C85" t="str">
            <v>Conector ponchable AP2</v>
          </cell>
          <cell r="D85">
            <v>1209</v>
          </cell>
          <cell r="E85" t="str">
            <v>Und</v>
          </cell>
          <cell r="F85">
            <v>1904</v>
          </cell>
        </row>
        <row r="86">
          <cell r="C86" t="str">
            <v>Conector ponchable en gel 6-2/ 14-8</v>
          </cell>
          <cell r="D86">
            <v>6735</v>
          </cell>
          <cell r="E86" t="str">
            <v>Und</v>
          </cell>
          <cell r="F86">
            <v>27009.43</v>
          </cell>
        </row>
        <row r="87">
          <cell r="C87" t="str">
            <v>Conector resorte rojo</v>
          </cell>
          <cell r="D87">
            <v>1221</v>
          </cell>
          <cell r="E87" t="str">
            <v>Und</v>
          </cell>
          <cell r="F87">
            <v>193.97</v>
          </cell>
        </row>
        <row r="88">
          <cell r="C88" t="str">
            <v>Conector recto coraza 1 1/2"</v>
          </cell>
          <cell r="D88">
            <v>1203</v>
          </cell>
          <cell r="E88" t="str">
            <v>Und</v>
          </cell>
          <cell r="F88">
            <v>7984.9</v>
          </cell>
        </row>
        <row r="89">
          <cell r="C89" t="str">
            <v>Conector recto coraza 1"</v>
          </cell>
          <cell r="D89">
            <v>1202</v>
          </cell>
          <cell r="E89" t="str">
            <v>Und</v>
          </cell>
          <cell r="F89">
            <v>5414.5</v>
          </cell>
        </row>
        <row r="90">
          <cell r="C90" t="str">
            <v>Coraza LT 1 1/2"</v>
          </cell>
          <cell r="D90">
            <v>1249</v>
          </cell>
          <cell r="E90" t="str">
            <v>Ml</v>
          </cell>
          <cell r="F90">
            <v>11305</v>
          </cell>
        </row>
        <row r="91">
          <cell r="C91" t="str">
            <v>Coraza LT 1"</v>
          </cell>
          <cell r="D91">
            <v>1251</v>
          </cell>
          <cell r="E91" t="str">
            <v>Ml</v>
          </cell>
          <cell r="F91">
            <v>7021</v>
          </cell>
        </row>
        <row r="92">
          <cell r="C92" t="str">
            <v>Cruceta metalica autosoportada de 1,5 m</v>
          </cell>
          <cell r="D92">
            <v>9282</v>
          </cell>
          <cell r="E92" t="str">
            <v>Und</v>
          </cell>
          <cell r="F92">
            <v>100257.5</v>
          </cell>
        </row>
        <row r="93">
          <cell r="C93" t="str">
            <v>Cruceta metalica autosoportada de 2,4 m</v>
          </cell>
          <cell r="D93">
            <v>1288</v>
          </cell>
          <cell r="E93" t="str">
            <v>Und</v>
          </cell>
          <cell r="F93">
            <v>165000.04499999998</v>
          </cell>
        </row>
        <row r="94">
          <cell r="C94" t="str">
            <v xml:space="preserve">Conduleta  1 1/2 LB                </v>
          </cell>
          <cell r="D94">
            <v>1163</v>
          </cell>
          <cell r="E94" t="str">
            <v>Und</v>
          </cell>
          <cell r="F94">
            <v>22848</v>
          </cell>
        </row>
        <row r="95">
          <cell r="C95" t="str">
            <v xml:space="preserve">Conduleta 1 1/2 LL                 </v>
          </cell>
          <cell r="D95">
            <v>1164</v>
          </cell>
          <cell r="E95" t="str">
            <v>Und</v>
          </cell>
          <cell r="F95">
            <v>22848</v>
          </cell>
        </row>
        <row r="96">
          <cell r="C96" t="str">
            <v xml:space="preserve">Conduleta 1 1/2 C </v>
          </cell>
          <cell r="D96">
            <v>5596</v>
          </cell>
          <cell r="E96" t="str">
            <v>Und</v>
          </cell>
          <cell r="F96">
            <v>22848</v>
          </cell>
        </row>
        <row r="97">
          <cell r="C97" t="str">
            <v>Conduleta 1 1/2 LR</v>
          </cell>
          <cell r="D97">
            <v>5600</v>
          </cell>
          <cell r="E97" t="str">
            <v>Und</v>
          </cell>
          <cell r="F97">
            <v>22848</v>
          </cell>
        </row>
        <row r="98">
          <cell r="C98" t="str">
            <v xml:space="preserve">Conduleta  1  LB                </v>
          </cell>
          <cell r="D98">
            <v>1167</v>
          </cell>
          <cell r="E98" t="str">
            <v>Und</v>
          </cell>
          <cell r="F98">
            <v>21816.27</v>
          </cell>
        </row>
        <row r="99">
          <cell r="C99" t="str">
            <v xml:space="preserve">Conduleta 1  T </v>
          </cell>
          <cell r="D99">
            <v>10299</v>
          </cell>
          <cell r="E99" t="str">
            <v>Und</v>
          </cell>
          <cell r="F99">
            <v>21816.27</v>
          </cell>
        </row>
        <row r="100">
          <cell r="C100" t="str">
            <v>Conduleta 1 LR</v>
          </cell>
          <cell r="D100">
            <v>4397</v>
          </cell>
          <cell r="E100" t="str">
            <v>Und</v>
          </cell>
          <cell r="F100">
            <v>21816.27</v>
          </cell>
        </row>
        <row r="101">
          <cell r="C101" t="str">
            <v xml:space="preserve">Conduleta  3/4  LB                </v>
          </cell>
          <cell r="D101">
            <v>1180</v>
          </cell>
          <cell r="E101" t="str">
            <v>Und</v>
          </cell>
          <cell r="F101">
            <v>17850</v>
          </cell>
        </row>
        <row r="102">
          <cell r="C102" t="str">
            <v xml:space="preserve">Conduleta 3/4  T </v>
          </cell>
          <cell r="D102">
            <v>1182</v>
          </cell>
          <cell r="E102" t="str">
            <v>Und</v>
          </cell>
          <cell r="F102">
            <v>17850</v>
          </cell>
        </row>
        <row r="103">
          <cell r="C103" t="str">
            <v>Conduleta 3/4 LR</v>
          </cell>
          <cell r="D103">
            <v>1181</v>
          </cell>
          <cell r="E103" t="str">
            <v>Und</v>
          </cell>
          <cell r="F103">
            <v>17850</v>
          </cell>
        </row>
        <row r="104">
          <cell r="C104" t="str">
            <v xml:space="preserve">Conduleta  1/2  LB                </v>
          </cell>
          <cell r="D104">
            <v>1170</v>
          </cell>
          <cell r="E104" t="str">
            <v>Und</v>
          </cell>
          <cell r="F104">
            <v>6307</v>
          </cell>
        </row>
        <row r="105">
          <cell r="C105" t="str">
            <v xml:space="preserve">Conduleta 1/2  T </v>
          </cell>
          <cell r="D105">
            <v>1175</v>
          </cell>
          <cell r="E105" t="str">
            <v>Und</v>
          </cell>
          <cell r="F105">
            <v>6307</v>
          </cell>
        </row>
        <row r="106">
          <cell r="C106" t="str">
            <v>Conduleta 1/2 LR</v>
          </cell>
          <cell r="D106">
            <v>1172</v>
          </cell>
          <cell r="E106" t="str">
            <v>Und</v>
          </cell>
          <cell r="F106">
            <v>6307</v>
          </cell>
        </row>
        <row r="107">
          <cell r="C107" t="str">
            <v>Conector amovible P 4/0 - 2  S 6-4/0</v>
          </cell>
          <cell r="D107">
            <v>1185</v>
          </cell>
          <cell r="E107" t="str">
            <v>Und</v>
          </cell>
          <cell r="F107">
            <v>17850</v>
          </cell>
        </row>
        <row r="108">
          <cell r="C108" t="str">
            <v>Conector ampac con estribo 1/0-2/0</v>
          </cell>
          <cell r="D108">
            <v>1587</v>
          </cell>
          <cell r="E108" t="str">
            <v>Und</v>
          </cell>
          <cell r="F108">
            <v>15589</v>
          </cell>
        </row>
        <row r="109">
          <cell r="C109" t="str">
            <v xml:space="preserve">Conector varilla / Cable cobre </v>
          </cell>
          <cell r="D109">
            <v>8653</v>
          </cell>
          <cell r="E109" t="str">
            <v>Und</v>
          </cell>
          <cell r="F109">
            <v>4165</v>
          </cell>
        </row>
        <row r="110">
          <cell r="C110" t="str">
            <v>Conector Emt 1/2"</v>
          </cell>
          <cell r="D110"/>
          <cell r="E110" t="str">
            <v>Und</v>
          </cell>
          <cell r="F110">
            <v>773.5</v>
          </cell>
        </row>
        <row r="111">
          <cell r="C111" t="str">
            <v>Conector Emt 1"</v>
          </cell>
          <cell r="D111"/>
          <cell r="E111" t="str">
            <v>Und</v>
          </cell>
          <cell r="F111">
            <v>1963.5</v>
          </cell>
        </row>
        <row r="112">
          <cell r="C112" t="str">
            <v>Conector PVC 2"</v>
          </cell>
          <cell r="D112">
            <v>8213</v>
          </cell>
          <cell r="E112" t="str">
            <v>Und</v>
          </cell>
          <cell r="F112">
            <v>0</v>
          </cell>
        </row>
        <row r="113">
          <cell r="C113" t="str">
            <v>Conector PVC 1 1/2"</v>
          </cell>
          <cell r="D113">
            <v>7205</v>
          </cell>
          <cell r="E113" t="str">
            <v>Und</v>
          </cell>
          <cell r="F113">
            <v>0</v>
          </cell>
        </row>
        <row r="114">
          <cell r="C114" t="str">
            <v>Conector PVC 1"</v>
          </cell>
          <cell r="D114">
            <v>7207</v>
          </cell>
          <cell r="E114" t="str">
            <v>Und</v>
          </cell>
          <cell r="F114">
            <v>0</v>
          </cell>
        </row>
        <row r="115">
          <cell r="C115" t="str">
            <v>Conector PVC 3/4"</v>
          </cell>
          <cell r="D115">
            <v>7203</v>
          </cell>
          <cell r="E115" t="str">
            <v>Und</v>
          </cell>
          <cell r="F115">
            <v>0</v>
          </cell>
        </row>
        <row r="116">
          <cell r="C116" t="str">
            <v>Conector tipo H</v>
          </cell>
          <cell r="D116">
            <v>9617</v>
          </cell>
          <cell r="E116" t="str">
            <v>Und</v>
          </cell>
          <cell r="F116">
            <v>1071</v>
          </cell>
        </row>
        <row r="117">
          <cell r="C117" t="str">
            <v>Conector compresion cobre 2-2</v>
          </cell>
          <cell r="D117">
            <v>1194</v>
          </cell>
          <cell r="E117" t="str">
            <v>Und</v>
          </cell>
          <cell r="F117">
            <v>7735</v>
          </cell>
        </row>
        <row r="118">
          <cell r="C118" t="str">
            <v xml:space="preserve">Cortacircuito completo 15KVA 200A               </v>
          </cell>
          <cell r="D118">
            <v>1268</v>
          </cell>
          <cell r="E118" t="str">
            <v>Und</v>
          </cell>
          <cell r="F118">
            <v>357000</v>
          </cell>
        </row>
        <row r="119">
          <cell r="C119" t="str">
            <v>Contrapeso tipo tuerca de ojo</v>
          </cell>
          <cell r="D119">
            <v>6733</v>
          </cell>
          <cell r="E119" t="str">
            <v>Und</v>
          </cell>
          <cell r="F119">
            <v>8330</v>
          </cell>
        </row>
        <row r="120">
          <cell r="C120" t="str">
            <v>Curva PVC pesada de 2"</v>
          </cell>
          <cell r="D120">
            <v>1316</v>
          </cell>
          <cell r="E120" t="str">
            <v>Und</v>
          </cell>
          <cell r="F120">
            <v>5355</v>
          </cell>
        </row>
        <row r="121">
          <cell r="C121" t="str">
            <v>Curva PVC pesada de 1 1/2"</v>
          </cell>
          <cell r="D121">
            <v>1312</v>
          </cell>
          <cell r="E121" t="str">
            <v>Und</v>
          </cell>
          <cell r="F121">
            <v>2737</v>
          </cell>
        </row>
        <row r="122">
          <cell r="C122" t="str">
            <v>Curva PVC pesada de 1"</v>
          </cell>
          <cell r="D122">
            <v>1314</v>
          </cell>
          <cell r="E122" t="str">
            <v>Und</v>
          </cell>
          <cell r="F122">
            <v>1011.5</v>
          </cell>
        </row>
        <row r="123">
          <cell r="C123" t="str">
            <v>Curva PVC pesada de 3/4"</v>
          </cell>
          <cell r="D123">
            <v>1318</v>
          </cell>
          <cell r="E123" t="str">
            <v>Und</v>
          </cell>
          <cell r="F123">
            <v>1142.3999999999999</v>
          </cell>
        </row>
        <row r="124">
          <cell r="C124" t="str">
            <v>Descargadores de sobretension de 15Kv</v>
          </cell>
          <cell r="D124">
            <v>9487</v>
          </cell>
          <cell r="E124" t="str">
            <v>Und</v>
          </cell>
          <cell r="F124">
            <v>123462.5</v>
          </cell>
        </row>
        <row r="125">
          <cell r="C125" t="str">
            <v>Esparrago de 5/8 x 12"</v>
          </cell>
          <cell r="D125">
            <v>1549</v>
          </cell>
          <cell r="E125" t="str">
            <v>Und</v>
          </cell>
          <cell r="F125">
            <v>9520</v>
          </cell>
        </row>
        <row r="126">
          <cell r="C126" t="str">
            <v>Esparrago de 5/8 x 18"</v>
          </cell>
          <cell r="D126">
            <v>1550</v>
          </cell>
          <cell r="E126" t="str">
            <v>Und</v>
          </cell>
          <cell r="F126">
            <v>0</v>
          </cell>
        </row>
        <row r="127">
          <cell r="C127" t="str">
            <v>Escuadra 90 grados recta en acero o niquel de 50x50 mm</v>
          </cell>
          <cell r="D127">
            <v>10970</v>
          </cell>
          <cell r="E127" t="str">
            <v>Und</v>
          </cell>
          <cell r="F127">
            <v>0</v>
          </cell>
        </row>
        <row r="128">
          <cell r="C128" t="str">
            <v>Fotocelda</v>
          </cell>
          <cell r="D128">
            <v>1700</v>
          </cell>
          <cell r="E128" t="str">
            <v>Und</v>
          </cell>
          <cell r="F128">
            <v>10472</v>
          </cell>
        </row>
        <row r="129">
          <cell r="C129" t="str">
            <v>Fusible de expulsión 0.4 (SR) tipo D</v>
          </cell>
          <cell r="D129">
            <v>1716</v>
          </cell>
          <cell r="E129" t="str">
            <v>Und</v>
          </cell>
          <cell r="F129">
            <v>12138</v>
          </cell>
        </row>
        <row r="130">
          <cell r="C130" t="str">
            <v>Fusible de expulsión 2 (VS)</v>
          </cell>
          <cell r="D130">
            <v>1714</v>
          </cell>
          <cell r="E130" t="str">
            <v>Und</v>
          </cell>
          <cell r="F130">
            <v>13090</v>
          </cell>
        </row>
        <row r="131">
          <cell r="C131" t="str">
            <v>Grapa tipo pistola 1/0</v>
          </cell>
          <cell r="D131">
            <v>1798</v>
          </cell>
          <cell r="E131" t="str">
            <v>Und</v>
          </cell>
          <cell r="F131">
            <v>36890</v>
          </cell>
        </row>
        <row r="132">
          <cell r="C132" t="str">
            <v>Grapa tres pernos 1 1/2 x 3/8</v>
          </cell>
          <cell r="D132">
            <v>11148</v>
          </cell>
          <cell r="E132" t="str">
            <v>Und</v>
          </cell>
          <cell r="F132">
            <v>10472</v>
          </cell>
        </row>
        <row r="133">
          <cell r="C133" t="str">
            <v>Grillete largo recto 5/8</v>
          </cell>
          <cell r="D133">
            <v>1811</v>
          </cell>
          <cell r="E133" t="str">
            <v>Und</v>
          </cell>
          <cell r="F133">
            <v>12999.9527</v>
          </cell>
        </row>
        <row r="134">
          <cell r="C134" t="str">
            <v>Guardacabo 5/8</v>
          </cell>
          <cell r="D134">
            <v>1837</v>
          </cell>
          <cell r="E134" t="str">
            <v>Und</v>
          </cell>
          <cell r="F134">
            <v>1323.28</v>
          </cell>
        </row>
        <row r="135">
          <cell r="C135" t="str">
            <v>Hebilla bandit 5/8"</v>
          </cell>
          <cell r="D135">
            <v>1852</v>
          </cell>
          <cell r="E135" t="str">
            <v>Und</v>
          </cell>
          <cell r="F135">
            <v>642.6</v>
          </cell>
        </row>
        <row r="136">
          <cell r="C136" t="str">
            <v>Hebilla bandit 1/2"</v>
          </cell>
          <cell r="D136">
            <v>6124</v>
          </cell>
          <cell r="E136" t="str">
            <v>Und</v>
          </cell>
          <cell r="F136">
            <v>421.26</v>
          </cell>
        </row>
        <row r="137">
          <cell r="C137" t="str">
            <v>Hebilla bandit 3/4"</v>
          </cell>
          <cell r="D137">
            <v>1851</v>
          </cell>
          <cell r="E137" t="str">
            <v>Und</v>
          </cell>
          <cell r="F137">
            <v>571.19999999999993</v>
          </cell>
        </row>
        <row r="138">
          <cell r="C138" t="str">
            <v>Kit stavol para SPT</v>
          </cell>
          <cell r="D138">
            <v>1965</v>
          </cell>
          <cell r="E138" t="str">
            <v>Und</v>
          </cell>
          <cell r="F138">
            <v>181475</v>
          </cell>
        </row>
        <row r="139">
          <cell r="C139" t="str">
            <v>Reflector Metal Halide 100w</v>
          </cell>
          <cell r="D139"/>
          <cell r="E139" t="str">
            <v>Und</v>
          </cell>
          <cell r="F139">
            <v>309740.62470513064</v>
          </cell>
        </row>
        <row r="140">
          <cell r="C140" t="str">
            <v>Reflector Metal Halide 150w</v>
          </cell>
          <cell r="D140"/>
          <cell r="E140" t="str">
            <v>Und</v>
          </cell>
          <cell r="F140">
            <v>390470.89391019131</v>
          </cell>
        </row>
        <row r="141">
          <cell r="C141" t="str">
            <v>Reflector Metal Halide 250w</v>
          </cell>
          <cell r="D141"/>
          <cell r="E141" t="str">
            <v>Und</v>
          </cell>
          <cell r="F141">
            <v>851786.71793910919</v>
          </cell>
        </row>
        <row r="142">
          <cell r="C142" t="str">
            <v>Reflector Metal Halide 400w</v>
          </cell>
          <cell r="D142"/>
          <cell r="E142" t="str">
            <v>Und</v>
          </cell>
          <cell r="F142">
            <v>823613.50154305762</v>
          </cell>
        </row>
        <row r="143">
          <cell r="C143" t="str">
            <v>Reflector Metal Halide 1000w</v>
          </cell>
          <cell r="D143"/>
          <cell r="E143" t="str">
            <v>Und</v>
          </cell>
          <cell r="F143">
            <v>1713458.7749645528</v>
          </cell>
        </row>
        <row r="144">
          <cell r="C144" t="str">
            <v>Luminaria Sodio 70w</v>
          </cell>
          <cell r="D144"/>
          <cell r="E144" t="str">
            <v>Und</v>
          </cell>
          <cell r="F144">
            <v>488665.2621677753</v>
          </cell>
        </row>
        <row r="145">
          <cell r="C145" t="str">
            <v>Luminaria Sodio 150w</v>
          </cell>
          <cell r="D145"/>
          <cell r="E145" t="str">
            <v>Und</v>
          </cell>
          <cell r="F145">
            <v>520627.85854692169</v>
          </cell>
        </row>
        <row r="146">
          <cell r="C146" t="str">
            <v>Luminaria Sodio 250w</v>
          </cell>
          <cell r="D146"/>
          <cell r="E146" t="str">
            <v>Und</v>
          </cell>
          <cell r="F146">
            <v>593120.34518003743</v>
          </cell>
        </row>
        <row r="147">
          <cell r="C147" t="str">
            <v>Luminaria Sodio 400w</v>
          </cell>
          <cell r="D147"/>
          <cell r="E147" t="str">
            <v>Und</v>
          </cell>
          <cell r="F147">
            <v>662317.71878437512</v>
          </cell>
        </row>
        <row r="148">
          <cell r="C148" t="str">
            <v>Farol con luminaria sodio 70w</v>
          </cell>
          <cell r="D148"/>
          <cell r="E148" t="str">
            <v>Und</v>
          </cell>
          <cell r="F148">
            <v>1003361.9172628967</v>
          </cell>
        </row>
        <row r="149">
          <cell r="C149" t="str">
            <v>Farol con luminaria sodio 150w</v>
          </cell>
          <cell r="D149"/>
          <cell r="E149" t="str">
            <v>Und</v>
          </cell>
          <cell r="F149">
            <v>1070911.7343528452</v>
          </cell>
        </row>
        <row r="150">
          <cell r="C150" t="str">
            <v>Farol con luminaria incandescente 100w</v>
          </cell>
          <cell r="D150"/>
          <cell r="E150" t="str">
            <v>Und</v>
          </cell>
          <cell r="F150">
            <v>985238.79560461803</v>
          </cell>
        </row>
        <row r="151">
          <cell r="C151" t="str">
            <v>Luminaria con bombillo incandescente 100w</v>
          </cell>
          <cell r="D151"/>
          <cell r="E151" t="str">
            <v>Und</v>
          </cell>
          <cell r="F151">
            <v>311388.18121951964</v>
          </cell>
        </row>
        <row r="152">
          <cell r="C152" t="str">
            <v>Luminaria Mercurio 100w</v>
          </cell>
          <cell r="D152"/>
          <cell r="E152" t="str">
            <v>Und</v>
          </cell>
          <cell r="F152">
            <v>411889.12859724817</v>
          </cell>
        </row>
        <row r="153">
          <cell r="C153" t="str">
            <v>Luminaria Mixta 160w</v>
          </cell>
          <cell r="D153"/>
          <cell r="E153" t="str">
            <v>Und</v>
          </cell>
          <cell r="F153">
            <v>436931.98761596082</v>
          </cell>
        </row>
        <row r="154">
          <cell r="C154" t="str">
            <v>Farol con luminaria fluorescente 32w</v>
          </cell>
          <cell r="D154"/>
          <cell r="E154" t="str">
            <v>Und</v>
          </cell>
          <cell r="F154">
            <v>522275.41506131086</v>
          </cell>
        </row>
        <row r="155">
          <cell r="C155" t="str">
            <v>Luminaria con bombillo led 20w</v>
          </cell>
          <cell r="D155"/>
          <cell r="E155" t="str">
            <v>Und</v>
          </cell>
          <cell r="F155">
            <v>228480</v>
          </cell>
        </row>
        <row r="156">
          <cell r="C156" t="str">
            <v>Luminaria con bombillo fluorescente 32w</v>
          </cell>
          <cell r="D156"/>
          <cell r="E156" t="str">
            <v>Und</v>
          </cell>
          <cell r="F156">
            <v>222749.64074539187</v>
          </cell>
        </row>
        <row r="157">
          <cell r="C157" t="str">
            <v>Luminaria con bombillo fluorescente 45w</v>
          </cell>
          <cell r="D157"/>
          <cell r="E157" t="str">
            <v>Und</v>
          </cell>
          <cell r="F157">
            <v>257348.32754756068</v>
          </cell>
        </row>
        <row r="158">
          <cell r="C158" t="str">
            <v>Luminaria con bombillo fluorescente 80w</v>
          </cell>
          <cell r="D158"/>
          <cell r="E158" t="str">
            <v>Und</v>
          </cell>
          <cell r="F158">
            <v>278272.29528030095</v>
          </cell>
        </row>
        <row r="159">
          <cell r="C159"/>
          <cell r="D159"/>
          <cell r="E159" t="str">
            <v>Und</v>
          </cell>
          <cell r="F159">
            <v>0</v>
          </cell>
        </row>
        <row r="160">
          <cell r="C160" t="str">
            <v>Luminaria Led 150W Kingsun</v>
          </cell>
          <cell r="D160">
            <v>4966</v>
          </cell>
          <cell r="E160" t="str">
            <v>Und</v>
          </cell>
          <cell r="F160">
            <v>1797405.75</v>
          </cell>
        </row>
        <row r="161">
          <cell r="C161" t="str">
            <v>Luminaria Led 106,5W</v>
          </cell>
          <cell r="D161">
            <v>9508</v>
          </cell>
          <cell r="E161" t="str">
            <v>Und</v>
          </cell>
          <cell r="F161">
            <v>0</v>
          </cell>
        </row>
        <row r="162">
          <cell r="C162" t="str">
            <v>Luminaria Led 120,4W</v>
          </cell>
          <cell r="D162">
            <v>9509</v>
          </cell>
          <cell r="E162" t="str">
            <v>Und</v>
          </cell>
          <cell r="F162">
            <v>0</v>
          </cell>
        </row>
        <row r="163">
          <cell r="C163" t="str">
            <v>Luminaria Led 110W Kingsun</v>
          </cell>
          <cell r="D163">
            <v>5404</v>
          </cell>
          <cell r="E163" t="str">
            <v>Und</v>
          </cell>
          <cell r="F163">
            <v>1366120</v>
          </cell>
        </row>
        <row r="164">
          <cell r="C164" t="str">
            <v>Luminaria Led 30w Sylvania</v>
          </cell>
          <cell r="D164"/>
          <cell r="E164" t="str">
            <v>Und</v>
          </cell>
          <cell r="F164">
            <v>321300</v>
          </cell>
        </row>
        <row r="165">
          <cell r="C165" t="str">
            <v>Luminaria Led 60w Sylvania</v>
          </cell>
          <cell r="D165"/>
          <cell r="E165" t="str">
            <v>Und</v>
          </cell>
          <cell r="F165">
            <v>368900</v>
          </cell>
        </row>
        <row r="166">
          <cell r="C166" t="str">
            <v>Luminaria Led 35w Kingsun</v>
          </cell>
          <cell r="D166">
            <v>4962</v>
          </cell>
          <cell r="E166" t="str">
            <v>Und</v>
          </cell>
          <cell r="F166">
            <v>927010</v>
          </cell>
        </row>
        <row r="167">
          <cell r="C167" t="str">
            <v>Luminaria Led 52w Kingsun</v>
          </cell>
          <cell r="D167">
            <v>5402</v>
          </cell>
          <cell r="E167" t="str">
            <v>Und</v>
          </cell>
          <cell r="F167">
            <v>951405</v>
          </cell>
        </row>
        <row r="168">
          <cell r="C168" t="str">
            <v>Luminaria Led 75w Kingsun</v>
          </cell>
          <cell r="D168">
            <v>4964</v>
          </cell>
          <cell r="E168" t="str">
            <v>Und</v>
          </cell>
          <cell r="F168">
            <v>975800</v>
          </cell>
        </row>
        <row r="169">
          <cell r="C169" t="str">
            <v>Luminaria farol LED 31w</v>
          </cell>
          <cell r="D169">
            <v>5399</v>
          </cell>
          <cell r="E169" t="str">
            <v>Und</v>
          </cell>
          <cell r="F169">
            <v>2341920</v>
          </cell>
        </row>
        <row r="170">
          <cell r="C170" t="str">
            <v>Luminaria farol LED 62w</v>
          </cell>
          <cell r="D170">
            <v>5400</v>
          </cell>
          <cell r="E170" t="str">
            <v>Und</v>
          </cell>
          <cell r="F170">
            <v>2439500</v>
          </cell>
        </row>
        <row r="171">
          <cell r="C171" t="str">
            <v>Cinta led de 3,6w x 1m - 240V</v>
          </cell>
          <cell r="D171">
            <v>983</v>
          </cell>
          <cell r="E171" t="str">
            <v>Ml</v>
          </cell>
          <cell r="F171">
            <v>8854.7899999999991</v>
          </cell>
        </row>
        <row r="172">
          <cell r="C172" t="str">
            <v>Medidor Monofasico 480/240</v>
          </cell>
          <cell r="D172">
            <v>8991</v>
          </cell>
          <cell r="E172" t="str">
            <v>Und</v>
          </cell>
          <cell r="F172">
            <v>773799.88</v>
          </cell>
        </row>
        <row r="173">
          <cell r="C173" t="str">
            <v>Medidor Trifasico 480/240</v>
          </cell>
          <cell r="D173">
            <v>2513</v>
          </cell>
          <cell r="E173" t="str">
            <v>Und</v>
          </cell>
          <cell r="F173">
            <v>963900</v>
          </cell>
        </row>
        <row r="174">
          <cell r="C174" t="str">
            <v>breaker 2 polo 15 amperios riel</v>
          </cell>
          <cell r="D174">
            <v>490</v>
          </cell>
          <cell r="E174" t="str">
            <v>Und</v>
          </cell>
          <cell r="F174">
            <v>26299</v>
          </cell>
        </row>
        <row r="175">
          <cell r="C175" t="str">
            <v>breaker 2 polo 20 amperios riel</v>
          </cell>
          <cell r="D175">
            <v>491</v>
          </cell>
          <cell r="E175" t="str">
            <v>Und</v>
          </cell>
          <cell r="F175">
            <v>26299</v>
          </cell>
        </row>
        <row r="176">
          <cell r="C176" t="str">
            <v>breaker 2 polo 40 amperios riel</v>
          </cell>
          <cell r="D176">
            <v>495</v>
          </cell>
          <cell r="E176" t="str">
            <v>Und</v>
          </cell>
          <cell r="F176">
            <v>44987.95</v>
          </cell>
        </row>
        <row r="177">
          <cell r="C177" t="str">
            <v>breaker 2 polo 60 amperios riel</v>
          </cell>
          <cell r="D177">
            <v>496</v>
          </cell>
          <cell r="E177" t="str">
            <v>Und</v>
          </cell>
          <cell r="F177">
            <v>44987.95</v>
          </cell>
        </row>
        <row r="178">
          <cell r="C178" t="str">
            <v>breaker 1 polo 20 amperios riel</v>
          </cell>
          <cell r="D178">
            <v>7240</v>
          </cell>
          <cell r="E178" t="str">
            <v>Und</v>
          </cell>
          <cell r="F178">
            <v>10103.1</v>
          </cell>
        </row>
        <row r="179">
          <cell r="C179" t="str">
            <v>breaker 1 polo 50 amperios riel</v>
          </cell>
          <cell r="D179">
            <v>5553</v>
          </cell>
          <cell r="E179" t="str">
            <v>Und</v>
          </cell>
          <cell r="F179">
            <v>15322.439999999999</v>
          </cell>
        </row>
        <row r="180">
          <cell r="C180" t="str">
            <v>Pecha de un puesto ANSI 53-2</v>
          </cell>
          <cell r="D180">
            <v>2757</v>
          </cell>
          <cell r="E180" t="str">
            <v>Und</v>
          </cell>
          <cell r="F180">
            <v>5844.09</v>
          </cell>
        </row>
        <row r="181">
          <cell r="C181" t="str">
            <v>Perno 5/8 x 4"</v>
          </cell>
          <cell r="D181">
            <v>9659</v>
          </cell>
          <cell r="E181" t="str">
            <v>Und</v>
          </cell>
          <cell r="F181">
            <v>2305.0299999999997</v>
          </cell>
        </row>
        <row r="182">
          <cell r="C182" t="str">
            <v>Perno 5/8 x 10"</v>
          </cell>
          <cell r="D182">
            <v>2784</v>
          </cell>
          <cell r="E182" t="str">
            <v>Und</v>
          </cell>
          <cell r="F182">
            <v>6290.34</v>
          </cell>
        </row>
        <row r="183">
          <cell r="C183" t="str">
            <v>Perno 5/8 x 12"</v>
          </cell>
          <cell r="D183">
            <v>2796</v>
          </cell>
          <cell r="E183" t="str">
            <v>Und</v>
          </cell>
          <cell r="F183">
            <v>7254.24</v>
          </cell>
        </row>
        <row r="184">
          <cell r="C184" t="str">
            <v>Perno de ojo de 5/8 x 12</v>
          </cell>
          <cell r="D184">
            <v>10948</v>
          </cell>
          <cell r="E184" t="str">
            <v>Und</v>
          </cell>
          <cell r="F184">
            <v>12138</v>
          </cell>
        </row>
        <row r="185">
          <cell r="C185" t="str">
            <v xml:space="preserve">Pinza de Retensión en baja tensión de Ø 4 a 22 mm </v>
          </cell>
          <cell r="D185">
            <v>10969</v>
          </cell>
          <cell r="E185" t="str">
            <v>Und</v>
          </cell>
          <cell r="F185">
            <v>0</v>
          </cell>
        </row>
        <row r="186">
          <cell r="C186" t="str">
            <v>Poste metalico de 3m</v>
          </cell>
          <cell r="D186">
            <v>6231</v>
          </cell>
          <cell r="E186" t="str">
            <v>Und</v>
          </cell>
          <cell r="F186">
            <v>291550</v>
          </cell>
        </row>
        <row r="187">
          <cell r="C187" t="str">
            <v>Poste metalico de 4m</v>
          </cell>
          <cell r="D187">
            <v>6231</v>
          </cell>
          <cell r="E187" t="str">
            <v>Und</v>
          </cell>
          <cell r="F187">
            <v>327250</v>
          </cell>
        </row>
        <row r="188">
          <cell r="C188" t="str">
            <v>Poste metalico de 5m</v>
          </cell>
          <cell r="D188"/>
          <cell r="E188" t="str">
            <v>Und</v>
          </cell>
          <cell r="F188">
            <v>547400</v>
          </cell>
        </row>
        <row r="189">
          <cell r="C189" t="str">
            <v>Poste metalico de 8m</v>
          </cell>
          <cell r="D189"/>
          <cell r="E189" t="str">
            <v>Und</v>
          </cell>
          <cell r="F189">
            <v>1065288</v>
          </cell>
        </row>
        <row r="190">
          <cell r="C190" t="str">
            <v>Poste metalico de 12m</v>
          </cell>
          <cell r="D190"/>
          <cell r="E190" t="str">
            <v>Und</v>
          </cell>
          <cell r="F190">
            <v>1567825</v>
          </cell>
        </row>
        <row r="191">
          <cell r="C191" t="str">
            <v>Poste de 10 mts 510 KGF de fibra de vidrio</v>
          </cell>
          <cell r="D191">
            <v>10974</v>
          </cell>
          <cell r="E191" t="str">
            <v>Und</v>
          </cell>
          <cell r="F191">
            <v>0</v>
          </cell>
        </row>
        <row r="192">
          <cell r="C192" t="str">
            <v>Poste de 10 mts 750 KGF de fibra de vidrio</v>
          </cell>
          <cell r="D192"/>
          <cell r="E192" t="str">
            <v>Und</v>
          </cell>
          <cell r="F192">
            <v>0</v>
          </cell>
        </row>
        <row r="193">
          <cell r="C193" t="str">
            <v>Poste de 8 mts 510 KGF de fibra de vidrio</v>
          </cell>
          <cell r="D193">
            <v>2978</v>
          </cell>
          <cell r="E193" t="str">
            <v>Und</v>
          </cell>
          <cell r="F193">
            <v>0</v>
          </cell>
        </row>
        <row r="194">
          <cell r="C194" t="str">
            <v>Poste de 12 mts 510 KGF de fibra de vidrio</v>
          </cell>
          <cell r="D194">
            <v>2976</v>
          </cell>
          <cell r="E194" t="str">
            <v>Und</v>
          </cell>
          <cell r="F194">
            <v>0</v>
          </cell>
        </row>
        <row r="195">
          <cell r="C195" t="str">
            <v>Poste de 12 mts 750 KGF de fibra de vidrio</v>
          </cell>
          <cell r="D195">
            <v>2977</v>
          </cell>
          <cell r="E195" t="str">
            <v>Und</v>
          </cell>
          <cell r="F195">
            <v>0</v>
          </cell>
        </row>
        <row r="196">
          <cell r="C196" t="str">
            <v>Poste de 12 mts 350 KGF de fibra de vidrio</v>
          </cell>
          <cell r="D196">
            <v>7149</v>
          </cell>
          <cell r="E196" t="str">
            <v>Und</v>
          </cell>
          <cell r="F196">
            <v>1313702.8799999999</v>
          </cell>
        </row>
        <row r="197">
          <cell r="C197" t="str">
            <v>Poste de 8 mts 750 KGF de concreto</v>
          </cell>
          <cell r="D197"/>
          <cell r="E197" t="str">
            <v>Und</v>
          </cell>
          <cell r="F197">
            <v>487900</v>
          </cell>
        </row>
        <row r="198">
          <cell r="C198" t="str">
            <v>Poste de 8 mts 510 KGF de concreto</v>
          </cell>
          <cell r="D198">
            <v>5838</v>
          </cell>
          <cell r="E198" t="str">
            <v>Und</v>
          </cell>
          <cell r="F198">
            <v>420070</v>
          </cell>
        </row>
        <row r="199">
          <cell r="C199" t="str">
            <v>Poste de 10 mts 750 KGF de concreto</v>
          </cell>
          <cell r="D199">
            <v>5838</v>
          </cell>
          <cell r="E199" t="str">
            <v>Und</v>
          </cell>
          <cell r="F199">
            <v>733040</v>
          </cell>
        </row>
        <row r="200">
          <cell r="C200" t="str">
            <v>Poste de 12 mts 750 KGF de concreto</v>
          </cell>
          <cell r="D200">
            <v>10162</v>
          </cell>
          <cell r="E200" t="str">
            <v>Und</v>
          </cell>
          <cell r="F200">
            <v>0</v>
          </cell>
        </row>
        <row r="201">
          <cell r="C201" t="str">
            <v>Poste de 12 mts 1050 KGF de concreto</v>
          </cell>
          <cell r="D201">
            <v>8709</v>
          </cell>
          <cell r="E201" t="str">
            <v>Und</v>
          </cell>
          <cell r="F201">
            <v>0</v>
          </cell>
        </row>
        <row r="202">
          <cell r="C202" t="str">
            <v>Poste de 12 mts 1350 KGF de concreto</v>
          </cell>
          <cell r="D202">
            <v>5839</v>
          </cell>
          <cell r="E202" t="str">
            <v>Und</v>
          </cell>
          <cell r="F202">
            <v>1243550</v>
          </cell>
        </row>
        <row r="203">
          <cell r="C203" t="str">
            <v>Poste de 10 mts 750 KGF Translucido</v>
          </cell>
          <cell r="D203">
            <v>10742</v>
          </cell>
          <cell r="E203" t="str">
            <v>Und</v>
          </cell>
          <cell r="F203">
            <v>1606500</v>
          </cell>
        </row>
        <row r="204">
          <cell r="C204" t="str">
            <v>Poste de 10 mts 510 KGF Translucido</v>
          </cell>
          <cell r="D204">
            <v>10474</v>
          </cell>
          <cell r="E204" t="str">
            <v>Und</v>
          </cell>
          <cell r="F204">
            <v>0</v>
          </cell>
        </row>
        <row r="205">
          <cell r="C205" t="str">
            <v>Poste de 10 mts 350 KGF Translucido</v>
          </cell>
          <cell r="D205">
            <v>10740</v>
          </cell>
          <cell r="E205" t="str">
            <v>Und</v>
          </cell>
          <cell r="F205">
            <v>1178100</v>
          </cell>
        </row>
        <row r="206">
          <cell r="C206" t="str">
            <v>Poste de 12 mts 510 KGF Translucido</v>
          </cell>
          <cell r="D206">
            <v>10503</v>
          </cell>
          <cell r="E206" t="str">
            <v>Und</v>
          </cell>
          <cell r="F206">
            <v>1666000</v>
          </cell>
        </row>
        <row r="207">
          <cell r="C207" t="str">
            <v>Poste de 12 mts 750 KGF Translucido</v>
          </cell>
          <cell r="D207">
            <v>9493</v>
          </cell>
          <cell r="E207" t="str">
            <v>Und</v>
          </cell>
          <cell r="F207">
            <v>1753108</v>
          </cell>
        </row>
        <row r="208">
          <cell r="C208" t="str">
            <v>Prensa estopa 1/2</v>
          </cell>
          <cell r="D208">
            <v>2991</v>
          </cell>
          <cell r="E208" t="str">
            <v>Und</v>
          </cell>
          <cell r="F208">
            <v>595</v>
          </cell>
        </row>
        <row r="209">
          <cell r="C209" t="str">
            <v>Prensa estopa 3/4</v>
          </cell>
          <cell r="D209">
            <v>2992</v>
          </cell>
          <cell r="E209" t="str">
            <v>Und</v>
          </cell>
          <cell r="F209">
            <v>1309</v>
          </cell>
        </row>
        <row r="210">
          <cell r="C210" t="str">
            <v>Reflector Led baja eficiencia 50w</v>
          </cell>
          <cell r="D210"/>
          <cell r="E210" t="str">
            <v>Und</v>
          </cell>
          <cell r="F210">
            <v>54978</v>
          </cell>
        </row>
        <row r="211">
          <cell r="C211" t="str">
            <v>Reflector Led baja eficiencia 100w</v>
          </cell>
          <cell r="D211"/>
          <cell r="E211" t="str">
            <v>Und</v>
          </cell>
          <cell r="F211">
            <v>728280</v>
          </cell>
        </row>
        <row r="212">
          <cell r="C212" t="str">
            <v>Reflector Led baja eficiencia 150w</v>
          </cell>
          <cell r="D212"/>
          <cell r="E212" t="str">
            <v>Und</v>
          </cell>
          <cell r="F212">
            <v>918709.75</v>
          </cell>
        </row>
        <row r="213">
          <cell r="C213" t="str">
            <v>Reflector Led baja eficiencia 200w</v>
          </cell>
          <cell r="D213"/>
          <cell r="E213" t="str">
            <v>Und</v>
          </cell>
          <cell r="F213">
            <v>1059100</v>
          </cell>
        </row>
        <row r="214">
          <cell r="C214" t="str">
            <v>Reflector Led 400w</v>
          </cell>
          <cell r="D214">
            <v>9516</v>
          </cell>
          <cell r="E214" t="str">
            <v>Und</v>
          </cell>
          <cell r="F214">
            <v>2683450</v>
          </cell>
        </row>
        <row r="215">
          <cell r="C215" t="str">
            <v>Reflector Led 110w</v>
          </cell>
          <cell r="D215">
            <v>5408</v>
          </cell>
          <cell r="E215" t="str">
            <v>Und</v>
          </cell>
          <cell r="F215">
            <v>1366120</v>
          </cell>
        </row>
        <row r="216">
          <cell r="C216" t="str">
            <v>Reflector Led 210w</v>
          </cell>
          <cell r="D216">
            <v>5409</v>
          </cell>
          <cell r="E216" t="str">
            <v>Und</v>
          </cell>
          <cell r="F216">
            <v>1610070</v>
          </cell>
        </row>
        <row r="217">
          <cell r="C217" t="str">
            <v>Reflector Led 35w</v>
          </cell>
          <cell r="D217">
            <v>4962</v>
          </cell>
          <cell r="E217" t="str">
            <v>Und</v>
          </cell>
          <cell r="F217">
            <v>955715.40609999991</v>
          </cell>
        </row>
        <row r="218">
          <cell r="C218" t="str">
            <v>Reflector Led 300w</v>
          </cell>
          <cell r="D218">
            <v>9515</v>
          </cell>
          <cell r="E218" t="str">
            <v>Und</v>
          </cell>
          <cell r="F218">
            <v>0</v>
          </cell>
        </row>
        <row r="219">
          <cell r="C219" t="str">
            <v>Reflector Led 400w</v>
          </cell>
          <cell r="D219">
            <v>9516</v>
          </cell>
          <cell r="E219" t="str">
            <v>Und</v>
          </cell>
          <cell r="F219">
            <v>2683450</v>
          </cell>
        </row>
        <row r="220">
          <cell r="C220" t="str">
            <v>SPOT LED 18w, 650lm</v>
          </cell>
          <cell r="D220"/>
          <cell r="E220" t="str">
            <v>Und</v>
          </cell>
          <cell r="F220">
            <v>79054.080000000002</v>
          </cell>
        </row>
        <row r="221">
          <cell r="C221" t="str">
            <v>SPOT LED 14w, 650lm</v>
          </cell>
          <cell r="D221"/>
          <cell r="E221" t="str">
            <v>Und</v>
          </cell>
          <cell r="F221">
            <v>69020</v>
          </cell>
        </row>
        <row r="222">
          <cell r="C222" t="str">
            <v>Silicona liquida</v>
          </cell>
          <cell r="D222"/>
          <cell r="E222" t="str">
            <v>Und</v>
          </cell>
          <cell r="F222">
            <v>11900</v>
          </cell>
        </row>
        <row r="223">
          <cell r="C223" t="str">
            <v>Soldadura PVC x 1/8</v>
          </cell>
          <cell r="D223">
            <v>3360</v>
          </cell>
          <cell r="E223" t="str">
            <v>Und</v>
          </cell>
          <cell r="F223">
            <v>13328</v>
          </cell>
        </row>
        <row r="224">
          <cell r="C224" t="str">
            <v>Tapa redonda metalica para radwelt</v>
          </cell>
          <cell r="D224"/>
          <cell r="E224" t="str">
            <v>Und</v>
          </cell>
          <cell r="F224">
            <v>3689</v>
          </cell>
        </row>
        <row r="225">
          <cell r="C225" t="str">
            <v>Tapon sellador para cable 2</v>
          </cell>
          <cell r="D225">
            <v>9491</v>
          </cell>
          <cell r="E225" t="str">
            <v>Und</v>
          </cell>
          <cell r="F225">
            <v>0</v>
          </cell>
        </row>
        <row r="226">
          <cell r="C226" t="str">
            <v>Tapon sellador para cable 4</v>
          </cell>
          <cell r="D226">
            <v>9615</v>
          </cell>
          <cell r="E226" t="str">
            <v>Und</v>
          </cell>
          <cell r="F226">
            <v>0</v>
          </cell>
        </row>
        <row r="227">
          <cell r="C227" t="str">
            <v>Tornillo y tuerca 5/8"x3"</v>
          </cell>
          <cell r="D227">
            <v>5334</v>
          </cell>
          <cell r="E227" t="str">
            <v>Und</v>
          </cell>
          <cell r="F227">
            <v>2728.67</v>
          </cell>
        </row>
        <row r="228">
          <cell r="C228" t="str">
            <v>Tablero para medida directa con espacio para Interruptor</v>
          </cell>
          <cell r="D228">
            <v>11149</v>
          </cell>
          <cell r="E228" t="str">
            <v>Und</v>
          </cell>
          <cell r="F228">
            <v>181237</v>
          </cell>
        </row>
        <row r="229">
          <cell r="C229" t="str">
            <v>Terminal aluminio cable # 1/0</v>
          </cell>
          <cell r="D229">
            <v>3664</v>
          </cell>
          <cell r="E229" t="str">
            <v>Und</v>
          </cell>
          <cell r="F229">
            <v>0</v>
          </cell>
        </row>
        <row r="230">
          <cell r="C230" t="str">
            <v>Terminal aluminio cable # 2</v>
          </cell>
          <cell r="D230">
            <v>10285</v>
          </cell>
          <cell r="E230" t="str">
            <v>Und</v>
          </cell>
          <cell r="F230">
            <v>1999.1999999999998</v>
          </cell>
        </row>
        <row r="231">
          <cell r="C231" t="str">
            <v>Terminal aluminio cable # 4</v>
          </cell>
          <cell r="D231">
            <v>3669</v>
          </cell>
          <cell r="E231" t="str">
            <v>Und</v>
          </cell>
          <cell r="F231">
            <v>0</v>
          </cell>
        </row>
        <row r="232">
          <cell r="C232" t="str">
            <v>Transformador Monofasico 5 kVA 13200/480-240</v>
          </cell>
          <cell r="D232">
            <v>3848</v>
          </cell>
          <cell r="E232" t="str">
            <v>Und</v>
          </cell>
          <cell r="F232">
            <v>0</v>
          </cell>
        </row>
        <row r="233">
          <cell r="C233" t="str">
            <v>Transformador Monofasico 10 kVA 13200/480-240</v>
          </cell>
          <cell r="D233">
            <v>3846</v>
          </cell>
          <cell r="E233" t="str">
            <v>Und</v>
          </cell>
          <cell r="F233">
            <v>2023000</v>
          </cell>
        </row>
        <row r="234">
          <cell r="C234" t="str">
            <v>Transformador Monofasico 15 kVA 13200/480-240</v>
          </cell>
          <cell r="D234">
            <v>3849</v>
          </cell>
          <cell r="E234" t="str">
            <v>Und</v>
          </cell>
          <cell r="F234">
            <v>0</v>
          </cell>
        </row>
        <row r="235">
          <cell r="C235" t="str">
            <v>Tubo metálico EMT de 1" x 3 mts</v>
          </cell>
          <cell r="D235"/>
          <cell r="E235" t="str">
            <v>Und</v>
          </cell>
          <cell r="F235">
            <v>39270</v>
          </cell>
        </row>
        <row r="236">
          <cell r="C236" t="str">
            <v>Tubo metálico EMT de 1/2" x 3 mts</v>
          </cell>
          <cell r="D236"/>
          <cell r="E236" t="str">
            <v>Und</v>
          </cell>
          <cell r="F236">
            <v>14637</v>
          </cell>
        </row>
        <row r="237">
          <cell r="C237" t="str">
            <v>Tubo metálico IMC de 2" x 3 mts</v>
          </cell>
          <cell r="D237">
            <v>3907</v>
          </cell>
          <cell r="E237" t="str">
            <v>Und</v>
          </cell>
          <cell r="F237">
            <v>0</v>
          </cell>
        </row>
        <row r="238">
          <cell r="C238" t="str">
            <v>Tubo metálico IMC de 1 1/2" x 3 mts</v>
          </cell>
          <cell r="D238">
            <v>7150</v>
          </cell>
          <cell r="E238" t="str">
            <v>Und</v>
          </cell>
          <cell r="F238">
            <v>76160</v>
          </cell>
        </row>
        <row r="239">
          <cell r="C239" t="str">
            <v>Tubo metálico IMC de 1" x 3 mts</v>
          </cell>
          <cell r="D239">
            <v>3905</v>
          </cell>
          <cell r="E239" t="str">
            <v>Und</v>
          </cell>
          <cell r="F239">
            <v>49798.524999999994</v>
          </cell>
        </row>
        <row r="240">
          <cell r="C240" t="str">
            <v>Tubo metálico IMC de 3/4" x 3 mts</v>
          </cell>
          <cell r="D240">
            <v>3908</v>
          </cell>
          <cell r="E240" t="str">
            <v>Und</v>
          </cell>
          <cell r="F240">
            <v>0</v>
          </cell>
        </row>
        <row r="241">
          <cell r="C241" t="str">
            <v>Tubo metálico IMC de 1/2" x 3 mts</v>
          </cell>
          <cell r="D241"/>
          <cell r="E241" t="str">
            <v>Und</v>
          </cell>
          <cell r="F241">
            <v>38080</v>
          </cell>
        </row>
        <row r="242">
          <cell r="C242" t="str">
            <v>Tubo PVC pesado de 2" x 3 mts</v>
          </cell>
          <cell r="D242">
            <v>3965</v>
          </cell>
          <cell r="E242" t="str">
            <v>Und</v>
          </cell>
          <cell r="F242">
            <v>22015</v>
          </cell>
        </row>
        <row r="243">
          <cell r="C243" t="str">
            <v>Tubo PVC pesado de 1 1/2" x 3 mts</v>
          </cell>
          <cell r="D243">
            <v>3961</v>
          </cell>
          <cell r="E243" t="str">
            <v>Und</v>
          </cell>
          <cell r="F243">
            <v>10964.66</v>
          </cell>
        </row>
        <row r="244">
          <cell r="C244" t="str">
            <v>Tubo PVC pesado de 1" x 3 mts</v>
          </cell>
          <cell r="D244">
            <v>3963</v>
          </cell>
          <cell r="E244" t="str">
            <v>Und</v>
          </cell>
          <cell r="F244">
            <v>10412.5</v>
          </cell>
        </row>
        <row r="245">
          <cell r="C245" t="str">
            <v>Tubo PVC pesado de 3/4" x 3 mts</v>
          </cell>
          <cell r="D245">
            <v>3967</v>
          </cell>
          <cell r="E245" t="str">
            <v>Und</v>
          </cell>
          <cell r="F245">
            <v>7775.46</v>
          </cell>
        </row>
        <row r="246">
          <cell r="C246" t="str">
            <v>Tubo PVC pesado de 1/2" x 3 mts</v>
          </cell>
          <cell r="D246"/>
          <cell r="E246" t="str">
            <v>Und</v>
          </cell>
          <cell r="F246">
            <v>4998</v>
          </cell>
        </row>
        <row r="247">
          <cell r="C247" t="str">
            <v>Union manguera led</v>
          </cell>
          <cell r="D247">
            <v>9494</v>
          </cell>
          <cell r="E247" t="str">
            <v>Und</v>
          </cell>
          <cell r="F247">
            <v>1300.0036</v>
          </cell>
        </row>
        <row r="248">
          <cell r="C248" t="str">
            <v>Unión EMT 1/2"</v>
          </cell>
          <cell r="D248"/>
          <cell r="E248" t="str">
            <v>Und</v>
          </cell>
          <cell r="F248">
            <v>773.5</v>
          </cell>
        </row>
        <row r="249">
          <cell r="C249" t="str">
            <v>Unión EMT 1"</v>
          </cell>
          <cell r="D249"/>
          <cell r="E249" t="str">
            <v>Und</v>
          </cell>
          <cell r="F249">
            <v>1785</v>
          </cell>
        </row>
        <row r="250">
          <cell r="C250" t="str">
            <v>Unión IMC 1 1/2"</v>
          </cell>
          <cell r="D250">
            <v>7148</v>
          </cell>
          <cell r="E250" t="str">
            <v>Und</v>
          </cell>
          <cell r="F250">
            <v>4522</v>
          </cell>
        </row>
        <row r="251">
          <cell r="C251" t="str">
            <v>Varilla corrugada 3/8" x  1 m</v>
          </cell>
          <cell r="D251">
            <v>4796</v>
          </cell>
          <cell r="E251" t="str">
            <v>Und</v>
          </cell>
          <cell r="F251">
            <v>9314.1299999999992</v>
          </cell>
        </row>
        <row r="252">
          <cell r="C252" t="str">
            <v>Varilla corrugada 5/8" x 1 m</v>
          </cell>
          <cell r="D252">
            <v>4798</v>
          </cell>
          <cell r="E252" t="str">
            <v>Und</v>
          </cell>
          <cell r="F252">
            <v>9518.81</v>
          </cell>
        </row>
        <row r="253">
          <cell r="C253" t="str">
            <v>Varilla cooperweld 5/8" x 2,4 m</v>
          </cell>
          <cell r="D253">
            <v>4118</v>
          </cell>
          <cell r="E253" t="str">
            <v>Und</v>
          </cell>
          <cell r="F253">
            <v>129733.97849999998</v>
          </cell>
        </row>
        <row r="254">
          <cell r="C254" t="str">
            <v>Varilla anclaje 5/8 x 1500mm</v>
          </cell>
          <cell r="D254">
            <v>10167</v>
          </cell>
          <cell r="E254" t="str">
            <v>Und</v>
          </cell>
          <cell r="F254">
            <v>21158.2</v>
          </cell>
        </row>
        <row r="255">
          <cell r="C255" t="str">
            <v>Accesorios de Fijacion</v>
          </cell>
          <cell r="D255"/>
          <cell r="E255" t="str">
            <v>Und</v>
          </cell>
          <cell r="F255">
            <v>29750</v>
          </cell>
        </row>
        <row r="256">
          <cell r="C256" t="str">
            <v>WALLPACK LED 30w, 3180lm</v>
          </cell>
          <cell r="D256"/>
          <cell r="E256" t="str">
            <v>Und</v>
          </cell>
          <cell r="F256">
            <v>505750</v>
          </cell>
        </row>
        <row r="257">
          <cell r="C257" t="str">
            <v>BAÑADOR LINEAL DE SOBREPONER 1 METRO, 45w, 4300lm</v>
          </cell>
          <cell r="D257">
            <v>648</v>
          </cell>
          <cell r="E257" t="str">
            <v>Und</v>
          </cell>
          <cell r="F257">
            <v>85382.5</v>
          </cell>
        </row>
        <row r="258">
          <cell r="C258" t="str">
            <v>Conector emt 1/2"</v>
          </cell>
          <cell r="D258"/>
          <cell r="E258" t="str">
            <v>Und</v>
          </cell>
          <cell r="F258">
            <v>1130.5</v>
          </cell>
        </row>
        <row r="259">
          <cell r="C259" t="str">
            <v>Union Emt 1/2"</v>
          </cell>
          <cell r="D259"/>
          <cell r="E259" t="str">
            <v>Und</v>
          </cell>
          <cell r="F259">
            <v>1130.5</v>
          </cell>
        </row>
        <row r="260">
          <cell r="C260" t="str">
            <v>Caja de paso tipo intemperie de 40x20x12</v>
          </cell>
          <cell r="D260"/>
          <cell r="E260" t="str">
            <v>Und</v>
          </cell>
          <cell r="F260">
            <v>64260</v>
          </cell>
        </row>
        <row r="261">
          <cell r="C261" t="str">
            <v>Gabinete doble fondo 40x30x20</v>
          </cell>
          <cell r="D261"/>
          <cell r="E261" t="str">
            <v>Und</v>
          </cell>
          <cell r="F261">
            <v>354620</v>
          </cell>
        </row>
        <row r="262">
          <cell r="C262" t="str">
            <v>Contactor de 2x20</v>
          </cell>
          <cell r="D262"/>
          <cell r="E262" t="str">
            <v>Und</v>
          </cell>
          <cell r="F262">
            <v>59500</v>
          </cell>
        </row>
        <row r="263">
          <cell r="C263" t="str">
            <v>Timmer</v>
          </cell>
          <cell r="D263"/>
          <cell r="E263" t="str">
            <v>Und</v>
          </cell>
          <cell r="F263">
            <v>92820</v>
          </cell>
        </row>
        <row r="264">
          <cell r="C264" t="str">
            <v>Cableado control</v>
          </cell>
          <cell r="D264"/>
          <cell r="E264" t="str">
            <v>Glb</v>
          </cell>
          <cell r="F264">
            <v>17850</v>
          </cell>
        </row>
        <row r="265">
          <cell r="C265" t="str">
            <v>Canaleta ranurada 25x30</v>
          </cell>
          <cell r="D265"/>
          <cell r="E265" t="str">
            <v>Und</v>
          </cell>
          <cell r="F265">
            <v>24905.000000000004</v>
          </cell>
        </row>
        <row r="266">
          <cell r="C266"/>
          <cell r="D266"/>
          <cell r="E266"/>
          <cell r="F266"/>
        </row>
        <row r="267">
          <cell r="C267"/>
          <cell r="D267"/>
          <cell r="E267"/>
          <cell r="F267"/>
        </row>
        <row r="268">
          <cell r="C268"/>
          <cell r="D268"/>
          <cell r="E268"/>
          <cell r="F268"/>
        </row>
        <row r="269">
          <cell r="C269"/>
          <cell r="D269"/>
          <cell r="E269"/>
          <cell r="F269"/>
        </row>
        <row r="270">
          <cell r="C270"/>
          <cell r="D270"/>
          <cell r="E270"/>
          <cell r="F270"/>
        </row>
        <row r="271">
          <cell r="C271"/>
          <cell r="D271"/>
          <cell r="E271"/>
          <cell r="F271"/>
        </row>
        <row r="272">
          <cell r="C272"/>
          <cell r="D272"/>
          <cell r="E272"/>
          <cell r="F272"/>
        </row>
        <row r="273">
          <cell r="C273"/>
          <cell r="D273"/>
          <cell r="E273"/>
          <cell r="F273"/>
        </row>
        <row r="274">
          <cell r="C274"/>
          <cell r="D274"/>
          <cell r="E274"/>
          <cell r="F274"/>
        </row>
        <row r="275">
          <cell r="C275"/>
          <cell r="D275"/>
          <cell r="E275"/>
          <cell r="F275"/>
        </row>
        <row r="276">
          <cell r="C276"/>
          <cell r="D276"/>
          <cell r="E276"/>
          <cell r="F276"/>
        </row>
        <row r="277">
          <cell r="C277"/>
          <cell r="D277"/>
          <cell r="E277"/>
          <cell r="F277"/>
        </row>
        <row r="278">
          <cell r="C278"/>
          <cell r="D278"/>
          <cell r="E278"/>
          <cell r="F278"/>
        </row>
        <row r="279">
          <cell r="C279"/>
          <cell r="D279"/>
          <cell r="E279"/>
          <cell r="F279"/>
        </row>
        <row r="280">
          <cell r="C280"/>
          <cell r="D280"/>
          <cell r="E280"/>
          <cell r="F280"/>
        </row>
        <row r="281">
          <cell r="C281"/>
          <cell r="D281"/>
          <cell r="E281"/>
          <cell r="F281"/>
        </row>
        <row r="282">
          <cell r="C282"/>
          <cell r="D282"/>
          <cell r="E282"/>
          <cell r="F282"/>
        </row>
        <row r="283">
          <cell r="C283"/>
          <cell r="D283"/>
          <cell r="E283"/>
          <cell r="F283"/>
        </row>
        <row r="284">
          <cell r="C284"/>
          <cell r="D284"/>
          <cell r="E284"/>
          <cell r="F284"/>
        </row>
        <row r="285">
          <cell r="C285"/>
          <cell r="D285"/>
          <cell r="E285"/>
          <cell r="F285"/>
        </row>
        <row r="286">
          <cell r="C286"/>
          <cell r="D286"/>
          <cell r="E286"/>
          <cell r="F286"/>
        </row>
        <row r="287">
          <cell r="C287"/>
          <cell r="D287"/>
          <cell r="E287"/>
          <cell r="F287"/>
        </row>
        <row r="288">
          <cell r="C288"/>
          <cell r="D288"/>
          <cell r="E288"/>
          <cell r="F288"/>
        </row>
        <row r="289">
          <cell r="C289"/>
          <cell r="D289"/>
          <cell r="E289"/>
          <cell r="F289"/>
        </row>
        <row r="290">
          <cell r="C290"/>
          <cell r="D290"/>
          <cell r="E290"/>
          <cell r="F290"/>
        </row>
        <row r="291">
          <cell r="C291"/>
          <cell r="D291"/>
          <cell r="E291"/>
          <cell r="F291"/>
        </row>
        <row r="292">
          <cell r="C292"/>
          <cell r="D292"/>
          <cell r="E292"/>
          <cell r="F292"/>
        </row>
        <row r="293">
          <cell r="C293"/>
          <cell r="D293"/>
          <cell r="E293"/>
          <cell r="F293"/>
        </row>
        <row r="294">
          <cell r="C294"/>
          <cell r="D294"/>
          <cell r="E294"/>
          <cell r="F294"/>
        </row>
        <row r="295">
          <cell r="C295"/>
          <cell r="D295"/>
          <cell r="E295"/>
          <cell r="F295"/>
        </row>
        <row r="296">
          <cell r="C296"/>
          <cell r="D296"/>
          <cell r="E296"/>
          <cell r="F296"/>
        </row>
        <row r="297">
          <cell r="C297"/>
          <cell r="D297"/>
          <cell r="E297"/>
          <cell r="F297"/>
        </row>
        <row r="298">
          <cell r="C298"/>
          <cell r="D298"/>
          <cell r="E298"/>
          <cell r="F298"/>
        </row>
        <row r="299">
          <cell r="C299"/>
          <cell r="D299"/>
          <cell r="E299"/>
          <cell r="F299"/>
        </row>
        <row r="300">
          <cell r="C300"/>
          <cell r="D300"/>
          <cell r="E300"/>
          <cell r="F300"/>
        </row>
        <row r="301">
          <cell r="C301"/>
          <cell r="D301"/>
          <cell r="E301"/>
          <cell r="F301"/>
        </row>
        <row r="302">
          <cell r="C302"/>
          <cell r="D302"/>
          <cell r="E302"/>
          <cell r="F302"/>
        </row>
        <row r="303">
          <cell r="C303"/>
          <cell r="D303"/>
          <cell r="E303"/>
          <cell r="F303"/>
        </row>
        <row r="304">
          <cell r="C304"/>
          <cell r="D304"/>
          <cell r="E304"/>
          <cell r="F304"/>
        </row>
        <row r="305">
          <cell r="C305"/>
          <cell r="D305"/>
          <cell r="E305"/>
          <cell r="F305"/>
        </row>
        <row r="306">
          <cell r="C306"/>
          <cell r="D306"/>
          <cell r="E306"/>
          <cell r="F306"/>
        </row>
        <row r="307">
          <cell r="C307"/>
          <cell r="D307"/>
          <cell r="E307"/>
          <cell r="F307"/>
        </row>
        <row r="308">
          <cell r="C308"/>
          <cell r="D308"/>
          <cell r="E308"/>
          <cell r="F308"/>
        </row>
        <row r="309">
          <cell r="C309"/>
          <cell r="D309"/>
          <cell r="E309"/>
          <cell r="F309"/>
        </row>
        <row r="310">
          <cell r="C310"/>
          <cell r="D310"/>
          <cell r="E310"/>
          <cell r="F310"/>
        </row>
        <row r="311">
          <cell r="C311"/>
          <cell r="D311"/>
          <cell r="E311"/>
          <cell r="F311"/>
        </row>
        <row r="312">
          <cell r="C312"/>
          <cell r="D312"/>
          <cell r="E312"/>
          <cell r="F312"/>
        </row>
        <row r="313">
          <cell r="C313"/>
          <cell r="D313"/>
          <cell r="E313"/>
          <cell r="F313"/>
        </row>
        <row r="314">
          <cell r="C314"/>
          <cell r="D314"/>
          <cell r="E314"/>
          <cell r="F314"/>
        </row>
        <row r="315">
          <cell r="C315"/>
          <cell r="D315"/>
          <cell r="E315"/>
          <cell r="F315"/>
        </row>
        <row r="316">
          <cell r="C316"/>
          <cell r="D316"/>
          <cell r="E316"/>
          <cell r="F316"/>
        </row>
        <row r="317">
          <cell r="C317"/>
          <cell r="D317"/>
          <cell r="E317"/>
          <cell r="F317"/>
        </row>
        <row r="318">
          <cell r="C318"/>
          <cell r="D318"/>
          <cell r="E318"/>
          <cell r="F318"/>
        </row>
        <row r="319">
          <cell r="C319"/>
          <cell r="D319"/>
          <cell r="E319"/>
          <cell r="F319"/>
        </row>
        <row r="320">
          <cell r="C320"/>
          <cell r="D320"/>
          <cell r="E320"/>
          <cell r="F320"/>
        </row>
        <row r="321">
          <cell r="C321"/>
          <cell r="D321"/>
          <cell r="E321"/>
          <cell r="F321"/>
        </row>
        <row r="322">
          <cell r="C322"/>
          <cell r="D322"/>
          <cell r="E322"/>
          <cell r="F322"/>
        </row>
        <row r="323">
          <cell r="C323"/>
          <cell r="D323"/>
          <cell r="E323"/>
          <cell r="F323"/>
        </row>
        <row r="324">
          <cell r="C324"/>
          <cell r="D324"/>
          <cell r="E324"/>
          <cell r="F324"/>
        </row>
        <row r="325">
          <cell r="C325"/>
          <cell r="D325"/>
          <cell r="E325"/>
          <cell r="F325"/>
        </row>
        <row r="326">
          <cell r="C326"/>
          <cell r="D326"/>
          <cell r="E326"/>
          <cell r="F326"/>
        </row>
        <row r="327">
          <cell r="C327"/>
          <cell r="D327"/>
          <cell r="E327"/>
          <cell r="F327"/>
        </row>
        <row r="328">
          <cell r="C328"/>
          <cell r="D328"/>
          <cell r="E328"/>
          <cell r="F328"/>
        </row>
        <row r="329">
          <cell r="C329"/>
          <cell r="D329"/>
          <cell r="E329"/>
          <cell r="F329"/>
        </row>
        <row r="330">
          <cell r="C330"/>
          <cell r="D330"/>
          <cell r="E330"/>
          <cell r="F330"/>
        </row>
        <row r="331">
          <cell r="C331"/>
          <cell r="D331"/>
          <cell r="E331"/>
          <cell r="F331"/>
        </row>
        <row r="332">
          <cell r="C332"/>
          <cell r="D332"/>
          <cell r="E332"/>
          <cell r="F332"/>
        </row>
        <row r="333">
          <cell r="C333"/>
          <cell r="D333"/>
          <cell r="E333"/>
          <cell r="F333"/>
        </row>
        <row r="334">
          <cell r="C334"/>
          <cell r="D334"/>
          <cell r="E334"/>
          <cell r="F334"/>
        </row>
        <row r="335">
          <cell r="C335"/>
          <cell r="D335"/>
          <cell r="E335"/>
          <cell r="F335"/>
        </row>
        <row r="336">
          <cell r="C336"/>
          <cell r="D336"/>
          <cell r="E336"/>
          <cell r="F336"/>
        </row>
        <row r="337">
          <cell r="C337"/>
          <cell r="D337"/>
          <cell r="E337"/>
          <cell r="F337"/>
        </row>
        <row r="338">
          <cell r="C338"/>
          <cell r="D338"/>
          <cell r="E338"/>
          <cell r="F338"/>
        </row>
        <row r="339">
          <cell r="C339"/>
          <cell r="D339"/>
          <cell r="E339"/>
          <cell r="F339"/>
        </row>
        <row r="340">
          <cell r="C340"/>
          <cell r="D340"/>
          <cell r="E340"/>
          <cell r="F340"/>
        </row>
        <row r="341">
          <cell r="C341"/>
          <cell r="D341"/>
          <cell r="E341"/>
          <cell r="F341"/>
        </row>
        <row r="342">
          <cell r="C342"/>
          <cell r="D342"/>
          <cell r="E342"/>
          <cell r="F342"/>
        </row>
        <row r="343">
          <cell r="C343"/>
          <cell r="D343"/>
          <cell r="E343"/>
          <cell r="F343"/>
        </row>
        <row r="344">
          <cell r="C344"/>
          <cell r="D344"/>
          <cell r="E344"/>
          <cell r="F344"/>
        </row>
        <row r="345">
          <cell r="C345"/>
          <cell r="D345"/>
          <cell r="E345"/>
          <cell r="F345"/>
        </row>
        <row r="346">
          <cell r="C346"/>
          <cell r="D346"/>
          <cell r="E346"/>
          <cell r="F346"/>
        </row>
        <row r="347">
          <cell r="C347"/>
          <cell r="D347"/>
          <cell r="E347"/>
          <cell r="F347"/>
        </row>
        <row r="348">
          <cell r="C348"/>
          <cell r="D348"/>
          <cell r="E348"/>
          <cell r="F348"/>
        </row>
        <row r="349">
          <cell r="C349"/>
          <cell r="D349"/>
          <cell r="E349"/>
          <cell r="F349"/>
        </row>
        <row r="350">
          <cell r="C350"/>
          <cell r="D350"/>
          <cell r="E350"/>
          <cell r="F350"/>
        </row>
        <row r="351">
          <cell r="C351"/>
          <cell r="D351"/>
          <cell r="E351"/>
          <cell r="F351"/>
        </row>
        <row r="352">
          <cell r="C352"/>
          <cell r="D352"/>
          <cell r="E352"/>
          <cell r="F352"/>
        </row>
        <row r="353">
          <cell r="C353"/>
          <cell r="D353"/>
          <cell r="E353"/>
          <cell r="F353"/>
        </row>
        <row r="354">
          <cell r="C354"/>
          <cell r="D354"/>
          <cell r="E354"/>
          <cell r="F354"/>
        </row>
        <row r="355">
          <cell r="C355"/>
          <cell r="D355"/>
          <cell r="E355"/>
          <cell r="F355"/>
        </row>
        <row r="356">
          <cell r="C356"/>
          <cell r="D356"/>
          <cell r="E356"/>
          <cell r="F356"/>
        </row>
        <row r="357">
          <cell r="C357"/>
          <cell r="D357"/>
          <cell r="E357"/>
          <cell r="F357"/>
        </row>
        <row r="358">
          <cell r="C358"/>
          <cell r="D358"/>
          <cell r="E358"/>
          <cell r="F358"/>
        </row>
        <row r="359">
          <cell r="C359"/>
          <cell r="D359"/>
          <cell r="E359"/>
          <cell r="F359"/>
        </row>
        <row r="360">
          <cell r="C360"/>
          <cell r="D360"/>
          <cell r="E360"/>
          <cell r="F360"/>
        </row>
        <row r="361">
          <cell r="C361"/>
          <cell r="D361"/>
          <cell r="E361"/>
          <cell r="F361"/>
        </row>
        <row r="362">
          <cell r="C362"/>
          <cell r="D362"/>
          <cell r="E362"/>
          <cell r="F362"/>
        </row>
        <row r="363">
          <cell r="C363"/>
          <cell r="D363"/>
          <cell r="E363"/>
          <cell r="F363"/>
        </row>
        <row r="364">
          <cell r="C364"/>
          <cell r="D364"/>
          <cell r="E364"/>
          <cell r="F364"/>
        </row>
        <row r="365">
          <cell r="C365"/>
          <cell r="D365"/>
          <cell r="E365"/>
          <cell r="F365"/>
        </row>
        <row r="366">
          <cell r="C366"/>
          <cell r="D366"/>
          <cell r="E366"/>
          <cell r="F366"/>
        </row>
        <row r="367">
          <cell r="C367"/>
          <cell r="D367"/>
          <cell r="E367"/>
          <cell r="F367"/>
        </row>
        <row r="368">
          <cell r="C368"/>
          <cell r="D368"/>
          <cell r="E368"/>
          <cell r="F368"/>
        </row>
        <row r="369">
          <cell r="C369"/>
          <cell r="D369"/>
          <cell r="E369"/>
          <cell r="F369"/>
        </row>
        <row r="370">
          <cell r="C370"/>
          <cell r="D370"/>
          <cell r="E370"/>
          <cell r="F370"/>
        </row>
        <row r="371">
          <cell r="C371"/>
          <cell r="D371"/>
          <cell r="E371"/>
          <cell r="F371"/>
        </row>
        <row r="372">
          <cell r="C372"/>
          <cell r="D372"/>
          <cell r="E372"/>
          <cell r="F372"/>
        </row>
        <row r="373">
          <cell r="C373"/>
          <cell r="D373"/>
          <cell r="E373"/>
          <cell r="F373"/>
        </row>
        <row r="374">
          <cell r="C374"/>
          <cell r="D374"/>
          <cell r="E374"/>
          <cell r="F374"/>
        </row>
        <row r="375">
          <cell r="C375"/>
          <cell r="D375"/>
          <cell r="E375"/>
          <cell r="F375"/>
        </row>
        <row r="376">
          <cell r="C376"/>
          <cell r="D376"/>
          <cell r="E376"/>
          <cell r="F376"/>
        </row>
        <row r="377">
          <cell r="C377"/>
          <cell r="D377"/>
          <cell r="E377"/>
          <cell r="F377"/>
        </row>
        <row r="378">
          <cell r="C378"/>
          <cell r="D378"/>
          <cell r="E378"/>
          <cell r="F378"/>
        </row>
        <row r="379">
          <cell r="C379"/>
          <cell r="D379"/>
          <cell r="E379"/>
          <cell r="F379"/>
        </row>
        <row r="380">
          <cell r="C380"/>
          <cell r="D380"/>
          <cell r="E380"/>
          <cell r="F380"/>
        </row>
        <row r="381">
          <cell r="C381"/>
          <cell r="D381"/>
          <cell r="E381"/>
          <cell r="F381"/>
        </row>
        <row r="382">
          <cell r="C382"/>
          <cell r="D382"/>
          <cell r="E382"/>
          <cell r="F382"/>
        </row>
        <row r="383">
          <cell r="C383"/>
          <cell r="D383"/>
          <cell r="E383"/>
          <cell r="F383"/>
        </row>
        <row r="384">
          <cell r="C384"/>
          <cell r="D384"/>
          <cell r="E384"/>
          <cell r="F384"/>
        </row>
        <row r="385">
          <cell r="C385"/>
          <cell r="D385"/>
          <cell r="E385"/>
          <cell r="F385"/>
        </row>
        <row r="386">
          <cell r="C386"/>
          <cell r="D386"/>
          <cell r="E386"/>
          <cell r="F386"/>
        </row>
        <row r="387">
          <cell r="C387"/>
          <cell r="D387"/>
          <cell r="E387"/>
          <cell r="F387"/>
        </row>
        <row r="388">
          <cell r="C388"/>
          <cell r="D388"/>
          <cell r="E388"/>
          <cell r="F388"/>
        </row>
        <row r="389">
          <cell r="C389"/>
          <cell r="D389"/>
          <cell r="E389"/>
          <cell r="F389"/>
        </row>
        <row r="390">
          <cell r="C390"/>
          <cell r="D390"/>
          <cell r="E390"/>
          <cell r="F390"/>
        </row>
        <row r="391">
          <cell r="C391"/>
          <cell r="D391"/>
          <cell r="E391"/>
          <cell r="F391"/>
        </row>
        <row r="392">
          <cell r="C392"/>
          <cell r="D392"/>
          <cell r="E392"/>
          <cell r="F392"/>
        </row>
        <row r="393">
          <cell r="C393"/>
          <cell r="D393"/>
          <cell r="E393"/>
          <cell r="F393"/>
        </row>
        <row r="394">
          <cell r="C394"/>
          <cell r="D394"/>
          <cell r="E394"/>
          <cell r="F394"/>
        </row>
        <row r="395">
          <cell r="C395"/>
          <cell r="D395"/>
          <cell r="E395"/>
          <cell r="F395"/>
        </row>
        <row r="396">
          <cell r="C396"/>
          <cell r="D396"/>
          <cell r="E396"/>
          <cell r="F396"/>
        </row>
        <row r="397">
          <cell r="C397"/>
          <cell r="D397"/>
          <cell r="E397"/>
          <cell r="F397"/>
        </row>
        <row r="398">
          <cell r="C398"/>
          <cell r="D398"/>
          <cell r="E398"/>
          <cell r="F398"/>
        </row>
        <row r="399">
          <cell r="C399"/>
          <cell r="D399"/>
          <cell r="E399"/>
          <cell r="F399"/>
        </row>
        <row r="400">
          <cell r="C400"/>
          <cell r="D400"/>
          <cell r="E400"/>
          <cell r="F400"/>
        </row>
        <row r="401">
          <cell r="C401"/>
          <cell r="D401"/>
          <cell r="E401"/>
          <cell r="F401"/>
        </row>
        <row r="402">
          <cell r="C402"/>
          <cell r="D402"/>
          <cell r="E402"/>
          <cell r="F402"/>
        </row>
        <row r="403">
          <cell r="C403"/>
          <cell r="D403"/>
          <cell r="E403"/>
          <cell r="F403"/>
        </row>
        <row r="404">
          <cell r="C404"/>
          <cell r="D404"/>
          <cell r="E404"/>
          <cell r="F404"/>
        </row>
        <row r="405">
          <cell r="C405"/>
          <cell r="D405"/>
          <cell r="E405"/>
          <cell r="F405"/>
        </row>
        <row r="406">
          <cell r="C406"/>
          <cell r="D406"/>
          <cell r="E406"/>
          <cell r="F406"/>
        </row>
        <row r="407">
          <cell r="C407"/>
          <cell r="D407"/>
          <cell r="E407"/>
          <cell r="F407"/>
        </row>
        <row r="408">
          <cell r="C408"/>
          <cell r="D408"/>
          <cell r="E408"/>
          <cell r="F408"/>
        </row>
        <row r="409">
          <cell r="C409"/>
          <cell r="D409"/>
          <cell r="E409"/>
          <cell r="F409"/>
        </row>
        <row r="410">
          <cell r="C410"/>
          <cell r="D410"/>
          <cell r="E410"/>
          <cell r="F410"/>
        </row>
        <row r="411">
          <cell r="C411"/>
          <cell r="D411"/>
          <cell r="E411"/>
          <cell r="F411"/>
        </row>
        <row r="412">
          <cell r="C412"/>
          <cell r="D412"/>
          <cell r="E412"/>
          <cell r="F412"/>
        </row>
        <row r="413">
          <cell r="C413"/>
          <cell r="D413"/>
          <cell r="E413"/>
          <cell r="F413"/>
        </row>
        <row r="414">
          <cell r="C414"/>
          <cell r="D414"/>
          <cell r="E414"/>
          <cell r="F414"/>
        </row>
        <row r="415">
          <cell r="C415"/>
          <cell r="D415"/>
          <cell r="E415"/>
          <cell r="F415"/>
        </row>
        <row r="416">
          <cell r="C416"/>
          <cell r="D416"/>
          <cell r="E416"/>
          <cell r="F416"/>
        </row>
        <row r="417">
          <cell r="C417"/>
          <cell r="D417"/>
          <cell r="E417"/>
          <cell r="F417"/>
        </row>
        <row r="418">
          <cell r="C418"/>
          <cell r="D418"/>
          <cell r="E418"/>
          <cell r="F418"/>
        </row>
        <row r="419">
          <cell r="C419"/>
          <cell r="D419"/>
          <cell r="E419"/>
          <cell r="F419"/>
        </row>
        <row r="420">
          <cell r="C420"/>
          <cell r="D420"/>
          <cell r="E420"/>
          <cell r="F420"/>
        </row>
        <row r="421">
          <cell r="C421"/>
          <cell r="D421"/>
          <cell r="E421"/>
          <cell r="F421"/>
        </row>
        <row r="422">
          <cell r="C422"/>
          <cell r="D422"/>
          <cell r="E422"/>
          <cell r="F422"/>
        </row>
        <row r="423">
          <cell r="C423"/>
          <cell r="D423"/>
          <cell r="E423"/>
          <cell r="F423"/>
        </row>
        <row r="424">
          <cell r="C424"/>
          <cell r="D424"/>
          <cell r="E424"/>
          <cell r="F424"/>
        </row>
        <row r="425">
          <cell r="C425"/>
          <cell r="D425"/>
          <cell r="E425"/>
          <cell r="F425"/>
        </row>
        <row r="426">
          <cell r="C426"/>
          <cell r="D426"/>
          <cell r="E426"/>
          <cell r="F426"/>
        </row>
        <row r="427">
          <cell r="C427"/>
          <cell r="D427"/>
          <cell r="E427"/>
          <cell r="F427"/>
        </row>
        <row r="428">
          <cell r="C428"/>
          <cell r="D428"/>
          <cell r="E428"/>
          <cell r="F428"/>
        </row>
        <row r="429">
          <cell r="C429"/>
          <cell r="D429"/>
          <cell r="E429"/>
          <cell r="F429"/>
        </row>
        <row r="430">
          <cell r="C430"/>
          <cell r="D430"/>
          <cell r="E430"/>
          <cell r="F430"/>
        </row>
        <row r="431">
          <cell r="C431"/>
          <cell r="D431"/>
          <cell r="E431"/>
          <cell r="F431"/>
        </row>
        <row r="432">
          <cell r="C432"/>
          <cell r="D432"/>
          <cell r="E432"/>
          <cell r="F432"/>
        </row>
        <row r="433">
          <cell r="C433"/>
          <cell r="D433"/>
          <cell r="E433"/>
          <cell r="F433"/>
        </row>
        <row r="434">
          <cell r="C434"/>
          <cell r="D434"/>
          <cell r="E434"/>
          <cell r="F434"/>
        </row>
        <row r="435">
          <cell r="C435"/>
          <cell r="D435"/>
          <cell r="E435"/>
          <cell r="F435"/>
        </row>
        <row r="436">
          <cell r="C436"/>
          <cell r="D436"/>
          <cell r="E436"/>
          <cell r="F436"/>
        </row>
        <row r="437">
          <cell r="C437"/>
          <cell r="D437"/>
          <cell r="E437"/>
          <cell r="F437"/>
        </row>
        <row r="438">
          <cell r="C438"/>
          <cell r="D438"/>
          <cell r="E438"/>
          <cell r="F438"/>
        </row>
        <row r="439">
          <cell r="C439"/>
          <cell r="D439"/>
          <cell r="E439"/>
          <cell r="F439"/>
        </row>
        <row r="440">
          <cell r="C440"/>
          <cell r="D440"/>
          <cell r="E440"/>
          <cell r="F440"/>
        </row>
        <row r="441">
          <cell r="C441"/>
          <cell r="D441"/>
          <cell r="E441"/>
          <cell r="F441"/>
        </row>
        <row r="442">
          <cell r="C442"/>
          <cell r="D442"/>
          <cell r="E442"/>
          <cell r="F442"/>
        </row>
        <row r="443">
          <cell r="C443"/>
          <cell r="D443"/>
          <cell r="E443"/>
          <cell r="F443"/>
        </row>
        <row r="444">
          <cell r="C444"/>
          <cell r="D444"/>
          <cell r="E444"/>
          <cell r="F444"/>
        </row>
        <row r="445">
          <cell r="C445"/>
          <cell r="D445"/>
          <cell r="E445"/>
          <cell r="F445"/>
        </row>
        <row r="446">
          <cell r="C446"/>
          <cell r="D446"/>
          <cell r="E446"/>
          <cell r="F446"/>
        </row>
        <row r="447">
          <cell r="C447"/>
          <cell r="D447"/>
          <cell r="E447"/>
          <cell r="F447"/>
        </row>
        <row r="448">
          <cell r="C448"/>
          <cell r="D448"/>
          <cell r="E448"/>
          <cell r="F448"/>
        </row>
        <row r="449">
          <cell r="C449"/>
          <cell r="D449"/>
          <cell r="E449"/>
          <cell r="F449"/>
        </row>
        <row r="450">
          <cell r="C450"/>
          <cell r="D450"/>
          <cell r="E450"/>
          <cell r="F450"/>
        </row>
        <row r="451">
          <cell r="C451"/>
          <cell r="D451"/>
          <cell r="E451"/>
          <cell r="F451"/>
        </row>
        <row r="452">
          <cell r="C452"/>
          <cell r="D452"/>
          <cell r="E452"/>
          <cell r="F452"/>
        </row>
        <row r="453">
          <cell r="C453"/>
          <cell r="D453"/>
          <cell r="E453"/>
          <cell r="F453"/>
        </row>
        <row r="454">
          <cell r="C454"/>
          <cell r="D454"/>
          <cell r="E454"/>
          <cell r="F454"/>
        </row>
        <row r="455">
          <cell r="C455"/>
          <cell r="D455"/>
          <cell r="E455"/>
          <cell r="F455"/>
        </row>
        <row r="456">
          <cell r="C456"/>
          <cell r="D456"/>
          <cell r="E456"/>
          <cell r="F456"/>
        </row>
        <row r="457">
          <cell r="C457"/>
          <cell r="D457"/>
          <cell r="E457"/>
          <cell r="F457"/>
        </row>
        <row r="458">
          <cell r="C458"/>
          <cell r="D458"/>
          <cell r="E458"/>
          <cell r="F458"/>
        </row>
        <row r="459">
          <cell r="C459"/>
          <cell r="D459"/>
          <cell r="E459"/>
          <cell r="F459"/>
        </row>
        <row r="460">
          <cell r="C460"/>
          <cell r="D460"/>
          <cell r="E460"/>
          <cell r="F460"/>
        </row>
        <row r="461">
          <cell r="C461"/>
          <cell r="D461"/>
          <cell r="E461"/>
          <cell r="F461"/>
        </row>
        <row r="462">
          <cell r="C462"/>
          <cell r="D462"/>
          <cell r="E462"/>
          <cell r="F462"/>
        </row>
        <row r="463">
          <cell r="C463"/>
          <cell r="D463"/>
          <cell r="E463"/>
          <cell r="F463"/>
        </row>
        <row r="464">
          <cell r="C464"/>
          <cell r="D464"/>
          <cell r="E464"/>
          <cell r="F464"/>
        </row>
        <row r="465">
          <cell r="C465"/>
          <cell r="D465"/>
          <cell r="E465"/>
          <cell r="F465"/>
        </row>
        <row r="466">
          <cell r="C466"/>
          <cell r="D466"/>
          <cell r="E466"/>
          <cell r="F466"/>
        </row>
        <row r="467">
          <cell r="C467"/>
          <cell r="D467"/>
          <cell r="E467"/>
          <cell r="F467"/>
        </row>
        <row r="468">
          <cell r="C468"/>
          <cell r="D468"/>
          <cell r="E468"/>
          <cell r="F468"/>
        </row>
        <row r="469">
          <cell r="C469"/>
          <cell r="D469"/>
          <cell r="E469"/>
          <cell r="F469"/>
        </row>
        <row r="470">
          <cell r="C470"/>
          <cell r="D470"/>
          <cell r="E470"/>
          <cell r="F470"/>
        </row>
        <row r="471">
          <cell r="C471"/>
          <cell r="D471"/>
          <cell r="E471"/>
          <cell r="F471"/>
        </row>
        <row r="472">
          <cell r="C472"/>
          <cell r="D472"/>
          <cell r="E472"/>
          <cell r="F472"/>
        </row>
        <row r="473">
          <cell r="C473"/>
          <cell r="D473"/>
          <cell r="E473"/>
          <cell r="F473"/>
        </row>
        <row r="474">
          <cell r="C474"/>
          <cell r="D474"/>
          <cell r="E474"/>
          <cell r="F474"/>
        </row>
        <row r="475">
          <cell r="C475"/>
          <cell r="D475"/>
          <cell r="E475"/>
          <cell r="F475"/>
        </row>
        <row r="476">
          <cell r="C476"/>
          <cell r="D476"/>
          <cell r="E476"/>
          <cell r="F476"/>
        </row>
        <row r="477">
          <cell r="C477"/>
          <cell r="D477"/>
          <cell r="E477"/>
          <cell r="F477"/>
        </row>
        <row r="478">
          <cell r="C478"/>
          <cell r="D478"/>
          <cell r="E478"/>
          <cell r="F478"/>
        </row>
        <row r="479">
          <cell r="C479"/>
          <cell r="D479"/>
          <cell r="E479"/>
          <cell r="F479"/>
        </row>
        <row r="480">
          <cell r="C480"/>
          <cell r="D480"/>
          <cell r="E480"/>
          <cell r="F480"/>
        </row>
        <row r="481">
          <cell r="C481"/>
          <cell r="D481"/>
          <cell r="E481"/>
          <cell r="F481"/>
        </row>
        <row r="482">
          <cell r="C482"/>
          <cell r="D482"/>
          <cell r="E482"/>
          <cell r="F482"/>
        </row>
        <row r="483">
          <cell r="C483"/>
          <cell r="D483"/>
          <cell r="E483"/>
          <cell r="F483"/>
        </row>
        <row r="484">
          <cell r="C484"/>
          <cell r="D484"/>
          <cell r="E484"/>
          <cell r="F484"/>
        </row>
        <row r="485">
          <cell r="C485"/>
          <cell r="D485"/>
          <cell r="E485"/>
          <cell r="F485"/>
        </row>
        <row r="486">
          <cell r="C486"/>
          <cell r="D486"/>
          <cell r="E486"/>
          <cell r="F486"/>
        </row>
        <row r="487">
          <cell r="C487"/>
          <cell r="D487"/>
          <cell r="E487"/>
          <cell r="F487"/>
        </row>
        <row r="488">
          <cell r="C488"/>
          <cell r="D488"/>
          <cell r="E488"/>
          <cell r="F488"/>
        </row>
        <row r="489">
          <cell r="C489"/>
          <cell r="D489"/>
          <cell r="E489"/>
          <cell r="F489"/>
        </row>
        <row r="490">
          <cell r="C490"/>
          <cell r="D490"/>
          <cell r="E490"/>
          <cell r="F490"/>
        </row>
        <row r="491">
          <cell r="C491"/>
          <cell r="D491"/>
          <cell r="E491"/>
          <cell r="F491"/>
        </row>
        <row r="492">
          <cell r="C492"/>
          <cell r="D492"/>
          <cell r="E492"/>
          <cell r="F492"/>
        </row>
        <row r="493">
          <cell r="C493"/>
          <cell r="D493"/>
          <cell r="E493"/>
          <cell r="F493"/>
        </row>
        <row r="494">
          <cell r="C494"/>
          <cell r="D494"/>
          <cell r="E494"/>
          <cell r="F494"/>
        </row>
        <row r="495">
          <cell r="C495"/>
          <cell r="D495"/>
          <cell r="E495"/>
          <cell r="F495"/>
        </row>
        <row r="496">
          <cell r="C496"/>
          <cell r="D496"/>
          <cell r="E496"/>
          <cell r="F496"/>
        </row>
        <row r="497">
          <cell r="C497"/>
          <cell r="D497"/>
          <cell r="E497"/>
          <cell r="F497"/>
        </row>
        <row r="498">
          <cell r="C498"/>
          <cell r="D498"/>
          <cell r="E498"/>
          <cell r="F498"/>
        </row>
        <row r="499">
          <cell r="C499"/>
          <cell r="D499"/>
          <cell r="E499"/>
          <cell r="F499"/>
        </row>
        <row r="500">
          <cell r="C500"/>
          <cell r="D500"/>
          <cell r="E500"/>
          <cell r="F500"/>
        </row>
        <row r="501">
          <cell r="C501"/>
          <cell r="D501"/>
          <cell r="E501"/>
          <cell r="F501"/>
        </row>
        <row r="502">
          <cell r="C502"/>
          <cell r="D502"/>
          <cell r="E502"/>
          <cell r="F502"/>
        </row>
        <row r="503">
          <cell r="C503"/>
          <cell r="D503"/>
          <cell r="E503"/>
          <cell r="F503"/>
        </row>
        <row r="504">
          <cell r="C504"/>
          <cell r="D504"/>
          <cell r="E504"/>
          <cell r="F504"/>
        </row>
        <row r="505">
          <cell r="C505"/>
          <cell r="D505"/>
          <cell r="E505"/>
          <cell r="F505"/>
        </row>
        <row r="506">
          <cell r="C506"/>
          <cell r="D506"/>
          <cell r="E506"/>
          <cell r="F506"/>
        </row>
        <row r="507">
          <cell r="C507"/>
          <cell r="D507"/>
          <cell r="E507"/>
          <cell r="F507"/>
        </row>
        <row r="508">
          <cell r="C508"/>
          <cell r="D508"/>
          <cell r="E508"/>
          <cell r="F508"/>
        </row>
        <row r="509">
          <cell r="C509"/>
          <cell r="D509"/>
          <cell r="E509"/>
          <cell r="F509"/>
        </row>
        <row r="510">
          <cell r="C510"/>
          <cell r="D510"/>
          <cell r="E510"/>
          <cell r="F510"/>
        </row>
        <row r="511">
          <cell r="C511"/>
          <cell r="D511"/>
          <cell r="E511"/>
          <cell r="F511"/>
        </row>
        <row r="512">
          <cell r="C512"/>
          <cell r="D512"/>
          <cell r="E512"/>
          <cell r="F512"/>
        </row>
        <row r="513">
          <cell r="C513"/>
          <cell r="D513"/>
          <cell r="E513"/>
          <cell r="F513"/>
        </row>
        <row r="514">
          <cell r="C514"/>
          <cell r="D514"/>
          <cell r="E514"/>
          <cell r="F514"/>
        </row>
        <row r="515">
          <cell r="C515"/>
          <cell r="D515"/>
          <cell r="E515"/>
          <cell r="F515"/>
        </row>
        <row r="516">
          <cell r="C516"/>
          <cell r="D516"/>
          <cell r="E516"/>
          <cell r="F516"/>
        </row>
        <row r="517">
          <cell r="C517"/>
          <cell r="D517"/>
          <cell r="E517"/>
          <cell r="F517"/>
        </row>
        <row r="518">
          <cell r="C518"/>
          <cell r="D518"/>
          <cell r="E518"/>
          <cell r="F518"/>
        </row>
        <row r="519">
          <cell r="C519"/>
          <cell r="D519"/>
          <cell r="E519"/>
          <cell r="F519"/>
        </row>
        <row r="520">
          <cell r="C520"/>
          <cell r="D520"/>
          <cell r="E520"/>
          <cell r="F520"/>
        </row>
        <row r="521">
          <cell r="C521"/>
          <cell r="D521"/>
          <cell r="E521"/>
          <cell r="F521"/>
        </row>
        <row r="522">
          <cell r="C522"/>
          <cell r="D522"/>
          <cell r="E522"/>
          <cell r="F522"/>
        </row>
        <row r="523">
          <cell r="C523"/>
          <cell r="D523"/>
          <cell r="E523"/>
          <cell r="F523"/>
        </row>
        <row r="524">
          <cell r="C524"/>
          <cell r="D524"/>
          <cell r="E524"/>
          <cell r="F524"/>
        </row>
        <row r="525">
          <cell r="C525"/>
          <cell r="D525"/>
          <cell r="E525"/>
          <cell r="F525"/>
        </row>
        <row r="526">
          <cell r="C526"/>
          <cell r="D526"/>
          <cell r="E526"/>
          <cell r="F526"/>
        </row>
        <row r="527">
          <cell r="C527"/>
          <cell r="D527"/>
          <cell r="E527"/>
          <cell r="F527"/>
        </row>
        <row r="528">
          <cell r="C528"/>
          <cell r="D528"/>
          <cell r="E528"/>
          <cell r="F528"/>
        </row>
        <row r="529">
          <cell r="C529"/>
          <cell r="D529"/>
          <cell r="E529"/>
          <cell r="F529"/>
        </row>
        <row r="530">
          <cell r="C530"/>
          <cell r="D530"/>
          <cell r="E530"/>
          <cell r="F530"/>
        </row>
        <row r="531">
          <cell r="C531"/>
          <cell r="D531"/>
          <cell r="E531"/>
          <cell r="F531"/>
        </row>
        <row r="532">
          <cell r="C532"/>
          <cell r="D532"/>
          <cell r="E532"/>
          <cell r="F532"/>
        </row>
        <row r="533">
          <cell r="C533"/>
          <cell r="D533"/>
          <cell r="E533"/>
          <cell r="F533"/>
        </row>
        <row r="534">
          <cell r="C534"/>
          <cell r="D534"/>
          <cell r="E534"/>
          <cell r="F534"/>
        </row>
        <row r="535">
          <cell r="C535"/>
          <cell r="D535"/>
          <cell r="E535"/>
          <cell r="F535"/>
        </row>
        <row r="536">
          <cell r="C536"/>
          <cell r="D536"/>
          <cell r="E536"/>
          <cell r="F536"/>
        </row>
        <row r="537">
          <cell r="C537"/>
          <cell r="D537"/>
          <cell r="E537"/>
          <cell r="F537"/>
        </row>
        <row r="538">
          <cell r="C538"/>
          <cell r="D538"/>
          <cell r="E538"/>
          <cell r="F538"/>
        </row>
        <row r="539">
          <cell r="C539"/>
          <cell r="D539"/>
          <cell r="E539"/>
          <cell r="F539"/>
        </row>
        <row r="540">
          <cell r="C540"/>
          <cell r="D540"/>
          <cell r="E540"/>
          <cell r="F540"/>
        </row>
        <row r="541">
          <cell r="C541"/>
          <cell r="D541"/>
          <cell r="E541"/>
          <cell r="F541"/>
        </row>
        <row r="542">
          <cell r="C542"/>
          <cell r="D542"/>
          <cell r="E542"/>
          <cell r="F542"/>
        </row>
        <row r="543">
          <cell r="C543"/>
          <cell r="D543"/>
          <cell r="E543"/>
          <cell r="F543"/>
        </row>
        <row r="544">
          <cell r="C544"/>
          <cell r="D544"/>
          <cell r="E544"/>
          <cell r="F544"/>
        </row>
        <row r="545">
          <cell r="C545"/>
          <cell r="D545"/>
          <cell r="E545"/>
          <cell r="F545"/>
        </row>
        <row r="546">
          <cell r="C546"/>
          <cell r="D546"/>
          <cell r="E546"/>
          <cell r="F546"/>
        </row>
        <row r="547">
          <cell r="C547"/>
          <cell r="D547"/>
          <cell r="E547"/>
          <cell r="F547"/>
        </row>
        <row r="548">
          <cell r="C548"/>
          <cell r="D548"/>
          <cell r="E548"/>
          <cell r="F548"/>
        </row>
        <row r="549">
          <cell r="C549"/>
          <cell r="D549"/>
          <cell r="E549"/>
          <cell r="F549"/>
        </row>
        <row r="550">
          <cell r="C550"/>
          <cell r="D550"/>
          <cell r="E550"/>
          <cell r="F550"/>
        </row>
        <row r="551">
          <cell r="C551"/>
          <cell r="D551"/>
          <cell r="E551"/>
          <cell r="F551"/>
        </row>
        <row r="552">
          <cell r="C552"/>
          <cell r="D552"/>
          <cell r="E552"/>
          <cell r="F552"/>
        </row>
        <row r="553">
          <cell r="C553"/>
          <cell r="D553"/>
          <cell r="E553"/>
          <cell r="F553"/>
        </row>
        <row r="554">
          <cell r="C554"/>
          <cell r="D554"/>
          <cell r="E554"/>
          <cell r="F554"/>
        </row>
        <row r="555">
          <cell r="C555"/>
          <cell r="D555"/>
          <cell r="E555"/>
          <cell r="F555"/>
        </row>
        <row r="556">
          <cell r="C556"/>
          <cell r="D556"/>
          <cell r="E556"/>
          <cell r="F556"/>
        </row>
        <row r="557">
          <cell r="C557"/>
          <cell r="D557"/>
          <cell r="E557"/>
          <cell r="F557"/>
        </row>
        <row r="558">
          <cell r="C558"/>
          <cell r="D558"/>
          <cell r="E558"/>
          <cell r="F558"/>
        </row>
        <row r="559">
          <cell r="C559"/>
          <cell r="D559"/>
          <cell r="E559"/>
          <cell r="F559"/>
        </row>
        <row r="560">
          <cell r="C560"/>
          <cell r="D560"/>
          <cell r="E560"/>
          <cell r="F560"/>
        </row>
        <row r="561">
          <cell r="C561"/>
          <cell r="D561"/>
          <cell r="E561"/>
          <cell r="F561"/>
        </row>
        <row r="562">
          <cell r="C562"/>
          <cell r="D562"/>
          <cell r="E562"/>
          <cell r="F562"/>
        </row>
        <row r="563">
          <cell r="C563"/>
          <cell r="D563"/>
          <cell r="E563"/>
          <cell r="F563"/>
        </row>
        <row r="564">
          <cell r="C564"/>
          <cell r="D564"/>
          <cell r="E564"/>
          <cell r="F564"/>
        </row>
        <row r="565">
          <cell r="C565"/>
          <cell r="D565"/>
          <cell r="E565"/>
          <cell r="F565"/>
        </row>
        <row r="566">
          <cell r="C566"/>
          <cell r="D566"/>
          <cell r="E566"/>
          <cell r="F566"/>
        </row>
        <row r="567">
          <cell r="C567"/>
          <cell r="D567"/>
          <cell r="E567"/>
          <cell r="F567"/>
        </row>
        <row r="568">
          <cell r="C568"/>
          <cell r="D568"/>
          <cell r="E568"/>
          <cell r="F568"/>
        </row>
        <row r="569">
          <cell r="C569"/>
          <cell r="D569"/>
          <cell r="E569"/>
          <cell r="F569"/>
        </row>
        <row r="570">
          <cell r="C570"/>
          <cell r="D570"/>
          <cell r="E570"/>
          <cell r="F570"/>
        </row>
        <row r="571">
          <cell r="C571"/>
          <cell r="D571"/>
          <cell r="E571"/>
          <cell r="F571"/>
        </row>
        <row r="572">
          <cell r="C572"/>
          <cell r="D572"/>
          <cell r="E572"/>
          <cell r="F572"/>
        </row>
        <row r="573">
          <cell r="C573"/>
          <cell r="D573"/>
          <cell r="E573"/>
          <cell r="F573"/>
        </row>
        <row r="574">
          <cell r="C574"/>
          <cell r="D574"/>
          <cell r="E574"/>
          <cell r="F574"/>
        </row>
        <row r="575">
          <cell r="C575"/>
          <cell r="D575"/>
          <cell r="E575"/>
          <cell r="F575"/>
        </row>
        <row r="576">
          <cell r="C576"/>
          <cell r="D576"/>
          <cell r="E576"/>
          <cell r="F576"/>
        </row>
        <row r="577">
          <cell r="C577"/>
          <cell r="D577"/>
          <cell r="E577"/>
          <cell r="F577"/>
        </row>
        <row r="578">
          <cell r="C578"/>
          <cell r="D578"/>
          <cell r="E578"/>
          <cell r="F578"/>
        </row>
        <row r="579">
          <cell r="C579"/>
          <cell r="D579"/>
          <cell r="E579"/>
          <cell r="F579"/>
        </row>
        <row r="580">
          <cell r="C580"/>
          <cell r="D580"/>
          <cell r="E580"/>
          <cell r="F580"/>
        </row>
        <row r="581">
          <cell r="C581"/>
          <cell r="D581"/>
          <cell r="E581"/>
          <cell r="F581"/>
        </row>
        <row r="582">
          <cell r="C582"/>
          <cell r="D582"/>
          <cell r="E582"/>
          <cell r="F582"/>
        </row>
        <row r="583">
          <cell r="C583"/>
          <cell r="D583"/>
          <cell r="E583"/>
          <cell r="F583"/>
        </row>
        <row r="584">
          <cell r="C584"/>
          <cell r="D584"/>
          <cell r="E584"/>
          <cell r="F584"/>
        </row>
        <row r="585">
          <cell r="C585"/>
          <cell r="D585"/>
          <cell r="E585"/>
          <cell r="F585"/>
        </row>
        <row r="586">
          <cell r="C586"/>
          <cell r="D586"/>
          <cell r="E586"/>
          <cell r="F586"/>
        </row>
        <row r="587">
          <cell r="C587"/>
          <cell r="D587"/>
          <cell r="E587"/>
          <cell r="F587"/>
        </row>
        <row r="588">
          <cell r="C588"/>
          <cell r="D588"/>
          <cell r="E588"/>
          <cell r="F588"/>
        </row>
        <row r="589">
          <cell r="C589"/>
          <cell r="D589"/>
          <cell r="E589"/>
          <cell r="F589"/>
        </row>
        <row r="590">
          <cell r="C590"/>
          <cell r="D590"/>
          <cell r="E590"/>
          <cell r="F590"/>
        </row>
        <row r="591">
          <cell r="C591"/>
          <cell r="D591"/>
          <cell r="E591"/>
          <cell r="F591"/>
        </row>
        <row r="592">
          <cell r="C592"/>
          <cell r="D592"/>
          <cell r="E592"/>
          <cell r="F592"/>
        </row>
        <row r="593">
          <cell r="C593"/>
          <cell r="D593"/>
          <cell r="E593"/>
          <cell r="F593"/>
        </row>
        <row r="594">
          <cell r="C594"/>
          <cell r="D594"/>
          <cell r="E594"/>
          <cell r="F594"/>
        </row>
        <row r="595">
          <cell r="C595"/>
          <cell r="D595"/>
          <cell r="E595"/>
          <cell r="F595"/>
        </row>
        <row r="596">
          <cell r="C596"/>
          <cell r="D596"/>
          <cell r="E596"/>
          <cell r="F596"/>
        </row>
        <row r="597">
          <cell r="C597"/>
          <cell r="D597"/>
          <cell r="E597"/>
          <cell r="F597"/>
        </row>
        <row r="598">
          <cell r="C598"/>
          <cell r="D598"/>
          <cell r="E598"/>
          <cell r="F598"/>
        </row>
        <row r="599">
          <cell r="C599"/>
          <cell r="D599"/>
          <cell r="E599"/>
          <cell r="F599"/>
        </row>
        <row r="600">
          <cell r="C600"/>
          <cell r="D600"/>
          <cell r="E600"/>
          <cell r="F600"/>
        </row>
        <row r="601">
          <cell r="C601"/>
          <cell r="D601"/>
          <cell r="E601"/>
          <cell r="F601"/>
        </row>
        <row r="602">
          <cell r="C602"/>
          <cell r="D602"/>
          <cell r="E602"/>
          <cell r="F602"/>
        </row>
        <row r="603">
          <cell r="C603"/>
          <cell r="D603"/>
          <cell r="E603"/>
          <cell r="F603"/>
        </row>
        <row r="604">
          <cell r="C604"/>
          <cell r="D604"/>
          <cell r="E604"/>
          <cell r="F604"/>
        </row>
        <row r="605">
          <cell r="C605"/>
          <cell r="D605"/>
          <cell r="E605"/>
          <cell r="F605"/>
        </row>
        <row r="606">
          <cell r="C606"/>
          <cell r="D606"/>
          <cell r="E606"/>
          <cell r="F606"/>
        </row>
        <row r="607">
          <cell r="C607"/>
          <cell r="D607"/>
          <cell r="E607"/>
          <cell r="F607"/>
        </row>
        <row r="608">
          <cell r="C608"/>
          <cell r="D608"/>
          <cell r="E608"/>
          <cell r="F608"/>
        </row>
        <row r="609">
          <cell r="C609"/>
          <cell r="D609"/>
          <cell r="E609"/>
          <cell r="F609"/>
        </row>
        <row r="610">
          <cell r="C610"/>
          <cell r="D610"/>
          <cell r="E610"/>
          <cell r="F610"/>
        </row>
        <row r="611">
          <cell r="C611"/>
          <cell r="D611"/>
          <cell r="E611"/>
          <cell r="F611"/>
        </row>
        <row r="612">
          <cell r="C612"/>
          <cell r="D612"/>
          <cell r="E612"/>
          <cell r="F612"/>
        </row>
        <row r="613">
          <cell r="C613"/>
          <cell r="D613"/>
          <cell r="E613"/>
          <cell r="F613"/>
        </row>
        <row r="614">
          <cell r="C614"/>
          <cell r="D614"/>
          <cell r="E614"/>
          <cell r="F614"/>
        </row>
        <row r="615">
          <cell r="C615"/>
          <cell r="D615"/>
          <cell r="E615"/>
          <cell r="F615"/>
        </row>
        <row r="616">
          <cell r="C616"/>
          <cell r="D616"/>
          <cell r="E616"/>
          <cell r="F616"/>
        </row>
        <row r="617">
          <cell r="C617"/>
          <cell r="D617"/>
          <cell r="E617"/>
          <cell r="F617"/>
        </row>
        <row r="618">
          <cell r="C618"/>
          <cell r="D618"/>
          <cell r="E618"/>
          <cell r="F618"/>
        </row>
        <row r="619">
          <cell r="C619"/>
          <cell r="D619"/>
          <cell r="E619"/>
          <cell r="F619"/>
        </row>
        <row r="620">
          <cell r="C620"/>
          <cell r="D620"/>
          <cell r="E620"/>
          <cell r="F620"/>
        </row>
        <row r="621">
          <cell r="C621"/>
          <cell r="D621"/>
          <cell r="E621"/>
          <cell r="F621"/>
        </row>
        <row r="622">
          <cell r="C622"/>
          <cell r="D622"/>
          <cell r="E622"/>
          <cell r="F622"/>
        </row>
        <row r="623">
          <cell r="C623"/>
          <cell r="D623"/>
          <cell r="E623"/>
          <cell r="F623"/>
        </row>
        <row r="624">
          <cell r="C624"/>
          <cell r="D624"/>
          <cell r="E624"/>
          <cell r="F624"/>
        </row>
        <row r="625">
          <cell r="C625"/>
          <cell r="D625"/>
          <cell r="E625"/>
          <cell r="F625"/>
        </row>
        <row r="626">
          <cell r="C626"/>
          <cell r="D626"/>
          <cell r="E626"/>
          <cell r="F626"/>
        </row>
        <row r="627">
          <cell r="C627"/>
          <cell r="D627"/>
          <cell r="E627"/>
          <cell r="F627"/>
        </row>
        <row r="628">
          <cell r="C628"/>
          <cell r="D628"/>
          <cell r="E628"/>
          <cell r="F628"/>
        </row>
        <row r="629">
          <cell r="C629"/>
          <cell r="D629"/>
          <cell r="E629"/>
          <cell r="F629"/>
        </row>
        <row r="630">
          <cell r="C630"/>
          <cell r="D630"/>
          <cell r="E630"/>
          <cell r="F630"/>
        </row>
        <row r="631">
          <cell r="C631"/>
          <cell r="D631"/>
          <cell r="E631"/>
          <cell r="F631"/>
        </row>
        <row r="632">
          <cell r="C632"/>
          <cell r="D632"/>
          <cell r="E632"/>
          <cell r="F632"/>
        </row>
        <row r="633">
          <cell r="C633"/>
          <cell r="D633"/>
          <cell r="E633"/>
          <cell r="F633"/>
        </row>
        <row r="634">
          <cell r="C634"/>
          <cell r="D634"/>
          <cell r="E634"/>
          <cell r="F634"/>
        </row>
        <row r="635">
          <cell r="C635"/>
          <cell r="D635"/>
          <cell r="E635"/>
          <cell r="F635"/>
        </row>
        <row r="636">
          <cell r="C636"/>
          <cell r="D636"/>
          <cell r="E636"/>
          <cell r="F636"/>
        </row>
        <row r="637">
          <cell r="C637"/>
          <cell r="D637"/>
          <cell r="E637"/>
          <cell r="F637"/>
        </row>
        <row r="638">
          <cell r="C638"/>
          <cell r="D638"/>
          <cell r="E638"/>
          <cell r="F638"/>
        </row>
        <row r="639">
          <cell r="C639"/>
          <cell r="D639"/>
          <cell r="E639"/>
          <cell r="F639"/>
        </row>
        <row r="640">
          <cell r="C640"/>
          <cell r="D640"/>
          <cell r="E640"/>
          <cell r="F640"/>
        </row>
        <row r="641">
          <cell r="C641"/>
          <cell r="D641"/>
          <cell r="E641"/>
          <cell r="F641"/>
        </row>
        <row r="642">
          <cell r="C642"/>
          <cell r="D642"/>
          <cell r="E642"/>
          <cell r="F642"/>
        </row>
        <row r="643">
          <cell r="C643"/>
          <cell r="D643"/>
          <cell r="E643"/>
          <cell r="F643"/>
        </row>
        <row r="644">
          <cell r="C644"/>
          <cell r="D644"/>
          <cell r="E644"/>
          <cell r="F644"/>
        </row>
        <row r="645">
          <cell r="C645"/>
          <cell r="D645"/>
          <cell r="E645"/>
          <cell r="F645"/>
        </row>
        <row r="646">
          <cell r="C646"/>
          <cell r="D646"/>
          <cell r="E646"/>
          <cell r="F646"/>
        </row>
        <row r="647">
          <cell r="C647"/>
          <cell r="D647"/>
          <cell r="E647"/>
          <cell r="F647"/>
        </row>
        <row r="648">
          <cell r="C648"/>
          <cell r="D648"/>
          <cell r="E648"/>
          <cell r="F648"/>
        </row>
        <row r="649">
          <cell r="C649"/>
          <cell r="D649"/>
          <cell r="E649"/>
          <cell r="F649"/>
        </row>
        <row r="650">
          <cell r="C650"/>
          <cell r="D650"/>
          <cell r="E650"/>
          <cell r="F650"/>
        </row>
        <row r="651">
          <cell r="C651"/>
          <cell r="D651"/>
          <cell r="E651"/>
          <cell r="F651"/>
        </row>
        <row r="652">
          <cell r="C652"/>
          <cell r="D652"/>
          <cell r="E652"/>
          <cell r="F652"/>
        </row>
        <row r="653">
          <cell r="C653"/>
          <cell r="D653"/>
          <cell r="E653"/>
          <cell r="F653"/>
        </row>
        <row r="654">
          <cell r="C654"/>
          <cell r="D654"/>
          <cell r="E654"/>
          <cell r="F654"/>
        </row>
        <row r="655">
          <cell r="C655"/>
          <cell r="D655"/>
          <cell r="E655"/>
          <cell r="F655"/>
        </row>
        <row r="656">
          <cell r="C656"/>
          <cell r="D656"/>
          <cell r="E656"/>
          <cell r="F656"/>
        </row>
        <row r="657">
          <cell r="C657"/>
          <cell r="D657"/>
          <cell r="E657"/>
          <cell r="F657"/>
        </row>
        <row r="658">
          <cell r="C658"/>
          <cell r="D658"/>
          <cell r="E658"/>
          <cell r="F658"/>
        </row>
        <row r="659">
          <cell r="C659"/>
          <cell r="D659"/>
          <cell r="E659"/>
          <cell r="F659"/>
        </row>
        <row r="660">
          <cell r="C660"/>
          <cell r="D660"/>
          <cell r="E660"/>
          <cell r="F660"/>
        </row>
        <row r="661">
          <cell r="C661"/>
          <cell r="D661"/>
          <cell r="E661"/>
          <cell r="F661"/>
        </row>
        <row r="662">
          <cell r="C662"/>
          <cell r="D662"/>
          <cell r="E662"/>
          <cell r="F662"/>
        </row>
        <row r="663">
          <cell r="C663"/>
          <cell r="D663"/>
          <cell r="E663"/>
          <cell r="F663"/>
        </row>
        <row r="664">
          <cell r="C664"/>
          <cell r="D664"/>
          <cell r="E664"/>
          <cell r="F664"/>
        </row>
        <row r="665">
          <cell r="C665"/>
          <cell r="D665"/>
          <cell r="E665"/>
          <cell r="F665"/>
        </row>
        <row r="666">
          <cell r="C666"/>
          <cell r="D666"/>
          <cell r="E666"/>
          <cell r="F666"/>
        </row>
        <row r="667">
          <cell r="C667"/>
          <cell r="D667"/>
          <cell r="E667"/>
          <cell r="F667"/>
        </row>
        <row r="668">
          <cell r="C668"/>
          <cell r="D668"/>
          <cell r="E668"/>
          <cell r="F668"/>
        </row>
        <row r="669">
          <cell r="C669"/>
          <cell r="D669"/>
          <cell r="E669"/>
          <cell r="F669"/>
        </row>
        <row r="670">
          <cell r="C670"/>
          <cell r="D670"/>
          <cell r="E670"/>
          <cell r="F670"/>
        </row>
        <row r="671">
          <cell r="C671"/>
          <cell r="D671"/>
          <cell r="E671"/>
          <cell r="F671"/>
        </row>
        <row r="672">
          <cell r="C672"/>
          <cell r="D672"/>
          <cell r="E672"/>
          <cell r="F672"/>
        </row>
        <row r="673">
          <cell r="C673"/>
          <cell r="D673"/>
          <cell r="E673"/>
          <cell r="F673"/>
        </row>
        <row r="674">
          <cell r="C674"/>
          <cell r="D674"/>
          <cell r="E674"/>
          <cell r="F674"/>
        </row>
        <row r="675">
          <cell r="C675"/>
          <cell r="D675"/>
          <cell r="E675"/>
          <cell r="F675"/>
        </row>
        <row r="676">
          <cell r="C676"/>
          <cell r="D676"/>
          <cell r="E676"/>
          <cell r="F676"/>
        </row>
        <row r="677">
          <cell r="C677"/>
          <cell r="D677"/>
          <cell r="E677"/>
          <cell r="F677"/>
        </row>
        <row r="678">
          <cell r="C678"/>
          <cell r="D678"/>
          <cell r="E678"/>
          <cell r="F678"/>
        </row>
        <row r="679">
          <cell r="C679"/>
          <cell r="D679"/>
          <cell r="E679"/>
          <cell r="F679"/>
        </row>
        <row r="680">
          <cell r="C680"/>
          <cell r="D680"/>
          <cell r="E680"/>
          <cell r="F680"/>
        </row>
        <row r="681">
          <cell r="C681"/>
          <cell r="D681"/>
          <cell r="E681"/>
          <cell r="F681"/>
        </row>
        <row r="682">
          <cell r="C682"/>
          <cell r="D682"/>
          <cell r="E682"/>
          <cell r="F682"/>
        </row>
        <row r="683">
          <cell r="C683"/>
          <cell r="D683"/>
          <cell r="E683"/>
          <cell r="F683"/>
        </row>
        <row r="684">
          <cell r="C684"/>
          <cell r="D684"/>
          <cell r="E684"/>
          <cell r="F684"/>
        </row>
        <row r="685">
          <cell r="C685"/>
          <cell r="D685"/>
          <cell r="E685"/>
          <cell r="F685"/>
        </row>
        <row r="686">
          <cell r="C686"/>
          <cell r="D686"/>
          <cell r="E686"/>
          <cell r="F686"/>
        </row>
        <row r="687">
          <cell r="C687"/>
          <cell r="D687"/>
          <cell r="E687"/>
          <cell r="F687"/>
        </row>
        <row r="688">
          <cell r="C688"/>
          <cell r="D688"/>
          <cell r="E688"/>
          <cell r="F688"/>
        </row>
        <row r="689">
          <cell r="C689"/>
          <cell r="D689"/>
          <cell r="E689"/>
          <cell r="F689"/>
        </row>
        <row r="690">
          <cell r="C690"/>
          <cell r="D690"/>
          <cell r="E690"/>
          <cell r="F690"/>
        </row>
        <row r="691">
          <cell r="C691"/>
          <cell r="D691"/>
          <cell r="E691"/>
          <cell r="F691"/>
        </row>
        <row r="692">
          <cell r="C692"/>
          <cell r="D692"/>
          <cell r="E692"/>
          <cell r="F692"/>
        </row>
        <row r="693">
          <cell r="C693"/>
          <cell r="D693"/>
          <cell r="E693"/>
          <cell r="F693"/>
        </row>
        <row r="694">
          <cell r="C694"/>
          <cell r="D694"/>
          <cell r="E694"/>
          <cell r="F694"/>
        </row>
        <row r="695">
          <cell r="C695"/>
          <cell r="D695"/>
          <cell r="E695"/>
          <cell r="F695"/>
        </row>
        <row r="696">
          <cell r="C696"/>
          <cell r="D696"/>
          <cell r="E696"/>
          <cell r="F696"/>
        </row>
        <row r="697">
          <cell r="C697"/>
          <cell r="D697"/>
          <cell r="E697"/>
          <cell r="F697"/>
        </row>
        <row r="698">
          <cell r="C698"/>
          <cell r="D698"/>
          <cell r="E698"/>
          <cell r="F698"/>
        </row>
        <row r="699">
          <cell r="C699"/>
          <cell r="D699"/>
          <cell r="E699"/>
          <cell r="F699"/>
        </row>
        <row r="700">
          <cell r="C700"/>
          <cell r="D700"/>
          <cell r="E700"/>
          <cell r="F700"/>
        </row>
        <row r="701">
          <cell r="C701"/>
          <cell r="D701"/>
          <cell r="E701"/>
          <cell r="F701"/>
        </row>
        <row r="702">
          <cell r="C702"/>
          <cell r="D702"/>
          <cell r="E702"/>
          <cell r="F702"/>
        </row>
        <row r="703">
          <cell r="C703"/>
          <cell r="D703"/>
          <cell r="E703"/>
          <cell r="F703"/>
        </row>
        <row r="704">
          <cell r="C704"/>
          <cell r="D704"/>
          <cell r="E704"/>
          <cell r="F704"/>
        </row>
        <row r="705">
          <cell r="C705"/>
          <cell r="D705"/>
          <cell r="E705"/>
          <cell r="F705"/>
        </row>
        <row r="706">
          <cell r="C706"/>
          <cell r="D706"/>
          <cell r="E706"/>
          <cell r="F706"/>
        </row>
        <row r="707">
          <cell r="C707"/>
          <cell r="D707"/>
          <cell r="E707"/>
          <cell r="F707"/>
        </row>
        <row r="708">
          <cell r="C708"/>
          <cell r="D708"/>
          <cell r="E708"/>
          <cell r="F708"/>
        </row>
        <row r="709">
          <cell r="C709"/>
          <cell r="D709"/>
          <cell r="E709"/>
          <cell r="F709"/>
        </row>
        <row r="710">
          <cell r="C710"/>
          <cell r="D710"/>
          <cell r="E710"/>
          <cell r="F710"/>
        </row>
        <row r="711">
          <cell r="C711"/>
          <cell r="D711"/>
          <cell r="E711"/>
          <cell r="F711"/>
        </row>
        <row r="712">
          <cell r="C712"/>
          <cell r="D712"/>
          <cell r="E712"/>
          <cell r="F712"/>
        </row>
        <row r="713">
          <cell r="C713"/>
          <cell r="D713"/>
          <cell r="E713"/>
          <cell r="F713"/>
        </row>
        <row r="714">
          <cell r="C714"/>
          <cell r="D714"/>
          <cell r="E714"/>
          <cell r="F714"/>
        </row>
        <row r="715">
          <cell r="C715"/>
          <cell r="D715"/>
          <cell r="E715"/>
          <cell r="F715"/>
        </row>
        <row r="716">
          <cell r="C716"/>
          <cell r="D716"/>
          <cell r="E716"/>
          <cell r="F716"/>
        </row>
        <row r="717">
          <cell r="C717"/>
          <cell r="D717"/>
          <cell r="E717"/>
          <cell r="F717"/>
        </row>
        <row r="718">
          <cell r="C718"/>
          <cell r="D718"/>
          <cell r="E718"/>
          <cell r="F718"/>
        </row>
        <row r="719">
          <cell r="C719"/>
          <cell r="D719"/>
          <cell r="E719"/>
          <cell r="F719"/>
        </row>
        <row r="720">
          <cell r="C720"/>
          <cell r="D720"/>
          <cell r="E720"/>
          <cell r="F720"/>
        </row>
        <row r="721">
          <cell r="C721"/>
          <cell r="D721"/>
          <cell r="E721"/>
          <cell r="F721"/>
        </row>
        <row r="722">
          <cell r="C722"/>
          <cell r="D722"/>
          <cell r="E722"/>
          <cell r="F722"/>
        </row>
        <row r="723">
          <cell r="C723"/>
          <cell r="D723"/>
          <cell r="E723"/>
          <cell r="F723"/>
        </row>
        <row r="724">
          <cell r="C724"/>
          <cell r="D724"/>
          <cell r="E724"/>
          <cell r="F724"/>
        </row>
        <row r="725">
          <cell r="C725"/>
          <cell r="D725"/>
          <cell r="E725"/>
          <cell r="F725"/>
        </row>
        <row r="726">
          <cell r="C726"/>
          <cell r="D726"/>
          <cell r="E726"/>
          <cell r="F726"/>
        </row>
        <row r="727">
          <cell r="C727"/>
          <cell r="D727"/>
          <cell r="E727"/>
          <cell r="F727"/>
        </row>
        <row r="728">
          <cell r="C728"/>
          <cell r="D728"/>
          <cell r="E728"/>
          <cell r="F728"/>
        </row>
        <row r="729">
          <cell r="C729"/>
          <cell r="D729"/>
          <cell r="E729"/>
          <cell r="F729"/>
        </row>
        <row r="730">
          <cell r="C730"/>
          <cell r="D730"/>
          <cell r="E730"/>
          <cell r="F730"/>
        </row>
        <row r="731">
          <cell r="C731"/>
          <cell r="D731"/>
          <cell r="E731"/>
          <cell r="F731"/>
        </row>
        <row r="732">
          <cell r="C732"/>
          <cell r="D732"/>
          <cell r="E732"/>
          <cell r="F732"/>
        </row>
        <row r="733">
          <cell r="C733"/>
          <cell r="D733"/>
          <cell r="E733"/>
          <cell r="F733"/>
        </row>
        <row r="734">
          <cell r="C734"/>
          <cell r="D734"/>
          <cell r="E734"/>
          <cell r="F734"/>
        </row>
        <row r="735">
          <cell r="C735"/>
          <cell r="D735"/>
          <cell r="E735"/>
          <cell r="F735"/>
        </row>
        <row r="736">
          <cell r="C736"/>
          <cell r="D736"/>
          <cell r="E736"/>
          <cell r="F736"/>
        </row>
        <row r="737">
          <cell r="C737"/>
          <cell r="D737"/>
          <cell r="E737"/>
          <cell r="F737"/>
        </row>
        <row r="738">
          <cell r="C738"/>
          <cell r="D738"/>
          <cell r="E738"/>
          <cell r="F738"/>
        </row>
        <row r="739">
          <cell r="C739"/>
          <cell r="D739"/>
          <cell r="E739"/>
          <cell r="F739"/>
        </row>
        <row r="740">
          <cell r="C740"/>
          <cell r="D740"/>
          <cell r="E740"/>
          <cell r="F740"/>
        </row>
        <row r="741">
          <cell r="C741"/>
          <cell r="D741"/>
          <cell r="E741"/>
          <cell r="F741"/>
        </row>
        <row r="742">
          <cell r="C742"/>
          <cell r="D742"/>
          <cell r="E742"/>
          <cell r="F742"/>
        </row>
        <row r="743">
          <cell r="C743"/>
          <cell r="D743"/>
          <cell r="E743"/>
          <cell r="F743"/>
        </row>
        <row r="744">
          <cell r="C744"/>
          <cell r="D744"/>
          <cell r="E744"/>
          <cell r="F744"/>
        </row>
        <row r="745">
          <cell r="C745"/>
          <cell r="D745"/>
          <cell r="E745"/>
          <cell r="F745"/>
        </row>
        <row r="746">
          <cell r="C746"/>
          <cell r="D746"/>
          <cell r="E746"/>
          <cell r="F746"/>
        </row>
        <row r="747">
          <cell r="C747"/>
          <cell r="D747"/>
          <cell r="E747"/>
          <cell r="F747"/>
        </row>
        <row r="748">
          <cell r="C748"/>
          <cell r="D748"/>
          <cell r="E748"/>
          <cell r="F748"/>
        </row>
        <row r="749">
          <cell r="C749"/>
          <cell r="D749"/>
          <cell r="E749"/>
          <cell r="F749"/>
        </row>
        <row r="750">
          <cell r="C750"/>
          <cell r="D750"/>
          <cell r="E750"/>
          <cell r="F750"/>
        </row>
        <row r="751">
          <cell r="C751"/>
          <cell r="D751"/>
          <cell r="E751"/>
          <cell r="F751"/>
        </row>
        <row r="752">
          <cell r="C752"/>
          <cell r="D752"/>
          <cell r="E752"/>
          <cell r="F752"/>
        </row>
        <row r="753">
          <cell r="C753"/>
          <cell r="D753"/>
          <cell r="E753"/>
          <cell r="F753"/>
        </row>
        <row r="754">
          <cell r="C754"/>
          <cell r="D754"/>
          <cell r="E754"/>
          <cell r="F754"/>
        </row>
        <row r="755">
          <cell r="C755"/>
          <cell r="D755"/>
          <cell r="E755"/>
          <cell r="F755"/>
        </row>
        <row r="756">
          <cell r="C756"/>
          <cell r="D756"/>
          <cell r="E756"/>
          <cell r="F756"/>
        </row>
        <row r="757">
          <cell r="C757"/>
          <cell r="D757"/>
          <cell r="E757"/>
          <cell r="F757"/>
        </row>
        <row r="758">
          <cell r="C758"/>
          <cell r="D758"/>
          <cell r="E758"/>
          <cell r="F758"/>
        </row>
        <row r="759">
          <cell r="C759"/>
          <cell r="D759"/>
          <cell r="E759"/>
          <cell r="F759"/>
        </row>
        <row r="760">
          <cell r="C760"/>
          <cell r="D760"/>
          <cell r="E760"/>
          <cell r="F760"/>
        </row>
        <row r="761">
          <cell r="C761"/>
          <cell r="D761"/>
          <cell r="E761"/>
          <cell r="F761"/>
        </row>
        <row r="762">
          <cell r="C762"/>
          <cell r="D762"/>
          <cell r="E762"/>
          <cell r="F762"/>
        </row>
        <row r="763">
          <cell r="C763"/>
          <cell r="D763"/>
          <cell r="E763"/>
          <cell r="F763"/>
        </row>
        <row r="764">
          <cell r="C764"/>
          <cell r="D764"/>
          <cell r="E764"/>
          <cell r="F764"/>
        </row>
        <row r="765">
          <cell r="C765"/>
          <cell r="D765"/>
          <cell r="E765"/>
          <cell r="F765"/>
        </row>
        <row r="766">
          <cell r="C766"/>
          <cell r="D766"/>
          <cell r="E766"/>
          <cell r="F766"/>
        </row>
        <row r="767">
          <cell r="C767"/>
          <cell r="D767"/>
          <cell r="E767"/>
          <cell r="F767"/>
        </row>
        <row r="768">
          <cell r="C768"/>
          <cell r="D768"/>
          <cell r="E768"/>
          <cell r="F768"/>
        </row>
        <row r="769">
          <cell r="C769"/>
          <cell r="D769"/>
          <cell r="E769"/>
          <cell r="F769"/>
        </row>
        <row r="770">
          <cell r="C770"/>
          <cell r="D770"/>
          <cell r="E770"/>
          <cell r="F770"/>
        </row>
        <row r="771">
          <cell r="C771"/>
          <cell r="D771"/>
          <cell r="E771"/>
          <cell r="F771"/>
        </row>
        <row r="772">
          <cell r="C772"/>
          <cell r="D772"/>
          <cell r="E772"/>
          <cell r="F772"/>
        </row>
        <row r="773">
          <cell r="C773"/>
          <cell r="D773"/>
          <cell r="E773"/>
          <cell r="F773"/>
        </row>
        <row r="774">
          <cell r="C774"/>
          <cell r="D774"/>
          <cell r="E774"/>
          <cell r="F774"/>
        </row>
        <row r="775">
          <cell r="C775"/>
          <cell r="D775"/>
          <cell r="E775"/>
          <cell r="F775"/>
        </row>
        <row r="776">
          <cell r="C776"/>
          <cell r="D776"/>
          <cell r="E776"/>
          <cell r="F776"/>
        </row>
        <row r="777">
          <cell r="C777"/>
          <cell r="D777"/>
          <cell r="E777"/>
          <cell r="F777"/>
        </row>
        <row r="778">
          <cell r="C778"/>
          <cell r="D778"/>
          <cell r="E778"/>
          <cell r="F778"/>
        </row>
        <row r="779">
          <cell r="C779"/>
          <cell r="D779"/>
          <cell r="E779"/>
          <cell r="F779"/>
        </row>
        <row r="780">
          <cell r="C780"/>
          <cell r="D780"/>
          <cell r="E780"/>
          <cell r="F780"/>
        </row>
        <row r="781">
          <cell r="C781"/>
          <cell r="D781"/>
          <cell r="E781"/>
          <cell r="F781"/>
        </row>
        <row r="782">
          <cell r="C782"/>
          <cell r="D782"/>
          <cell r="E782"/>
          <cell r="F782"/>
        </row>
        <row r="783">
          <cell r="C783"/>
          <cell r="D783"/>
          <cell r="E783"/>
          <cell r="F783"/>
        </row>
        <row r="784">
          <cell r="C784"/>
          <cell r="D784"/>
          <cell r="E784"/>
          <cell r="F784"/>
        </row>
        <row r="785">
          <cell r="C785"/>
          <cell r="D785"/>
          <cell r="E785"/>
          <cell r="F785"/>
        </row>
        <row r="786">
          <cell r="C786"/>
          <cell r="D786"/>
          <cell r="E786"/>
          <cell r="F786"/>
        </row>
        <row r="787">
          <cell r="C787"/>
          <cell r="D787"/>
          <cell r="E787"/>
          <cell r="F787"/>
        </row>
        <row r="788">
          <cell r="C788"/>
          <cell r="D788"/>
          <cell r="E788"/>
          <cell r="F788"/>
        </row>
        <row r="789">
          <cell r="C789"/>
          <cell r="D789"/>
          <cell r="E789"/>
          <cell r="F789"/>
        </row>
        <row r="790">
          <cell r="C790"/>
          <cell r="D790"/>
          <cell r="E790"/>
          <cell r="F790"/>
        </row>
        <row r="791">
          <cell r="C791"/>
          <cell r="D791"/>
          <cell r="E791"/>
          <cell r="F791"/>
        </row>
        <row r="792">
          <cell r="C792"/>
          <cell r="D792"/>
          <cell r="E792"/>
          <cell r="F792"/>
        </row>
        <row r="793">
          <cell r="C793"/>
          <cell r="D793"/>
          <cell r="E793"/>
          <cell r="F793"/>
        </row>
        <row r="794">
          <cell r="C794"/>
          <cell r="D794"/>
          <cell r="E794"/>
          <cell r="F794"/>
        </row>
        <row r="795">
          <cell r="C795"/>
          <cell r="D795"/>
          <cell r="E795"/>
          <cell r="F795"/>
        </row>
        <row r="796">
          <cell r="C796"/>
          <cell r="D796"/>
          <cell r="E796"/>
          <cell r="F796"/>
        </row>
        <row r="797">
          <cell r="C797"/>
          <cell r="D797"/>
          <cell r="E797"/>
          <cell r="F797"/>
        </row>
        <row r="798">
          <cell r="C798"/>
          <cell r="D798"/>
          <cell r="E798"/>
          <cell r="F798"/>
        </row>
        <row r="799">
          <cell r="C799"/>
          <cell r="D799"/>
          <cell r="E799"/>
          <cell r="F799"/>
        </row>
        <row r="800">
          <cell r="C800"/>
          <cell r="D800"/>
          <cell r="E800"/>
          <cell r="F800"/>
        </row>
        <row r="801">
          <cell r="C801"/>
          <cell r="D801"/>
          <cell r="E801"/>
          <cell r="F801"/>
        </row>
        <row r="802">
          <cell r="C802"/>
          <cell r="D802"/>
          <cell r="E802"/>
          <cell r="F802"/>
        </row>
        <row r="803">
          <cell r="C803"/>
          <cell r="D803"/>
          <cell r="E803"/>
          <cell r="F803"/>
        </row>
        <row r="804">
          <cell r="C804"/>
          <cell r="D804"/>
          <cell r="E804"/>
          <cell r="F804"/>
        </row>
        <row r="805">
          <cell r="C805"/>
          <cell r="D805"/>
          <cell r="E805"/>
          <cell r="F805"/>
        </row>
        <row r="806">
          <cell r="C806"/>
          <cell r="D806"/>
          <cell r="E806"/>
          <cell r="F806"/>
        </row>
        <row r="807">
          <cell r="C807"/>
          <cell r="D807"/>
          <cell r="E807"/>
          <cell r="F807"/>
        </row>
        <row r="808">
          <cell r="C808"/>
          <cell r="D808"/>
          <cell r="E808"/>
          <cell r="F808"/>
        </row>
        <row r="809">
          <cell r="C809"/>
          <cell r="D809"/>
          <cell r="E809"/>
          <cell r="F809"/>
        </row>
        <row r="810">
          <cell r="C810"/>
          <cell r="D810"/>
          <cell r="E810"/>
          <cell r="F810"/>
        </row>
        <row r="811">
          <cell r="C811"/>
          <cell r="D811"/>
          <cell r="E811"/>
          <cell r="F811"/>
        </row>
        <row r="812">
          <cell r="C812"/>
          <cell r="D812"/>
          <cell r="E812"/>
          <cell r="F812"/>
        </row>
        <row r="813">
          <cell r="C813"/>
          <cell r="D813"/>
          <cell r="E813"/>
          <cell r="F813"/>
        </row>
        <row r="814">
          <cell r="C814"/>
          <cell r="D814"/>
          <cell r="E814"/>
          <cell r="F814"/>
        </row>
        <row r="815">
          <cell r="C815"/>
          <cell r="D815"/>
          <cell r="E815"/>
          <cell r="F815"/>
        </row>
        <row r="816">
          <cell r="C816"/>
          <cell r="D816"/>
          <cell r="E816"/>
          <cell r="F816"/>
        </row>
        <row r="817">
          <cell r="C817"/>
          <cell r="D817"/>
          <cell r="E817"/>
          <cell r="F817"/>
        </row>
        <row r="818">
          <cell r="C818"/>
          <cell r="D818"/>
          <cell r="E818"/>
          <cell r="F818"/>
        </row>
        <row r="819">
          <cell r="C819"/>
          <cell r="D819"/>
          <cell r="E819"/>
          <cell r="F819"/>
        </row>
        <row r="820">
          <cell r="C820"/>
          <cell r="D820"/>
          <cell r="E820"/>
          <cell r="F820"/>
        </row>
        <row r="821">
          <cell r="C821"/>
          <cell r="D821"/>
          <cell r="E821"/>
          <cell r="F821"/>
        </row>
        <row r="822">
          <cell r="C822"/>
          <cell r="D822"/>
          <cell r="E822"/>
          <cell r="F822"/>
        </row>
        <row r="823">
          <cell r="C823"/>
          <cell r="D823"/>
          <cell r="E823"/>
          <cell r="F823"/>
        </row>
        <row r="824">
          <cell r="C824"/>
          <cell r="D824"/>
          <cell r="E824"/>
          <cell r="F824"/>
        </row>
        <row r="825">
          <cell r="C825"/>
          <cell r="D825"/>
          <cell r="E825"/>
          <cell r="F825"/>
        </row>
        <row r="826">
          <cell r="C826"/>
          <cell r="D826"/>
          <cell r="E826"/>
          <cell r="F826"/>
        </row>
        <row r="827">
          <cell r="C827"/>
          <cell r="D827"/>
          <cell r="E827"/>
          <cell r="F827"/>
        </row>
        <row r="828">
          <cell r="C828"/>
          <cell r="D828"/>
          <cell r="E828"/>
          <cell r="F828"/>
        </row>
        <row r="829">
          <cell r="C829"/>
          <cell r="D829"/>
          <cell r="E829"/>
          <cell r="F829"/>
        </row>
        <row r="830">
          <cell r="C830"/>
          <cell r="D830"/>
          <cell r="E830"/>
          <cell r="F830"/>
        </row>
        <row r="831">
          <cell r="C831"/>
          <cell r="D831"/>
          <cell r="E831"/>
          <cell r="F831"/>
        </row>
        <row r="832">
          <cell r="C832"/>
          <cell r="D832"/>
          <cell r="E832"/>
          <cell r="F832"/>
        </row>
        <row r="833">
          <cell r="C833"/>
          <cell r="D833"/>
          <cell r="E833"/>
          <cell r="F833"/>
        </row>
        <row r="834">
          <cell r="C834"/>
          <cell r="D834"/>
          <cell r="E834"/>
          <cell r="F834"/>
        </row>
        <row r="835">
          <cell r="C835"/>
          <cell r="D835"/>
          <cell r="E835"/>
          <cell r="F835"/>
        </row>
        <row r="836">
          <cell r="C836"/>
          <cell r="D836"/>
          <cell r="E836"/>
          <cell r="F836"/>
        </row>
        <row r="837">
          <cell r="C837"/>
          <cell r="D837"/>
          <cell r="E837"/>
          <cell r="F837"/>
        </row>
        <row r="838">
          <cell r="C838"/>
          <cell r="D838"/>
          <cell r="E838"/>
          <cell r="F838"/>
        </row>
        <row r="839">
          <cell r="C839"/>
          <cell r="D839"/>
          <cell r="E839"/>
          <cell r="F839"/>
        </row>
        <row r="840">
          <cell r="C840"/>
          <cell r="D840"/>
          <cell r="E840"/>
          <cell r="F840"/>
        </row>
        <row r="841">
          <cell r="C841"/>
          <cell r="D841"/>
          <cell r="E841"/>
          <cell r="F841"/>
        </row>
        <row r="842">
          <cell r="C842"/>
          <cell r="D842"/>
          <cell r="E842"/>
          <cell r="F842"/>
        </row>
        <row r="843">
          <cell r="C843"/>
          <cell r="D843"/>
          <cell r="E843"/>
          <cell r="F843"/>
        </row>
        <row r="844">
          <cell r="C844"/>
          <cell r="D844"/>
          <cell r="E844"/>
          <cell r="F844"/>
        </row>
        <row r="845">
          <cell r="C845"/>
          <cell r="D845"/>
          <cell r="E845"/>
          <cell r="F845"/>
        </row>
        <row r="846">
          <cell r="C846"/>
          <cell r="D846"/>
          <cell r="E846"/>
          <cell r="F846"/>
        </row>
        <row r="847">
          <cell r="C847"/>
          <cell r="D847"/>
          <cell r="E847"/>
          <cell r="F847"/>
        </row>
        <row r="848">
          <cell r="C848"/>
          <cell r="D848"/>
          <cell r="E848"/>
          <cell r="F848"/>
        </row>
        <row r="849">
          <cell r="C849"/>
          <cell r="D849"/>
          <cell r="E849"/>
          <cell r="F849"/>
        </row>
        <row r="850">
          <cell r="C850"/>
          <cell r="D850"/>
          <cell r="E850"/>
          <cell r="F850"/>
        </row>
        <row r="851">
          <cell r="C851"/>
          <cell r="D851"/>
          <cell r="E851"/>
          <cell r="F851"/>
        </row>
        <row r="852">
          <cell r="C852"/>
          <cell r="D852"/>
          <cell r="E852"/>
          <cell r="F852"/>
        </row>
        <row r="853">
          <cell r="C853"/>
          <cell r="D853"/>
          <cell r="E853"/>
          <cell r="F853"/>
        </row>
        <row r="854">
          <cell r="C854"/>
          <cell r="D854"/>
          <cell r="E854"/>
          <cell r="F854"/>
        </row>
        <row r="855">
          <cell r="C855"/>
          <cell r="D855"/>
          <cell r="E855"/>
          <cell r="F855"/>
        </row>
        <row r="856">
          <cell r="C856"/>
          <cell r="D856"/>
          <cell r="E856"/>
          <cell r="F856"/>
        </row>
        <row r="857">
          <cell r="C857"/>
          <cell r="D857"/>
          <cell r="E857"/>
          <cell r="F857"/>
        </row>
        <row r="858">
          <cell r="C858"/>
          <cell r="D858"/>
          <cell r="E858"/>
          <cell r="F858"/>
        </row>
        <row r="859">
          <cell r="C859"/>
          <cell r="D859"/>
          <cell r="E859"/>
          <cell r="F859"/>
        </row>
        <row r="860">
          <cell r="C860"/>
          <cell r="D860"/>
          <cell r="E860"/>
          <cell r="F860"/>
        </row>
        <row r="861">
          <cell r="C861"/>
          <cell r="D861"/>
          <cell r="E861"/>
          <cell r="F861"/>
        </row>
        <row r="862">
          <cell r="C862"/>
          <cell r="D862"/>
          <cell r="E862"/>
          <cell r="F862"/>
        </row>
        <row r="863">
          <cell r="C863"/>
          <cell r="D863"/>
          <cell r="E863"/>
          <cell r="F863"/>
        </row>
        <row r="864">
          <cell r="C864"/>
          <cell r="D864"/>
          <cell r="E864"/>
          <cell r="F864"/>
        </row>
        <row r="865">
          <cell r="C865"/>
          <cell r="D865"/>
          <cell r="E865"/>
          <cell r="F865"/>
        </row>
        <row r="866">
          <cell r="C866"/>
          <cell r="D866"/>
          <cell r="E866"/>
          <cell r="F866"/>
        </row>
        <row r="867">
          <cell r="C867"/>
          <cell r="D867"/>
          <cell r="E867"/>
          <cell r="F867"/>
        </row>
        <row r="868">
          <cell r="C868"/>
          <cell r="D868"/>
          <cell r="E868"/>
          <cell r="F868"/>
        </row>
        <row r="869">
          <cell r="C869"/>
          <cell r="D869"/>
          <cell r="E869"/>
          <cell r="F869"/>
        </row>
        <row r="870">
          <cell r="C870"/>
          <cell r="D870"/>
          <cell r="E870"/>
          <cell r="F870"/>
        </row>
        <row r="871">
          <cell r="C871"/>
          <cell r="D871"/>
          <cell r="E871"/>
          <cell r="F871"/>
        </row>
        <row r="872">
          <cell r="C872"/>
          <cell r="D872"/>
          <cell r="E872"/>
          <cell r="F872"/>
        </row>
        <row r="873">
          <cell r="C873"/>
          <cell r="D873"/>
          <cell r="E873"/>
          <cell r="F873"/>
        </row>
        <row r="874">
          <cell r="C874"/>
          <cell r="D874"/>
          <cell r="E874"/>
          <cell r="F874"/>
        </row>
        <row r="875">
          <cell r="C875"/>
          <cell r="D875"/>
          <cell r="E875"/>
          <cell r="F875"/>
        </row>
        <row r="876">
          <cell r="C876"/>
          <cell r="D876"/>
          <cell r="E876"/>
          <cell r="F876"/>
        </row>
        <row r="877">
          <cell r="C877"/>
          <cell r="D877"/>
          <cell r="E877"/>
          <cell r="F877"/>
        </row>
        <row r="878">
          <cell r="C878"/>
          <cell r="D878"/>
          <cell r="E878"/>
          <cell r="F878"/>
        </row>
        <row r="879">
          <cell r="C879"/>
          <cell r="D879"/>
          <cell r="E879"/>
          <cell r="F879"/>
        </row>
        <row r="880">
          <cell r="C880"/>
          <cell r="D880"/>
          <cell r="E880"/>
          <cell r="F880"/>
        </row>
        <row r="881">
          <cell r="C881"/>
          <cell r="D881"/>
          <cell r="E881"/>
          <cell r="F881"/>
        </row>
        <row r="882">
          <cell r="C882"/>
          <cell r="D882"/>
          <cell r="E882"/>
          <cell r="F882"/>
        </row>
        <row r="883">
          <cell r="C883"/>
          <cell r="D883"/>
          <cell r="E883"/>
          <cell r="F883"/>
        </row>
        <row r="884">
          <cell r="C884"/>
          <cell r="D884"/>
          <cell r="E884"/>
          <cell r="F884"/>
        </row>
        <row r="885">
          <cell r="C885"/>
          <cell r="D885"/>
          <cell r="E885"/>
          <cell r="F885"/>
        </row>
        <row r="886">
          <cell r="C886"/>
          <cell r="D886"/>
          <cell r="E886"/>
          <cell r="F886"/>
        </row>
        <row r="887">
          <cell r="C887"/>
          <cell r="D887"/>
          <cell r="E887"/>
          <cell r="F887"/>
        </row>
        <row r="888">
          <cell r="C888"/>
          <cell r="D888"/>
          <cell r="E888"/>
          <cell r="F888"/>
        </row>
        <row r="889">
          <cell r="C889"/>
          <cell r="D889"/>
          <cell r="E889"/>
          <cell r="F889"/>
        </row>
        <row r="890">
          <cell r="C890"/>
          <cell r="D890"/>
          <cell r="E890"/>
          <cell r="F890"/>
        </row>
        <row r="891">
          <cell r="C891"/>
          <cell r="D891"/>
          <cell r="E891"/>
          <cell r="F891"/>
        </row>
        <row r="892">
          <cell r="C892"/>
          <cell r="D892"/>
          <cell r="E892"/>
          <cell r="F892"/>
        </row>
        <row r="893">
          <cell r="C893"/>
          <cell r="D893"/>
          <cell r="E893"/>
          <cell r="F893"/>
        </row>
        <row r="894">
          <cell r="C894"/>
          <cell r="D894"/>
          <cell r="E894"/>
          <cell r="F894"/>
        </row>
        <row r="895">
          <cell r="C895"/>
          <cell r="D895"/>
          <cell r="E895"/>
          <cell r="F895"/>
        </row>
        <row r="896">
          <cell r="C896"/>
          <cell r="D896"/>
          <cell r="E896"/>
          <cell r="F896"/>
        </row>
        <row r="897">
          <cell r="C897"/>
          <cell r="D897"/>
          <cell r="E897"/>
          <cell r="F897"/>
        </row>
        <row r="898">
          <cell r="C898"/>
          <cell r="D898"/>
          <cell r="E898"/>
          <cell r="F898"/>
        </row>
        <row r="899">
          <cell r="C899"/>
          <cell r="D899"/>
          <cell r="E899"/>
          <cell r="F899"/>
        </row>
        <row r="900">
          <cell r="C900"/>
          <cell r="D900"/>
          <cell r="E900"/>
          <cell r="F900"/>
        </row>
        <row r="901">
          <cell r="C901"/>
          <cell r="D901"/>
          <cell r="E901"/>
          <cell r="F901"/>
        </row>
        <row r="902">
          <cell r="C902"/>
          <cell r="D902"/>
          <cell r="E902"/>
          <cell r="F902"/>
        </row>
        <row r="903">
          <cell r="C903"/>
          <cell r="D903"/>
          <cell r="E903"/>
          <cell r="F903"/>
        </row>
        <row r="904">
          <cell r="C904"/>
          <cell r="D904"/>
          <cell r="E904"/>
          <cell r="F904"/>
        </row>
        <row r="905">
          <cell r="C905"/>
          <cell r="D905"/>
          <cell r="E905"/>
          <cell r="F905"/>
        </row>
        <row r="906">
          <cell r="C906"/>
          <cell r="D906"/>
          <cell r="E906"/>
          <cell r="F906"/>
        </row>
        <row r="907">
          <cell r="C907"/>
          <cell r="D907"/>
          <cell r="E907"/>
          <cell r="F907"/>
        </row>
        <row r="908">
          <cell r="C908"/>
          <cell r="D908"/>
          <cell r="E908"/>
          <cell r="F908"/>
        </row>
        <row r="909">
          <cell r="C909"/>
          <cell r="D909"/>
          <cell r="E909"/>
          <cell r="F909"/>
        </row>
        <row r="910">
          <cell r="C910"/>
          <cell r="D910"/>
          <cell r="E910"/>
          <cell r="F910"/>
        </row>
        <row r="911">
          <cell r="C911"/>
          <cell r="D911"/>
          <cell r="E911"/>
          <cell r="F911"/>
        </row>
        <row r="912">
          <cell r="C912"/>
          <cell r="D912"/>
          <cell r="E912"/>
          <cell r="F912"/>
        </row>
        <row r="913">
          <cell r="C913"/>
          <cell r="D913"/>
          <cell r="E913"/>
          <cell r="F913"/>
        </row>
        <row r="914">
          <cell r="C914"/>
          <cell r="D914"/>
          <cell r="E914"/>
          <cell r="F914"/>
        </row>
        <row r="915">
          <cell r="C915"/>
          <cell r="D915"/>
          <cell r="E915"/>
          <cell r="F915"/>
        </row>
        <row r="916">
          <cell r="C916"/>
          <cell r="D916"/>
          <cell r="E916"/>
          <cell r="F916"/>
        </row>
        <row r="917">
          <cell r="C917"/>
          <cell r="D917"/>
          <cell r="E917"/>
          <cell r="F917"/>
        </row>
        <row r="918">
          <cell r="C918"/>
          <cell r="D918"/>
          <cell r="E918"/>
          <cell r="F918"/>
        </row>
        <row r="919">
          <cell r="C919"/>
          <cell r="D919"/>
          <cell r="E919"/>
          <cell r="F919"/>
        </row>
        <row r="920">
          <cell r="C920"/>
          <cell r="D920"/>
          <cell r="E920"/>
          <cell r="F920"/>
        </row>
        <row r="921">
          <cell r="C921"/>
          <cell r="D921"/>
          <cell r="E921"/>
          <cell r="F921"/>
        </row>
        <row r="922">
          <cell r="C922"/>
          <cell r="D922"/>
          <cell r="E922"/>
          <cell r="F922"/>
        </row>
        <row r="923">
          <cell r="C923"/>
          <cell r="D923"/>
          <cell r="E923"/>
          <cell r="F923"/>
        </row>
        <row r="924">
          <cell r="C924"/>
          <cell r="D924"/>
          <cell r="E924"/>
          <cell r="F924"/>
        </row>
        <row r="925">
          <cell r="C925"/>
          <cell r="D925"/>
          <cell r="E925"/>
          <cell r="F925"/>
        </row>
        <row r="926">
          <cell r="C926"/>
          <cell r="D926"/>
          <cell r="E926"/>
          <cell r="F926"/>
        </row>
        <row r="927">
          <cell r="C927"/>
          <cell r="D927"/>
          <cell r="E927"/>
          <cell r="F927"/>
        </row>
        <row r="928">
          <cell r="C928"/>
          <cell r="D928"/>
          <cell r="E928"/>
          <cell r="F928"/>
        </row>
        <row r="929">
          <cell r="C929"/>
          <cell r="D929"/>
          <cell r="E929"/>
          <cell r="F929"/>
        </row>
        <row r="930">
          <cell r="C930"/>
          <cell r="D930"/>
          <cell r="E930"/>
          <cell r="F930"/>
        </row>
        <row r="931">
          <cell r="C931"/>
          <cell r="D931"/>
          <cell r="E931"/>
          <cell r="F931"/>
        </row>
        <row r="932">
          <cell r="C932"/>
          <cell r="D932"/>
          <cell r="E932"/>
          <cell r="F932"/>
        </row>
        <row r="933">
          <cell r="C933"/>
          <cell r="D933"/>
          <cell r="E933"/>
          <cell r="F933"/>
        </row>
        <row r="934">
          <cell r="C934"/>
          <cell r="D934"/>
          <cell r="E934"/>
          <cell r="F934"/>
        </row>
        <row r="935">
          <cell r="C935"/>
          <cell r="D935"/>
          <cell r="E935"/>
          <cell r="F935"/>
        </row>
        <row r="936">
          <cell r="C936"/>
          <cell r="D936"/>
          <cell r="E936"/>
          <cell r="F936"/>
        </row>
        <row r="937">
          <cell r="C937"/>
          <cell r="D937"/>
          <cell r="E937"/>
          <cell r="F937"/>
        </row>
        <row r="938">
          <cell r="C938"/>
          <cell r="D938"/>
          <cell r="E938"/>
          <cell r="F938"/>
        </row>
        <row r="939">
          <cell r="C939"/>
          <cell r="D939"/>
          <cell r="E939"/>
          <cell r="F939"/>
        </row>
        <row r="940">
          <cell r="C940"/>
          <cell r="D940"/>
          <cell r="E940"/>
          <cell r="F940"/>
        </row>
        <row r="941">
          <cell r="C941"/>
          <cell r="D941"/>
          <cell r="E941"/>
          <cell r="F941"/>
        </row>
        <row r="942">
          <cell r="C942"/>
          <cell r="D942"/>
          <cell r="E942"/>
          <cell r="F942"/>
        </row>
        <row r="943">
          <cell r="C943"/>
          <cell r="D943"/>
          <cell r="E943"/>
          <cell r="F943"/>
        </row>
        <row r="944">
          <cell r="C944"/>
          <cell r="D944"/>
          <cell r="E944"/>
          <cell r="F944"/>
        </row>
        <row r="945">
          <cell r="C945"/>
          <cell r="D945"/>
          <cell r="E945"/>
          <cell r="F945"/>
        </row>
        <row r="946">
          <cell r="C946"/>
          <cell r="D946"/>
          <cell r="E946"/>
          <cell r="F946"/>
        </row>
        <row r="947">
          <cell r="C947"/>
          <cell r="D947"/>
          <cell r="E947"/>
          <cell r="F947"/>
        </row>
        <row r="948">
          <cell r="C948"/>
          <cell r="D948"/>
          <cell r="E948"/>
          <cell r="F948"/>
        </row>
        <row r="949">
          <cell r="C949"/>
          <cell r="D949"/>
          <cell r="E949"/>
          <cell r="F949"/>
        </row>
        <row r="950">
          <cell r="C950"/>
          <cell r="D950"/>
          <cell r="E950"/>
          <cell r="F950"/>
        </row>
        <row r="951">
          <cell r="C951"/>
          <cell r="D951"/>
          <cell r="E951"/>
          <cell r="F951"/>
        </row>
        <row r="952">
          <cell r="C952"/>
          <cell r="D952"/>
          <cell r="E952"/>
          <cell r="F952"/>
        </row>
        <row r="953">
          <cell r="C953"/>
          <cell r="D953"/>
          <cell r="E953"/>
          <cell r="F953"/>
        </row>
        <row r="954">
          <cell r="C954"/>
          <cell r="D954"/>
          <cell r="E954"/>
          <cell r="F954"/>
        </row>
        <row r="955">
          <cell r="C955"/>
          <cell r="D955"/>
          <cell r="E955"/>
          <cell r="F955"/>
        </row>
        <row r="956">
          <cell r="C956"/>
          <cell r="D956"/>
          <cell r="E956"/>
          <cell r="F956"/>
        </row>
        <row r="957">
          <cell r="C957"/>
          <cell r="D957"/>
          <cell r="E957"/>
          <cell r="F957"/>
        </row>
        <row r="958">
          <cell r="C958"/>
          <cell r="D958"/>
          <cell r="E958"/>
          <cell r="F958"/>
        </row>
        <row r="959">
          <cell r="C959"/>
          <cell r="D959"/>
          <cell r="E959"/>
          <cell r="F959"/>
        </row>
        <row r="960">
          <cell r="C960"/>
          <cell r="D960"/>
          <cell r="E960"/>
          <cell r="F960"/>
        </row>
        <row r="961">
          <cell r="C961"/>
          <cell r="D961"/>
          <cell r="E961"/>
          <cell r="F961"/>
        </row>
        <row r="962">
          <cell r="C962"/>
          <cell r="D962"/>
          <cell r="E962"/>
          <cell r="F962"/>
        </row>
        <row r="963">
          <cell r="C963"/>
          <cell r="D963"/>
          <cell r="E963"/>
          <cell r="F963"/>
        </row>
        <row r="964">
          <cell r="C964"/>
          <cell r="D964"/>
          <cell r="E964"/>
          <cell r="F964"/>
        </row>
        <row r="965">
          <cell r="C965"/>
          <cell r="D965"/>
          <cell r="E965"/>
          <cell r="F965"/>
        </row>
        <row r="966">
          <cell r="C966"/>
          <cell r="D966"/>
          <cell r="E966"/>
          <cell r="F966"/>
        </row>
        <row r="967">
          <cell r="C967"/>
          <cell r="D967"/>
          <cell r="E967"/>
          <cell r="F967"/>
        </row>
        <row r="968">
          <cell r="C968"/>
          <cell r="D968"/>
          <cell r="E968"/>
          <cell r="F968"/>
        </row>
        <row r="969">
          <cell r="C969"/>
          <cell r="D969"/>
          <cell r="E969"/>
          <cell r="F969"/>
        </row>
        <row r="970">
          <cell r="C970"/>
          <cell r="D970"/>
          <cell r="E970"/>
          <cell r="F970"/>
        </row>
        <row r="971">
          <cell r="C971"/>
          <cell r="D971"/>
          <cell r="E971"/>
          <cell r="F971"/>
        </row>
        <row r="972">
          <cell r="C972"/>
          <cell r="D972"/>
          <cell r="E972"/>
          <cell r="F972"/>
        </row>
        <row r="973">
          <cell r="C973"/>
          <cell r="D973"/>
          <cell r="E973"/>
          <cell r="F973"/>
        </row>
        <row r="974">
          <cell r="C974"/>
          <cell r="D974"/>
          <cell r="E974"/>
          <cell r="F974"/>
        </row>
        <row r="975">
          <cell r="C975"/>
          <cell r="D975"/>
          <cell r="E975"/>
          <cell r="F975"/>
        </row>
        <row r="976">
          <cell r="C976"/>
          <cell r="D976"/>
          <cell r="E976"/>
          <cell r="F976"/>
        </row>
        <row r="977">
          <cell r="C977"/>
          <cell r="D977"/>
          <cell r="E977"/>
          <cell r="F977"/>
        </row>
        <row r="978">
          <cell r="C978"/>
          <cell r="D978"/>
          <cell r="E978"/>
          <cell r="F978"/>
        </row>
        <row r="979">
          <cell r="C979"/>
          <cell r="D979"/>
          <cell r="E979"/>
          <cell r="F979"/>
        </row>
        <row r="980">
          <cell r="C980"/>
          <cell r="D980"/>
          <cell r="E980"/>
          <cell r="F980"/>
        </row>
        <row r="981">
          <cell r="C981"/>
          <cell r="D981"/>
          <cell r="E981"/>
          <cell r="F981"/>
        </row>
        <row r="982">
          <cell r="C982"/>
          <cell r="D982"/>
          <cell r="E982"/>
          <cell r="F982"/>
        </row>
        <row r="983">
          <cell r="C983"/>
          <cell r="D983"/>
          <cell r="E983"/>
          <cell r="F983"/>
        </row>
        <row r="984">
          <cell r="C984"/>
          <cell r="D984"/>
          <cell r="E984"/>
          <cell r="F984"/>
        </row>
        <row r="985">
          <cell r="C985"/>
          <cell r="D985"/>
          <cell r="E985"/>
          <cell r="F985"/>
        </row>
        <row r="986">
          <cell r="C986"/>
          <cell r="D986"/>
          <cell r="E986"/>
          <cell r="F986"/>
        </row>
        <row r="987">
          <cell r="C987"/>
          <cell r="D987"/>
          <cell r="E987"/>
          <cell r="F987"/>
        </row>
        <row r="988">
          <cell r="C988"/>
          <cell r="D988"/>
          <cell r="E988"/>
          <cell r="F988"/>
        </row>
        <row r="989">
          <cell r="C989"/>
          <cell r="D989"/>
          <cell r="E989"/>
          <cell r="F989"/>
        </row>
        <row r="990">
          <cell r="C990"/>
          <cell r="D990"/>
          <cell r="E990"/>
          <cell r="F990"/>
        </row>
        <row r="991">
          <cell r="C991"/>
          <cell r="D991"/>
          <cell r="E991"/>
          <cell r="F991"/>
        </row>
        <row r="992">
          <cell r="C992"/>
          <cell r="D992"/>
          <cell r="E992"/>
          <cell r="F992"/>
        </row>
        <row r="993">
          <cell r="C993"/>
          <cell r="D993"/>
          <cell r="E993"/>
          <cell r="F993"/>
        </row>
        <row r="994">
          <cell r="C994"/>
          <cell r="D994"/>
          <cell r="E994"/>
          <cell r="F994"/>
        </row>
        <row r="995">
          <cell r="C995"/>
          <cell r="D995"/>
          <cell r="E995"/>
          <cell r="F995"/>
        </row>
        <row r="996">
          <cell r="C996"/>
          <cell r="D996"/>
          <cell r="E996"/>
          <cell r="F996"/>
        </row>
        <row r="997">
          <cell r="C997"/>
          <cell r="D997"/>
          <cell r="E997"/>
          <cell r="F997"/>
        </row>
        <row r="998">
          <cell r="C998"/>
          <cell r="D998"/>
          <cell r="E998"/>
          <cell r="F998"/>
        </row>
        <row r="999">
          <cell r="C999"/>
          <cell r="D999"/>
          <cell r="E999"/>
          <cell r="F999"/>
        </row>
        <row r="1000">
          <cell r="C1000"/>
          <cell r="D1000"/>
          <cell r="E1000"/>
          <cell r="F1000"/>
        </row>
        <row r="1001">
          <cell r="C1001"/>
          <cell r="D1001"/>
          <cell r="E1001"/>
          <cell r="F1001"/>
        </row>
        <row r="1002">
          <cell r="C1002"/>
          <cell r="D1002"/>
          <cell r="E1002"/>
          <cell r="F1002"/>
        </row>
        <row r="1003">
          <cell r="C1003"/>
          <cell r="D1003"/>
          <cell r="E1003"/>
          <cell r="F1003"/>
        </row>
        <row r="1004">
          <cell r="C1004"/>
          <cell r="D1004"/>
          <cell r="E1004"/>
          <cell r="F1004"/>
        </row>
        <row r="1005">
          <cell r="C1005"/>
          <cell r="D1005"/>
          <cell r="E1005"/>
          <cell r="F1005"/>
        </row>
        <row r="1006">
          <cell r="C1006"/>
          <cell r="D1006"/>
          <cell r="E1006"/>
          <cell r="F1006"/>
        </row>
        <row r="1007">
          <cell r="C1007"/>
          <cell r="D1007"/>
          <cell r="E1007"/>
          <cell r="F1007"/>
        </row>
        <row r="1008">
          <cell r="C1008"/>
          <cell r="D1008"/>
          <cell r="E1008"/>
          <cell r="F1008"/>
        </row>
        <row r="1009">
          <cell r="C1009"/>
          <cell r="D1009"/>
          <cell r="E1009"/>
          <cell r="F1009"/>
        </row>
        <row r="1010">
          <cell r="C1010"/>
          <cell r="D1010"/>
          <cell r="E1010"/>
          <cell r="F1010"/>
        </row>
        <row r="1011">
          <cell r="C1011"/>
          <cell r="D1011"/>
          <cell r="E1011"/>
          <cell r="F1011"/>
        </row>
        <row r="1012">
          <cell r="C1012"/>
          <cell r="D1012"/>
          <cell r="E1012"/>
          <cell r="F1012"/>
        </row>
        <row r="1013">
          <cell r="C1013"/>
          <cell r="D1013"/>
          <cell r="E1013"/>
          <cell r="F1013"/>
        </row>
        <row r="1014">
          <cell r="C1014"/>
          <cell r="D1014"/>
          <cell r="E1014"/>
          <cell r="F1014"/>
        </row>
        <row r="1015">
          <cell r="C1015"/>
          <cell r="D1015"/>
          <cell r="E1015"/>
          <cell r="F1015"/>
        </row>
        <row r="1016">
          <cell r="C1016"/>
          <cell r="D1016"/>
          <cell r="E1016"/>
          <cell r="F1016"/>
        </row>
        <row r="1017">
          <cell r="C1017"/>
          <cell r="D1017"/>
          <cell r="E1017"/>
          <cell r="F1017"/>
        </row>
        <row r="1018">
          <cell r="C1018"/>
          <cell r="D1018"/>
          <cell r="E1018"/>
          <cell r="F1018"/>
        </row>
        <row r="1019">
          <cell r="C1019"/>
          <cell r="D1019"/>
          <cell r="E1019"/>
          <cell r="F1019"/>
        </row>
        <row r="1020">
          <cell r="C1020"/>
          <cell r="D1020"/>
          <cell r="E1020"/>
          <cell r="F1020"/>
        </row>
        <row r="1021">
          <cell r="C1021"/>
          <cell r="D1021"/>
          <cell r="E1021"/>
          <cell r="F1021"/>
        </row>
        <row r="1022">
          <cell r="C1022"/>
          <cell r="D1022"/>
          <cell r="E1022"/>
          <cell r="F1022"/>
        </row>
        <row r="1023">
          <cell r="C1023"/>
          <cell r="D1023"/>
          <cell r="E1023"/>
          <cell r="F1023"/>
        </row>
        <row r="1024">
          <cell r="C1024"/>
          <cell r="D1024"/>
          <cell r="E1024"/>
          <cell r="F1024"/>
        </row>
        <row r="1025">
          <cell r="C1025"/>
          <cell r="D1025"/>
          <cell r="E1025"/>
          <cell r="F1025"/>
        </row>
        <row r="1026">
          <cell r="C1026"/>
          <cell r="D1026"/>
          <cell r="E1026"/>
          <cell r="F1026"/>
        </row>
        <row r="1027">
          <cell r="C1027"/>
          <cell r="D1027"/>
          <cell r="E1027"/>
          <cell r="F1027"/>
        </row>
        <row r="1028">
          <cell r="C1028"/>
          <cell r="D1028"/>
          <cell r="E1028"/>
          <cell r="F1028"/>
        </row>
        <row r="1029">
          <cell r="C1029"/>
          <cell r="D1029"/>
          <cell r="E1029"/>
          <cell r="F1029"/>
        </row>
        <row r="1030">
          <cell r="C1030"/>
          <cell r="D1030"/>
          <cell r="E1030"/>
          <cell r="F1030"/>
        </row>
        <row r="1031">
          <cell r="C1031"/>
          <cell r="D1031"/>
          <cell r="E1031"/>
          <cell r="F1031"/>
        </row>
        <row r="1032">
          <cell r="C1032"/>
          <cell r="D1032"/>
          <cell r="E1032"/>
          <cell r="F1032"/>
        </row>
        <row r="1033">
          <cell r="C1033"/>
          <cell r="D1033"/>
          <cell r="E1033"/>
          <cell r="F1033"/>
        </row>
        <row r="1034">
          <cell r="C1034"/>
          <cell r="D1034"/>
          <cell r="E1034"/>
          <cell r="F1034"/>
        </row>
        <row r="1035">
          <cell r="C1035"/>
          <cell r="D1035"/>
          <cell r="E1035"/>
          <cell r="F1035"/>
        </row>
        <row r="1036">
          <cell r="C1036"/>
          <cell r="D1036"/>
          <cell r="E1036"/>
          <cell r="F1036"/>
        </row>
        <row r="1037">
          <cell r="C1037"/>
          <cell r="D1037"/>
          <cell r="E1037"/>
          <cell r="F1037"/>
        </row>
        <row r="1038">
          <cell r="C1038"/>
          <cell r="D1038"/>
          <cell r="E1038"/>
          <cell r="F1038"/>
        </row>
        <row r="1039">
          <cell r="C1039"/>
          <cell r="D1039"/>
          <cell r="E1039"/>
          <cell r="F1039"/>
        </row>
        <row r="1040">
          <cell r="C1040"/>
          <cell r="D1040"/>
          <cell r="E1040"/>
          <cell r="F1040"/>
        </row>
        <row r="1041">
          <cell r="C1041"/>
          <cell r="D1041"/>
          <cell r="E1041"/>
          <cell r="F1041"/>
        </row>
        <row r="1042">
          <cell r="C1042"/>
          <cell r="D1042"/>
          <cell r="E1042"/>
          <cell r="F1042"/>
        </row>
        <row r="1043">
          <cell r="C1043"/>
          <cell r="D1043"/>
          <cell r="E1043"/>
          <cell r="F1043"/>
        </row>
        <row r="1044">
          <cell r="C1044"/>
          <cell r="D1044"/>
          <cell r="E1044"/>
          <cell r="F1044"/>
        </row>
        <row r="1045">
          <cell r="C1045"/>
          <cell r="D1045"/>
          <cell r="E1045"/>
          <cell r="F1045"/>
        </row>
        <row r="1046">
          <cell r="C1046"/>
          <cell r="D1046"/>
          <cell r="E1046"/>
          <cell r="F1046"/>
        </row>
        <row r="1047">
          <cell r="C1047"/>
          <cell r="D1047"/>
          <cell r="E1047"/>
          <cell r="F1047"/>
        </row>
        <row r="1048">
          <cell r="C1048"/>
          <cell r="D1048"/>
          <cell r="E1048"/>
          <cell r="F1048"/>
        </row>
        <row r="1049">
          <cell r="C1049"/>
          <cell r="D1049"/>
          <cell r="E1049"/>
          <cell r="F1049"/>
        </row>
        <row r="1050">
          <cell r="C1050"/>
          <cell r="D1050"/>
          <cell r="E1050"/>
          <cell r="F1050"/>
        </row>
        <row r="1051">
          <cell r="C1051"/>
          <cell r="D1051"/>
          <cell r="E1051"/>
          <cell r="F1051"/>
        </row>
        <row r="1052">
          <cell r="C1052"/>
          <cell r="D1052"/>
          <cell r="E1052"/>
          <cell r="F1052"/>
        </row>
        <row r="1053">
          <cell r="C1053"/>
          <cell r="D1053"/>
          <cell r="E1053"/>
          <cell r="F1053"/>
        </row>
        <row r="1054">
          <cell r="C1054"/>
          <cell r="D1054"/>
          <cell r="E1054"/>
          <cell r="F1054"/>
        </row>
        <row r="1055">
          <cell r="C1055"/>
          <cell r="D1055"/>
          <cell r="E1055"/>
          <cell r="F1055"/>
        </row>
        <row r="1056">
          <cell r="C1056"/>
          <cell r="D1056"/>
          <cell r="E1056"/>
          <cell r="F1056"/>
        </row>
        <row r="1057">
          <cell r="C1057"/>
          <cell r="D1057"/>
          <cell r="E1057"/>
          <cell r="F1057"/>
        </row>
        <row r="1058">
          <cell r="C1058"/>
          <cell r="D1058"/>
          <cell r="E1058"/>
          <cell r="F1058"/>
        </row>
        <row r="1059">
          <cell r="C1059"/>
          <cell r="D1059"/>
          <cell r="E1059"/>
          <cell r="F1059"/>
        </row>
        <row r="1060">
          <cell r="C1060"/>
          <cell r="D1060"/>
          <cell r="E1060"/>
          <cell r="F1060"/>
        </row>
        <row r="1061">
          <cell r="C1061"/>
          <cell r="D1061"/>
          <cell r="E1061"/>
          <cell r="F1061"/>
        </row>
        <row r="1062">
          <cell r="C1062"/>
          <cell r="D1062"/>
          <cell r="E1062"/>
          <cell r="F1062"/>
        </row>
        <row r="1063">
          <cell r="C1063"/>
          <cell r="D1063"/>
          <cell r="E1063"/>
          <cell r="F1063"/>
        </row>
        <row r="1064">
          <cell r="C1064"/>
          <cell r="D1064"/>
          <cell r="E1064"/>
          <cell r="F1064"/>
        </row>
        <row r="1065">
          <cell r="C1065"/>
          <cell r="D1065"/>
          <cell r="E1065"/>
          <cell r="F1065"/>
        </row>
        <row r="1066">
          <cell r="C1066"/>
          <cell r="D1066"/>
          <cell r="E1066"/>
          <cell r="F1066"/>
        </row>
        <row r="1067">
          <cell r="C1067"/>
          <cell r="D1067"/>
          <cell r="E1067"/>
          <cell r="F1067"/>
        </row>
        <row r="1068">
          <cell r="C1068"/>
          <cell r="D1068"/>
          <cell r="E1068"/>
          <cell r="F1068"/>
        </row>
        <row r="1069">
          <cell r="C1069"/>
          <cell r="D1069"/>
          <cell r="E1069"/>
          <cell r="F1069"/>
        </row>
        <row r="1070">
          <cell r="C1070"/>
          <cell r="D1070"/>
          <cell r="E1070"/>
          <cell r="F1070"/>
        </row>
        <row r="1071">
          <cell r="C1071"/>
          <cell r="D1071"/>
          <cell r="E1071"/>
          <cell r="F1071"/>
        </row>
        <row r="1072">
          <cell r="C1072"/>
          <cell r="D1072"/>
          <cell r="E1072"/>
          <cell r="F1072"/>
        </row>
        <row r="1073">
          <cell r="C1073"/>
          <cell r="D1073"/>
          <cell r="E1073"/>
          <cell r="F1073"/>
        </row>
        <row r="1074">
          <cell r="C1074"/>
          <cell r="D1074"/>
          <cell r="E1074"/>
          <cell r="F1074"/>
        </row>
        <row r="1075">
          <cell r="C1075"/>
          <cell r="D1075"/>
          <cell r="E1075"/>
          <cell r="F1075"/>
        </row>
        <row r="1076">
          <cell r="C1076"/>
          <cell r="D1076"/>
          <cell r="E1076"/>
          <cell r="F1076"/>
        </row>
        <row r="1077">
          <cell r="C1077"/>
          <cell r="D1077"/>
          <cell r="E1077"/>
          <cell r="F1077"/>
        </row>
        <row r="1078">
          <cell r="C1078"/>
          <cell r="D1078"/>
          <cell r="E1078"/>
          <cell r="F1078"/>
        </row>
        <row r="1079">
          <cell r="C1079"/>
          <cell r="D1079"/>
          <cell r="E1079"/>
          <cell r="F1079"/>
        </row>
        <row r="1080">
          <cell r="C1080"/>
          <cell r="D1080"/>
          <cell r="E1080"/>
          <cell r="F1080"/>
        </row>
        <row r="1081">
          <cell r="C1081"/>
          <cell r="D1081"/>
          <cell r="E1081"/>
          <cell r="F1081"/>
        </row>
        <row r="1082">
          <cell r="C1082"/>
          <cell r="D1082"/>
          <cell r="E1082"/>
          <cell r="F1082"/>
        </row>
        <row r="1083">
          <cell r="C1083"/>
          <cell r="D1083"/>
          <cell r="E1083"/>
          <cell r="F1083"/>
        </row>
        <row r="1084">
          <cell r="C1084"/>
          <cell r="D1084"/>
          <cell r="E1084"/>
          <cell r="F1084"/>
        </row>
        <row r="1085">
          <cell r="C1085"/>
          <cell r="D1085"/>
          <cell r="E1085"/>
          <cell r="F1085"/>
        </row>
        <row r="1086">
          <cell r="C1086"/>
          <cell r="D1086"/>
          <cell r="E1086"/>
          <cell r="F1086"/>
        </row>
        <row r="1087">
          <cell r="C1087"/>
          <cell r="D1087"/>
          <cell r="E1087"/>
          <cell r="F1087"/>
        </row>
        <row r="1088">
          <cell r="C1088"/>
          <cell r="D1088"/>
          <cell r="E1088"/>
          <cell r="F1088"/>
        </row>
        <row r="1089">
          <cell r="C1089"/>
          <cell r="D1089"/>
          <cell r="E1089"/>
          <cell r="F1089"/>
        </row>
        <row r="1090">
          <cell r="C1090"/>
          <cell r="D1090"/>
          <cell r="E1090"/>
          <cell r="F1090"/>
        </row>
        <row r="1091">
          <cell r="C1091"/>
          <cell r="D1091"/>
          <cell r="E1091"/>
          <cell r="F1091"/>
        </row>
        <row r="1092">
          <cell r="C1092"/>
          <cell r="D1092"/>
          <cell r="E1092"/>
          <cell r="F1092"/>
        </row>
        <row r="1093">
          <cell r="C1093"/>
          <cell r="D1093"/>
          <cell r="E1093"/>
          <cell r="F1093"/>
        </row>
        <row r="1094">
          <cell r="C1094"/>
          <cell r="D1094"/>
          <cell r="E1094"/>
          <cell r="F1094"/>
        </row>
        <row r="1095">
          <cell r="C1095"/>
          <cell r="D1095"/>
          <cell r="E1095"/>
          <cell r="F1095"/>
        </row>
        <row r="1096">
          <cell r="C1096"/>
          <cell r="D1096"/>
          <cell r="E1096"/>
          <cell r="F1096"/>
        </row>
        <row r="1097">
          <cell r="C1097"/>
          <cell r="D1097"/>
          <cell r="E1097"/>
          <cell r="F1097"/>
        </row>
        <row r="1098">
          <cell r="C1098"/>
          <cell r="D1098"/>
          <cell r="E1098"/>
          <cell r="F1098"/>
        </row>
        <row r="1099">
          <cell r="C1099"/>
          <cell r="D1099"/>
          <cell r="E1099"/>
          <cell r="F1099"/>
        </row>
        <row r="1100">
          <cell r="C1100"/>
          <cell r="D1100"/>
          <cell r="E1100"/>
          <cell r="F1100"/>
        </row>
        <row r="1101">
          <cell r="C1101"/>
          <cell r="D1101"/>
          <cell r="E1101"/>
          <cell r="F1101"/>
        </row>
        <row r="1102">
          <cell r="C1102"/>
          <cell r="D1102"/>
          <cell r="E1102"/>
          <cell r="F1102"/>
        </row>
        <row r="1103">
          <cell r="C1103"/>
          <cell r="D1103"/>
          <cell r="E1103"/>
          <cell r="F1103"/>
        </row>
        <row r="1104">
          <cell r="C1104"/>
          <cell r="D1104"/>
          <cell r="E1104"/>
          <cell r="F1104"/>
        </row>
        <row r="1105">
          <cell r="C1105"/>
          <cell r="D1105"/>
          <cell r="E1105"/>
          <cell r="F1105"/>
        </row>
        <row r="1106">
          <cell r="C1106"/>
          <cell r="D1106"/>
          <cell r="E1106"/>
          <cell r="F1106"/>
        </row>
        <row r="1107">
          <cell r="C1107"/>
          <cell r="D1107"/>
          <cell r="E1107"/>
          <cell r="F1107"/>
        </row>
        <row r="1108">
          <cell r="C1108"/>
          <cell r="D1108"/>
          <cell r="E1108"/>
          <cell r="F1108"/>
        </row>
        <row r="1109">
          <cell r="C1109"/>
          <cell r="D1109"/>
          <cell r="E1109"/>
          <cell r="F1109"/>
        </row>
        <row r="1110">
          <cell r="C1110"/>
          <cell r="D1110"/>
          <cell r="E1110"/>
          <cell r="F1110"/>
        </row>
        <row r="1111">
          <cell r="C1111"/>
          <cell r="D1111"/>
          <cell r="E1111"/>
          <cell r="F1111"/>
        </row>
        <row r="1112">
          <cell r="C1112"/>
          <cell r="D1112"/>
          <cell r="E1112"/>
          <cell r="F1112"/>
        </row>
        <row r="1113">
          <cell r="C1113"/>
          <cell r="D1113"/>
          <cell r="E1113"/>
          <cell r="F1113"/>
        </row>
        <row r="1114">
          <cell r="C1114"/>
          <cell r="D1114"/>
          <cell r="E1114"/>
          <cell r="F1114"/>
        </row>
        <row r="1115">
          <cell r="C1115"/>
          <cell r="D1115"/>
          <cell r="E1115"/>
          <cell r="F1115"/>
        </row>
        <row r="1116">
          <cell r="C1116"/>
          <cell r="D1116"/>
          <cell r="E1116"/>
          <cell r="F1116"/>
        </row>
        <row r="1117">
          <cell r="C1117"/>
          <cell r="D1117"/>
          <cell r="E1117"/>
          <cell r="F1117"/>
        </row>
        <row r="1118">
          <cell r="C1118"/>
          <cell r="D1118"/>
          <cell r="E1118"/>
          <cell r="F1118"/>
        </row>
        <row r="1119">
          <cell r="C1119"/>
          <cell r="D1119"/>
          <cell r="E1119"/>
          <cell r="F1119"/>
        </row>
        <row r="1120">
          <cell r="C1120"/>
          <cell r="D1120"/>
          <cell r="E1120"/>
          <cell r="F1120"/>
        </row>
        <row r="1121">
          <cell r="C1121"/>
          <cell r="D1121"/>
          <cell r="E1121"/>
          <cell r="F1121"/>
        </row>
        <row r="1122">
          <cell r="C1122"/>
          <cell r="D1122"/>
          <cell r="E1122"/>
          <cell r="F1122"/>
        </row>
        <row r="1123">
          <cell r="C1123"/>
          <cell r="D1123"/>
          <cell r="E1123"/>
          <cell r="F1123"/>
        </row>
        <row r="1124">
          <cell r="C1124"/>
          <cell r="D1124"/>
          <cell r="E1124"/>
          <cell r="F1124"/>
        </row>
        <row r="1125">
          <cell r="C1125"/>
          <cell r="D1125"/>
          <cell r="E1125"/>
          <cell r="F1125"/>
        </row>
        <row r="1126">
          <cell r="C1126"/>
          <cell r="D1126"/>
          <cell r="E1126"/>
          <cell r="F1126"/>
        </row>
        <row r="1127">
          <cell r="C1127"/>
          <cell r="D1127"/>
          <cell r="E1127"/>
          <cell r="F1127"/>
        </row>
        <row r="1128">
          <cell r="C1128"/>
          <cell r="D1128"/>
          <cell r="E1128"/>
          <cell r="F1128"/>
        </row>
        <row r="1129">
          <cell r="C1129"/>
          <cell r="D1129"/>
          <cell r="E1129"/>
          <cell r="F1129"/>
        </row>
        <row r="1130">
          <cell r="C1130"/>
          <cell r="D1130"/>
          <cell r="E1130"/>
          <cell r="F1130"/>
        </row>
        <row r="1131">
          <cell r="E1131"/>
          <cell r="F1131"/>
        </row>
        <row r="1132">
          <cell r="E1132"/>
          <cell r="F1132"/>
        </row>
      </sheetData>
      <sheetData sheetId="3"/>
      <sheetData sheetId="4">
        <row r="3">
          <cell r="B3" t="str">
            <v>-</v>
          </cell>
          <cell r="C3" t="str">
            <v>-</v>
          </cell>
          <cell r="D3"/>
        </row>
        <row r="4">
          <cell r="B4" t="str">
            <v>Almacenista</v>
          </cell>
          <cell r="C4">
            <v>908526</v>
          </cell>
          <cell r="D4">
            <v>0</v>
          </cell>
          <cell r="M4">
            <v>324623.86833333335</v>
          </cell>
        </row>
        <row r="5">
          <cell r="B5" t="str">
            <v>Ayudante Almacenista</v>
          </cell>
          <cell r="C5">
            <v>908526</v>
          </cell>
          <cell r="D5">
            <v>0</v>
          </cell>
          <cell r="M5">
            <v>324623.86833333335</v>
          </cell>
        </row>
        <row r="6">
          <cell r="B6" t="str">
            <v>Ayudante Eléctricista</v>
          </cell>
          <cell r="C6">
            <v>908526</v>
          </cell>
          <cell r="D6">
            <v>0</v>
          </cell>
          <cell r="M6">
            <v>324623.86833333335</v>
          </cell>
        </row>
        <row r="7">
          <cell r="B7" t="str">
            <v>Ayudante Emp FO</v>
          </cell>
          <cell r="C7">
            <v>908526</v>
          </cell>
          <cell r="D7">
            <v>0</v>
          </cell>
        </row>
        <row r="8">
          <cell r="B8" t="str">
            <v>Ayudante Liniería</v>
          </cell>
          <cell r="C8">
            <v>908526</v>
          </cell>
          <cell r="D8">
            <v>0</v>
          </cell>
        </row>
        <row r="9">
          <cell r="B9" t="str">
            <v>Ayudante Metalmecánico</v>
          </cell>
          <cell r="C9">
            <v>908526</v>
          </cell>
          <cell r="D9">
            <v>0</v>
          </cell>
        </row>
        <row r="10">
          <cell r="B10" t="str">
            <v>Ayudante O.Civil</v>
          </cell>
          <cell r="C10">
            <v>908526</v>
          </cell>
          <cell r="D10">
            <v>0</v>
          </cell>
        </row>
        <row r="11">
          <cell r="B11" t="str">
            <v>Ayudante Pintura</v>
          </cell>
          <cell r="C11">
            <v>908526</v>
          </cell>
          <cell r="D11">
            <v>0</v>
          </cell>
        </row>
        <row r="12">
          <cell r="B12" t="str">
            <v>Contador</v>
          </cell>
          <cell r="C12">
            <v>2500000</v>
          </cell>
          <cell r="D12">
            <v>0</v>
          </cell>
        </row>
        <row r="13">
          <cell r="B13" t="str">
            <v>Dibujante - Digitador</v>
          </cell>
          <cell r="C13">
            <v>1400000</v>
          </cell>
          <cell r="D13">
            <v>0</v>
          </cell>
        </row>
        <row r="14">
          <cell r="B14" t="str">
            <v>Director de Proyecto</v>
          </cell>
          <cell r="C14">
            <v>5000000</v>
          </cell>
          <cell r="D14">
            <v>0</v>
          </cell>
        </row>
        <row r="15">
          <cell r="B15" t="str">
            <v>Empalmador de FO</v>
          </cell>
          <cell r="C15">
            <v>0</v>
          </cell>
          <cell r="D15">
            <v>0</v>
          </cell>
        </row>
        <row r="16">
          <cell r="B16" t="str">
            <v>Gerente General</v>
          </cell>
          <cell r="C16">
            <v>0</v>
          </cell>
          <cell r="D16">
            <v>0</v>
          </cell>
        </row>
        <row r="17">
          <cell r="B17" t="str">
            <v>Ingenierio Residente</v>
          </cell>
          <cell r="C17">
            <v>2700000</v>
          </cell>
          <cell r="D17">
            <v>0</v>
          </cell>
        </row>
        <row r="18">
          <cell r="B18" t="str">
            <v>Oficial Eléctricista</v>
          </cell>
          <cell r="C18">
            <v>1700000</v>
          </cell>
          <cell r="D18">
            <v>0</v>
          </cell>
        </row>
        <row r="19">
          <cell r="B19" t="str">
            <v>Oficial Metalmecánico</v>
          </cell>
          <cell r="C19">
            <v>1700000</v>
          </cell>
          <cell r="D19">
            <v>0</v>
          </cell>
        </row>
        <row r="20">
          <cell r="B20" t="str">
            <v>Oficial O.Civil</v>
          </cell>
          <cell r="C20">
            <v>1700000</v>
          </cell>
          <cell r="D20">
            <v>0</v>
          </cell>
        </row>
        <row r="21">
          <cell r="B21" t="str">
            <v>SISO</v>
          </cell>
          <cell r="C21">
            <v>908526</v>
          </cell>
          <cell r="D21">
            <v>0</v>
          </cell>
        </row>
        <row r="22">
          <cell r="B22"/>
          <cell r="C22"/>
          <cell r="D22"/>
        </row>
        <row r="23">
          <cell r="B23"/>
          <cell r="C23"/>
          <cell r="D23"/>
        </row>
        <row r="24">
          <cell r="B24"/>
          <cell r="C24"/>
          <cell r="D24"/>
        </row>
        <row r="25">
          <cell r="B25"/>
          <cell r="C25"/>
          <cell r="D25"/>
        </row>
        <row r="26">
          <cell r="B26"/>
          <cell r="C26"/>
          <cell r="D26"/>
        </row>
        <row r="27">
          <cell r="B27"/>
          <cell r="C27"/>
          <cell r="D27"/>
        </row>
        <row r="28">
          <cell r="B28"/>
          <cell r="C28"/>
          <cell r="D28"/>
        </row>
        <row r="29">
          <cell r="B29"/>
          <cell r="C29"/>
          <cell r="D29"/>
        </row>
        <row r="30">
          <cell r="B30"/>
          <cell r="C30"/>
          <cell r="D30"/>
        </row>
        <row r="31">
          <cell r="B31"/>
          <cell r="C31"/>
          <cell r="D31"/>
        </row>
        <row r="32">
          <cell r="B32"/>
          <cell r="C32"/>
          <cell r="D32"/>
        </row>
        <row r="33">
          <cell r="B33"/>
          <cell r="C33"/>
          <cell r="D33"/>
        </row>
        <row r="34">
          <cell r="B34"/>
          <cell r="C34"/>
          <cell r="D34"/>
        </row>
        <row r="35">
          <cell r="B35"/>
          <cell r="C35"/>
          <cell r="D35"/>
        </row>
        <row r="36">
          <cell r="B36"/>
          <cell r="C36"/>
          <cell r="D36"/>
        </row>
        <row r="37">
          <cell r="B37"/>
          <cell r="C37"/>
          <cell r="D37"/>
        </row>
        <row r="38">
          <cell r="B38"/>
          <cell r="C38"/>
          <cell r="D38"/>
        </row>
        <row r="39">
          <cell r="B39"/>
          <cell r="C39"/>
          <cell r="D39"/>
        </row>
        <row r="40">
          <cell r="B40"/>
          <cell r="C40"/>
          <cell r="D40"/>
        </row>
        <row r="41">
          <cell r="B41"/>
          <cell r="C41"/>
          <cell r="D41"/>
        </row>
        <row r="42">
          <cell r="B42"/>
          <cell r="C42"/>
          <cell r="D42"/>
        </row>
        <row r="43">
          <cell r="B43"/>
          <cell r="C43"/>
          <cell r="D43"/>
        </row>
        <row r="44">
          <cell r="B44"/>
          <cell r="C44"/>
          <cell r="D44"/>
        </row>
        <row r="45">
          <cell r="B45"/>
          <cell r="C45"/>
          <cell r="D45"/>
        </row>
      </sheetData>
      <sheetData sheetId="5">
        <row r="2">
          <cell r="B2" t="str">
            <v>-</v>
          </cell>
          <cell r="C2"/>
          <cell r="D2"/>
        </row>
        <row r="3">
          <cell r="B3" t="str">
            <v>Alicate</v>
          </cell>
          <cell r="C3" t="str">
            <v>EQU</v>
          </cell>
          <cell r="D3">
            <v>747.5</v>
          </cell>
        </row>
        <row r="4">
          <cell r="B4" t="str">
            <v>Alquiler Computador</v>
          </cell>
          <cell r="C4"/>
          <cell r="D4">
            <v>50000</v>
          </cell>
        </row>
        <row r="5">
          <cell r="B5" t="str">
            <v>Analizador de redes</v>
          </cell>
          <cell r="C5" t="str">
            <v>ELEC</v>
          </cell>
          <cell r="D5">
            <v>120000</v>
          </cell>
        </row>
        <row r="6">
          <cell r="B6" t="str">
            <v>Andamios</v>
          </cell>
          <cell r="C6" t="str">
            <v>SEG</v>
          </cell>
          <cell r="D6">
            <v>64050</v>
          </cell>
        </row>
        <row r="7">
          <cell r="B7" t="str">
            <v>Antenaya</v>
          </cell>
          <cell r="C7" t="str">
            <v>SEG</v>
          </cell>
          <cell r="D7">
            <v>6752</v>
          </cell>
        </row>
        <row r="8">
          <cell r="B8" t="str">
            <v>Arnes</v>
          </cell>
          <cell r="C8" t="str">
            <v>SEG</v>
          </cell>
          <cell r="D8">
            <v>6500</v>
          </cell>
        </row>
        <row r="9">
          <cell r="B9" t="str">
            <v>Bandeja plastica</v>
          </cell>
          <cell r="C9" t="str">
            <v>EQU</v>
          </cell>
          <cell r="D9">
            <v>96.714999999999975</v>
          </cell>
        </row>
        <row r="10">
          <cell r="B10" t="str">
            <v>Barra</v>
          </cell>
          <cell r="C10" t="str">
            <v>EQU</v>
          </cell>
          <cell r="D10">
            <v>1625</v>
          </cell>
        </row>
        <row r="11">
          <cell r="B11" t="str">
            <v>Brocha</v>
          </cell>
          <cell r="C11" t="str">
            <v>EQU</v>
          </cell>
          <cell r="D11">
            <v>433.54999999999995</v>
          </cell>
        </row>
        <row r="12">
          <cell r="B12" t="str">
            <v>Caja de herramientas</v>
          </cell>
          <cell r="C12" t="str">
            <v>EQU</v>
          </cell>
          <cell r="D12">
            <v>14130</v>
          </cell>
        </row>
        <row r="13">
          <cell r="B13" t="str">
            <v>Calentador manual</v>
          </cell>
          <cell r="C13" t="str">
            <v>ELEC</v>
          </cell>
          <cell r="D13">
            <v>7247.5</v>
          </cell>
        </row>
        <row r="14">
          <cell r="B14" t="str">
            <v>Cámara Fotográfica Digital</v>
          </cell>
          <cell r="C14"/>
          <cell r="D14">
            <v>7500</v>
          </cell>
        </row>
        <row r="15">
          <cell r="B15" t="str">
            <v>Camion turbito</v>
          </cell>
          <cell r="C15" t="str">
            <v>TR</v>
          </cell>
          <cell r="D15">
            <v>174000</v>
          </cell>
        </row>
        <row r="16">
          <cell r="B16" t="str">
            <v>Camion turbo</v>
          </cell>
          <cell r="C16" t="str">
            <v>TR</v>
          </cell>
          <cell r="D16">
            <v>255199.99999999997</v>
          </cell>
        </row>
        <row r="17">
          <cell r="B17" t="str">
            <v>Camioneta 4x4</v>
          </cell>
          <cell r="C17" t="str">
            <v>TR</v>
          </cell>
          <cell r="D17">
            <v>160000</v>
          </cell>
        </row>
        <row r="18">
          <cell r="B18" t="str">
            <v>Carretilla</v>
          </cell>
          <cell r="C18" t="str">
            <v>EQU</v>
          </cell>
          <cell r="D18">
            <v>2500</v>
          </cell>
        </row>
        <row r="19">
          <cell r="B19" t="str">
            <v>Caucho dobla tubo 1/2</v>
          </cell>
          <cell r="C19" t="str">
            <v>EQU</v>
          </cell>
          <cell r="D19">
            <v>310.5</v>
          </cell>
        </row>
        <row r="20">
          <cell r="B20" t="str">
            <v>Caucho dobla tubo 3/4</v>
          </cell>
          <cell r="C20" t="str">
            <v>EQU</v>
          </cell>
          <cell r="D20">
            <v>594.65</v>
          </cell>
        </row>
        <row r="21">
          <cell r="B21" t="str">
            <v>Cegueta</v>
          </cell>
          <cell r="C21" t="str">
            <v>EQU</v>
          </cell>
          <cell r="D21">
            <v>997.5</v>
          </cell>
        </row>
        <row r="22">
          <cell r="B22" t="str">
            <v>Celular</v>
          </cell>
          <cell r="C22" t="str">
            <v>EQU</v>
          </cell>
          <cell r="D22">
            <v>23750</v>
          </cell>
        </row>
        <row r="23">
          <cell r="B23" t="str">
            <v>Cincel</v>
          </cell>
          <cell r="C23" t="str">
            <v>EQU</v>
          </cell>
          <cell r="D23">
            <v>122.5</v>
          </cell>
        </row>
        <row r="24">
          <cell r="B24" t="str">
            <v>Cinta metrica x 30 mts</v>
          </cell>
          <cell r="C24" t="str">
            <v>EQU</v>
          </cell>
          <cell r="D24">
            <v>997.5</v>
          </cell>
        </row>
        <row r="25">
          <cell r="B25" t="str">
            <v>Cinta peligro</v>
          </cell>
          <cell r="C25" t="str">
            <v>SEG</v>
          </cell>
          <cell r="D25">
            <v>178.52500000000001</v>
          </cell>
        </row>
        <row r="26">
          <cell r="B26" t="str">
            <v>Cinturon herramientas</v>
          </cell>
          <cell r="C26" t="str">
            <v>SEG</v>
          </cell>
          <cell r="D26">
            <v>1122.5</v>
          </cell>
        </row>
        <row r="27">
          <cell r="B27" t="str">
            <v>Cizalla</v>
          </cell>
          <cell r="C27" t="str">
            <v>EQU</v>
          </cell>
          <cell r="D27">
            <v>2122.5</v>
          </cell>
        </row>
        <row r="28">
          <cell r="B28" t="str">
            <v xml:space="preserve">Colombina plastica </v>
          </cell>
          <cell r="C28" t="str">
            <v>SEG</v>
          </cell>
          <cell r="D28">
            <v>1197.5</v>
          </cell>
        </row>
        <row r="29">
          <cell r="B29" t="str">
            <v>Compresor + Equipo Pintura</v>
          </cell>
          <cell r="C29" t="str">
            <v>EQU</v>
          </cell>
          <cell r="D29">
            <v>35000</v>
          </cell>
        </row>
        <row r="30">
          <cell r="B30" t="str">
            <v>Cono de 70 cm</v>
          </cell>
          <cell r="C30" t="str">
            <v>SEG</v>
          </cell>
          <cell r="D30">
            <v>1022.5</v>
          </cell>
        </row>
        <row r="31">
          <cell r="B31" t="str">
            <v>Copa cierra</v>
          </cell>
          <cell r="C31" t="str">
            <v>EQU</v>
          </cell>
          <cell r="D31">
            <v>8890</v>
          </cell>
        </row>
        <row r="32">
          <cell r="B32" t="str">
            <v>Corta frio</v>
          </cell>
          <cell r="C32" t="str">
            <v>EQU</v>
          </cell>
          <cell r="D32">
            <v>797.5</v>
          </cell>
        </row>
        <row r="33">
          <cell r="B33" t="str">
            <v>Cortadora de concreto</v>
          </cell>
          <cell r="C33" t="str">
            <v>EQU</v>
          </cell>
          <cell r="D33">
            <v>50000</v>
          </cell>
        </row>
        <row r="34">
          <cell r="B34" t="str">
            <v>Destonilladores</v>
          </cell>
          <cell r="C34" t="str">
            <v>EQU</v>
          </cell>
          <cell r="D34">
            <v>625</v>
          </cell>
        </row>
        <row r="35">
          <cell r="B35" t="str">
            <v>Dobla tubo</v>
          </cell>
          <cell r="C35" t="str">
            <v>EQU</v>
          </cell>
          <cell r="D35">
            <v>1875</v>
          </cell>
        </row>
        <row r="36">
          <cell r="B36" t="str">
            <v>Equipo extracción de nucleos</v>
          </cell>
          <cell r="C36" t="str">
            <v>EQU</v>
          </cell>
          <cell r="D36">
            <v>1200000</v>
          </cell>
        </row>
        <row r="37">
          <cell r="B37" t="str">
            <v>Equipo perforación dirigida</v>
          </cell>
          <cell r="C37" t="str">
            <v>EQU</v>
          </cell>
          <cell r="D37">
            <v>1800000</v>
          </cell>
        </row>
        <row r="38">
          <cell r="B38" t="str">
            <v>Equipo perforación neumática</v>
          </cell>
          <cell r="C38" t="str">
            <v>EQU</v>
          </cell>
          <cell r="D38">
            <v>960000</v>
          </cell>
        </row>
        <row r="39">
          <cell r="B39" t="str">
            <v>Escalera de extension hasta 24 pasos</v>
          </cell>
          <cell r="C39" t="str">
            <v>EQU</v>
          </cell>
          <cell r="D39">
            <v>26672.5</v>
          </cell>
        </row>
        <row r="40">
          <cell r="B40" t="str">
            <v>Escalera de tijera hasta 10 pasos</v>
          </cell>
          <cell r="C40" t="str">
            <v>EQU</v>
          </cell>
          <cell r="D40">
            <v>7747.5</v>
          </cell>
        </row>
        <row r="41">
          <cell r="B41" t="str">
            <v>Escuadra profesional</v>
          </cell>
          <cell r="C41" t="str">
            <v>EQU</v>
          </cell>
          <cell r="D41">
            <v>272.5</v>
          </cell>
        </row>
        <row r="42">
          <cell r="B42" t="str">
            <v>Espatula</v>
          </cell>
          <cell r="C42" t="str">
            <v>EQU</v>
          </cell>
          <cell r="D42">
            <v>200.09999999999997</v>
          </cell>
        </row>
        <row r="43">
          <cell r="B43" t="str">
            <v>Extensión industrial 30 m</v>
          </cell>
          <cell r="C43" t="str">
            <v>ELEC</v>
          </cell>
          <cell r="D43">
            <v>5022.5</v>
          </cell>
        </row>
        <row r="44">
          <cell r="B44" t="str">
            <v>Formaleta metálica bordillo</v>
          </cell>
          <cell r="C44"/>
          <cell r="D44">
            <v>904</v>
          </cell>
        </row>
        <row r="45">
          <cell r="B45" t="str">
            <v>Formaleta metálica cámara 2F1</v>
          </cell>
          <cell r="C45"/>
          <cell r="D45">
            <v>5944</v>
          </cell>
        </row>
        <row r="46">
          <cell r="B46" t="str">
            <v>Formaleta metálica cámara P4</v>
          </cell>
          <cell r="C46"/>
          <cell r="D46">
            <v>4456</v>
          </cell>
        </row>
        <row r="47">
          <cell r="B47" t="str">
            <v>Formaleta metálica cámara prefabricada 40 x 40</v>
          </cell>
          <cell r="C47"/>
          <cell r="D47">
            <v>8916</v>
          </cell>
        </row>
        <row r="48">
          <cell r="B48" t="str">
            <v>Fusionadora de FO Fujikura 12S</v>
          </cell>
          <cell r="C48"/>
          <cell r="D48">
            <v>86664</v>
          </cell>
        </row>
        <row r="49">
          <cell r="B49" t="str">
            <v>Gato hidraulico</v>
          </cell>
          <cell r="C49" t="str">
            <v>EQU</v>
          </cell>
          <cell r="D49">
            <v>30000</v>
          </cell>
        </row>
        <row r="50">
          <cell r="B50" t="str">
            <v xml:space="preserve">Grua carga postes brazo extensor hidraulico </v>
          </cell>
          <cell r="C50" t="str">
            <v>TR</v>
          </cell>
          <cell r="D50">
            <v>960000</v>
          </cell>
        </row>
        <row r="51">
          <cell r="B51" t="str">
            <v>Grua hidraulica carro canasta</v>
          </cell>
          <cell r="C51" t="str">
            <v>TR</v>
          </cell>
          <cell r="D51">
            <v>960000</v>
          </cell>
        </row>
        <row r="52">
          <cell r="B52" t="str">
            <v>Guantes primarios</v>
          </cell>
          <cell r="C52" t="str">
            <v>EQU</v>
          </cell>
          <cell r="D52">
            <v>20000</v>
          </cell>
        </row>
        <row r="53">
          <cell r="B53" t="str">
            <v>Hacha con cabo</v>
          </cell>
          <cell r="C53"/>
          <cell r="D53">
            <v>1075</v>
          </cell>
        </row>
        <row r="54">
          <cell r="B54" t="str">
            <v>Juego 4 ruedas para andamio</v>
          </cell>
          <cell r="C54" t="str">
            <v>EQU</v>
          </cell>
          <cell r="D54">
            <v>5000</v>
          </cell>
        </row>
        <row r="55">
          <cell r="B55" t="str">
            <v>Juego de Tablas</v>
          </cell>
          <cell r="C55" t="str">
            <v>EQU</v>
          </cell>
          <cell r="D55">
            <v>125</v>
          </cell>
        </row>
        <row r="56">
          <cell r="B56" t="str">
            <v>Juego llave allen</v>
          </cell>
          <cell r="C56" t="str">
            <v>EQU</v>
          </cell>
          <cell r="D56">
            <v>297.5</v>
          </cell>
        </row>
        <row r="57">
          <cell r="B57" t="str">
            <v>Juego llave ratchet</v>
          </cell>
          <cell r="C57" t="str">
            <v>EQU</v>
          </cell>
          <cell r="D57">
            <v>4997.5</v>
          </cell>
        </row>
        <row r="58">
          <cell r="B58" t="str">
            <v>Licencia Autocad</v>
          </cell>
          <cell r="C58"/>
          <cell r="D58">
            <v>25000</v>
          </cell>
        </row>
        <row r="59">
          <cell r="B59" t="str">
            <v>Llana madera</v>
          </cell>
          <cell r="C59" t="str">
            <v>EQU</v>
          </cell>
          <cell r="D59">
            <v>272.5</v>
          </cell>
        </row>
        <row r="60">
          <cell r="B60" t="str">
            <v>Llana metálica</v>
          </cell>
          <cell r="C60" t="str">
            <v>EQU</v>
          </cell>
          <cell r="D60">
            <v>272.5</v>
          </cell>
        </row>
        <row r="61">
          <cell r="B61" t="str">
            <v>Llaves mixtas</v>
          </cell>
          <cell r="C61" t="str">
            <v>EQU</v>
          </cell>
          <cell r="D61">
            <v>2372.5</v>
          </cell>
        </row>
        <row r="62">
          <cell r="B62" t="str">
            <v>Malacate</v>
          </cell>
          <cell r="C62"/>
          <cell r="D62">
            <v>5000</v>
          </cell>
        </row>
        <row r="63">
          <cell r="B63" t="str">
            <v>Manila de 1/2" x 20 mts</v>
          </cell>
          <cell r="C63" t="str">
            <v>EQU</v>
          </cell>
          <cell r="D63">
            <v>50</v>
          </cell>
        </row>
        <row r="64">
          <cell r="B64" t="str">
            <v>Maquina soldar</v>
          </cell>
          <cell r="C64" t="str">
            <v>EQU</v>
          </cell>
          <cell r="D64">
            <v>45000</v>
          </cell>
        </row>
        <row r="65">
          <cell r="B65" t="str">
            <v>Martillo</v>
          </cell>
          <cell r="C65" t="str">
            <v>EQU</v>
          </cell>
          <cell r="D65">
            <v>497.5</v>
          </cell>
        </row>
        <row r="66">
          <cell r="B66" t="str">
            <v>Martillo demoledor electrico</v>
          </cell>
          <cell r="C66" t="str">
            <v>EQU</v>
          </cell>
          <cell r="D66">
            <v>130000</v>
          </cell>
        </row>
        <row r="67">
          <cell r="B67" t="str">
            <v>Megger aislamiento</v>
          </cell>
          <cell r="C67" t="str">
            <v>ELEC</v>
          </cell>
          <cell r="D67">
            <v>56250</v>
          </cell>
        </row>
        <row r="68">
          <cell r="B68" t="str">
            <v>Metro</v>
          </cell>
          <cell r="C68" t="str">
            <v>EQU</v>
          </cell>
          <cell r="D68">
            <v>497.5</v>
          </cell>
        </row>
        <row r="69">
          <cell r="B69" t="str">
            <v>Mezcladora de concreto de 2 bultos</v>
          </cell>
          <cell r="C69" t="str">
            <v>ELEC</v>
          </cell>
          <cell r="D69">
            <v>75000</v>
          </cell>
        </row>
        <row r="70">
          <cell r="B70" t="str">
            <v>Molde cadweld</v>
          </cell>
          <cell r="C70" t="str">
            <v>ELEC</v>
          </cell>
          <cell r="D70">
            <v>7080</v>
          </cell>
        </row>
        <row r="71">
          <cell r="B71" t="str">
            <v>Mona 18 Lb</v>
          </cell>
          <cell r="C71" t="str">
            <v>EQU</v>
          </cell>
          <cell r="D71">
            <v>1697.5</v>
          </cell>
        </row>
        <row r="72">
          <cell r="B72" t="str">
            <v>Mona 4 Lb</v>
          </cell>
          <cell r="C72" t="str">
            <v>EQU</v>
          </cell>
          <cell r="D72">
            <v>722</v>
          </cell>
        </row>
        <row r="73">
          <cell r="B73" t="str">
            <v>Motobomba</v>
          </cell>
          <cell r="C73" t="str">
            <v>EQU</v>
          </cell>
          <cell r="D73">
            <v>55000</v>
          </cell>
        </row>
        <row r="74">
          <cell r="B74" t="str">
            <v>Navaja</v>
          </cell>
          <cell r="C74" t="str">
            <v>EQU</v>
          </cell>
          <cell r="D74">
            <v>222.5</v>
          </cell>
        </row>
        <row r="75">
          <cell r="B75" t="str">
            <v>Nivel</v>
          </cell>
          <cell r="C75" t="str">
            <v>EQU</v>
          </cell>
          <cell r="D75">
            <v>347.5</v>
          </cell>
        </row>
        <row r="76">
          <cell r="B76" t="str">
            <v>Odómetro</v>
          </cell>
          <cell r="C76"/>
          <cell r="D76">
            <v>4504</v>
          </cell>
        </row>
        <row r="77">
          <cell r="B77" t="str">
            <v>OTDR (Incluye VFL, Medidor Potencia y Bobina Lanzamiento)</v>
          </cell>
          <cell r="C77"/>
          <cell r="D77">
            <v>76666.666666666672</v>
          </cell>
        </row>
        <row r="78">
          <cell r="B78" t="str">
            <v>Overol enterizo Manga larga</v>
          </cell>
          <cell r="C78" t="str">
            <v>EQU</v>
          </cell>
          <cell r="D78">
            <v>1003.375</v>
          </cell>
        </row>
        <row r="79">
          <cell r="B79" t="str">
            <v xml:space="preserve">Pala </v>
          </cell>
          <cell r="C79" t="str">
            <v>EQU</v>
          </cell>
          <cell r="D79">
            <v>287.5</v>
          </cell>
        </row>
        <row r="80">
          <cell r="B80" t="str">
            <v>Paladraga</v>
          </cell>
          <cell r="C80" t="str">
            <v>EQU</v>
          </cell>
          <cell r="D80">
            <v>1000</v>
          </cell>
        </row>
        <row r="81">
          <cell r="B81" t="str">
            <v>Palustre</v>
          </cell>
          <cell r="C81" t="str">
            <v>EQU</v>
          </cell>
          <cell r="D81">
            <v>272.5</v>
          </cell>
        </row>
        <row r="82">
          <cell r="B82" t="str">
            <v>Pertiga</v>
          </cell>
          <cell r="C82" t="str">
            <v>ELEC</v>
          </cell>
          <cell r="D82">
            <v>42500</v>
          </cell>
        </row>
        <row r="83">
          <cell r="B83" t="str">
            <v>Pico</v>
          </cell>
          <cell r="C83" t="str">
            <v>EQU</v>
          </cell>
          <cell r="D83">
            <v>522.5</v>
          </cell>
        </row>
        <row r="84">
          <cell r="B84" t="str">
            <v>Pinza para molde</v>
          </cell>
          <cell r="C84" t="str">
            <v>ELEC</v>
          </cell>
          <cell r="D84">
            <v>4320</v>
          </cell>
        </row>
        <row r="85">
          <cell r="B85" t="str">
            <v>Pinza voltiamperimetrica</v>
          </cell>
          <cell r="C85" t="str">
            <v>ELEC</v>
          </cell>
          <cell r="D85">
            <v>5000</v>
          </cell>
        </row>
        <row r="86">
          <cell r="B86" t="str">
            <v>Pizon</v>
          </cell>
          <cell r="C86" t="str">
            <v>EQU</v>
          </cell>
          <cell r="D86">
            <v>1625</v>
          </cell>
        </row>
        <row r="87">
          <cell r="B87" t="str">
            <v xml:space="preserve">Planta electrica </v>
          </cell>
          <cell r="C87" t="str">
            <v>EQU</v>
          </cell>
          <cell r="D87">
            <v>75000</v>
          </cell>
        </row>
        <row r="88">
          <cell r="B88" t="str">
            <v>Ponchadora</v>
          </cell>
          <cell r="C88" t="str">
            <v>ELEC</v>
          </cell>
          <cell r="D88">
            <v>12000</v>
          </cell>
        </row>
        <row r="89">
          <cell r="B89" t="str">
            <v>Pretales</v>
          </cell>
          <cell r="C89" t="str">
            <v>SEG</v>
          </cell>
          <cell r="D89">
            <v>8500</v>
          </cell>
        </row>
        <row r="90">
          <cell r="B90" t="str">
            <v>Pulidora</v>
          </cell>
          <cell r="C90" t="str">
            <v>EQU</v>
          </cell>
          <cell r="D90">
            <v>5000</v>
          </cell>
        </row>
        <row r="91">
          <cell r="B91" t="str">
            <v>Remachadora</v>
          </cell>
          <cell r="C91" t="str">
            <v>EQU</v>
          </cell>
          <cell r="D91">
            <v>1622.5</v>
          </cell>
        </row>
        <row r="92">
          <cell r="B92" t="str">
            <v>Retrocargador</v>
          </cell>
          <cell r="C92" t="str">
            <v>TR</v>
          </cell>
          <cell r="D92">
            <v>788800</v>
          </cell>
        </row>
        <row r="93">
          <cell r="B93" t="str">
            <v>Rodillo Profesional</v>
          </cell>
          <cell r="C93" t="str">
            <v>EQU</v>
          </cell>
          <cell r="D93">
            <v>233.44999999999996</v>
          </cell>
        </row>
        <row r="94">
          <cell r="B94" t="str">
            <v>Sacabocado hidraulico</v>
          </cell>
          <cell r="C94" t="str">
            <v>EQU</v>
          </cell>
          <cell r="D94">
            <v>16250</v>
          </cell>
        </row>
        <row r="95">
          <cell r="B95" t="str">
            <v>Sonda electrica 30mts</v>
          </cell>
          <cell r="C95" t="str">
            <v>ELEC</v>
          </cell>
          <cell r="D95">
            <v>3256.125</v>
          </cell>
        </row>
        <row r="96">
          <cell r="B96" t="str">
            <v>Sonda pesada 200 mts</v>
          </cell>
          <cell r="C96" t="str">
            <v>EQU</v>
          </cell>
          <cell r="D96">
            <v>70000</v>
          </cell>
        </row>
        <row r="97">
          <cell r="B97" t="str">
            <v>Tablon</v>
          </cell>
          <cell r="C97" t="str">
            <v>EQU</v>
          </cell>
          <cell r="D97">
            <v>750</v>
          </cell>
        </row>
        <row r="98">
          <cell r="B98" t="str">
            <v xml:space="preserve">Taladro </v>
          </cell>
          <cell r="C98" t="str">
            <v>EQU</v>
          </cell>
          <cell r="D98">
            <v>6250</v>
          </cell>
        </row>
        <row r="99">
          <cell r="B99" t="str">
            <v>Taladro percutor</v>
          </cell>
          <cell r="C99" t="str">
            <v>EQU</v>
          </cell>
          <cell r="D99">
            <v>12500</v>
          </cell>
        </row>
        <row r="100">
          <cell r="B100" t="str">
            <v>Tripode</v>
          </cell>
          <cell r="C100" t="str">
            <v>EQU</v>
          </cell>
          <cell r="D100">
            <v>21375</v>
          </cell>
        </row>
        <row r="101">
          <cell r="B101" t="str">
            <v>Trozadora de metal</v>
          </cell>
          <cell r="C101" t="str">
            <v>EQU</v>
          </cell>
          <cell r="D101">
            <v>20000</v>
          </cell>
        </row>
        <row r="102">
          <cell r="B102" t="str">
            <v>Vibrocompactador tipo canguro</v>
          </cell>
          <cell r="C102" t="str">
            <v>EQU</v>
          </cell>
          <cell r="D102">
            <v>68000</v>
          </cell>
        </row>
        <row r="103">
          <cell r="B103" t="str">
            <v>Volqueta</v>
          </cell>
          <cell r="C103" t="str">
            <v>TR</v>
          </cell>
          <cell r="D103">
            <v>300000</v>
          </cell>
        </row>
        <row r="104">
          <cell r="B104" t="str">
            <v>Zunchadora</v>
          </cell>
          <cell r="C104" t="str">
            <v>ELEC</v>
          </cell>
          <cell r="D104">
            <v>7837.5</v>
          </cell>
        </row>
      </sheetData>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6B8E-04D1-40B8-843F-17F9497805AC}">
  <dimension ref="A1:I22"/>
  <sheetViews>
    <sheetView showGridLines="0" workbookViewId="0">
      <selection activeCell="B5" sqref="B5"/>
    </sheetView>
  </sheetViews>
  <sheetFormatPr baseColWidth="10" defaultColWidth="11.44140625" defaultRowHeight="13.8"/>
  <cols>
    <col min="1" max="1" width="17.88671875" style="387" customWidth="1"/>
    <col min="2" max="2" width="63.88671875" style="387" customWidth="1"/>
    <col min="3" max="3" width="12.6640625" style="387" customWidth="1"/>
    <col min="4" max="4" width="13.88671875" style="387" bestFit="1" customWidth="1"/>
    <col min="5" max="5" width="22.44140625" style="387" customWidth="1"/>
    <col min="6" max="6" width="24.5546875" style="387" customWidth="1"/>
    <col min="7" max="7" width="30" style="387" bestFit="1" customWidth="1"/>
    <col min="8" max="8" width="9.6640625" style="387" bestFit="1" customWidth="1"/>
    <col min="9" max="9" width="12.33203125" style="387" bestFit="1" customWidth="1"/>
    <col min="10" max="16384" width="11.44140625" style="387"/>
  </cols>
  <sheetData>
    <row r="1" spans="1:9" ht="18" customHeight="1">
      <c r="A1" s="445" t="s">
        <v>4906</v>
      </c>
      <c r="B1" s="445"/>
      <c r="C1" s="445"/>
      <c r="D1" s="445"/>
      <c r="E1" s="445"/>
      <c r="F1" s="445"/>
    </row>
    <row r="2" spans="1:9" ht="18" customHeight="1">
      <c r="A2" s="445"/>
      <c r="B2" s="445"/>
      <c r="C2" s="445"/>
      <c r="D2" s="445"/>
      <c r="E2" s="445"/>
      <c r="F2" s="445"/>
    </row>
    <row r="3" spans="1:9" ht="17.25" customHeight="1">
      <c r="A3" s="445"/>
      <c r="B3" s="445"/>
      <c r="C3" s="445"/>
      <c r="D3" s="445"/>
      <c r="E3" s="445"/>
      <c r="F3" s="445"/>
    </row>
    <row r="4" spans="1:9" ht="17.399999999999999">
      <c r="A4" s="398" t="s">
        <v>4907</v>
      </c>
      <c r="B4" s="446" t="str">
        <f>COSTOS!E8</f>
        <v>AGUACHICA</v>
      </c>
      <c r="C4" s="446"/>
      <c r="D4" s="446"/>
      <c r="E4" s="446"/>
      <c r="F4" s="446"/>
    </row>
    <row r="5" spans="1:9" ht="27.75" customHeight="1">
      <c r="A5" s="398" t="s">
        <v>4399</v>
      </c>
      <c r="B5" s="399"/>
      <c r="C5" s="447" t="s">
        <v>4908</v>
      </c>
      <c r="D5" s="448"/>
      <c r="E5" s="449">
        <v>44473</v>
      </c>
      <c r="F5" s="450"/>
    </row>
    <row r="6" spans="1:9" ht="16.5" customHeight="1">
      <c r="A6" s="398" t="s">
        <v>4909</v>
      </c>
      <c r="B6" s="451" t="s">
        <v>4910</v>
      </c>
      <c r="C6" s="451"/>
      <c r="D6" s="451"/>
      <c r="E6" s="451"/>
      <c r="F6" s="451"/>
    </row>
    <row r="7" spans="1:9" ht="17.399999999999999">
      <c r="A7" s="400" t="s">
        <v>4911</v>
      </c>
      <c r="B7" s="400" t="s">
        <v>4912</v>
      </c>
      <c r="C7" s="400" t="s">
        <v>0</v>
      </c>
      <c r="D7" s="400" t="s">
        <v>4913</v>
      </c>
      <c r="E7" s="400" t="s">
        <v>2</v>
      </c>
      <c r="F7" s="400" t="s">
        <v>4914</v>
      </c>
      <c r="G7" s="401" t="s">
        <v>4915</v>
      </c>
      <c r="H7" s="401" t="s">
        <v>4916</v>
      </c>
      <c r="I7" s="401" t="s">
        <v>4917</v>
      </c>
    </row>
    <row r="8" spans="1:9" ht="17.399999999999999">
      <c r="A8" s="402"/>
      <c r="B8" s="403" t="s">
        <v>4918</v>
      </c>
      <c r="C8" s="404"/>
      <c r="D8" s="404"/>
      <c r="E8" s="404"/>
      <c r="F8" s="404"/>
      <c r="G8" s="404"/>
      <c r="H8" s="404"/>
      <c r="I8" s="404"/>
    </row>
    <row r="9" spans="1:9" ht="15.75" customHeight="1">
      <c r="A9" s="405">
        <v>1</v>
      </c>
      <c r="B9" s="406"/>
      <c r="C9" s="407">
        <f>IFERROR(VLOOKUP(B9,COSTOS!D:L,7,0),0)</f>
        <v>0</v>
      </c>
      <c r="D9" s="407">
        <f>IFERROR(VLOOKUP(B9,COSTOS!D:L,8,0),0)</f>
        <v>0</v>
      </c>
      <c r="E9" s="408">
        <f>IFERROR(VLOOKUP(B9,COSTOS!D:L,9,0),0)</f>
        <v>0</v>
      </c>
      <c r="F9" s="408">
        <f>+PRODUCT(D9,E9)</f>
        <v>0</v>
      </c>
      <c r="G9" s="408">
        <f>IFERROR(VLOOKUP(B9,COSTOS!D:Y,19,0),0)</f>
        <v>0</v>
      </c>
      <c r="H9" s="408">
        <f>+PRODUCT(G9,0.19)</f>
        <v>0</v>
      </c>
      <c r="I9" s="408">
        <f>+PRODUCT(D9,H9)</f>
        <v>0</v>
      </c>
    </row>
    <row r="10" spans="1:9" ht="15.75" customHeight="1">
      <c r="A10" s="405">
        <v>2</v>
      </c>
      <c r="B10" s="406"/>
      <c r="C10" s="407">
        <f>IFERROR(VLOOKUP(B10,COSTOS!D:L,7,0),0)</f>
        <v>0</v>
      </c>
      <c r="D10" s="407">
        <f>IFERROR(VLOOKUP(B10,COSTOS!D:L,8,0),0)</f>
        <v>0</v>
      </c>
      <c r="E10" s="408">
        <f>IFERROR(VLOOKUP(B10,COSTOS!D:L,9,0),0)</f>
        <v>0</v>
      </c>
      <c r="F10" s="408">
        <f t="shared" ref="F10:F18" si="0">+PRODUCT(D10,E10)</f>
        <v>0</v>
      </c>
      <c r="G10" s="408">
        <f>IFERROR(VLOOKUP(B10,COSTOS!D:Y,19,0),0)</f>
        <v>0</v>
      </c>
      <c r="H10" s="408">
        <f t="shared" ref="H10:H18" si="1">+PRODUCT(G10,0.19)</f>
        <v>0</v>
      </c>
      <c r="I10" s="408">
        <f t="shared" ref="I10:I18" si="2">+PRODUCT(D10,H10)</f>
        <v>0</v>
      </c>
    </row>
    <row r="11" spans="1:9" ht="15.75" customHeight="1">
      <c r="A11" s="405">
        <v>3</v>
      </c>
      <c r="B11" s="406"/>
      <c r="C11" s="407">
        <f>IFERROR(VLOOKUP(B11,COSTOS!D:L,7,0),0)</f>
        <v>0</v>
      </c>
      <c r="D11" s="407">
        <f>IFERROR(VLOOKUP(B11,COSTOS!D:L,8,0),0)</f>
        <v>0</v>
      </c>
      <c r="E11" s="408">
        <f>IFERROR(VLOOKUP(B11,COSTOS!D:L,9,0),0)</f>
        <v>0</v>
      </c>
      <c r="F11" s="408">
        <f t="shared" si="0"/>
        <v>0</v>
      </c>
      <c r="G11" s="408">
        <f>IFERROR(VLOOKUP(B11,COSTOS!D:Y,19,0),0)</f>
        <v>0</v>
      </c>
      <c r="H11" s="408">
        <f t="shared" si="1"/>
        <v>0</v>
      </c>
      <c r="I11" s="408">
        <f t="shared" si="2"/>
        <v>0</v>
      </c>
    </row>
    <row r="12" spans="1:9" ht="15.75" customHeight="1">
      <c r="A12" s="405">
        <v>4</v>
      </c>
      <c r="B12" s="406"/>
      <c r="C12" s="407">
        <f>IFERROR(VLOOKUP(B12,COSTOS!D:L,7,0),0)</f>
        <v>0</v>
      </c>
      <c r="D12" s="407">
        <f>IFERROR(VLOOKUP(B12,COSTOS!D:L,8,0),0)</f>
        <v>0</v>
      </c>
      <c r="E12" s="408">
        <f>IFERROR(VLOOKUP(B12,COSTOS!D:L,9,0),0)</f>
        <v>0</v>
      </c>
      <c r="F12" s="408">
        <f t="shared" si="0"/>
        <v>0</v>
      </c>
      <c r="G12" s="408">
        <f>IFERROR(VLOOKUP(B12,COSTOS!D:Y,19,0),0)</f>
        <v>0</v>
      </c>
      <c r="H12" s="408">
        <f t="shared" si="1"/>
        <v>0</v>
      </c>
      <c r="I12" s="408">
        <f t="shared" si="2"/>
        <v>0</v>
      </c>
    </row>
    <row r="13" spans="1:9" ht="15.75" customHeight="1">
      <c r="A13" s="405">
        <v>5</v>
      </c>
      <c r="B13" s="406"/>
      <c r="C13" s="407">
        <f>IFERROR(VLOOKUP(B13,COSTOS!D:L,7,0),0)</f>
        <v>0</v>
      </c>
      <c r="D13" s="407">
        <f>IFERROR(VLOOKUP(B13,COSTOS!D:L,8,0),0)</f>
        <v>0</v>
      </c>
      <c r="E13" s="408">
        <f>IFERROR(VLOOKUP(B13,COSTOS!D:L,9,0),0)</f>
        <v>0</v>
      </c>
      <c r="F13" s="408">
        <f t="shared" si="0"/>
        <v>0</v>
      </c>
      <c r="G13" s="408">
        <f>IFERROR(VLOOKUP(B13,COSTOS!D:Y,19,0),0)</f>
        <v>0</v>
      </c>
      <c r="H13" s="408">
        <f t="shared" si="1"/>
        <v>0</v>
      </c>
      <c r="I13" s="408">
        <f t="shared" si="2"/>
        <v>0</v>
      </c>
    </row>
    <row r="14" spans="1:9" ht="15.75" customHeight="1">
      <c r="A14" s="405">
        <v>6</v>
      </c>
      <c r="B14" s="406"/>
      <c r="C14" s="407">
        <f>IFERROR(VLOOKUP(B14,COSTOS!D:L,7,0),0)</f>
        <v>0</v>
      </c>
      <c r="D14" s="407">
        <f>IFERROR(VLOOKUP(B14,COSTOS!D:L,8,0),0)</f>
        <v>0</v>
      </c>
      <c r="E14" s="408">
        <f>IFERROR(VLOOKUP(B14,COSTOS!D:L,9,0),0)</f>
        <v>0</v>
      </c>
      <c r="F14" s="408">
        <f t="shared" si="0"/>
        <v>0</v>
      </c>
      <c r="G14" s="408">
        <f>IFERROR(VLOOKUP(B14,COSTOS!D:Y,19,0),0)</f>
        <v>0</v>
      </c>
      <c r="H14" s="408">
        <f t="shared" si="1"/>
        <v>0</v>
      </c>
      <c r="I14" s="408">
        <f t="shared" si="2"/>
        <v>0</v>
      </c>
    </row>
    <row r="15" spans="1:9" ht="15.75" customHeight="1">
      <c r="A15" s="405">
        <v>7</v>
      </c>
      <c r="B15" s="406"/>
      <c r="C15" s="407">
        <f>IFERROR(VLOOKUP(B15,COSTOS!D:L,7,0),0)</f>
        <v>0</v>
      </c>
      <c r="D15" s="407">
        <f>IFERROR(VLOOKUP(B15,COSTOS!D:L,8,0),0)</f>
        <v>0</v>
      </c>
      <c r="E15" s="408">
        <f>IFERROR(VLOOKUP(B15,COSTOS!D:L,9,0),0)</f>
        <v>0</v>
      </c>
      <c r="F15" s="408">
        <f t="shared" si="0"/>
        <v>0</v>
      </c>
      <c r="G15" s="408">
        <f>IFERROR(VLOOKUP(B15,COSTOS!D:Y,19,0),0)</f>
        <v>0</v>
      </c>
      <c r="H15" s="408">
        <f t="shared" si="1"/>
        <v>0</v>
      </c>
      <c r="I15" s="408">
        <f t="shared" si="2"/>
        <v>0</v>
      </c>
    </row>
    <row r="16" spans="1:9" ht="15.75" customHeight="1">
      <c r="A16" s="405">
        <v>8</v>
      </c>
      <c r="B16" s="406"/>
      <c r="C16" s="407">
        <f>IFERROR(VLOOKUP(B16,COSTOS!D:L,7,0),0)</f>
        <v>0</v>
      </c>
      <c r="D16" s="407">
        <f>IFERROR(VLOOKUP(B16,COSTOS!D:L,8,0),0)</f>
        <v>0</v>
      </c>
      <c r="E16" s="408">
        <f>IFERROR(VLOOKUP(B16,COSTOS!D:L,9,0),0)</f>
        <v>0</v>
      </c>
      <c r="F16" s="408">
        <f t="shared" si="0"/>
        <v>0</v>
      </c>
      <c r="G16" s="408">
        <f>IFERROR(VLOOKUP(B16,COSTOS!D:Y,19,0),0)</f>
        <v>0</v>
      </c>
      <c r="H16" s="408">
        <f t="shared" si="1"/>
        <v>0</v>
      </c>
      <c r="I16" s="408">
        <f t="shared" si="2"/>
        <v>0</v>
      </c>
    </row>
    <row r="17" spans="1:9" ht="15">
      <c r="A17" s="405">
        <v>9</v>
      </c>
      <c r="B17" s="409"/>
      <c r="C17" s="407">
        <f>IFERROR(VLOOKUP(B17,COSTOS!D:L,7,0),0)</f>
        <v>0</v>
      </c>
      <c r="D17" s="407">
        <f>IFERROR(VLOOKUP(B17,COSTOS!D:L,8,0),0)</f>
        <v>0</v>
      </c>
      <c r="E17" s="408">
        <f>IFERROR(VLOOKUP(B17,COSTOS!D:L,9,0),0)</f>
        <v>0</v>
      </c>
      <c r="F17" s="408">
        <f t="shared" si="0"/>
        <v>0</v>
      </c>
      <c r="G17" s="408">
        <f>IFERROR(VLOOKUP(B17,COSTOS!D:Y,19,0),0)</f>
        <v>0</v>
      </c>
      <c r="H17" s="408">
        <f t="shared" si="1"/>
        <v>0</v>
      </c>
      <c r="I17" s="408">
        <f t="shared" si="2"/>
        <v>0</v>
      </c>
    </row>
    <row r="18" spans="1:9" ht="15.75" customHeight="1">
      <c r="A18" s="405">
        <v>10</v>
      </c>
      <c r="B18" s="406"/>
      <c r="C18" s="407">
        <f>IFERROR(VLOOKUP(B18,COSTOS!D:L,7,0),0)</f>
        <v>0</v>
      </c>
      <c r="D18" s="407">
        <f>IFERROR(VLOOKUP(B18,COSTOS!D:L,8,0),0)</f>
        <v>0</v>
      </c>
      <c r="E18" s="408">
        <f>IFERROR(VLOOKUP(B18,COSTOS!D:L,9,0),0)</f>
        <v>0</v>
      </c>
      <c r="F18" s="408">
        <f t="shared" si="0"/>
        <v>0</v>
      </c>
      <c r="G18" s="408">
        <f>IFERROR(VLOOKUP(B18,COSTOS!D:Y,19,0),0)</f>
        <v>0</v>
      </c>
      <c r="H18" s="408">
        <f t="shared" si="1"/>
        <v>0</v>
      </c>
      <c r="I18" s="408">
        <f t="shared" si="2"/>
        <v>0</v>
      </c>
    </row>
    <row r="19" spans="1:9" ht="15.75" customHeight="1">
      <c r="A19" s="452" t="s">
        <v>4919</v>
      </c>
      <c r="B19" s="453"/>
      <c r="C19" s="453"/>
      <c r="D19" s="453"/>
      <c r="E19" s="454"/>
      <c r="F19" s="410">
        <f>+SUM(F9:F18)</f>
        <v>0</v>
      </c>
      <c r="I19" s="411">
        <f>+SUM(I9:I18)</f>
        <v>0</v>
      </c>
    </row>
    <row r="20" spans="1:9" ht="15.75" customHeight="1">
      <c r="A20" s="439" t="s">
        <v>4</v>
      </c>
      <c r="B20" s="440"/>
      <c r="C20" s="440"/>
      <c r="D20" s="440"/>
      <c r="E20" s="441"/>
      <c r="F20" s="412">
        <f>+F21/0.19</f>
        <v>0</v>
      </c>
    </row>
    <row r="21" spans="1:9" ht="15.75" customHeight="1">
      <c r="A21" s="439" t="s">
        <v>4199</v>
      </c>
      <c r="B21" s="440"/>
      <c r="C21" s="440"/>
      <c r="D21" s="440"/>
      <c r="E21" s="441"/>
      <c r="F21" s="412">
        <f>+I19</f>
        <v>0</v>
      </c>
    </row>
    <row r="22" spans="1:9" ht="15.75" customHeight="1">
      <c r="A22" s="442" t="s">
        <v>4841</v>
      </c>
      <c r="B22" s="443"/>
      <c r="C22" s="443"/>
      <c r="D22" s="443"/>
      <c r="E22" s="444"/>
      <c r="F22" s="413">
        <f>+F19+F20+F21</f>
        <v>0</v>
      </c>
    </row>
  </sheetData>
  <mergeCells count="9">
    <mergeCell ref="A20:E20"/>
    <mergeCell ref="A21:E21"/>
    <mergeCell ref="A22:E22"/>
    <mergeCell ref="A1:F3"/>
    <mergeCell ref="B4:F4"/>
    <mergeCell ref="C5:D5"/>
    <mergeCell ref="E5:F5"/>
    <mergeCell ref="B6:F6"/>
    <mergeCell ref="A19:E1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FF00"/>
    <pageSetUpPr fitToPage="1"/>
  </sheetPr>
  <dimension ref="B1:AC242"/>
  <sheetViews>
    <sheetView showGridLines="0" view="pageBreakPreview" topLeftCell="A172" zoomScale="90" zoomScaleNormal="85" zoomScaleSheetLayoutView="90" workbookViewId="0">
      <selection activeCell="P17" sqref="P17"/>
    </sheetView>
  </sheetViews>
  <sheetFormatPr baseColWidth="10" defaultRowHeight="14.4"/>
  <cols>
    <col min="1" max="1" width="8.88671875" customWidth="1"/>
    <col min="2" max="2" width="0.88671875" customWidth="1"/>
    <col min="3" max="3" width="10.6640625" customWidth="1"/>
    <col min="4" max="4" width="11.44140625" customWidth="1"/>
    <col min="5" max="5" width="13.109375" customWidth="1"/>
    <col min="7" max="7" width="13.6640625" customWidth="1"/>
    <col min="8" max="8" width="13.44140625" customWidth="1"/>
    <col min="9" max="9" width="5.33203125" customWidth="1"/>
    <col min="10" max="10" width="13.88671875" customWidth="1"/>
    <col min="11" max="12" width="14.6640625" customWidth="1"/>
    <col min="13" max="13" width="21.109375" customWidth="1"/>
    <col min="14" max="14" width="1" customWidth="1"/>
    <col min="15" max="15" width="8.109375" customWidth="1"/>
    <col min="16" max="16" width="16.5546875" style="120" bestFit="1" customWidth="1"/>
    <col min="17" max="17" width="13.5546875" style="121" bestFit="1" customWidth="1"/>
    <col min="18" max="18" width="13.5546875" bestFit="1" customWidth="1"/>
    <col min="19" max="19" width="13.5546875" style="122" bestFit="1" customWidth="1"/>
    <col min="20" max="20" width="5" style="123" customWidth="1"/>
    <col min="21" max="21" width="12.88671875" customWidth="1"/>
    <col min="22" max="22" width="17.88671875" customWidth="1"/>
    <col min="23" max="23" width="14" customWidth="1"/>
    <col min="24" max="24" width="17.6640625" customWidth="1"/>
    <col min="25" max="25" width="14.6640625" customWidth="1"/>
    <col min="26" max="26" width="16.44140625" customWidth="1"/>
    <col min="27" max="27" width="13.88671875" customWidth="1"/>
    <col min="28" max="28" width="21.44140625" customWidth="1"/>
    <col min="29" max="29" width="16.109375" customWidth="1"/>
  </cols>
  <sheetData>
    <row r="1" spans="2:29" ht="16.2" customHeight="1">
      <c r="B1" s="118"/>
      <c r="C1" s="288"/>
      <c r="D1" s="288"/>
      <c r="E1" s="288"/>
      <c r="F1" s="288"/>
      <c r="G1" s="288"/>
      <c r="H1" s="288"/>
      <c r="I1" s="288"/>
      <c r="J1" s="288"/>
      <c r="K1" s="288"/>
      <c r="L1" s="288"/>
      <c r="M1" s="288"/>
      <c r="N1" s="119"/>
    </row>
    <row r="2" spans="2:29" ht="37.5" customHeight="1">
      <c r="B2" s="124"/>
      <c r="C2" s="289"/>
      <c r="D2" s="290"/>
      <c r="E2" s="290"/>
      <c r="F2" s="325"/>
      <c r="G2" s="487" t="s">
        <v>4395</v>
      </c>
      <c r="H2" s="487"/>
      <c r="I2" s="487"/>
      <c r="J2" s="487"/>
      <c r="K2" s="487"/>
      <c r="L2" s="336"/>
      <c r="M2" s="500" t="s">
        <v>4394</v>
      </c>
      <c r="N2" s="397"/>
      <c r="P2" s="125"/>
      <c r="Q2" s="126"/>
      <c r="R2" s="127"/>
      <c r="S2" s="128"/>
    </row>
    <row r="3" spans="2:29" ht="15.75" customHeight="1">
      <c r="B3" s="124"/>
      <c r="C3" s="291"/>
      <c r="D3" s="292"/>
      <c r="E3" s="292"/>
      <c r="F3" s="326"/>
      <c r="G3" s="488"/>
      <c r="H3" s="488"/>
      <c r="I3" s="488"/>
      <c r="J3" s="488"/>
      <c r="K3" s="488"/>
      <c r="L3" s="337"/>
      <c r="M3" s="501"/>
      <c r="N3" s="287"/>
      <c r="P3" s="125"/>
      <c r="Q3" s="129"/>
      <c r="R3" s="130"/>
      <c r="S3" s="131"/>
      <c r="T3" s="132"/>
    </row>
    <row r="4" spans="2:29" ht="25.5" customHeight="1">
      <c r="B4" s="124"/>
      <c r="C4" s="291"/>
      <c r="D4" s="292"/>
      <c r="E4" s="292"/>
      <c r="F4" s="326"/>
      <c r="G4" s="488"/>
      <c r="H4" s="488"/>
      <c r="I4" s="488"/>
      <c r="J4" s="488"/>
      <c r="K4" s="488"/>
      <c r="L4" s="337"/>
      <c r="M4" s="501"/>
      <c r="N4" s="287"/>
      <c r="P4" s="125"/>
      <c r="Q4" s="129"/>
      <c r="R4" s="130"/>
      <c r="S4" s="131"/>
      <c r="T4" s="132"/>
    </row>
    <row r="5" spans="2:29" ht="17.25" customHeight="1">
      <c r="B5" s="124"/>
      <c r="C5" s="293"/>
      <c r="D5" s="294"/>
      <c r="E5" s="294"/>
      <c r="F5" s="327"/>
      <c r="G5" s="489"/>
      <c r="H5" s="489"/>
      <c r="I5" s="489"/>
      <c r="J5" s="489"/>
      <c r="K5" s="489"/>
      <c r="L5" s="338"/>
      <c r="M5" s="502"/>
      <c r="N5" s="287"/>
      <c r="P5" s="125"/>
      <c r="Q5" s="129"/>
      <c r="R5" s="130"/>
      <c r="S5" s="131"/>
      <c r="T5" s="132"/>
    </row>
    <row r="6" spans="2:29" ht="24" customHeight="1">
      <c r="B6" s="124"/>
      <c r="C6" s="493" t="s">
        <v>4396</v>
      </c>
      <c r="D6" s="494"/>
      <c r="E6" s="494"/>
      <c r="F6" s="494"/>
      <c r="G6" s="494"/>
      <c r="H6" s="494"/>
      <c r="I6" s="494"/>
      <c r="J6" s="494"/>
      <c r="K6" s="494"/>
      <c r="L6" s="494"/>
      <c r="M6" s="495"/>
      <c r="N6" s="133"/>
      <c r="P6" s="125"/>
      <c r="Q6" s="134"/>
      <c r="R6" s="130"/>
      <c r="S6" s="130"/>
      <c r="T6" s="135"/>
    </row>
    <row r="7" spans="2:29" ht="18" customHeight="1">
      <c r="B7" s="124"/>
      <c r="C7" s="295"/>
      <c r="D7" s="295"/>
      <c r="E7" s="295"/>
      <c r="F7" s="295"/>
      <c r="G7" s="295"/>
      <c r="H7" s="295"/>
      <c r="I7" s="295"/>
      <c r="J7" s="290"/>
      <c r="K7" s="295"/>
      <c r="L7" s="295"/>
      <c r="M7" s="295"/>
      <c r="N7" s="133"/>
      <c r="P7" s="125"/>
      <c r="Q7" s="134"/>
      <c r="R7" s="130"/>
      <c r="S7" s="130"/>
      <c r="T7" s="135"/>
    </row>
    <row r="8" spans="2:29" s="136" customFormat="1" ht="23.25" customHeight="1">
      <c r="B8" s="296"/>
      <c r="C8" s="496" t="s">
        <v>4401</v>
      </c>
      <c r="D8" s="497"/>
      <c r="E8" s="479" t="s">
        <v>4851</v>
      </c>
      <c r="F8" s="479"/>
      <c r="G8" s="479"/>
      <c r="H8" s="479"/>
      <c r="I8" s="479"/>
      <c r="J8" s="479"/>
      <c r="K8" s="479"/>
      <c r="L8" s="479"/>
      <c r="M8" s="480"/>
      <c r="N8" s="297"/>
      <c r="P8" s="137"/>
      <c r="Q8" s="138"/>
      <c r="R8" s="139"/>
      <c r="S8" s="140"/>
      <c r="T8" s="141"/>
      <c r="U8" s="142"/>
      <c r="V8" s="142"/>
      <c r="W8" s="142"/>
    </row>
    <row r="9" spans="2:29" s="136" customFormat="1" ht="23.25" customHeight="1">
      <c r="B9" s="296"/>
      <c r="C9" s="477" t="s">
        <v>4902</v>
      </c>
      <c r="D9" s="478"/>
      <c r="E9" s="481" t="s">
        <v>8</v>
      </c>
      <c r="F9" s="481"/>
      <c r="G9" s="481"/>
      <c r="H9" s="481"/>
      <c r="I9" s="481"/>
      <c r="J9" s="481"/>
      <c r="K9" s="481"/>
      <c r="L9" s="481"/>
      <c r="M9" s="482"/>
      <c r="N9" s="298"/>
      <c r="P9" s="137"/>
      <c r="Q9" s="143"/>
      <c r="R9" s="144"/>
      <c r="S9" s="144"/>
      <c r="T9" s="141"/>
      <c r="U9" s="142"/>
      <c r="V9" s="142"/>
      <c r="W9" s="142"/>
    </row>
    <row r="10" spans="2:29" s="136" customFormat="1" ht="23.25" customHeight="1">
      <c r="B10" s="296"/>
      <c r="C10" s="498" t="s">
        <v>4402</v>
      </c>
      <c r="D10" s="499"/>
      <c r="E10" s="483">
        <f ca="1">TODAY()</f>
        <v>44889</v>
      </c>
      <c r="F10" s="483"/>
      <c r="G10" s="483"/>
      <c r="H10" s="483"/>
      <c r="I10" s="483"/>
      <c r="J10" s="483"/>
      <c r="K10" s="483"/>
      <c r="L10" s="483"/>
      <c r="M10" s="484"/>
      <c r="N10" s="299"/>
      <c r="P10" s="137"/>
      <c r="Q10" s="138"/>
      <c r="R10" s="139"/>
      <c r="S10" s="146"/>
      <c r="T10" s="147"/>
      <c r="U10" s="142"/>
      <c r="V10" s="142"/>
      <c r="W10" s="142"/>
    </row>
    <row r="11" spans="2:29" s="136" customFormat="1" ht="23.25" customHeight="1">
      <c r="B11" s="296"/>
      <c r="C11" s="490" t="s">
        <v>4403</v>
      </c>
      <c r="D11" s="491"/>
      <c r="E11" s="485" t="s">
        <v>4790</v>
      </c>
      <c r="F11" s="485"/>
      <c r="G11" s="485"/>
      <c r="H11" s="485"/>
      <c r="I11" s="485"/>
      <c r="J11" s="485"/>
      <c r="K11" s="485"/>
      <c r="L11" s="485"/>
      <c r="M11" s="486"/>
      <c r="N11" s="300"/>
      <c r="P11" s="468"/>
      <c r="Q11" s="468"/>
      <c r="R11" s="139"/>
      <c r="S11" s="146"/>
      <c r="T11" s="147"/>
      <c r="U11" s="142"/>
      <c r="V11" s="142"/>
      <c r="W11" s="142"/>
    </row>
    <row r="12" spans="2:29" s="136" customFormat="1" ht="23.25" customHeight="1">
      <c r="B12" s="296"/>
      <c r="C12" s="477" t="s">
        <v>4404</v>
      </c>
      <c r="D12" s="478"/>
      <c r="E12" s="481" t="s">
        <v>4405</v>
      </c>
      <c r="F12" s="481"/>
      <c r="G12" s="481"/>
      <c r="H12" s="481"/>
      <c r="I12" s="481"/>
      <c r="J12" s="481"/>
      <c r="K12" s="481"/>
      <c r="L12" s="481"/>
      <c r="M12" s="482"/>
      <c r="N12" s="300"/>
      <c r="P12" s="145"/>
      <c r="R12" s="142"/>
      <c r="S12" s="142"/>
      <c r="T12" s="148"/>
      <c r="U12" s="142"/>
      <c r="V12" s="142"/>
      <c r="W12" s="142"/>
    </row>
    <row r="13" spans="2:29" s="149" customFormat="1" ht="17.25" customHeight="1">
      <c r="B13" s="150"/>
      <c r="C13" s="323"/>
      <c r="D13" s="323"/>
      <c r="E13" s="323"/>
      <c r="F13" s="323"/>
      <c r="G13" s="323"/>
      <c r="H13" s="323"/>
      <c r="I13" s="323"/>
      <c r="J13" s="323"/>
      <c r="K13" s="323"/>
      <c r="L13" s="323"/>
      <c r="M13" s="323"/>
      <c r="N13" s="151"/>
      <c r="P13" s="152"/>
      <c r="Q13" s="152"/>
      <c r="R13" s="153"/>
      <c r="S13" s="153"/>
      <c r="T13" s="154"/>
      <c r="U13" s="153"/>
      <c r="V13" s="153"/>
      <c r="W13" s="153"/>
    </row>
    <row r="14" spans="2:29" s="149" customFormat="1" ht="25.5" customHeight="1">
      <c r="B14" s="150"/>
      <c r="C14" s="469" t="str">
        <f>E12</f>
        <v>MODERNIZACION A TECNOLOGIA LED</v>
      </c>
      <c r="D14" s="470"/>
      <c r="E14" s="470"/>
      <c r="F14" s="470"/>
      <c r="G14" s="470"/>
      <c r="H14" s="470"/>
      <c r="I14" s="470"/>
      <c r="J14" s="470"/>
      <c r="K14" s="470"/>
      <c r="L14" s="470"/>
      <c r="M14" s="471"/>
      <c r="N14" s="155"/>
      <c r="O14" s="156"/>
      <c r="P14" s="157"/>
      <c r="Q14" s="157"/>
      <c r="R14" s="153"/>
      <c r="S14" s="153"/>
      <c r="T14" s="154"/>
      <c r="U14" s="394">
        <f>VLOOKUP($E$8,Listas!$A:$F,2,0)</f>
        <v>0.1</v>
      </c>
      <c r="V14" s="394">
        <f>VLOOKUP($E$8,Listas!$A:$F,3,0)</f>
        <v>0.1</v>
      </c>
      <c r="W14" s="394">
        <f>VLOOKUP($E$8,Listas!$A:$F,4,0)</f>
        <v>0.01</v>
      </c>
      <c r="X14" s="394">
        <f>VLOOKUP($E$8,Listas!$A:$F,5,0)</f>
        <v>0</v>
      </c>
      <c r="Y14" s="394">
        <f>VLOOKUP($E$8,Listas!$A:$F,6,0)</f>
        <v>0.03</v>
      </c>
      <c r="Z14" s="395"/>
      <c r="AA14" s="396">
        <v>0.19</v>
      </c>
    </row>
    <row r="15" spans="2:29" s="149" customFormat="1" ht="49.5" customHeight="1">
      <c r="B15" s="301"/>
      <c r="C15" s="342" t="s">
        <v>4233</v>
      </c>
      <c r="D15" s="474" t="s">
        <v>4234</v>
      </c>
      <c r="E15" s="475"/>
      <c r="F15" s="475"/>
      <c r="G15" s="475"/>
      <c r="H15" s="475"/>
      <c r="I15" s="476"/>
      <c r="J15" s="343" t="s">
        <v>4232</v>
      </c>
      <c r="K15" s="343" t="s">
        <v>4235</v>
      </c>
      <c r="L15" s="344" t="s">
        <v>4905</v>
      </c>
      <c r="M15" s="342" t="s">
        <v>4904</v>
      </c>
      <c r="N15" s="302"/>
      <c r="O15" s="158"/>
      <c r="P15" s="393" t="s">
        <v>4380</v>
      </c>
      <c r="Q15" s="393" t="s">
        <v>4381</v>
      </c>
      <c r="R15" s="393" t="s">
        <v>4382</v>
      </c>
      <c r="S15" s="393" t="s">
        <v>4383</v>
      </c>
      <c r="T15" s="393"/>
      <c r="U15" s="393" t="s">
        <v>4836</v>
      </c>
      <c r="V15" s="393" t="s">
        <v>4837</v>
      </c>
      <c r="W15" s="393" t="s">
        <v>4838</v>
      </c>
      <c r="X15" s="393" t="s">
        <v>4839</v>
      </c>
      <c r="Y15" s="393" t="s">
        <v>4840</v>
      </c>
      <c r="Z15" s="393" t="s">
        <v>4901</v>
      </c>
      <c r="AA15" s="393" t="s">
        <v>4199</v>
      </c>
      <c r="AB15" s="393" t="s">
        <v>4841</v>
      </c>
      <c r="AC15" s="342" t="s">
        <v>4842</v>
      </c>
    </row>
    <row r="16" spans="2:29" s="149" customFormat="1" ht="30.75" customHeight="1">
      <c r="B16" s="301"/>
      <c r="C16" s="339">
        <v>1</v>
      </c>
      <c r="D16" s="464" t="s">
        <v>4611</v>
      </c>
      <c r="E16" s="465"/>
      <c r="F16" s="465"/>
      <c r="G16" s="465"/>
      <c r="H16" s="465"/>
      <c r="I16" s="466"/>
      <c r="J16" s="340"/>
      <c r="K16" s="341"/>
      <c r="L16" s="341"/>
      <c r="M16" s="341"/>
      <c r="N16" s="307"/>
      <c r="O16" s="162"/>
      <c r="P16" s="162"/>
      <c r="Q16" s="163"/>
      <c r="R16" s="164"/>
      <c r="S16" s="165"/>
      <c r="T16" s="160"/>
      <c r="U16" s="375"/>
      <c r="V16" s="376"/>
      <c r="W16" s="377"/>
      <c r="X16" s="377"/>
      <c r="Y16" s="377"/>
      <c r="AA16" s="157"/>
      <c r="AB16" s="378"/>
      <c r="AC16" s="380"/>
    </row>
    <row r="17" spans="2:29" s="149" customFormat="1" ht="39.6" customHeight="1">
      <c r="B17" s="301"/>
      <c r="C17" s="333">
        <v>1.1000000000000001</v>
      </c>
      <c r="D17" s="461" t="s">
        <v>4601</v>
      </c>
      <c r="E17" s="462"/>
      <c r="F17" s="462"/>
      <c r="G17" s="462"/>
      <c r="H17" s="462"/>
      <c r="I17" s="463"/>
      <c r="J17" s="333" t="s">
        <v>4127</v>
      </c>
      <c r="K17" s="334"/>
      <c r="L17" s="305">
        <f ca="1">Z17</f>
        <v>21451.530960640001</v>
      </c>
      <c r="M17" s="306">
        <f t="shared" ref="M17:M22" ca="1" si="0">L17*K17</f>
        <v>0</v>
      </c>
      <c r="N17" s="307"/>
      <c r="O17" s="162"/>
      <c r="P17" s="384">
        <f ca="1">IF(IFERROR(VLOOKUP(C17,APU!H:N,4,0),0),VLOOKUP(C17,APU!H:N,4,0),0)</f>
        <v>0</v>
      </c>
      <c r="Q17" s="384">
        <f ca="1">IF(IFERROR(VLOOKUP(C17,APU!H:N,5,0),0),VLOOKUP(C17,APU!H:N,5,0),0)</f>
        <v>17212.1728</v>
      </c>
      <c r="R17" s="384">
        <f ca="1">IF(IFERROR(VLOOKUP(C17,APU!H:N,6,0),0),VLOOKUP(C17,APU!H:N,6,0),0)</f>
        <v>0</v>
      </c>
      <c r="S17" s="384">
        <f ca="1">IF(IFERROR(VLOOKUP(C17,APU!H:N,7,0),0),VLOOKUP(C17,APU!H:N,7,0),0)</f>
        <v>0</v>
      </c>
      <c r="T17" s="160"/>
      <c r="U17" s="384">
        <f ca="1">(P17+Q17+R17+S17)*$U$14</f>
        <v>1721.2172800000001</v>
      </c>
      <c r="V17" s="384">
        <f ca="1">(P17+Q17+R17+S17)*$V$14</f>
        <v>1721.2172800000001</v>
      </c>
      <c r="W17" s="384">
        <f ca="1">(Q17+R17+S17)*$W$14</f>
        <v>172.12172800000002</v>
      </c>
      <c r="X17" s="384">
        <f ca="1">(P17+Q17+R17+S17)*$X$14</f>
        <v>0</v>
      </c>
      <c r="Y17" s="384">
        <f ca="1">(P17+Q17+U17+V17+W17+X17+R17+S17)*$Y$14</f>
        <v>624.80187263999994</v>
      </c>
      <c r="Z17" s="384">
        <f ca="1">R17+S17+U17+V17+W17+X17+Y17+Q17+P17</f>
        <v>21451.530960640001</v>
      </c>
      <c r="AA17" s="384">
        <f ca="1">V17*$AA$14</f>
        <v>327.03128320000002</v>
      </c>
      <c r="AB17" s="384">
        <f ca="1">Z17*K17</f>
        <v>0</v>
      </c>
      <c r="AC17" s="384">
        <f ca="1">AA17*K17</f>
        <v>0</v>
      </c>
    </row>
    <row r="18" spans="2:29" s="149" customFormat="1" ht="30.75" customHeight="1">
      <c r="B18" s="301"/>
      <c r="C18" s="333">
        <v>1.2</v>
      </c>
      <c r="D18" s="461" t="s">
        <v>4602</v>
      </c>
      <c r="E18" s="462" t="s">
        <v>4602</v>
      </c>
      <c r="F18" s="462" t="s">
        <v>4602</v>
      </c>
      <c r="G18" s="462" t="s">
        <v>4602</v>
      </c>
      <c r="H18" s="462" t="s">
        <v>4602</v>
      </c>
      <c r="I18" s="463" t="s">
        <v>4602</v>
      </c>
      <c r="J18" s="333" t="s">
        <v>4127</v>
      </c>
      <c r="K18" s="334"/>
      <c r="L18" s="305">
        <f t="shared" ref="L18:L81" ca="1" si="1">Z18</f>
        <v>21451.530960640001</v>
      </c>
      <c r="M18" s="306">
        <f t="shared" ca="1" si="0"/>
        <v>0</v>
      </c>
      <c r="N18" s="307"/>
      <c r="O18" s="162"/>
      <c r="P18" s="384">
        <f ca="1">IF(IFERROR(VLOOKUP(C18,APU!H:N,4,0),0),VLOOKUP(C18,APU!H:N,4,0),0)</f>
        <v>0</v>
      </c>
      <c r="Q18" s="384">
        <f ca="1">IF(IFERROR(VLOOKUP(C18,APU!H:N,5,0),0),VLOOKUP(C18,APU!H:N,5,0),0)</f>
        <v>17212.1728</v>
      </c>
      <c r="R18" s="384">
        <f ca="1">IF(IFERROR(VLOOKUP(C18,APU!H:N,6,0),0),VLOOKUP(C18,APU!H:N,6,0),0)</f>
        <v>0</v>
      </c>
      <c r="S18" s="384">
        <f ca="1">IF(IFERROR(VLOOKUP(C18,APU!H:N,7,0),0),VLOOKUP(C18,APU!H:N,7,0),0)</f>
        <v>0</v>
      </c>
      <c r="T18" s="160"/>
      <c r="U18" s="384">
        <f t="shared" ref="U18:U81" ca="1" si="2">(P18+Q18+R18+S18)*$U$14</f>
        <v>1721.2172800000001</v>
      </c>
      <c r="V18" s="384">
        <f t="shared" ref="V18:V81" ca="1" si="3">(P18+Q18+R18+S18)*$V$14</f>
        <v>1721.2172800000001</v>
      </c>
      <c r="W18" s="384">
        <f t="shared" ref="W18:W81" ca="1" si="4">(Q18+R18+S18)*$W$14</f>
        <v>172.12172800000002</v>
      </c>
      <c r="X18" s="384">
        <f t="shared" ref="X18:X81" ca="1" si="5">(P18+Q18+R18+S18)*$X$14</f>
        <v>0</v>
      </c>
      <c r="Y18" s="384">
        <f t="shared" ref="Y18:Y81" ca="1" si="6">(P18+Q18+U18+V18+W18+X18+R18+S18)*$Y$14</f>
        <v>624.80187263999994</v>
      </c>
      <c r="Z18" s="384">
        <f t="shared" ref="Z18:Z81" ca="1" si="7">R18+S18+U18+V18+W18+X18+Y18+Q18+P18</f>
        <v>21451.530960640001</v>
      </c>
      <c r="AA18" s="384">
        <f t="shared" ref="AA18:AA81" ca="1" si="8">V18*$AA$14</f>
        <v>327.03128320000002</v>
      </c>
      <c r="AB18" s="384">
        <f t="shared" ref="AB18:AB81" ca="1" si="9">Z18*K18</f>
        <v>0</v>
      </c>
      <c r="AC18" s="384">
        <f t="shared" ref="AC18:AC81" ca="1" si="10">AA18*K18</f>
        <v>0</v>
      </c>
    </row>
    <row r="19" spans="2:29" s="149" customFormat="1" ht="30.75" customHeight="1">
      <c r="B19" s="301"/>
      <c r="C19" s="333">
        <v>1.3</v>
      </c>
      <c r="D19" s="461" t="s">
        <v>4603</v>
      </c>
      <c r="E19" s="462" t="s">
        <v>4603</v>
      </c>
      <c r="F19" s="462" t="s">
        <v>4603</v>
      </c>
      <c r="G19" s="462" t="s">
        <v>4603</v>
      </c>
      <c r="H19" s="462" t="s">
        <v>4603</v>
      </c>
      <c r="I19" s="463" t="s">
        <v>4603</v>
      </c>
      <c r="J19" s="333" t="s">
        <v>4127</v>
      </c>
      <c r="K19" s="334"/>
      <c r="L19" s="305">
        <f t="shared" ca="1" si="1"/>
        <v>21451.530960640001</v>
      </c>
      <c r="M19" s="306">
        <f t="shared" ca="1" si="0"/>
        <v>0</v>
      </c>
      <c r="N19" s="307"/>
      <c r="O19" s="162"/>
      <c r="P19" s="384">
        <f ca="1">IF(IFERROR(VLOOKUP(C19,APU!H:N,4,0),0),VLOOKUP(C19,APU!H:N,4,0),0)</f>
        <v>0</v>
      </c>
      <c r="Q19" s="384">
        <f ca="1">IF(IFERROR(VLOOKUP(C19,APU!H:N,5,0),0),VLOOKUP(C19,APU!H:N,5,0),0)</f>
        <v>17212.1728</v>
      </c>
      <c r="R19" s="384">
        <f ca="1">IF(IFERROR(VLOOKUP(C19,APU!H:N,6,0),0),VLOOKUP(C19,APU!H:N,6,0),0)</f>
        <v>0</v>
      </c>
      <c r="S19" s="384">
        <f ca="1">IF(IFERROR(VLOOKUP(C19,APU!H:N,7,0),0),VLOOKUP(C19,APU!H:N,7,0),0)</f>
        <v>0</v>
      </c>
      <c r="T19" s="160"/>
      <c r="U19" s="384">
        <f t="shared" ca="1" si="2"/>
        <v>1721.2172800000001</v>
      </c>
      <c r="V19" s="384">
        <f t="shared" ca="1" si="3"/>
        <v>1721.2172800000001</v>
      </c>
      <c r="W19" s="384">
        <f t="shared" ca="1" si="4"/>
        <v>172.12172800000002</v>
      </c>
      <c r="X19" s="384">
        <f t="shared" ca="1" si="5"/>
        <v>0</v>
      </c>
      <c r="Y19" s="384">
        <f t="shared" ca="1" si="6"/>
        <v>624.80187263999994</v>
      </c>
      <c r="Z19" s="384">
        <f t="shared" ca="1" si="7"/>
        <v>21451.530960640001</v>
      </c>
      <c r="AA19" s="384">
        <f t="shared" ca="1" si="8"/>
        <v>327.03128320000002</v>
      </c>
      <c r="AB19" s="384">
        <f t="shared" ca="1" si="9"/>
        <v>0</v>
      </c>
      <c r="AC19" s="384">
        <f t="shared" ca="1" si="10"/>
        <v>0</v>
      </c>
    </row>
    <row r="20" spans="2:29" s="149" customFormat="1" ht="30.75" customHeight="1">
      <c r="B20" s="301"/>
      <c r="C20" s="333">
        <v>1.4</v>
      </c>
      <c r="D20" s="461" t="s">
        <v>4604</v>
      </c>
      <c r="E20" s="462" t="s">
        <v>4604</v>
      </c>
      <c r="F20" s="462" t="s">
        <v>4604</v>
      </c>
      <c r="G20" s="462" t="s">
        <v>4604</v>
      </c>
      <c r="H20" s="462" t="s">
        <v>4604</v>
      </c>
      <c r="I20" s="463" t="s">
        <v>4604</v>
      </c>
      <c r="J20" s="333" t="s">
        <v>4127</v>
      </c>
      <c r="K20" s="334"/>
      <c r="L20" s="305">
        <f t="shared" ca="1" si="1"/>
        <v>21451.530960640001</v>
      </c>
      <c r="M20" s="306">
        <f t="shared" ca="1" si="0"/>
        <v>0</v>
      </c>
      <c r="N20" s="307"/>
      <c r="O20" s="162"/>
      <c r="P20" s="384">
        <f ca="1">IF(IFERROR(VLOOKUP(C20,APU!H:N,4,0),0),VLOOKUP(C20,APU!H:N,4,0),0)</f>
        <v>0</v>
      </c>
      <c r="Q20" s="384">
        <f ca="1">IF(IFERROR(VLOOKUP(C20,APU!H:N,5,0),0),VLOOKUP(C20,APU!H:N,5,0),0)</f>
        <v>17212.1728</v>
      </c>
      <c r="R20" s="384">
        <f ca="1">IF(IFERROR(VLOOKUP(C20,APU!H:N,6,0),0),VLOOKUP(C20,APU!H:N,6,0),0)</f>
        <v>0</v>
      </c>
      <c r="S20" s="384">
        <f ca="1">IF(IFERROR(VLOOKUP(C20,APU!H:N,7,0),0),VLOOKUP(C20,APU!H:N,7,0),0)</f>
        <v>0</v>
      </c>
      <c r="T20" s="160"/>
      <c r="U20" s="384">
        <f t="shared" ca="1" si="2"/>
        <v>1721.2172800000001</v>
      </c>
      <c r="V20" s="384">
        <f t="shared" ca="1" si="3"/>
        <v>1721.2172800000001</v>
      </c>
      <c r="W20" s="384">
        <f t="shared" ca="1" si="4"/>
        <v>172.12172800000002</v>
      </c>
      <c r="X20" s="384">
        <f t="shared" ca="1" si="5"/>
        <v>0</v>
      </c>
      <c r="Y20" s="384">
        <f t="shared" ca="1" si="6"/>
        <v>624.80187263999994</v>
      </c>
      <c r="Z20" s="384">
        <f t="shared" ca="1" si="7"/>
        <v>21451.530960640001</v>
      </c>
      <c r="AA20" s="384">
        <f t="shared" ca="1" si="8"/>
        <v>327.03128320000002</v>
      </c>
      <c r="AB20" s="384">
        <f t="shared" ca="1" si="9"/>
        <v>0</v>
      </c>
      <c r="AC20" s="384">
        <f t="shared" ca="1" si="10"/>
        <v>0</v>
      </c>
    </row>
    <row r="21" spans="2:29" s="149" customFormat="1" ht="30.75" customHeight="1">
      <c r="B21" s="301"/>
      <c r="C21" s="333">
        <v>1.5</v>
      </c>
      <c r="D21" s="461" t="s">
        <v>4606</v>
      </c>
      <c r="E21" s="462" t="s">
        <v>4606</v>
      </c>
      <c r="F21" s="462" t="s">
        <v>4606</v>
      </c>
      <c r="G21" s="462" t="s">
        <v>4606</v>
      </c>
      <c r="H21" s="462" t="s">
        <v>4606</v>
      </c>
      <c r="I21" s="463" t="s">
        <v>4606</v>
      </c>
      <c r="J21" s="333" t="s">
        <v>4127</v>
      </c>
      <c r="K21" s="334"/>
      <c r="L21" s="305">
        <f t="shared" ca="1" si="1"/>
        <v>25733.6024</v>
      </c>
      <c r="M21" s="306">
        <f t="shared" ca="1" si="0"/>
        <v>0</v>
      </c>
      <c r="N21" s="307"/>
      <c r="O21" s="162"/>
      <c r="P21" s="384">
        <f ca="1">IF(IFERROR(VLOOKUP(C21,APU!H:N,4,0),0),VLOOKUP(C21,APU!H:N,4,0),0)</f>
        <v>0</v>
      </c>
      <c r="Q21" s="384">
        <f ca="1">IF(IFERROR(VLOOKUP(C21,APU!H:N,5,0),0),VLOOKUP(C21,APU!H:N,5,0),0)</f>
        <v>20648</v>
      </c>
      <c r="R21" s="384">
        <f ca="1">IF(IFERROR(VLOOKUP(C21,APU!H:N,6,0),0),VLOOKUP(C21,APU!H:N,6,0),0)</f>
        <v>0</v>
      </c>
      <c r="S21" s="384">
        <f ca="1">IF(IFERROR(VLOOKUP(C21,APU!H:N,7,0),0),VLOOKUP(C21,APU!H:N,7,0),0)</f>
        <v>0</v>
      </c>
      <c r="T21" s="160"/>
      <c r="U21" s="384">
        <f t="shared" ca="1" si="2"/>
        <v>2064.8000000000002</v>
      </c>
      <c r="V21" s="384">
        <f t="shared" ca="1" si="3"/>
        <v>2064.8000000000002</v>
      </c>
      <c r="W21" s="384">
        <f t="shared" ca="1" si="4"/>
        <v>206.48000000000002</v>
      </c>
      <c r="X21" s="384">
        <f t="shared" ca="1" si="5"/>
        <v>0</v>
      </c>
      <c r="Y21" s="384">
        <f t="shared" ca="1" si="6"/>
        <v>749.52239999999995</v>
      </c>
      <c r="Z21" s="384">
        <f t="shared" ca="1" si="7"/>
        <v>25733.6024</v>
      </c>
      <c r="AA21" s="384">
        <f t="shared" ca="1" si="8"/>
        <v>392.31200000000001</v>
      </c>
      <c r="AB21" s="384">
        <f t="shared" ca="1" si="9"/>
        <v>0</v>
      </c>
      <c r="AC21" s="384">
        <f t="shared" ca="1" si="10"/>
        <v>0</v>
      </c>
    </row>
    <row r="22" spans="2:29" s="149" customFormat="1" ht="30.75" customHeight="1">
      <c r="B22" s="301"/>
      <c r="C22" s="333">
        <v>1.6</v>
      </c>
      <c r="D22" s="461" t="s">
        <v>4607</v>
      </c>
      <c r="E22" s="462" t="s">
        <v>4607</v>
      </c>
      <c r="F22" s="462" t="s">
        <v>4607</v>
      </c>
      <c r="G22" s="462" t="s">
        <v>4607</v>
      </c>
      <c r="H22" s="462" t="s">
        <v>4607</v>
      </c>
      <c r="I22" s="463" t="s">
        <v>4607</v>
      </c>
      <c r="J22" s="333" t="s">
        <v>4127</v>
      </c>
      <c r="K22" s="334"/>
      <c r="L22" s="305">
        <f t="shared" ca="1" si="1"/>
        <v>25733.6024</v>
      </c>
      <c r="M22" s="306">
        <f t="shared" ca="1" si="0"/>
        <v>0</v>
      </c>
      <c r="N22" s="307"/>
      <c r="O22" s="162"/>
      <c r="P22" s="384">
        <f ca="1">IF(IFERROR(VLOOKUP(C22,APU!H:N,4,0),0),VLOOKUP(C22,APU!H:N,4,0),0)</f>
        <v>0</v>
      </c>
      <c r="Q22" s="384">
        <f ca="1">IF(IFERROR(VLOOKUP(C22,APU!H:N,5,0),0),VLOOKUP(C22,APU!H:N,5,0),0)</f>
        <v>20648</v>
      </c>
      <c r="R22" s="384">
        <f ca="1">IF(IFERROR(VLOOKUP(C22,APU!H:N,6,0),0),VLOOKUP(C22,APU!H:N,6,0),0)</f>
        <v>0</v>
      </c>
      <c r="S22" s="384">
        <f ca="1">IF(IFERROR(VLOOKUP(C22,APU!H:N,7,0),0),VLOOKUP(C22,APU!H:N,7,0),0)</f>
        <v>0</v>
      </c>
      <c r="T22" s="160"/>
      <c r="U22" s="384">
        <f t="shared" ca="1" si="2"/>
        <v>2064.8000000000002</v>
      </c>
      <c r="V22" s="384">
        <f t="shared" ca="1" si="3"/>
        <v>2064.8000000000002</v>
      </c>
      <c r="W22" s="384">
        <f t="shared" ca="1" si="4"/>
        <v>206.48000000000002</v>
      </c>
      <c r="X22" s="384">
        <f t="shared" ca="1" si="5"/>
        <v>0</v>
      </c>
      <c r="Y22" s="384">
        <f t="shared" ca="1" si="6"/>
        <v>749.52239999999995</v>
      </c>
      <c r="Z22" s="384">
        <f t="shared" ca="1" si="7"/>
        <v>25733.6024</v>
      </c>
      <c r="AA22" s="384">
        <f t="shared" ca="1" si="8"/>
        <v>392.31200000000001</v>
      </c>
      <c r="AB22" s="384">
        <f t="shared" ca="1" si="9"/>
        <v>0</v>
      </c>
      <c r="AC22" s="384">
        <f t="shared" ca="1" si="10"/>
        <v>0</v>
      </c>
    </row>
    <row r="23" spans="2:29" s="149" customFormat="1" ht="30.75" customHeight="1">
      <c r="B23" s="301"/>
      <c r="C23" s="333">
        <v>1.7</v>
      </c>
      <c r="D23" s="461" t="s">
        <v>4608</v>
      </c>
      <c r="E23" s="462" t="s">
        <v>4608</v>
      </c>
      <c r="F23" s="462" t="s">
        <v>4608</v>
      </c>
      <c r="G23" s="462" t="s">
        <v>4608</v>
      </c>
      <c r="H23" s="462" t="s">
        <v>4608</v>
      </c>
      <c r="I23" s="463" t="s">
        <v>4608</v>
      </c>
      <c r="J23" s="333" t="s">
        <v>4127</v>
      </c>
      <c r="K23" s="334"/>
      <c r="L23" s="305">
        <f t="shared" ca="1" si="1"/>
        <v>25733.6024</v>
      </c>
      <c r="M23" s="306">
        <f t="shared" ref="M23:M86" ca="1" si="11">L23*K23</f>
        <v>0</v>
      </c>
      <c r="N23" s="307"/>
      <c r="O23" s="162"/>
      <c r="P23" s="384">
        <f ca="1">IF(IFERROR(VLOOKUP(C23,APU!H:N,4,0),0),VLOOKUP(C23,APU!H:N,4,0),0)</f>
        <v>0</v>
      </c>
      <c r="Q23" s="384">
        <f ca="1">IF(IFERROR(VLOOKUP(C23,APU!H:N,5,0),0),VLOOKUP(C23,APU!H:N,5,0),0)</f>
        <v>20648</v>
      </c>
      <c r="R23" s="384">
        <f ca="1">IF(IFERROR(VLOOKUP(C23,APU!H:N,6,0),0),VLOOKUP(C23,APU!H:N,6,0),0)</f>
        <v>0</v>
      </c>
      <c r="S23" s="384">
        <f ca="1">IF(IFERROR(VLOOKUP(C23,APU!H:N,7,0),0),VLOOKUP(C23,APU!H:N,7,0),0)</f>
        <v>0</v>
      </c>
      <c r="T23" s="160"/>
      <c r="U23" s="384">
        <f t="shared" ca="1" si="2"/>
        <v>2064.8000000000002</v>
      </c>
      <c r="V23" s="384">
        <f t="shared" ca="1" si="3"/>
        <v>2064.8000000000002</v>
      </c>
      <c r="W23" s="384">
        <f t="shared" ca="1" si="4"/>
        <v>206.48000000000002</v>
      </c>
      <c r="X23" s="384">
        <f t="shared" ca="1" si="5"/>
        <v>0</v>
      </c>
      <c r="Y23" s="384">
        <f t="shared" ca="1" si="6"/>
        <v>749.52239999999995</v>
      </c>
      <c r="Z23" s="384">
        <f t="shared" ca="1" si="7"/>
        <v>25733.6024</v>
      </c>
      <c r="AA23" s="384">
        <f t="shared" ca="1" si="8"/>
        <v>392.31200000000001</v>
      </c>
      <c r="AB23" s="384">
        <f t="shared" ca="1" si="9"/>
        <v>0</v>
      </c>
      <c r="AC23" s="384">
        <f t="shared" ca="1" si="10"/>
        <v>0</v>
      </c>
    </row>
    <row r="24" spans="2:29" s="149" customFormat="1" ht="30.75" customHeight="1">
      <c r="B24" s="301"/>
      <c r="C24" s="333">
        <v>1.8</v>
      </c>
      <c r="D24" s="461" t="s">
        <v>4609</v>
      </c>
      <c r="E24" s="462"/>
      <c r="F24" s="462"/>
      <c r="G24" s="462"/>
      <c r="H24" s="462"/>
      <c r="I24" s="463"/>
      <c r="J24" s="333" t="s">
        <v>4127</v>
      </c>
      <c r="K24" s="334"/>
      <c r="L24" s="305">
        <f t="shared" ca="1" si="1"/>
        <v>38620.990481920002</v>
      </c>
      <c r="M24" s="306">
        <f t="shared" ca="1" si="11"/>
        <v>0</v>
      </c>
      <c r="N24" s="307"/>
      <c r="O24" s="162"/>
      <c r="P24" s="384">
        <f ca="1">IF(IFERROR(VLOOKUP(C24,APU!H:N,4,0),0),VLOOKUP(C24,APU!H:N,4,0),0)</f>
        <v>0</v>
      </c>
      <c r="Q24" s="384">
        <f ca="1">IF(IFERROR(VLOOKUP(C24,APU!H:N,5,0),0),VLOOKUP(C24,APU!H:N,5,0),0)</f>
        <v>30988.518400000001</v>
      </c>
      <c r="R24" s="384">
        <f ca="1">IF(IFERROR(VLOOKUP(C24,APU!H:N,6,0),0),VLOOKUP(C24,APU!H:N,6,0),0)</f>
        <v>0</v>
      </c>
      <c r="S24" s="384">
        <f ca="1">IF(IFERROR(VLOOKUP(C24,APU!H:N,7,0),0),VLOOKUP(C24,APU!H:N,7,0),0)</f>
        <v>0</v>
      </c>
      <c r="T24" s="160"/>
      <c r="U24" s="384">
        <f t="shared" ca="1" si="2"/>
        <v>3098.8518400000003</v>
      </c>
      <c r="V24" s="384">
        <f t="shared" ca="1" si="3"/>
        <v>3098.8518400000003</v>
      </c>
      <c r="W24" s="384">
        <f t="shared" ca="1" si="4"/>
        <v>309.88518400000004</v>
      </c>
      <c r="X24" s="384">
        <f t="shared" ca="1" si="5"/>
        <v>0</v>
      </c>
      <c r="Y24" s="384">
        <f t="shared" ca="1" si="6"/>
        <v>1124.8832179200001</v>
      </c>
      <c r="Z24" s="384">
        <f t="shared" ca="1" si="7"/>
        <v>38620.990481920002</v>
      </c>
      <c r="AA24" s="384">
        <f t="shared" ca="1" si="8"/>
        <v>588.7818496000001</v>
      </c>
      <c r="AB24" s="384">
        <f t="shared" ca="1" si="9"/>
        <v>0</v>
      </c>
      <c r="AC24" s="384">
        <f t="shared" ca="1" si="10"/>
        <v>0</v>
      </c>
    </row>
    <row r="25" spans="2:29" s="149" customFormat="1" ht="30.75" customHeight="1">
      <c r="B25" s="301"/>
      <c r="C25" s="333">
        <v>1.9</v>
      </c>
      <c r="D25" s="461" t="s">
        <v>4610</v>
      </c>
      <c r="E25" s="462"/>
      <c r="F25" s="462"/>
      <c r="G25" s="462"/>
      <c r="H25" s="462"/>
      <c r="I25" s="463"/>
      <c r="J25" s="333" t="s">
        <v>4127</v>
      </c>
      <c r="K25" s="334"/>
      <c r="L25" s="305">
        <f t="shared" ca="1" si="1"/>
        <v>38620.990481920002</v>
      </c>
      <c r="M25" s="306">
        <f t="shared" ca="1" si="11"/>
        <v>0</v>
      </c>
      <c r="N25" s="307"/>
      <c r="O25" s="162"/>
      <c r="P25" s="384">
        <f ca="1">IF(IFERROR(VLOOKUP(C25,APU!H:N,4,0),0),VLOOKUP(C25,APU!H:N,4,0),0)</f>
        <v>0</v>
      </c>
      <c r="Q25" s="384">
        <f ca="1">IF(IFERROR(VLOOKUP(C25,APU!H:N,5,0),0),VLOOKUP(C25,APU!H:N,5,0),0)</f>
        <v>30988.518400000001</v>
      </c>
      <c r="R25" s="384">
        <f ca="1">IF(IFERROR(VLOOKUP(C25,APU!H:N,6,0),0),VLOOKUP(C25,APU!H:N,6,0),0)</f>
        <v>0</v>
      </c>
      <c r="S25" s="384">
        <f ca="1">IF(IFERROR(VLOOKUP(C25,APU!H:N,7,0),0),VLOOKUP(C25,APU!H:N,7,0),0)</f>
        <v>0</v>
      </c>
      <c r="T25" s="160"/>
      <c r="U25" s="384">
        <f t="shared" ca="1" si="2"/>
        <v>3098.8518400000003</v>
      </c>
      <c r="V25" s="384">
        <f t="shared" ca="1" si="3"/>
        <v>3098.8518400000003</v>
      </c>
      <c r="W25" s="384">
        <f t="shared" ca="1" si="4"/>
        <v>309.88518400000004</v>
      </c>
      <c r="X25" s="384">
        <f t="shared" ca="1" si="5"/>
        <v>0</v>
      </c>
      <c r="Y25" s="384">
        <f t="shared" ca="1" si="6"/>
        <v>1124.8832179200001</v>
      </c>
      <c r="Z25" s="384">
        <f t="shared" ca="1" si="7"/>
        <v>38620.990481920002</v>
      </c>
      <c r="AA25" s="384">
        <f t="shared" ca="1" si="8"/>
        <v>588.7818496000001</v>
      </c>
      <c r="AB25" s="384">
        <f t="shared" ca="1" si="9"/>
        <v>0</v>
      </c>
      <c r="AC25" s="384">
        <f t="shared" ca="1" si="10"/>
        <v>0</v>
      </c>
    </row>
    <row r="26" spans="2:29" s="149" customFormat="1" ht="30.75" customHeight="1">
      <c r="B26" s="301"/>
      <c r="C26" s="333">
        <v>1.1100000000000001</v>
      </c>
      <c r="D26" s="461" t="s">
        <v>4619</v>
      </c>
      <c r="E26" s="462" t="s">
        <v>4619</v>
      </c>
      <c r="F26" s="462" t="s">
        <v>4619</v>
      </c>
      <c r="G26" s="462" t="s">
        <v>4619</v>
      </c>
      <c r="H26" s="462" t="s">
        <v>4619</v>
      </c>
      <c r="I26" s="463" t="s">
        <v>4619</v>
      </c>
      <c r="J26" s="333" t="s">
        <v>4127</v>
      </c>
      <c r="K26" s="334"/>
      <c r="L26" s="305">
        <f t="shared" ca="1" si="1"/>
        <v>21451.530960640001</v>
      </c>
      <c r="M26" s="306">
        <f t="shared" ca="1" si="11"/>
        <v>0</v>
      </c>
      <c r="N26" s="307"/>
      <c r="O26" s="162"/>
      <c r="P26" s="384">
        <f ca="1">IF(IFERROR(VLOOKUP(C26,APU!H:N,4,0),0),VLOOKUP(C26,APU!H:N,4,0),0)</f>
        <v>0</v>
      </c>
      <c r="Q26" s="384">
        <f ca="1">IF(IFERROR(VLOOKUP(C26,APU!H:N,5,0),0),VLOOKUP(C26,APU!H:N,5,0),0)</f>
        <v>17212.1728</v>
      </c>
      <c r="R26" s="384">
        <f ca="1">IF(IFERROR(VLOOKUP(C26,APU!H:N,6,0),0),VLOOKUP(C26,APU!H:N,6,0),0)</f>
        <v>0</v>
      </c>
      <c r="S26" s="384">
        <f ca="1">IF(IFERROR(VLOOKUP(C26,APU!H:N,7,0),0),VLOOKUP(C26,APU!H:N,7,0),0)</f>
        <v>0</v>
      </c>
      <c r="T26" s="160"/>
      <c r="U26" s="384">
        <f t="shared" ca="1" si="2"/>
        <v>1721.2172800000001</v>
      </c>
      <c r="V26" s="384">
        <f t="shared" ca="1" si="3"/>
        <v>1721.2172800000001</v>
      </c>
      <c r="W26" s="384">
        <f t="shared" ca="1" si="4"/>
        <v>172.12172800000002</v>
      </c>
      <c r="X26" s="384">
        <f t="shared" ca="1" si="5"/>
        <v>0</v>
      </c>
      <c r="Y26" s="384">
        <f t="shared" ca="1" si="6"/>
        <v>624.80187263999994</v>
      </c>
      <c r="Z26" s="384">
        <f t="shared" ca="1" si="7"/>
        <v>21451.530960640001</v>
      </c>
      <c r="AA26" s="384">
        <f t="shared" ca="1" si="8"/>
        <v>327.03128320000002</v>
      </c>
      <c r="AB26" s="384">
        <f t="shared" ca="1" si="9"/>
        <v>0</v>
      </c>
      <c r="AC26" s="384">
        <f t="shared" ca="1" si="10"/>
        <v>0</v>
      </c>
    </row>
    <row r="27" spans="2:29" s="149" customFormat="1" ht="30.75" customHeight="1">
      <c r="B27" s="301"/>
      <c r="C27" s="333">
        <v>1.1200000000000001</v>
      </c>
      <c r="D27" s="461" t="s">
        <v>4620</v>
      </c>
      <c r="E27" s="462" t="s">
        <v>4620</v>
      </c>
      <c r="F27" s="462" t="s">
        <v>4620</v>
      </c>
      <c r="G27" s="462" t="s">
        <v>4620</v>
      </c>
      <c r="H27" s="462" t="s">
        <v>4620</v>
      </c>
      <c r="I27" s="463" t="s">
        <v>4620</v>
      </c>
      <c r="J27" s="333" t="s">
        <v>4127</v>
      </c>
      <c r="K27" s="334"/>
      <c r="L27" s="305">
        <f t="shared" ca="1" si="1"/>
        <v>4282.0714393599992</v>
      </c>
      <c r="M27" s="306">
        <f t="shared" ca="1" si="11"/>
        <v>0</v>
      </c>
      <c r="N27" s="307"/>
      <c r="O27" s="162"/>
      <c r="P27" s="384">
        <f ca="1">IF(IFERROR(VLOOKUP(C27,APU!H:N,4,0),0),VLOOKUP(C27,APU!H:N,4,0),0)</f>
        <v>0</v>
      </c>
      <c r="Q27" s="384">
        <f ca="1">IF(IFERROR(VLOOKUP(C27,APU!H:N,5,0),0),VLOOKUP(C27,APU!H:N,5,0),0)</f>
        <v>3435.8271999999997</v>
      </c>
      <c r="R27" s="384">
        <f ca="1">IF(IFERROR(VLOOKUP(C27,APU!H:N,6,0),0),VLOOKUP(C27,APU!H:N,6,0),0)</f>
        <v>0</v>
      </c>
      <c r="S27" s="384">
        <f ca="1">IF(IFERROR(VLOOKUP(C27,APU!H:N,7,0),0),VLOOKUP(C27,APU!H:N,7,0),0)</f>
        <v>0</v>
      </c>
      <c r="T27" s="160"/>
      <c r="U27" s="384">
        <f t="shared" ca="1" si="2"/>
        <v>343.58271999999999</v>
      </c>
      <c r="V27" s="384">
        <f t="shared" ca="1" si="3"/>
        <v>343.58271999999999</v>
      </c>
      <c r="W27" s="384">
        <f t="shared" ca="1" si="4"/>
        <v>34.358271999999999</v>
      </c>
      <c r="X27" s="384">
        <f t="shared" ca="1" si="5"/>
        <v>0</v>
      </c>
      <c r="Y27" s="384">
        <f t="shared" ca="1" si="6"/>
        <v>124.72052735999999</v>
      </c>
      <c r="Z27" s="384">
        <f t="shared" ca="1" si="7"/>
        <v>4282.0714393599992</v>
      </c>
      <c r="AA27" s="384">
        <f t="shared" ca="1" si="8"/>
        <v>65.280716799999993</v>
      </c>
      <c r="AB27" s="384">
        <f t="shared" ca="1" si="9"/>
        <v>0</v>
      </c>
      <c r="AC27" s="384">
        <f t="shared" ca="1" si="10"/>
        <v>0</v>
      </c>
    </row>
    <row r="28" spans="2:29" s="149" customFormat="1" ht="30.75" customHeight="1">
      <c r="B28" s="301"/>
      <c r="C28" s="333">
        <v>1.1299999999999999</v>
      </c>
      <c r="D28" s="461" t="s">
        <v>4621</v>
      </c>
      <c r="E28" s="462" t="s">
        <v>4621</v>
      </c>
      <c r="F28" s="462" t="s">
        <v>4621</v>
      </c>
      <c r="G28" s="462" t="s">
        <v>4621</v>
      </c>
      <c r="H28" s="462" t="s">
        <v>4621</v>
      </c>
      <c r="I28" s="463" t="s">
        <v>4621</v>
      </c>
      <c r="J28" s="333" t="s">
        <v>4127</v>
      </c>
      <c r="K28" s="334"/>
      <c r="L28" s="305">
        <f t="shared" ca="1" si="1"/>
        <v>21451.530960640001</v>
      </c>
      <c r="M28" s="306">
        <f t="shared" ca="1" si="11"/>
        <v>0</v>
      </c>
      <c r="N28" s="307"/>
      <c r="O28" s="162"/>
      <c r="P28" s="384">
        <f ca="1">IF(IFERROR(VLOOKUP(C28,APU!H:N,4,0),0),VLOOKUP(C28,APU!H:N,4,0),0)</f>
        <v>0</v>
      </c>
      <c r="Q28" s="384">
        <f ca="1">IF(IFERROR(VLOOKUP(C28,APU!H:N,5,0),0),VLOOKUP(C28,APU!H:N,5,0),0)</f>
        <v>17212.1728</v>
      </c>
      <c r="R28" s="384">
        <f ca="1">IF(IFERROR(VLOOKUP(C28,APU!H:N,6,0),0),VLOOKUP(C28,APU!H:N,6,0),0)</f>
        <v>0</v>
      </c>
      <c r="S28" s="384">
        <f ca="1">IF(IFERROR(VLOOKUP(C28,APU!H:N,7,0),0),VLOOKUP(C28,APU!H:N,7,0),0)</f>
        <v>0</v>
      </c>
      <c r="T28" s="160"/>
      <c r="U28" s="384">
        <f t="shared" ca="1" si="2"/>
        <v>1721.2172800000001</v>
      </c>
      <c r="V28" s="384">
        <f t="shared" ca="1" si="3"/>
        <v>1721.2172800000001</v>
      </c>
      <c r="W28" s="384">
        <f t="shared" ca="1" si="4"/>
        <v>172.12172800000002</v>
      </c>
      <c r="X28" s="384">
        <f t="shared" ca="1" si="5"/>
        <v>0</v>
      </c>
      <c r="Y28" s="384">
        <f t="shared" ca="1" si="6"/>
        <v>624.80187263999994</v>
      </c>
      <c r="Z28" s="384">
        <f t="shared" ca="1" si="7"/>
        <v>21451.530960640001</v>
      </c>
      <c r="AA28" s="384">
        <f t="shared" ca="1" si="8"/>
        <v>327.03128320000002</v>
      </c>
      <c r="AB28" s="384">
        <f t="shared" ca="1" si="9"/>
        <v>0</v>
      </c>
      <c r="AC28" s="384">
        <f t="shared" ca="1" si="10"/>
        <v>0</v>
      </c>
    </row>
    <row r="29" spans="2:29" s="149" customFormat="1" ht="30.75" customHeight="1">
      <c r="B29" s="301"/>
      <c r="C29" s="333">
        <v>1.1399999999999999</v>
      </c>
      <c r="D29" s="461" t="s">
        <v>4622</v>
      </c>
      <c r="E29" s="462" t="s">
        <v>4622</v>
      </c>
      <c r="F29" s="462" t="s">
        <v>4622</v>
      </c>
      <c r="G29" s="462" t="s">
        <v>4622</v>
      </c>
      <c r="H29" s="462" t="s">
        <v>4622</v>
      </c>
      <c r="I29" s="463" t="s">
        <v>4622</v>
      </c>
      <c r="J29" s="333" t="s">
        <v>4127</v>
      </c>
      <c r="K29" s="334"/>
      <c r="L29" s="305">
        <f t="shared" ca="1" si="1"/>
        <v>21451.530960640001</v>
      </c>
      <c r="M29" s="306">
        <f t="shared" ca="1" si="11"/>
        <v>0</v>
      </c>
      <c r="N29" s="307"/>
      <c r="O29" s="162"/>
      <c r="P29" s="384">
        <f ca="1">IF(IFERROR(VLOOKUP(C29,APU!H:N,4,0),0),VLOOKUP(C29,APU!H:N,4,0),0)</f>
        <v>0</v>
      </c>
      <c r="Q29" s="384">
        <f ca="1">IF(IFERROR(VLOOKUP(C29,APU!H:N,5,0),0),VLOOKUP(C29,APU!H:N,5,0),0)</f>
        <v>17212.1728</v>
      </c>
      <c r="R29" s="384">
        <f ca="1">IF(IFERROR(VLOOKUP(C29,APU!H:N,6,0),0),VLOOKUP(C29,APU!H:N,6,0),0)</f>
        <v>0</v>
      </c>
      <c r="S29" s="384">
        <f ca="1">IF(IFERROR(VLOOKUP(C29,APU!H:N,7,0),0),VLOOKUP(C29,APU!H:N,7,0),0)</f>
        <v>0</v>
      </c>
      <c r="T29" s="160"/>
      <c r="U29" s="384">
        <f t="shared" ca="1" si="2"/>
        <v>1721.2172800000001</v>
      </c>
      <c r="V29" s="384">
        <f t="shared" ca="1" si="3"/>
        <v>1721.2172800000001</v>
      </c>
      <c r="W29" s="384">
        <f t="shared" ca="1" si="4"/>
        <v>172.12172800000002</v>
      </c>
      <c r="X29" s="384">
        <f t="shared" ca="1" si="5"/>
        <v>0</v>
      </c>
      <c r="Y29" s="384">
        <f t="shared" ca="1" si="6"/>
        <v>624.80187263999994</v>
      </c>
      <c r="Z29" s="384">
        <f t="shared" ca="1" si="7"/>
        <v>21451.530960640001</v>
      </c>
      <c r="AA29" s="384">
        <f t="shared" ca="1" si="8"/>
        <v>327.03128320000002</v>
      </c>
      <c r="AB29" s="384">
        <f t="shared" ca="1" si="9"/>
        <v>0</v>
      </c>
      <c r="AC29" s="384">
        <f t="shared" ca="1" si="10"/>
        <v>0</v>
      </c>
    </row>
    <row r="30" spans="2:29" s="149" customFormat="1" ht="30.75" customHeight="1">
      <c r="B30" s="301"/>
      <c r="C30" s="333">
        <v>1.1499999999999999</v>
      </c>
      <c r="D30" s="461" t="s">
        <v>4623</v>
      </c>
      <c r="E30" s="462"/>
      <c r="F30" s="462"/>
      <c r="G30" s="462"/>
      <c r="H30" s="462"/>
      <c r="I30" s="463"/>
      <c r="J30" s="333" t="s">
        <v>4127</v>
      </c>
      <c r="K30" s="334"/>
      <c r="L30" s="305">
        <f t="shared" ca="1" si="1"/>
        <v>21451.530960640001</v>
      </c>
      <c r="M30" s="306">
        <f t="shared" ca="1" si="11"/>
        <v>0</v>
      </c>
      <c r="N30" s="307"/>
      <c r="O30" s="162"/>
      <c r="P30" s="384">
        <f ca="1">IF(IFERROR(VLOOKUP(C30,APU!H:N,4,0),0),VLOOKUP(C30,APU!H:N,4,0),0)</f>
        <v>0</v>
      </c>
      <c r="Q30" s="384">
        <f ca="1">IF(IFERROR(VLOOKUP(C30,APU!H:N,5,0),0),VLOOKUP(C30,APU!H:N,5,0),0)</f>
        <v>17212.1728</v>
      </c>
      <c r="R30" s="384">
        <f ca="1">IF(IFERROR(VLOOKUP(C30,APU!H:N,6,0),0),VLOOKUP(C30,APU!H:N,6,0),0)</f>
        <v>0</v>
      </c>
      <c r="S30" s="384">
        <f ca="1">IF(IFERROR(VLOOKUP(C30,APU!H:N,7,0),0),VLOOKUP(C30,APU!H:N,7,0),0)</f>
        <v>0</v>
      </c>
      <c r="T30" s="160"/>
      <c r="U30" s="384">
        <f t="shared" ca="1" si="2"/>
        <v>1721.2172800000001</v>
      </c>
      <c r="V30" s="384">
        <f t="shared" ca="1" si="3"/>
        <v>1721.2172800000001</v>
      </c>
      <c r="W30" s="384">
        <f t="shared" ca="1" si="4"/>
        <v>172.12172800000002</v>
      </c>
      <c r="X30" s="384">
        <f t="shared" ca="1" si="5"/>
        <v>0</v>
      </c>
      <c r="Y30" s="384">
        <f t="shared" ca="1" si="6"/>
        <v>624.80187263999994</v>
      </c>
      <c r="Z30" s="384">
        <f t="shared" ca="1" si="7"/>
        <v>21451.530960640001</v>
      </c>
      <c r="AA30" s="384">
        <f t="shared" ca="1" si="8"/>
        <v>327.03128320000002</v>
      </c>
      <c r="AB30" s="384">
        <f t="shared" ca="1" si="9"/>
        <v>0</v>
      </c>
      <c r="AC30" s="384">
        <f t="shared" ca="1" si="10"/>
        <v>0</v>
      </c>
    </row>
    <row r="31" spans="2:29" s="149" customFormat="1" ht="30.75" customHeight="1">
      <c r="B31" s="301"/>
      <c r="C31" s="333">
        <v>1.1599999999999999</v>
      </c>
      <c r="D31" s="461" t="s">
        <v>4624</v>
      </c>
      <c r="E31" s="462"/>
      <c r="F31" s="462"/>
      <c r="G31" s="462"/>
      <c r="H31" s="462"/>
      <c r="I31" s="463"/>
      <c r="J31" s="333" t="s">
        <v>4127</v>
      </c>
      <c r="K31" s="334"/>
      <c r="L31" s="305">
        <f t="shared" ca="1" si="1"/>
        <v>21451.530960640001</v>
      </c>
      <c r="M31" s="306">
        <f t="shared" ca="1" si="11"/>
        <v>0</v>
      </c>
      <c r="N31" s="307"/>
      <c r="O31" s="162"/>
      <c r="P31" s="384">
        <f ca="1">IF(IFERROR(VLOOKUP(C31,APU!H:N,4,0),0),VLOOKUP(C31,APU!H:N,4,0),0)</f>
        <v>0</v>
      </c>
      <c r="Q31" s="384">
        <f ca="1">IF(IFERROR(VLOOKUP(C31,APU!H:N,5,0),0),VLOOKUP(C31,APU!H:N,5,0),0)</f>
        <v>17212.1728</v>
      </c>
      <c r="R31" s="384">
        <f ca="1">IF(IFERROR(VLOOKUP(C31,APU!H:N,6,0),0),VLOOKUP(C31,APU!H:N,6,0),0)</f>
        <v>0</v>
      </c>
      <c r="S31" s="384">
        <f ca="1">IF(IFERROR(VLOOKUP(C31,APU!H:N,7,0),0),VLOOKUP(C31,APU!H:N,7,0),0)</f>
        <v>0</v>
      </c>
      <c r="T31" s="160"/>
      <c r="U31" s="384">
        <f t="shared" ca="1" si="2"/>
        <v>1721.2172800000001</v>
      </c>
      <c r="V31" s="384">
        <f t="shared" ca="1" si="3"/>
        <v>1721.2172800000001</v>
      </c>
      <c r="W31" s="384">
        <f t="shared" ca="1" si="4"/>
        <v>172.12172800000002</v>
      </c>
      <c r="X31" s="384">
        <f t="shared" ca="1" si="5"/>
        <v>0</v>
      </c>
      <c r="Y31" s="384">
        <f t="shared" ca="1" si="6"/>
        <v>624.80187263999994</v>
      </c>
      <c r="Z31" s="384">
        <f t="shared" ca="1" si="7"/>
        <v>21451.530960640001</v>
      </c>
      <c r="AA31" s="384">
        <f t="shared" ca="1" si="8"/>
        <v>327.03128320000002</v>
      </c>
      <c r="AB31" s="384">
        <f t="shared" ca="1" si="9"/>
        <v>0</v>
      </c>
      <c r="AC31" s="384">
        <f t="shared" ca="1" si="10"/>
        <v>0</v>
      </c>
    </row>
    <row r="32" spans="2:29" s="149" customFormat="1" ht="30.75" customHeight="1">
      <c r="B32" s="301"/>
      <c r="C32" s="333">
        <v>1.17</v>
      </c>
      <c r="D32" s="461" t="s">
        <v>4658</v>
      </c>
      <c r="E32" s="462" t="s">
        <v>4658</v>
      </c>
      <c r="F32" s="462" t="s">
        <v>4658</v>
      </c>
      <c r="G32" s="462" t="s">
        <v>4658</v>
      </c>
      <c r="H32" s="462" t="s">
        <v>4658</v>
      </c>
      <c r="I32" s="463" t="s">
        <v>4658</v>
      </c>
      <c r="J32" s="333" t="s">
        <v>4127</v>
      </c>
      <c r="K32" s="334"/>
      <c r="L32" s="305">
        <f t="shared" ca="1" si="1"/>
        <v>25733.6024</v>
      </c>
      <c r="M32" s="306">
        <f t="shared" ca="1" si="11"/>
        <v>0</v>
      </c>
      <c r="N32" s="307"/>
      <c r="O32" s="162"/>
      <c r="P32" s="384">
        <f ca="1">IF(IFERROR(VLOOKUP(C32,APU!H:N,4,0),0),VLOOKUP(C32,APU!H:N,4,0),0)</f>
        <v>0</v>
      </c>
      <c r="Q32" s="384">
        <f ca="1">IF(IFERROR(VLOOKUP(C32,APU!H:N,5,0),0),VLOOKUP(C32,APU!H:N,5,0),0)</f>
        <v>20648</v>
      </c>
      <c r="R32" s="384">
        <f ca="1">IF(IFERROR(VLOOKUP(C32,APU!H:N,6,0),0),VLOOKUP(C32,APU!H:N,6,0),0)</f>
        <v>0</v>
      </c>
      <c r="S32" s="384">
        <f ca="1">IF(IFERROR(VLOOKUP(C32,APU!H:N,7,0),0),VLOOKUP(C32,APU!H:N,7,0),0)</f>
        <v>0</v>
      </c>
      <c r="T32" s="160"/>
      <c r="U32" s="384">
        <f t="shared" ca="1" si="2"/>
        <v>2064.8000000000002</v>
      </c>
      <c r="V32" s="384">
        <f t="shared" ca="1" si="3"/>
        <v>2064.8000000000002</v>
      </c>
      <c r="W32" s="384">
        <f t="shared" ca="1" si="4"/>
        <v>206.48000000000002</v>
      </c>
      <c r="X32" s="384">
        <f t="shared" ca="1" si="5"/>
        <v>0</v>
      </c>
      <c r="Y32" s="384">
        <f t="shared" ca="1" si="6"/>
        <v>749.52239999999995</v>
      </c>
      <c r="Z32" s="384">
        <f t="shared" ca="1" si="7"/>
        <v>25733.6024</v>
      </c>
      <c r="AA32" s="384">
        <f t="shared" ca="1" si="8"/>
        <v>392.31200000000001</v>
      </c>
      <c r="AB32" s="384">
        <f t="shared" ca="1" si="9"/>
        <v>0</v>
      </c>
      <c r="AC32" s="384">
        <f t="shared" ca="1" si="10"/>
        <v>0</v>
      </c>
    </row>
    <row r="33" spans="2:29" s="149" customFormat="1" ht="30.75" customHeight="1">
      <c r="B33" s="301"/>
      <c r="C33" s="333">
        <v>1.18</v>
      </c>
      <c r="D33" s="461" t="s">
        <v>4659</v>
      </c>
      <c r="E33" s="462" t="s">
        <v>4659</v>
      </c>
      <c r="F33" s="462" t="s">
        <v>4659</v>
      </c>
      <c r="G33" s="462" t="s">
        <v>4659</v>
      </c>
      <c r="H33" s="462" t="s">
        <v>4659</v>
      </c>
      <c r="I33" s="463" t="s">
        <v>4659</v>
      </c>
      <c r="J33" s="333" t="s">
        <v>4127</v>
      </c>
      <c r="K33" s="334"/>
      <c r="L33" s="305">
        <f t="shared" ca="1" si="1"/>
        <v>25733.6024</v>
      </c>
      <c r="M33" s="306">
        <f t="shared" ca="1" si="11"/>
        <v>0</v>
      </c>
      <c r="N33" s="307"/>
      <c r="O33" s="162"/>
      <c r="P33" s="384">
        <f ca="1">IF(IFERROR(VLOOKUP(C33,APU!H:N,4,0),0),VLOOKUP(C33,APU!H:N,4,0),0)</f>
        <v>0</v>
      </c>
      <c r="Q33" s="384">
        <f ca="1">IF(IFERROR(VLOOKUP(C33,APU!H:N,5,0),0),VLOOKUP(C33,APU!H:N,5,0),0)</f>
        <v>20648</v>
      </c>
      <c r="R33" s="384">
        <f ca="1">IF(IFERROR(VLOOKUP(C33,APU!H:N,6,0),0),VLOOKUP(C33,APU!H:N,6,0),0)</f>
        <v>0</v>
      </c>
      <c r="S33" s="384">
        <f ca="1">IF(IFERROR(VLOOKUP(C33,APU!H:N,7,0),0),VLOOKUP(C33,APU!H:N,7,0),0)</f>
        <v>0</v>
      </c>
      <c r="T33" s="160"/>
      <c r="U33" s="384">
        <f t="shared" ca="1" si="2"/>
        <v>2064.8000000000002</v>
      </c>
      <c r="V33" s="384">
        <f t="shared" ca="1" si="3"/>
        <v>2064.8000000000002</v>
      </c>
      <c r="W33" s="384">
        <f t="shared" ca="1" si="4"/>
        <v>206.48000000000002</v>
      </c>
      <c r="X33" s="384">
        <f t="shared" ca="1" si="5"/>
        <v>0</v>
      </c>
      <c r="Y33" s="384">
        <f t="shared" ca="1" si="6"/>
        <v>749.52239999999995</v>
      </c>
      <c r="Z33" s="384">
        <f t="shared" ca="1" si="7"/>
        <v>25733.6024</v>
      </c>
      <c r="AA33" s="384">
        <f t="shared" ca="1" si="8"/>
        <v>392.31200000000001</v>
      </c>
      <c r="AB33" s="384">
        <f t="shared" ca="1" si="9"/>
        <v>0</v>
      </c>
      <c r="AC33" s="384">
        <f t="shared" ca="1" si="10"/>
        <v>0</v>
      </c>
    </row>
    <row r="34" spans="2:29" s="149" customFormat="1" ht="30.75" customHeight="1">
      <c r="B34" s="301"/>
      <c r="C34" s="333">
        <v>1.19</v>
      </c>
      <c r="D34" s="461" t="s">
        <v>4660</v>
      </c>
      <c r="E34" s="462" t="s">
        <v>4660</v>
      </c>
      <c r="F34" s="462" t="s">
        <v>4660</v>
      </c>
      <c r="G34" s="462" t="s">
        <v>4660</v>
      </c>
      <c r="H34" s="462" t="s">
        <v>4660</v>
      </c>
      <c r="I34" s="463" t="s">
        <v>4660</v>
      </c>
      <c r="J34" s="333" t="s">
        <v>4127</v>
      </c>
      <c r="K34" s="334"/>
      <c r="L34" s="305">
        <f t="shared" ca="1" si="1"/>
        <v>25733.6024</v>
      </c>
      <c r="M34" s="306">
        <f t="shared" ca="1" si="11"/>
        <v>0</v>
      </c>
      <c r="N34" s="307"/>
      <c r="O34" s="162"/>
      <c r="P34" s="384">
        <f ca="1">IF(IFERROR(VLOOKUP(C34,APU!H:N,4,0),0),VLOOKUP(C34,APU!H:N,4,0),0)</f>
        <v>0</v>
      </c>
      <c r="Q34" s="384">
        <f ca="1">IF(IFERROR(VLOOKUP(C34,APU!H:N,5,0),0),VLOOKUP(C34,APU!H:N,5,0),0)</f>
        <v>20648</v>
      </c>
      <c r="R34" s="384">
        <f ca="1">IF(IFERROR(VLOOKUP(C34,APU!H:N,6,0),0),VLOOKUP(C34,APU!H:N,6,0),0)</f>
        <v>0</v>
      </c>
      <c r="S34" s="384">
        <f ca="1">IF(IFERROR(VLOOKUP(C34,APU!H:N,7,0),0),VLOOKUP(C34,APU!H:N,7,0),0)</f>
        <v>0</v>
      </c>
      <c r="T34" s="160"/>
      <c r="U34" s="384">
        <f t="shared" ca="1" si="2"/>
        <v>2064.8000000000002</v>
      </c>
      <c r="V34" s="384">
        <f t="shared" ca="1" si="3"/>
        <v>2064.8000000000002</v>
      </c>
      <c r="W34" s="384">
        <f t="shared" ca="1" si="4"/>
        <v>206.48000000000002</v>
      </c>
      <c r="X34" s="384">
        <f t="shared" ca="1" si="5"/>
        <v>0</v>
      </c>
      <c r="Y34" s="384">
        <f t="shared" ca="1" si="6"/>
        <v>749.52239999999995</v>
      </c>
      <c r="Z34" s="384">
        <f t="shared" ca="1" si="7"/>
        <v>25733.6024</v>
      </c>
      <c r="AA34" s="384">
        <f t="shared" ca="1" si="8"/>
        <v>392.31200000000001</v>
      </c>
      <c r="AB34" s="384">
        <f t="shared" ca="1" si="9"/>
        <v>0</v>
      </c>
      <c r="AC34" s="384">
        <f t="shared" ca="1" si="10"/>
        <v>0</v>
      </c>
    </row>
    <row r="35" spans="2:29" s="149" customFormat="1" ht="30.75" customHeight="1">
      <c r="B35" s="301"/>
      <c r="C35" s="333" t="s">
        <v>4677</v>
      </c>
      <c r="D35" s="461" t="s">
        <v>4661</v>
      </c>
      <c r="E35" s="462" t="s">
        <v>4661</v>
      </c>
      <c r="F35" s="462" t="s">
        <v>4661</v>
      </c>
      <c r="G35" s="462" t="s">
        <v>4661</v>
      </c>
      <c r="H35" s="462" t="s">
        <v>4661</v>
      </c>
      <c r="I35" s="463" t="s">
        <v>4661</v>
      </c>
      <c r="J35" s="333" t="s">
        <v>4127</v>
      </c>
      <c r="K35" s="334"/>
      <c r="L35" s="305">
        <f t="shared" ca="1" si="1"/>
        <v>25733.6024</v>
      </c>
      <c r="M35" s="306">
        <f t="shared" ca="1" si="11"/>
        <v>0</v>
      </c>
      <c r="N35" s="307"/>
      <c r="O35" s="162"/>
      <c r="P35" s="384">
        <f ca="1">IF(IFERROR(VLOOKUP(C35,APU!H:N,4,0),0),VLOOKUP(C35,APU!H:N,4,0),0)</f>
        <v>0</v>
      </c>
      <c r="Q35" s="384">
        <f ca="1">IF(IFERROR(VLOOKUP(C35,APU!H:N,5,0),0),VLOOKUP(C35,APU!H:N,5,0),0)</f>
        <v>20648</v>
      </c>
      <c r="R35" s="384">
        <f ca="1">IF(IFERROR(VLOOKUP(C35,APU!H:N,6,0),0),VLOOKUP(C35,APU!H:N,6,0),0)</f>
        <v>0</v>
      </c>
      <c r="S35" s="384">
        <f ca="1">IF(IFERROR(VLOOKUP(C35,APU!H:N,7,0),0),VLOOKUP(C35,APU!H:N,7,0),0)</f>
        <v>0</v>
      </c>
      <c r="T35" s="160"/>
      <c r="U35" s="384">
        <f t="shared" ca="1" si="2"/>
        <v>2064.8000000000002</v>
      </c>
      <c r="V35" s="384">
        <f t="shared" ca="1" si="3"/>
        <v>2064.8000000000002</v>
      </c>
      <c r="W35" s="384">
        <f t="shared" ca="1" si="4"/>
        <v>206.48000000000002</v>
      </c>
      <c r="X35" s="384">
        <f t="shared" ca="1" si="5"/>
        <v>0</v>
      </c>
      <c r="Y35" s="384">
        <f t="shared" ca="1" si="6"/>
        <v>749.52239999999995</v>
      </c>
      <c r="Z35" s="384">
        <f t="shared" ca="1" si="7"/>
        <v>25733.6024</v>
      </c>
      <c r="AA35" s="384">
        <f t="shared" ca="1" si="8"/>
        <v>392.31200000000001</v>
      </c>
      <c r="AB35" s="384">
        <f t="shared" ca="1" si="9"/>
        <v>0</v>
      </c>
      <c r="AC35" s="384">
        <f t="shared" ca="1" si="10"/>
        <v>0</v>
      </c>
    </row>
    <row r="36" spans="2:29" s="149" customFormat="1" ht="30.75" customHeight="1">
      <c r="B36" s="301"/>
      <c r="C36" s="333">
        <v>1.21</v>
      </c>
      <c r="D36" s="461" t="s">
        <v>4662</v>
      </c>
      <c r="E36" s="462" t="s">
        <v>4662</v>
      </c>
      <c r="F36" s="462" t="s">
        <v>4662</v>
      </c>
      <c r="G36" s="462" t="s">
        <v>4662</v>
      </c>
      <c r="H36" s="462" t="s">
        <v>4662</v>
      </c>
      <c r="I36" s="463" t="s">
        <v>4662</v>
      </c>
      <c r="J36" s="333" t="s">
        <v>4127</v>
      </c>
      <c r="K36" s="334"/>
      <c r="L36" s="305">
        <f t="shared" ca="1" si="1"/>
        <v>25733.6024</v>
      </c>
      <c r="M36" s="306">
        <f t="shared" ca="1" si="11"/>
        <v>0</v>
      </c>
      <c r="N36" s="307"/>
      <c r="O36" s="162"/>
      <c r="P36" s="384">
        <f ca="1">IF(IFERROR(VLOOKUP(C36,APU!H:N,4,0),0),VLOOKUP(C36,APU!H:N,4,0),0)</f>
        <v>0</v>
      </c>
      <c r="Q36" s="384">
        <f ca="1">IF(IFERROR(VLOOKUP(C36,APU!H:N,5,0),0),VLOOKUP(C36,APU!H:N,5,0),0)</f>
        <v>20648</v>
      </c>
      <c r="R36" s="384">
        <f ca="1">IF(IFERROR(VLOOKUP(C36,APU!H:N,6,0),0),VLOOKUP(C36,APU!H:N,6,0),0)</f>
        <v>0</v>
      </c>
      <c r="S36" s="384">
        <f ca="1">IF(IFERROR(VLOOKUP(C36,APU!H:N,7,0),0),VLOOKUP(C36,APU!H:N,7,0),0)</f>
        <v>0</v>
      </c>
      <c r="T36" s="160"/>
      <c r="U36" s="384">
        <f t="shared" ca="1" si="2"/>
        <v>2064.8000000000002</v>
      </c>
      <c r="V36" s="384">
        <f t="shared" ca="1" si="3"/>
        <v>2064.8000000000002</v>
      </c>
      <c r="W36" s="384">
        <f t="shared" ca="1" si="4"/>
        <v>206.48000000000002</v>
      </c>
      <c r="X36" s="384">
        <f t="shared" ca="1" si="5"/>
        <v>0</v>
      </c>
      <c r="Y36" s="384">
        <f t="shared" ca="1" si="6"/>
        <v>749.52239999999995</v>
      </c>
      <c r="Z36" s="384">
        <f t="shared" ca="1" si="7"/>
        <v>25733.6024</v>
      </c>
      <c r="AA36" s="384">
        <f t="shared" ca="1" si="8"/>
        <v>392.31200000000001</v>
      </c>
      <c r="AB36" s="384">
        <f t="shared" ca="1" si="9"/>
        <v>0</v>
      </c>
      <c r="AC36" s="384">
        <f t="shared" ca="1" si="10"/>
        <v>0</v>
      </c>
    </row>
    <row r="37" spans="2:29" s="149" customFormat="1" ht="30.75" customHeight="1">
      <c r="B37" s="301"/>
      <c r="C37" s="333">
        <v>1.22</v>
      </c>
      <c r="D37" s="461" t="s">
        <v>4663</v>
      </c>
      <c r="E37" s="462" t="s">
        <v>4663</v>
      </c>
      <c r="F37" s="462" t="s">
        <v>4663</v>
      </c>
      <c r="G37" s="462" t="s">
        <v>4663</v>
      </c>
      <c r="H37" s="462" t="s">
        <v>4663</v>
      </c>
      <c r="I37" s="463" t="s">
        <v>4663</v>
      </c>
      <c r="J37" s="333" t="s">
        <v>4127</v>
      </c>
      <c r="K37" s="334"/>
      <c r="L37" s="305">
        <f t="shared" ca="1" si="1"/>
        <v>21451.530960640001</v>
      </c>
      <c r="M37" s="306">
        <f t="shared" ca="1" si="11"/>
        <v>0</v>
      </c>
      <c r="N37" s="307"/>
      <c r="O37" s="162"/>
      <c r="P37" s="384">
        <f ca="1">IF(IFERROR(VLOOKUP(C37,APU!H:N,4,0),0),VLOOKUP(C37,APU!H:N,4,0),0)</f>
        <v>0</v>
      </c>
      <c r="Q37" s="384">
        <f ca="1">IF(IFERROR(VLOOKUP(C37,APU!H:N,5,0),0),VLOOKUP(C37,APU!H:N,5,0),0)</f>
        <v>17212.1728</v>
      </c>
      <c r="R37" s="384">
        <f ca="1">IF(IFERROR(VLOOKUP(C37,APU!H:N,6,0),0),VLOOKUP(C37,APU!H:N,6,0),0)</f>
        <v>0</v>
      </c>
      <c r="S37" s="384">
        <f ca="1">IF(IFERROR(VLOOKUP(C37,APU!H:N,7,0),0),VLOOKUP(C37,APU!H:N,7,0),0)</f>
        <v>0</v>
      </c>
      <c r="T37" s="160"/>
      <c r="U37" s="384">
        <f t="shared" ca="1" si="2"/>
        <v>1721.2172800000001</v>
      </c>
      <c r="V37" s="384">
        <f t="shared" ca="1" si="3"/>
        <v>1721.2172800000001</v>
      </c>
      <c r="W37" s="384">
        <f t="shared" ca="1" si="4"/>
        <v>172.12172800000002</v>
      </c>
      <c r="X37" s="384">
        <f t="shared" ca="1" si="5"/>
        <v>0</v>
      </c>
      <c r="Y37" s="384">
        <f t="shared" ca="1" si="6"/>
        <v>624.80187263999994</v>
      </c>
      <c r="Z37" s="384">
        <f t="shared" ca="1" si="7"/>
        <v>21451.530960640001</v>
      </c>
      <c r="AA37" s="384">
        <f t="shared" ca="1" si="8"/>
        <v>327.03128320000002</v>
      </c>
      <c r="AB37" s="384">
        <f t="shared" ca="1" si="9"/>
        <v>0</v>
      </c>
      <c r="AC37" s="384">
        <f t="shared" ca="1" si="10"/>
        <v>0</v>
      </c>
    </row>
    <row r="38" spans="2:29" s="149" customFormat="1" ht="30.75" customHeight="1">
      <c r="B38" s="301"/>
      <c r="C38" s="333">
        <v>1.23</v>
      </c>
      <c r="D38" s="461" t="s">
        <v>4664</v>
      </c>
      <c r="E38" s="462" t="s">
        <v>4664</v>
      </c>
      <c r="F38" s="462" t="s">
        <v>4664</v>
      </c>
      <c r="G38" s="462" t="s">
        <v>4664</v>
      </c>
      <c r="H38" s="462" t="s">
        <v>4664</v>
      </c>
      <c r="I38" s="463" t="s">
        <v>4664</v>
      </c>
      <c r="J38" s="333" t="s">
        <v>4127</v>
      </c>
      <c r="K38" s="334"/>
      <c r="L38" s="305">
        <f t="shared" ca="1" si="1"/>
        <v>21451.530960640001</v>
      </c>
      <c r="M38" s="306">
        <f t="shared" ca="1" si="11"/>
        <v>0</v>
      </c>
      <c r="N38" s="307"/>
      <c r="O38" s="162"/>
      <c r="P38" s="384">
        <f ca="1">IF(IFERROR(VLOOKUP(C38,APU!H:N,4,0),0),VLOOKUP(C38,APU!H:N,4,0),0)</f>
        <v>0</v>
      </c>
      <c r="Q38" s="384">
        <f ca="1">IF(IFERROR(VLOOKUP(C38,APU!H:N,5,0),0),VLOOKUP(C38,APU!H:N,5,0),0)</f>
        <v>17212.1728</v>
      </c>
      <c r="R38" s="384">
        <f ca="1">IF(IFERROR(VLOOKUP(C38,APU!H:N,6,0),0),VLOOKUP(C38,APU!H:N,6,0),0)</f>
        <v>0</v>
      </c>
      <c r="S38" s="384">
        <f ca="1">IF(IFERROR(VLOOKUP(C38,APU!H:N,7,0),0),VLOOKUP(C38,APU!H:N,7,0),0)</f>
        <v>0</v>
      </c>
      <c r="T38" s="160"/>
      <c r="U38" s="384">
        <f t="shared" ca="1" si="2"/>
        <v>1721.2172800000001</v>
      </c>
      <c r="V38" s="384">
        <f t="shared" ca="1" si="3"/>
        <v>1721.2172800000001</v>
      </c>
      <c r="W38" s="384">
        <f t="shared" ca="1" si="4"/>
        <v>172.12172800000002</v>
      </c>
      <c r="X38" s="384">
        <f t="shared" ca="1" si="5"/>
        <v>0</v>
      </c>
      <c r="Y38" s="384">
        <f t="shared" ca="1" si="6"/>
        <v>624.80187263999994</v>
      </c>
      <c r="Z38" s="384">
        <f t="shared" ca="1" si="7"/>
        <v>21451.530960640001</v>
      </c>
      <c r="AA38" s="384">
        <f t="shared" ca="1" si="8"/>
        <v>327.03128320000002</v>
      </c>
      <c r="AB38" s="384">
        <f t="shared" ca="1" si="9"/>
        <v>0</v>
      </c>
      <c r="AC38" s="384">
        <f t="shared" ca="1" si="10"/>
        <v>0</v>
      </c>
    </row>
    <row r="39" spans="2:29" s="149" customFormat="1" ht="30.75" customHeight="1">
      <c r="B39" s="301"/>
      <c r="C39" s="333">
        <v>1.24</v>
      </c>
      <c r="D39" s="461" t="s">
        <v>4665</v>
      </c>
      <c r="E39" s="462" t="s">
        <v>4665</v>
      </c>
      <c r="F39" s="462" t="s">
        <v>4665</v>
      </c>
      <c r="G39" s="462" t="s">
        <v>4665</v>
      </c>
      <c r="H39" s="462" t="s">
        <v>4665</v>
      </c>
      <c r="I39" s="463" t="s">
        <v>4665</v>
      </c>
      <c r="J39" s="333" t="s">
        <v>4127</v>
      </c>
      <c r="K39" s="334"/>
      <c r="L39" s="305">
        <f t="shared" ca="1" si="1"/>
        <v>21451.530960640001</v>
      </c>
      <c r="M39" s="306">
        <f t="shared" ca="1" si="11"/>
        <v>0</v>
      </c>
      <c r="N39" s="307"/>
      <c r="O39" s="162"/>
      <c r="P39" s="384">
        <f ca="1">IF(IFERROR(VLOOKUP(C39,APU!H:N,4,0),0),VLOOKUP(C39,APU!H:N,4,0),0)</f>
        <v>0</v>
      </c>
      <c r="Q39" s="384">
        <f ca="1">IF(IFERROR(VLOOKUP(C39,APU!H:N,5,0),0),VLOOKUP(C39,APU!H:N,5,0),0)</f>
        <v>17212.1728</v>
      </c>
      <c r="R39" s="384">
        <f ca="1">IF(IFERROR(VLOOKUP(C39,APU!H:N,6,0),0),VLOOKUP(C39,APU!H:N,6,0),0)</f>
        <v>0</v>
      </c>
      <c r="S39" s="384">
        <f ca="1">IF(IFERROR(VLOOKUP(C39,APU!H:N,7,0),0),VLOOKUP(C39,APU!H:N,7,0),0)</f>
        <v>0</v>
      </c>
      <c r="T39" s="160"/>
      <c r="U39" s="384">
        <f t="shared" ca="1" si="2"/>
        <v>1721.2172800000001</v>
      </c>
      <c r="V39" s="384">
        <f t="shared" ca="1" si="3"/>
        <v>1721.2172800000001</v>
      </c>
      <c r="W39" s="384">
        <f t="shared" ca="1" si="4"/>
        <v>172.12172800000002</v>
      </c>
      <c r="X39" s="384">
        <f t="shared" ca="1" si="5"/>
        <v>0</v>
      </c>
      <c r="Y39" s="384">
        <f t="shared" ca="1" si="6"/>
        <v>624.80187263999994</v>
      </c>
      <c r="Z39" s="384">
        <f t="shared" ca="1" si="7"/>
        <v>21451.530960640001</v>
      </c>
      <c r="AA39" s="384">
        <f t="shared" ca="1" si="8"/>
        <v>327.03128320000002</v>
      </c>
      <c r="AB39" s="384">
        <f t="shared" ca="1" si="9"/>
        <v>0</v>
      </c>
      <c r="AC39" s="384">
        <f t="shared" ca="1" si="10"/>
        <v>0</v>
      </c>
    </row>
    <row r="40" spans="2:29" s="149" customFormat="1" ht="30.75" customHeight="1">
      <c r="B40" s="301"/>
      <c r="C40" s="333">
        <v>1.25</v>
      </c>
      <c r="D40" s="461" t="s">
        <v>4666</v>
      </c>
      <c r="E40" s="462" t="s">
        <v>4666</v>
      </c>
      <c r="F40" s="462" t="s">
        <v>4666</v>
      </c>
      <c r="G40" s="462" t="s">
        <v>4666</v>
      </c>
      <c r="H40" s="462" t="s">
        <v>4666</v>
      </c>
      <c r="I40" s="463" t="s">
        <v>4666</v>
      </c>
      <c r="J40" s="333" t="s">
        <v>4127</v>
      </c>
      <c r="K40" s="334"/>
      <c r="L40" s="305">
        <f t="shared" ca="1" si="1"/>
        <v>21451.530960640001</v>
      </c>
      <c r="M40" s="306">
        <f t="shared" ca="1" si="11"/>
        <v>0</v>
      </c>
      <c r="N40" s="307"/>
      <c r="O40" s="162"/>
      <c r="P40" s="384">
        <f ca="1">IF(IFERROR(VLOOKUP(C40,APU!H:N,4,0),0),VLOOKUP(C40,APU!H:N,4,0),0)</f>
        <v>0</v>
      </c>
      <c r="Q40" s="384">
        <f ca="1">IF(IFERROR(VLOOKUP(C40,APU!H:N,5,0),0),VLOOKUP(C40,APU!H:N,5,0),0)</f>
        <v>17212.1728</v>
      </c>
      <c r="R40" s="384">
        <f ca="1">IF(IFERROR(VLOOKUP(C40,APU!H:N,6,0),0),VLOOKUP(C40,APU!H:N,6,0),0)</f>
        <v>0</v>
      </c>
      <c r="S40" s="384">
        <f ca="1">IF(IFERROR(VLOOKUP(C40,APU!H:N,7,0),0),VLOOKUP(C40,APU!H:N,7,0),0)</f>
        <v>0</v>
      </c>
      <c r="T40" s="160"/>
      <c r="U40" s="384">
        <f t="shared" ca="1" si="2"/>
        <v>1721.2172800000001</v>
      </c>
      <c r="V40" s="384">
        <f t="shared" ca="1" si="3"/>
        <v>1721.2172800000001</v>
      </c>
      <c r="W40" s="384">
        <f t="shared" ca="1" si="4"/>
        <v>172.12172800000002</v>
      </c>
      <c r="X40" s="384">
        <f t="shared" ca="1" si="5"/>
        <v>0</v>
      </c>
      <c r="Y40" s="384">
        <f t="shared" ca="1" si="6"/>
        <v>624.80187263999994</v>
      </c>
      <c r="Z40" s="384">
        <f t="shared" ca="1" si="7"/>
        <v>21451.530960640001</v>
      </c>
      <c r="AA40" s="384">
        <f t="shared" ca="1" si="8"/>
        <v>327.03128320000002</v>
      </c>
      <c r="AB40" s="384">
        <f t="shared" ca="1" si="9"/>
        <v>0</v>
      </c>
      <c r="AC40" s="384">
        <f t="shared" ca="1" si="10"/>
        <v>0</v>
      </c>
    </row>
    <row r="41" spans="2:29" s="149" customFormat="1" ht="30.75" customHeight="1">
      <c r="B41" s="301"/>
      <c r="C41" s="333">
        <v>1.26</v>
      </c>
      <c r="D41" s="461" t="s">
        <v>4667</v>
      </c>
      <c r="E41" s="462" t="s">
        <v>4667</v>
      </c>
      <c r="F41" s="462" t="s">
        <v>4667</v>
      </c>
      <c r="G41" s="462" t="s">
        <v>4667</v>
      </c>
      <c r="H41" s="462" t="s">
        <v>4667</v>
      </c>
      <c r="I41" s="463" t="s">
        <v>4667</v>
      </c>
      <c r="J41" s="333" t="s">
        <v>4127</v>
      </c>
      <c r="K41" s="334"/>
      <c r="L41" s="305">
        <f t="shared" ca="1" si="1"/>
        <v>38620.990481920002</v>
      </c>
      <c r="M41" s="306">
        <f t="shared" ca="1" si="11"/>
        <v>0</v>
      </c>
      <c r="N41" s="307"/>
      <c r="O41" s="162"/>
      <c r="P41" s="384">
        <f ca="1">IF(IFERROR(VLOOKUP(C41,APU!H:N,4,0),0),VLOOKUP(C41,APU!H:N,4,0),0)</f>
        <v>0</v>
      </c>
      <c r="Q41" s="384">
        <f ca="1">IF(IFERROR(VLOOKUP(C41,APU!H:N,5,0),0),VLOOKUP(C41,APU!H:N,5,0),0)</f>
        <v>30988.518400000001</v>
      </c>
      <c r="R41" s="384">
        <f ca="1">IF(IFERROR(VLOOKUP(C41,APU!H:N,6,0),0),VLOOKUP(C41,APU!H:N,6,0),0)</f>
        <v>0</v>
      </c>
      <c r="S41" s="384">
        <f ca="1">IF(IFERROR(VLOOKUP(C41,APU!H:N,7,0),0),VLOOKUP(C41,APU!H:N,7,0),0)</f>
        <v>0</v>
      </c>
      <c r="T41" s="160"/>
      <c r="U41" s="384">
        <f t="shared" ca="1" si="2"/>
        <v>3098.8518400000003</v>
      </c>
      <c r="V41" s="384">
        <f t="shared" ca="1" si="3"/>
        <v>3098.8518400000003</v>
      </c>
      <c r="W41" s="384">
        <f t="shared" ca="1" si="4"/>
        <v>309.88518400000004</v>
      </c>
      <c r="X41" s="384">
        <f t="shared" ca="1" si="5"/>
        <v>0</v>
      </c>
      <c r="Y41" s="384">
        <f t="shared" ca="1" si="6"/>
        <v>1124.8832179200001</v>
      </c>
      <c r="Z41" s="384">
        <f t="shared" ca="1" si="7"/>
        <v>38620.990481920002</v>
      </c>
      <c r="AA41" s="384">
        <f t="shared" ca="1" si="8"/>
        <v>588.7818496000001</v>
      </c>
      <c r="AB41" s="384">
        <f t="shared" ca="1" si="9"/>
        <v>0</v>
      </c>
      <c r="AC41" s="384">
        <f t="shared" ca="1" si="10"/>
        <v>0</v>
      </c>
    </row>
    <row r="42" spans="2:29" s="149" customFormat="1" ht="30.75" customHeight="1">
      <c r="B42" s="301"/>
      <c r="C42" s="333">
        <v>1.27</v>
      </c>
      <c r="D42" s="461" t="s">
        <v>4668</v>
      </c>
      <c r="E42" s="462" t="s">
        <v>4668</v>
      </c>
      <c r="F42" s="462" t="s">
        <v>4668</v>
      </c>
      <c r="G42" s="462" t="s">
        <v>4668</v>
      </c>
      <c r="H42" s="462" t="s">
        <v>4668</v>
      </c>
      <c r="I42" s="463" t="s">
        <v>4668</v>
      </c>
      <c r="J42" s="333" t="s">
        <v>4127</v>
      </c>
      <c r="K42" s="334"/>
      <c r="L42" s="305">
        <f t="shared" ca="1" si="1"/>
        <v>38620.990481920002</v>
      </c>
      <c r="M42" s="306">
        <f t="shared" ca="1" si="11"/>
        <v>0</v>
      </c>
      <c r="N42" s="307"/>
      <c r="O42" s="162"/>
      <c r="P42" s="384">
        <f ca="1">IF(IFERROR(VLOOKUP(C42,APU!H:N,4,0),0),VLOOKUP(C42,APU!H:N,4,0),0)</f>
        <v>0</v>
      </c>
      <c r="Q42" s="384">
        <f ca="1">IF(IFERROR(VLOOKUP(C42,APU!H:N,5,0),0),VLOOKUP(C42,APU!H:N,5,0),0)</f>
        <v>30988.518400000001</v>
      </c>
      <c r="R42" s="384">
        <f ca="1">IF(IFERROR(VLOOKUP(C42,APU!H:N,6,0),0),VLOOKUP(C42,APU!H:N,6,0),0)</f>
        <v>0</v>
      </c>
      <c r="S42" s="384">
        <f ca="1">IF(IFERROR(VLOOKUP(C42,APU!H:N,7,0),0),VLOOKUP(C42,APU!H:N,7,0),0)</f>
        <v>0</v>
      </c>
      <c r="T42" s="160"/>
      <c r="U42" s="384">
        <f t="shared" ca="1" si="2"/>
        <v>3098.8518400000003</v>
      </c>
      <c r="V42" s="384">
        <f t="shared" ca="1" si="3"/>
        <v>3098.8518400000003</v>
      </c>
      <c r="W42" s="384">
        <f t="shared" ca="1" si="4"/>
        <v>309.88518400000004</v>
      </c>
      <c r="X42" s="384">
        <f t="shared" ca="1" si="5"/>
        <v>0</v>
      </c>
      <c r="Y42" s="384">
        <f t="shared" ca="1" si="6"/>
        <v>1124.8832179200001</v>
      </c>
      <c r="Z42" s="384">
        <f t="shared" ca="1" si="7"/>
        <v>38620.990481920002</v>
      </c>
      <c r="AA42" s="384">
        <f t="shared" ca="1" si="8"/>
        <v>588.7818496000001</v>
      </c>
      <c r="AB42" s="384">
        <f t="shared" ca="1" si="9"/>
        <v>0</v>
      </c>
      <c r="AC42" s="384">
        <f t="shared" ca="1" si="10"/>
        <v>0</v>
      </c>
    </row>
    <row r="43" spans="2:29" s="149" customFormat="1" ht="30.75" customHeight="1">
      <c r="B43" s="301"/>
      <c r="C43" s="333">
        <v>1.28</v>
      </c>
      <c r="D43" s="461" t="s">
        <v>4669</v>
      </c>
      <c r="E43" s="462" t="s">
        <v>4669</v>
      </c>
      <c r="F43" s="462" t="s">
        <v>4669</v>
      </c>
      <c r="G43" s="462" t="s">
        <v>4669</v>
      </c>
      <c r="H43" s="462" t="s">
        <v>4669</v>
      </c>
      <c r="I43" s="463" t="s">
        <v>4669</v>
      </c>
      <c r="J43" s="333" t="s">
        <v>4127</v>
      </c>
      <c r="K43" s="334"/>
      <c r="L43" s="305">
        <f t="shared" ca="1" si="1"/>
        <v>38620.990481920002</v>
      </c>
      <c r="M43" s="306">
        <f t="shared" ca="1" si="11"/>
        <v>0</v>
      </c>
      <c r="N43" s="307"/>
      <c r="O43" s="162"/>
      <c r="P43" s="384">
        <f ca="1">IF(IFERROR(VLOOKUP(C43,APU!H:N,4,0),0),VLOOKUP(C43,APU!H:N,4,0),0)</f>
        <v>0</v>
      </c>
      <c r="Q43" s="384">
        <f ca="1">IF(IFERROR(VLOOKUP(C43,APU!H:N,5,0),0),VLOOKUP(C43,APU!H:N,5,0),0)</f>
        <v>30988.518400000001</v>
      </c>
      <c r="R43" s="384">
        <f ca="1">IF(IFERROR(VLOOKUP(C43,APU!H:N,6,0),0),VLOOKUP(C43,APU!H:N,6,0),0)</f>
        <v>0</v>
      </c>
      <c r="S43" s="384">
        <f ca="1">IF(IFERROR(VLOOKUP(C43,APU!H:N,7,0),0),VLOOKUP(C43,APU!H:N,7,0),0)</f>
        <v>0</v>
      </c>
      <c r="T43" s="160"/>
      <c r="U43" s="384">
        <f t="shared" ca="1" si="2"/>
        <v>3098.8518400000003</v>
      </c>
      <c r="V43" s="384">
        <f t="shared" ca="1" si="3"/>
        <v>3098.8518400000003</v>
      </c>
      <c r="W43" s="384">
        <f t="shared" ca="1" si="4"/>
        <v>309.88518400000004</v>
      </c>
      <c r="X43" s="384">
        <f t="shared" ca="1" si="5"/>
        <v>0</v>
      </c>
      <c r="Y43" s="384">
        <f t="shared" ca="1" si="6"/>
        <v>1124.8832179200001</v>
      </c>
      <c r="Z43" s="384">
        <f t="shared" ca="1" si="7"/>
        <v>38620.990481920002</v>
      </c>
      <c r="AA43" s="384">
        <f t="shared" ca="1" si="8"/>
        <v>588.7818496000001</v>
      </c>
      <c r="AB43" s="384">
        <f t="shared" ca="1" si="9"/>
        <v>0</v>
      </c>
      <c r="AC43" s="384">
        <f t="shared" ca="1" si="10"/>
        <v>0</v>
      </c>
    </row>
    <row r="44" spans="2:29" s="149" customFormat="1" ht="30.75" customHeight="1">
      <c r="B44" s="301"/>
      <c r="C44" s="333">
        <v>1.29</v>
      </c>
      <c r="D44" s="461" t="s">
        <v>4670</v>
      </c>
      <c r="E44" s="462" t="s">
        <v>4670</v>
      </c>
      <c r="F44" s="462" t="s">
        <v>4670</v>
      </c>
      <c r="G44" s="462" t="s">
        <v>4670</v>
      </c>
      <c r="H44" s="462" t="s">
        <v>4670</v>
      </c>
      <c r="I44" s="463" t="s">
        <v>4670</v>
      </c>
      <c r="J44" s="333" t="s">
        <v>4127</v>
      </c>
      <c r="K44" s="334"/>
      <c r="L44" s="305">
        <f t="shared" ca="1" si="1"/>
        <v>21451.530960640001</v>
      </c>
      <c r="M44" s="306">
        <f t="shared" ca="1" si="11"/>
        <v>0</v>
      </c>
      <c r="N44" s="307"/>
      <c r="O44" s="162"/>
      <c r="P44" s="384">
        <f ca="1">IF(IFERROR(VLOOKUP(C44,APU!H:N,4,0),0),VLOOKUP(C44,APU!H:N,4,0),0)</f>
        <v>0</v>
      </c>
      <c r="Q44" s="384">
        <f ca="1">IF(IFERROR(VLOOKUP(C44,APU!H:N,5,0),0),VLOOKUP(C44,APU!H:N,5,0),0)</f>
        <v>17212.1728</v>
      </c>
      <c r="R44" s="384">
        <f ca="1">IF(IFERROR(VLOOKUP(C44,APU!H:N,6,0),0),VLOOKUP(C44,APU!H:N,6,0),0)</f>
        <v>0</v>
      </c>
      <c r="S44" s="384">
        <f ca="1">IF(IFERROR(VLOOKUP(C44,APU!H:N,7,0),0),VLOOKUP(C44,APU!H:N,7,0),0)</f>
        <v>0</v>
      </c>
      <c r="T44" s="160"/>
      <c r="U44" s="384">
        <f t="shared" ca="1" si="2"/>
        <v>1721.2172800000001</v>
      </c>
      <c r="V44" s="384">
        <f t="shared" ca="1" si="3"/>
        <v>1721.2172800000001</v>
      </c>
      <c r="W44" s="384">
        <f t="shared" ca="1" si="4"/>
        <v>172.12172800000002</v>
      </c>
      <c r="X44" s="384">
        <f t="shared" ca="1" si="5"/>
        <v>0</v>
      </c>
      <c r="Y44" s="384">
        <f t="shared" ca="1" si="6"/>
        <v>624.80187263999994</v>
      </c>
      <c r="Z44" s="384">
        <f t="shared" ca="1" si="7"/>
        <v>21451.530960640001</v>
      </c>
      <c r="AA44" s="384">
        <f t="shared" ca="1" si="8"/>
        <v>327.03128320000002</v>
      </c>
      <c r="AB44" s="384">
        <f t="shared" ca="1" si="9"/>
        <v>0</v>
      </c>
      <c r="AC44" s="384">
        <f t="shared" ca="1" si="10"/>
        <v>0</v>
      </c>
    </row>
    <row r="45" spans="2:29" s="149" customFormat="1" ht="30.75" customHeight="1">
      <c r="B45" s="301"/>
      <c r="C45" s="333" t="s">
        <v>4678</v>
      </c>
      <c r="D45" s="461" t="s">
        <v>4671</v>
      </c>
      <c r="E45" s="462" t="s">
        <v>4671</v>
      </c>
      <c r="F45" s="462" t="s">
        <v>4671</v>
      </c>
      <c r="G45" s="462" t="s">
        <v>4671</v>
      </c>
      <c r="H45" s="462" t="s">
        <v>4671</v>
      </c>
      <c r="I45" s="463" t="s">
        <v>4671</v>
      </c>
      <c r="J45" s="333" t="s">
        <v>4127</v>
      </c>
      <c r="K45" s="334"/>
      <c r="L45" s="305">
        <f t="shared" ca="1" si="1"/>
        <v>21451.530960640001</v>
      </c>
      <c r="M45" s="306">
        <f t="shared" ca="1" si="11"/>
        <v>0</v>
      </c>
      <c r="N45" s="307"/>
      <c r="O45" s="162"/>
      <c r="P45" s="384">
        <f ca="1">IF(IFERROR(VLOOKUP(C45,APU!H:N,4,0),0),VLOOKUP(C45,APU!H:N,4,0),0)</f>
        <v>0</v>
      </c>
      <c r="Q45" s="384">
        <f ca="1">IF(IFERROR(VLOOKUP(C45,APU!H:N,5,0),0),VLOOKUP(C45,APU!H:N,5,0),0)</f>
        <v>17212.1728</v>
      </c>
      <c r="R45" s="384">
        <f ca="1">IF(IFERROR(VLOOKUP(C45,APU!H:N,6,0),0),VLOOKUP(C45,APU!H:N,6,0),0)</f>
        <v>0</v>
      </c>
      <c r="S45" s="384">
        <f ca="1">IF(IFERROR(VLOOKUP(C45,APU!H:N,7,0),0),VLOOKUP(C45,APU!H:N,7,0),0)</f>
        <v>0</v>
      </c>
      <c r="T45" s="160"/>
      <c r="U45" s="384">
        <f t="shared" ca="1" si="2"/>
        <v>1721.2172800000001</v>
      </c>
      <c r="V45" s="384">
        <f t="shared" ca="1" si="3"/>
        <v>1721.2172800000001</v>
      </c>
      <c r="W45" s="384">
        <f t="shared" ca="1" si="4"/>
        <v>172.12172800000002</v>
      </c>
      <c r="X45" s="384">
        <f t="shared" ca="1" si="5"/>
        <v>0</v>
      </c>
      <c r="Y45" s="384">
        <f t="shared" ca="1" si="6"/>
        <v>624.80187263999994</v>
      </c>
      <c r="Z45" s="384">
        <f t="shared" ca="1" si="7"/>
        <v>21451.530960640001</v>
      </c>
      <c r="AA45" s="384">
        <f t="shared" ca="1" si="8"/>
        <v>327.03128320000002</v>
      </c>
      <c r="AB45" s="384">
        <f t="shared" ca="1" si="9"/>
        <v>0</v>
      </c>
      <c r="AC45" s="384">
        <f t="shared" ca="1" si="10"/>
        <v>0</v>
      </c>
    </row>
    <row r="46" spans="2:29" s="149" customFormat="1" ht="30.75" customHeight="1">
      <c r="B46" s="301"/>
      <c r="C46" s="333">
        <v>1.31</v>
      </c>
      <c r="D46" s="461" t="s">
        <v>4672</v>
      </c>
      <c r="E46" s="462" t="s">
        <v>4672</v>
      </c>
      <c r="F46" s="462" t="s">
        <v>4672</v>
      </c>
      <c r="G46" s="462" t="s">
        <v>4672</v>
      </c>
      <c r="H46" s="462" t="s">
        <v>4672</v>
      </c>
      <c r="I46" s="463" t="s">
        <v>4672</v>
      </c>
      <c r="J46" s="333" t="s">
        <v>4127</v>
      </c>
      <c r="K46" s="334"/>
      <c r="L46" s="305">
        <f t="shared" ca="1" si="1"/>
        <v>21451.530960640001</v>
      </c>
      <c r="M46" s="306">
        <f t="shared" ca="1" si="11"/>
        <v>0</v>
      </c>
      <c r="N46" s="307"/>
      <c r="O46" s="162"/>
      <c r="P46" s="384">
        <f ca="1">IF(IFERROR(VLOOKUP(C46,APU!H:N,4,0),0),VLOOKUP(C46,APU!H:N,4,0),0)</f>
        <v>0</v>
      </c>
      <c r="Q46" s="384">
        <f ca="1">IF(IFERROR(VLOOKUP(C46,APU!H:N,5,0),0),VLOOKUP(C46,APU!H:N,5,0),0)</f>
        <v>17212.1728</v>
      </c>
      <c r="R46" s="384">
        <f ca="1">IF(IFERROR(VLOOKUP(C46,APU!H:N,6,0),0),VLOOKUP(C46,APU!H:N,6,0),0)</f>
        <v>0</v>
      </c>
      <c r="S46" s="384">
        <f ca="1">IF(IFERROR(VLOOKUP(C46,APU!H:N,7,0),0),VLOOKUP(C46,APU!H:N,7,0),0)</f>
        <v>0</v>
      </c>
      <c r="T46" s="160"/>
      <c r="U46" s="384">
        <f t="shared" ca="1" si="2"/>
        <v>1721.2172800000001</v>
      </c>
      <c r="V46" s="384">
        <f t="shared" ca="1" si="3"/>
        <v>1721.2172800000001</v>
      </c>
      <c r="W46" s="384">
        <f t="shared" ca="1" si="4"/>
        <v>172.12172800000002</v>
      </c>
      <c r="X46" s="384">
        <f t="shared" ca="1" si="5"/>
        <v>0</v>
      </c>
      <c r="Y46" s="384">
        <f t="shared" ca="1" si="6"/>
        <v>624.80187263999994</v>
      </c>
      <c r="Z46" s="384">
        <f t="shared" ca="1" si="7"/>
        <v>21451.530960640001</v>
      </c>
      <c r="AA46" s="384">
        <f t="shared" ca="1" si="8"/>
        <v>327.03128320000002</v>
      </c>
      <c r="AB46" s="384">
        <f t="shared" ca="1" si="9"/>
        <v>0</v>
      </c>
      <c r="AC46" s="384">
        <f t="shared" ca="1" si="10"/>
        <v>0</v>
      </c>
    </row>
    <row r="47" spans="2:29" s="149" customFormat="1" ht="30.75" customHeight="1">
      <c r="B47" s="301"/>
      <c r="C47" s="333">
        <v>1.32</v>
      </c>
      <c r="D47" s="461" t="s">
        <v>4673</v>
      </c>
      <c r="E47" s="462" t="s">
        <v>4673</v>
      </c>
      <c r="F47" s="462" t="s">
        <v>4673</v>
      </c>
      <c r="G47" s="462" t="s">
        <v>4673</v>
      </c>
      <c r="H47" s="462" t="s">
        <v>4673</v>
      </c>
      <c r="I47" s="463" t="s">
        <v>4673</v>
      </c>
      <c r="J47" s="333" t="s">
        <v>4127</v>
      </c>
      <c r="K47" s="334"/>
      <c r="L47" s="305">
        <f t="shared" ca="1" si="1"/>
        <v>21451.530960640001</v>
      </c>
      <c r="M47" s="306">
        <f t="shared" ca="1" si="11"/>
        <v>0</v>
      </c>
      <c r="N47" s="307"/>
      <c r="O47" s="162"/>
      <c r="P47" s="384">
        <f ca="1">IF(IFERROR(VLOOKUP(C47,APU!H:N,4,0),0),VLOOKUP(C47,APU!H:N,4,0),0)</f>
        <v>0</v>
      </c>
      <c r="Q47" s="384">
        <f ca="1">IF(IFERROR(VLOOKUP(C47,APU!H:N,5,0),0),VLOOKUP(C47,APU!H:N,5,0),0)</f>
        <v>17212.1728</v>
      </c>
      <c r="R47" s="384">
        <f ca="1">IF(IFERROR(VLOOKUP(C47,APU!H:N,6,0),0),VLOOKUP(C47,APU!H:N,6,0),0)</f>
        <v>0</v>
      </c>
      <c r="S47" s="384">
        <f ca="1">IF(IFERROR(VLOOKUP(C47,APU!H:N,7,0),0),VLOOKUP(C47,APU!H:N,7,0),0)</f>
        <v>0</v>
      </c>
      <c r="T47" s="160"/>
      <c r="U47" s="384">
        <f t="shared" ca="1" si="2"/>
        <v>1721.2172800000001</v>
      </c>
      <c r="V47" s="384">
        <f t="shared" ca="1" si="3"/>
        <v>1721.2172800000001</v>
      </c>
      <c r="W47" s="384">
        <f t="shared" ca="1" si="4"/>
        <v>172.12172800000002</v>
      </c>
      <c r="X47" s="384">
        <f t="shared" ca="1" si="5"/>
        <v>0</v>
      </c>
      <c r="Y47" s="384">
        <f t="shared" ca="1" si="6"/>
        <v>624.80187263999994</v>
      </c>
      <c r="Z47" s="384">
        <f t="shared" ca="1" si="7"/>
        <v>21451.530960640001</v>
      </c>
      <c r="AA47" s="384">
        <f t="shared" ca="1" si="8"/>
        <v>327.03128320000002</v>
      </c>
      <c r="AB47" s="384">
        <f t="shared" ca="1" si="9"/>
        <v>0</v>
      </c>
      <c r="AC47" s="384">
        <f t="shared" ca="1" si="10"/>
        <v>0</v>
      </c>
    </row>
    <row r="48" spans="2:29" s="149" customFormat="1" ht="30.75" customHeight="1">
      <c r="B48" s="301"/>
      <c r="C48" s="333">
        <v>1.33</v>
      </c>
      <c r="D48" s="461" t="s">
        <v>4674</v>
      </c>
      <c r="E48" s="462" t="s">
        <v>4674</v>
      </c>
      <c r="F48" s="462" t="s">
        <v>4674</v>
      </c>
      <c r="G48" s="462" t="s">
        <v>4674</v>
      </c>
      <c r="H48" s="462" t="s">
        <v>4674</v>
      </c>
      <c r="I48" s="463" t="s">
        <v>4674</v>
      </c>
      <c r="J48" s="333" t="s">
        <v>4127</v>
      </c>
      <c r="K48" s="334"/>
      <c r="L48" s="305">
        <f t="shared" ca="1" si="1"/>
        <v>21451.530960640001</v>
      </c>
      <c r="M48" s="306">
        <f t="shared" ca="1" si="11"/>
        <v>0</v>
      </c>
      <c r="N48" s="307"/>
      <c r="O48" s="162"/>
      <c r="P48" s="384">
        <f ca="1">IF(IFERROR(VLOOKUP(C48,APU!H:N,4,0),0),VLOOKUP(C48,APU!H:N,4,0),0)</f>
        <v>0</v>
      </c>
      <c r="Q48" s="384">
        <f ca="1">IF(IFERROR(VLOOKUP(C48,APU!H:N,5,0),0),VLOOKUP(C48,APU!H:N,5,0),0)</f>
        <v>17212.1728</v>
      </c>
      <c r="R48" s="384">
        <f ca="1">IF(IFERROR(VLOOKUP(C48,APU!H:N,6,0),0),VLOOKUP(C48,APU!H:N,6,0),0)</f>
        <v>0</v>
      </c>
      <c r="S48" s="384">
        <f ca="1">IF(IFERROR(VLOOKUP(C48,APU!H:N,7,0),0),VLOOKUP(C48,APU!H:N,7,0),0)</f>
        <v>0</v>
      </c>
      <c r="T48" s="160"/>
      <c r="U48" s="384">
        <f t="shared" ca="1" si="2"/>
        <v>1721.2172800000001</v>
      </c>
      <c r="V48" s="384">
        <f t="shared" ca="1" si="3"/>
        <v>1721.2172800000001</v>
      </c>
      <c r="W48" s="384">
        <f t="shared" ca="1" si="4"/>
        <v>172.12172800000002</v>
      </c>
      <c r="X48" s="384">
        <f t="shared" ca="1" si="5"/>
        <v>0</v>
      </c>
      <c r="Y48" s="384">
        <f t="shared" ca="1" si="6"/>
        <v>624.80187263999994</v>
      </c>
      <c r="Z48" s="384">
        <f t="shared" ca="1" si="7"/>
        <v>21451.530960640001</v>
      </c>
      <c r="AA48" s="384">
        <f t="shared" ca="1" si="8"/>
        <v>327.03128320000002</v>
      </c>
      <c r="AB48" s="384">
        <f t="shared" ca="1" si="9"/>
        <v>0</v>
      </c>
      <c r="AC48" s="384">
        <f t="shared" ca="1" si="10"/>
        <v>0</v>
      </c>
    </row>
    <row r="49" spans="2:29" s="149" customFormat="1" ht="30.75" customHeight="1">
      <c r="B49" s="301"/>
      <c r="C49" s="333">
        <v>1.34</v>
      </c>
      <c r="D49" s="461" t="s">
        <v>4675</v>
      </c>
      <c r="E49" s="462" t="s">
        <v>4675</v>
      </c>
      <c r="F49" s="462" t="s">
        <v>4675</v>
      </c>
      <c r="G49" s="462" t="s">
        <v>4675</v>
      </c>
      <c r="H49" s="462" t="s">
        <v>4675</v>
      </c>
      <c r="I49" s="463" t="s">
        <v>4675</v>
      </c>
      <c r="J49" s="333" t="s">
        <v>4127</v>
      </c>
      <c r="K49" s="334"/>
      <c r="L49" s="305">
        <f t="shared" ca="1" si="1"/>
        <v>21451.530960640001</v>
      </c>
      <c r="M49" s="306">
        <f t="shared" ca="1" si="11"/>
        <v>0</v>
      </c>
      <c r="N49" s="307"/>
      <c r="O49" s="162"/>
      <c r="P49" s="384">
        <f ca="1">IF(IFERROR(VLOOKUP(C49,APU!H:N,4,0),0),VLOOKUP(C49,APU!H:N,4,0),0)</f>
        <v>0</v>
      </c>
      <c r="Q49" s="384">
        <f ca="1">IF(IFERROR(VLOOKUP(C49,APU!H:N,5,0),0),VLOOKUP(C49,APU!H:N,5,0),0)</f>
        <v>17212.1728</v>
      </c>
      <c r="R49" s="384">
        <f ca="1">IF(IFERROR(VLOOKUP(C49,APU!H:N,6,0),0),VLOOKUP(C49,APU!H:N,6,0),0)</f>
        <v>0</v>
      </c>
      <c r="S49" s="384">
        <f ca="1">IF(IFERROR(VLOOKUP(C49,APU!H:N,7,0),0),VLOOKUP(C49,APU!H:N,7,0),0)</f>
        <v>0</v>
      </c>
      <c r="T49" s="160"/>
      <c r="U49" s="384">
        <f t="shared" ca="1" si="2"/>
        <v>1721.2172800000001</v>
      </c>
      <c r="V49" s="384">
        <f t="shared" ca="1" si="3"/>
        <v>1721.2172800000001</v>
      </c>
      <c r="W49" s="384">
        <f t="shared" ca="1" si="4"/>
        <v>172.12172800000002</v>
      </c>
      <c r="X49" s="384">
        <f t="shared" ca="1" si="5"/>
        <v>0</v>
      </c>
      <c r="Y49" s="384">
        <f t="shared" ca="1" si="6"/>
        <v>624.80187263999994</v>
      </c>
      <c r="Z49" s="384">
        <f t="shared" ca="1" si="7"/>
        <v>21451.530960640001</v>
      </c>
      <c r="AA49" s="384">
        <f t="shared" ca="1" si="8"/>
        <v>327.03128320000002</v>
      </c>
      <c r="AB49" s="384">
        <f t="shared" ca="1" si="9"/>
        <v>0</v>
      </c>
      <c r="AC49" s="384">
        <f t="shared" ca="1" si="10"/>
        <v>0</v>
      </c>
    </row>
    <row r="50" spans="2:29" s="149" customFormat="1" ht="30.75" customHeight="1">
      <c r="B50" s="301"/>
      <c r="C50" s="333">
        <v>1.35</v>
      </c>
      <c r="D50" s="461" t="s">
        <v>4676</v>
      </c>
      <c r="E50" s="462" t="s">
        <v>4676</v>
      </c>
      <c r="F50" s="462" t="s">
        <v>4676</v>
      </c>
      <c r="G50" s="462" t="s">
        <v>4676</v>
      </c>
      <c r="H50" s="462" t="s">
        <v>4676</v>
      </c>
      <c r="I50" s="463" t="s">
        <v>4676</v>
      </c>
      <c r="J50" s="333" t="s">
        <v>4127</v>
      </c>
      <c r="K50" s="334"/>
      <c r="L50" s="305">
        <f t="shared" ca="1" si="1"/>
        <v>21451.530960640001</v>
      </c>
      <c r="M50" s="306">
        <f t="shared" ca="1" si="11"/>
        <v>0</v>
      </c>
      <c r="N50" s="307"/>
      <c r="O50" s="162"/>
      <c r="P50" s="384">
        <f ca="1">IF(IFERROR(VLOOKUP(C50,APU!H:N,4,0),0),VLOOKUP(C50,APU!H:N,4,0),0)</f>
        <v>0</v>
      </c>
      <c r="Q50" s="384">
        <f ca="1">IF(IFERROR(VLOOKUP(C50,APU!H:N,5,0),0),VLOOKUP(C50,APU!H:N,5,0),0)</f>
        <v>17212.1728</v>
      </c>
      <c r="R50" s="384">
        <f ca="1">IF(IFERROR(VLOOKUP(C50,APU!H:N,6,0),0),VLOOKUP(C50,APU!H:N,6,0),0)</f>
        <v>0</v>
      </c>
      <c r="S50" s="384">
        <f ca="1">IF(IFERROR(VLOOKUP(C50,APU!H:N,7,0),0),VLOOKUP(C50,APU!H:N,7,0),0)</f>
        <v>0</v>
      </c>
      <c r="T50" s="160"/>
      <c r="U50" s="384">
        <f t="shared" ca="1" si="2"/>
        <v>1721.2172800000001</v>
      </c>
      <c r="V50" s="384">
        <f t="shared" ca="1" si="3"/>
        <v>1721.2172800000001</v>
      </c>
      <c r="W50" s="384">
        <f t="shared" ca="1" si="4"/>
        <v>172.12172800000002</v>
      </c>
      <c r="X50" s="384">
        <f t="shared" ca="1" si="5"/>
        <v>0</v>
      </c>
      <c r="Y50" s="384">
        <f t="shared" ca="1" si="6"/>
        <v>624.80187263999994</v>
      </c>
      <c r="Z50" s="384">
        <f t="shared" ca="1" si="7"/>
        <v>21451.530960640001</v>
      </c>
      <c r="AA50" s="384">
        <f t="shared" ca="1" si="8"/>
        <v>327.03128320000002</v>
      </c>
      <c r="AB50" s="384">
        <f t="shared" ca="1" si="9"/>
        <v>0</v>
      </c>
      <c r="AC50" s="384">
        <f t="shared" ca="1" si="10"/>
        <v>0</v>
      </c>
    </row>
    <row r="51" spans="2:29" s="149" customFormat="1" ht="30.75" customHeight="1">
      <c r="B51" s="301"/>
      <c r="C51" s="333">
        <v>1.36</v>
      </c>
      <c r="D51" s="461" t="s">
        <v>4702</v>
      </c>
      <c r="E51" s="462" t="s">
        <v>4702</v>
      </c>
      <c r="F51" s="462" t="s">
        <v>4702</v>
      </c>
      <c r="G51" s="462" t="s">
        <v>4702</v>
      </c>
      <c r="H51" s="462" t="s">
        <v>4702</v>
      </c>
      <c r="I51" s="463" t="s">
        <v>4702</v>
      </c>
      <c r="J51" s="333" t="s">
        <v>4127</v>
      </c>
      <c r="K51" s="334"/>
      <c r="L51" s="305">
        <f t="shared" ca="1" si="1"/>
        <v>25733.6024</v>
      </c>
      <c r="M51" s="306">
        <f t="shared" ca="1" si="11"/>
        <v>0</v>
      </c>
      <c r="N51" s="307"/>
      <c r="O51" s="162"/>
      <c r="P51" s="384">
        <f ca="1">IF(IFERROR(VLOOKUP(C51,APU!H:N,4,0),0),VLOOKUP(C51,APU!H:N,4,0),0)</f>
        <v>0</v>
      </c>
      <c r="Q51" s="384">
        <f ca="1">IF(IFERROR(VLOOKUP(C51,APU!H:N,5,0),0),VLOOKUP(C51,APU!H:N,5,0),0)</f>
        <v>20648</v>
      </c>
      <c r="R51" s="384">
        <f ca="1">IF(IFERROR(VLOOKUP(C51,APU!H:N,6,0),0),VLOOKUP(C51,APU!H:N,6,0),0)</f>
        <v>0</v>
      </c>
      <c r="S51" s="384">
        <f ca="1">IF(IFERROR(VLOOKUP(C51,APU!H:N,7,0),0),VLOOKUP(C51,APU!H:N,7,0),0)</f>
        <v>0</v>
      </c>
      <c r="T51" s="160"/>
      <c r="U51" s="384">
        <f t="shared" ca="1" si="2"/>
        <v>2064.8000000000002</v>
      </c>
      <c r="V51" s="384">
        <f t="shared" ca="1" si="3"/>
        <v>2064.8000000000002</v>
      </c>
      <c r="W51" s="384">
        <f t="shared" ca="1" si="4"/>
        <v>206.48000000000002</v>
      </c>
      <c r="X51" s="384">
        <f t="shared" ca="1" si="5"/>
        <v>0</v>
      </c>
      <c r="Y51" s="384">
        <f t="shared" ca="1" si="6"/>
        <v>749.52239999999995</v>
      </c>
      <c r="Z51" s="384">
        <f t="shared" ca="1" si="7"/>
        <v>25733.6024</v>
      </c>
      <c r="AA51" s="384">
        <f t="shared" ca="1" si="8"/>
        <v>392.31200000000001</v>
      </c>
      <c r="AB51" s="384">
        <f t="shared" ca="1" si="9"/>
        <v>0</v>
      </c>
      <c r="AC51" s="384">
        <f t="shared" ca="1" si="10"/>
        <v>0</v>
      </c>
    </row>
    <row r="52" spans="2:29" s="149" customFormat="1" ht="30.75" customHeight="1">
      <c r="B52" s="301"/>
      <c r="C52" s="333">
        <v>1.37</v>
      </c>
      <c r="D52" s="461" t="s">
        <v>4703</v>
      </c>
      <c r="E52" s="462" t="s">
        <v>4703</v>
      </c>
      <c r="F52" s="462" t="s">
        <v>4703</v>
      </c>
      <c r="G52" s="462" t="s">
        <v>4703</v>
      </c>
      <c r="H52" s="462" t="s">
        <v>4703</v>
      </c>
      <c r="I52" s="463" t="s">
        <v>4703</v>
      </c>
      <c r="J52" s="333" t="s">
        <v>4127</v>
      </c>
      <c r="K52" s="334"/>
      <c r="L52" s="305">
        <f t="shared" ca="1" si="1"/>
        <v>25733.6024</v>
      </c>
      <c r="M52" s="306">
        <f t="shared" ca="1" si="11"/>
        <v>0</v>
      </c>
      <c r="N52" s="307"/>
      <c r="O52" s="162"/>
      <c r="P52" s="384">
        <f ca="1">IF(IFERROR(VLOOKUP(C52,APU!H:N,4,0),0),VLOOKUP(C52,APU!H:N,4,0),0)</f>
        <v>0</v>
      </c>
      <c r="Q52" s="384">
        <f ca="1">IF(IFERROR(VLOOKUP(C52,APU!H:N,5,0),0),VLOOKUP(C52,APU!H:N,5,0),0)</f>
        <v>20648</v>
      </c>
      <c r="R52" s="384">
        <f ca="1">IF(IFERROR(VLOOKUP(C52,APU!H:N,6,0),0),VLOOKUP(C52,APU!H:N,6,0),0)</f>
        <v>0</v>
      </c>
      <c r="S52" s="384">
        <f ca="1">IF(IFERROR(VLOOKUP(C52,APU!H:N,7,0),0),VLOOKUP(C52,APU!H:N,7,0),0)</f>
        <v>0</v>
      </c>
      <c r="T52" s="160"/>
      <c r="U52" s="384">
        <f t="shared" ca="1" si="2"/>
        <v>2064.8000000000002</v>
      </c>
      <c r="V52" s="384">
        <f t="shared" ca="1" si="3"/>
        <v>2064.8000000000002</v>
      </c>
      <c r="W52" s="384">
        <f t="shared" ca="1" si="4"/>
        <v>206.48000000000002</v>
      </c>
      <c r="X52" s="384">
        <f t="shared" ca="1" si="5"/>
        <v>0</v>
      </c>
      <c r="Y52" s="384">
        <f t="shared" ca="1" si="6"/>
        <v>749.52239999999995</v>
      </c>
      <c r="Z52" s="384">
        <f t="shared" ca="1" si="7"/>
        <v>25733.6024</v>
      </c>
      <c r="AA52" s="384">
        <f t="shared" ca="1" si="8"/>
        <v>392.31200000000001</v>
      </c>
      <c r="AB52" s="384">
        <f t="shared" ca="1" si="9"/>
        <v>0</v>
      </c>
      <c r="AC52" s="384">
        <f t="shared" ca="1" si="10"/>
        <v>0</v>
      </c>
    </row>
    <row r="53" spans="2:29" s="149" customFormat="1" ht="30.75" customHeight="1">
      <c r="B53" s="301"/>
      <c r="C53" s="333">
        <v>1.38</v>
      </c>
      <c r="D53" s="461" t="s">
        <v>4704</v>
      </c>
      <c r="E53" s="462" t="s">
        <v>4704</v>
      </c>
      <c r="F53" s="462" t="s">
        <v>4704</v>
      </c>
      <c r="G53" s="462" t="s">
        <v>4704</v>
      </c>
      <c r="H53" s="462" t="s">
        <v>4704</v>
      </c>
      <c r="I53" s="463" t="s">
        <v>4704</v>
      </c>
      <c r="J53" s="333" t="s">
        <v>4127</v>
      </c>
      <c r="K53" s="334"/>
      <c r="L53" s="305">
        <f t="shared" ca="1" si="1"/>
        <v>25733.6024</v>
      </c>
      <c r="M53" s="306">
        <f t="shared" ca="1" si="11"/>
        <v>0</v>
      </c>
      <c r="N53" s="307"/>
      <c r="O53" s="162"/>
      <c r="P53" s="384">
        <f ca="1">IF(IFERROR(VLOOKUP(C53,APU!H:N,4,0),0),VLOOKUP(C53,APU!H:N,4,0),0)</f>
        <v>0</v>
      </c>
      <c r="Q53" s="384">
        <f ca="1">IF(IFERROR(VLOOKUP(C53,APU!H:N,5,0),0),VLOOKUP(C53,APU!H:N,5,0),0)</f>
        <v>20648</v>
      </c>
      <c r="R53" s="384">
        <f ca="1">IF(IFERROR(VLOOKUP(C53,APU!H:N,6,0),0),VLOOKUP(C53,APU!H:N,6,0),0)</f>
        <v>0</v>
      </c>
      <c r="S53" s="384">
        <f ca="1">IF(IFERROR(VLOOKUP(C53,APU!H:N,7,0),0),VLOOKUP(C53,APU!H:N,7,0),0)</f>
        <v>0</v>
      </c>
      <c r="T53" s="160"/>
      <c r="U53" s="384">
        <f t="shared" ca="1" si="2"/>
        <v>2064.8000000000002</v>
      </c>
      <c r="V53" s="384">
        <f t="shared" ca="1" si="3"/>
        <v>2064.8000000000002</v>
      </c>
      <c r="W53" s="384">
        <f t="shared" ca="1" si="4"/>
        <v>206.48000000000002</v>
      </c>
      <c r="X53" s="384">
        <f t="shared" ca="1" si="5"/>
        <v>0</v>
      </c>
      <c r="Y53" s="384">
        <f t="shared" ca="1" si="6"/>
        <v>749.52239999999995</v>
      </c>
      <c r="Z53" s="384">
        <f t="shared" ca="1" si="7"/>
        <v>25733.6024</v>
      </c>
      <c r="AA53" s="384">
        <f t="shared" ca="1" si="8"/>
        <v>392.31200000000001</v>
      </c>
      <c r="AB53" s="384">
        <f t="shared" ca="1" si="9"/>
        <v>0</v>
      </c>
      <c r="AC53" s="384">
        <f t="shared" ca="1" si="10"/>
        <v>0</v>
      </c>
    </row>
    <row r="54" spans="2:29" s="149" customFormat="1" ht="30.75" customHeight="1">
      <c r="B54" s="301"/>
      <c r="C54" s="333">
        <v>1.39</v>
      </c>
      <c r="D54" s="461" t="s">
        <v>4705</v>
      </c>
      <c r="E54" s="462"/>
      <c r="F54" s="462"/>
      <c r="G54" s="462"/>
      <c r="H54" s="462"/>
      <c r="I54" s="463"/>
      <c r="J54" s="333" t="s">
        <v>4127</v>
      </c>
      <c r="K54" s="334"/>
      <c r="L54" s="305">
        <f t="shared" ca="1" si="1"/>
        <v>25733.6024</v>
      </c>
      <c r="M54" s="306">
        <f t="shared" ca="1" si="11"/>
        <v>0</v>
      </c>
      <c r="N54" s="307"/>
      <c r="O54" s="162"/>
      <c r="P54" s="384">
        <f ca="1">IF(IFERROR(VLOOKUP(C54,APU!H:N,4,0),0),VLOOKUP(C54,APU!H:N,4,0),0)</f>
        <v>0</v>
      </c>
      <c r="Q54" s="384">
        <f ca="1">IF(IFERROR(VLOOKUP(C54,APU!H:N,5,0),0),VLOOKUP(C54,APU!H:N,5,0),0)</f>
        <v>20648</v>
      </c>
      <c r="R54" s="384">
        <f ca="1">IF(IFERROR(VLOOKUP(C54,APU!H:N,6,0),0),VLOOKUP(C54,APU!H:N,6,0),0)</f>
        <v>0</v>
      </c>
      <c r="S54" s="384">
        <f ca="1">IF(IFERROR(VLOOKUP(C54,APU!H:N,7,0),0),VLOOKUP(C54,APU!H:N,7,0),0)</f>
        <v>0</v>
      </c>
      <c r="T54" s="160"/>
      <c r="U54" s="384">
        <f t="shared" ca="1" si="2"/>
        <v>2064.8000000000002</v>
      </c>
      <c r="V54" s="384">
        <f t="shared" ca="1" si="3"/>
        <v>2064.8000000000002</v>
      </c>
      <c r="W54" s="384">
        <f t="shared" ca="1" si="4"/>
        <v>206.48000000000002</v>
      </c>
      <c r="X54" s="384">
        <f t="shared" ca="1" si="5"/>
        <v>0</v>
      </c>
      <c r="Y54" s="384">
        <f t="shared" ca="1" si="6"/>
        <v>749.52239999999995</v>
      </c>
      <c r="Z54" s="384">
        <f t="shared" ca="1" si="7"/>
        <v>25733.6024</v>
      </c>
      <c r="AA54" s="384">
        <f t="shared" ca="1" si="8"/>
        <v>392.31200000000001</v>
      </c>
      <c r="AB54" s="384">
        <f t="shared" ca="1" si="9"/>
        <v>0</v>
      </c>
      <c r="AC54" s="384">
        <f t="shared" ca="1" si="10"/>
        <v>0</v>
      </c>
    </row>
    <row r="55" spans="2:29" s="149" customFormat="1" ht="30.75" customHeight="1">
      <c r="B55" s="301"/>
      <c r="C55" s="333" t="s">
        <v>4701</v>
      </c>
      <c r="D55" s="461" t="s">
        <v>4706</v>
      </c>
      <c r="E55" s="462" t="s">
        <v>4706</v>
      </c>
      <c r="F55" s="462" t="s">
        <v>4706</v>
      </c>
      <c r="G55" s="462" t="s">
        <v>4706</v>
      </c>
      <c r="H55" s="462" t="s">
        <v>4706</v>
      </c>
      <c r="I55" s="463" t="s">
        <v>4706</v>
      </c>
      <c r="J55" s="333" t="s">
        <v>4127</v>
      </c>
      <c r="K55" s="334"/>
      <c r="L55" s="305">
        <f t="shared" ca="1" si="1"/>
        <v>21451.530960640001</v>
      </c>
      <c r="M55" s="306">
        <f t="shared" ca="1" si="11"/>
        <v>0</v>
      </c>
      <c r="N55" s="307"/>
      <c r="O55" s="162"/>
      <c r="P55" s="384">
        <f ca="1">IF(IFERROR(VLOOKUP(C55,APU!H:N,4,0),0),VLOOKUP(C55,APU!H:N,4,0),0)</f>
        <v>0</v>
      </c>
      <c r="Q55" s="384">
        <f ca="1">IF(IFERROR(VLOOKUP(C55,APU!H:N,5,0),0),VLOOKUP(C55,APU!H:N,5,0),0)</f>
        <v>17212.1728</v>
      </c>
      <c r="R55" s="384">
        <f ca="1">IF(IFERROR(VLOOKUP(C55,APU!H:N,6,0),0),VLOOKUP(C55,APU!H:N,6,0),0)</f>
        <v>0</v>
      </c>
      <c r="S55" s="384">
        <f ca="1">IF(IFERROR(VLOOKUP(C55,APU!H:N,7,0),0),VLOOKUP(C55,APU!H:N,7,0),0)</f>
        <v>0</v>
      </c>
      <c r="T55" s="160"/>
      <c r="U55" s="384">
        <f t="shared" ca="1" si="2"/>
        <v>1721.2172800000001</v>
      </c>
      <c r="V55" s="384">
        <f t="shared" ca="1" si="3"/>
        <v>1721.2172800000001</v>
      </c>
      <c r="W55" s="384">
        <f t="shared" ca="1" si="4"/>
        <v>172.12172800000002</v>
      </c>
      <c r="X55" s="384">
        <f t="shared" ca="1" si="5"/>
        <v>0</v>
      </c>
      <c r="Y55" s="384">
        <f t="shared" ca="1" si="6"/>
        <v>624.80187263999994</v>
      </c>
      <c r="Z55" s="384">
        <f t="shared" ca="1" si="7"/>
        <v>21451.530960640001</v>
      </c>
      <c r="AA55" s="384">
        <f t="shared" ca="1" si="8"/>
        <v>327.03128320000002</v>
      </c>
      <c r="AB55" s="384">
        <f t="shared" ca="1" si="9"/>
        <v>0</v>
      </c>
      <c r="AC55" s="384">
        <f t="shared" ca="1" si="10"/>
        <v>0</v>
      </c>
    </row>
    <row r="56" spans="2:29" s="149" customFormat="1" ht="30.75" customHeight="1">
      <c r="B56" s="301"/>
      <c r="C56" s="333">
        <v>1.41</v>
      </c>
      <c r="D56" s="461" t="s">
        <v>4707</v>
      </c>
      <c r="E56" s="462" t="s">
        <v>4707</v>
      </c>
      <c r="F56" s="462" t="s">
        <v>4707</v>
      </c>
      <c r="G56" s="462" t="s">
        <v>4707</v>
      </c>
      <c r="H56" s="462" t="s">
        <v>4707</v>
      </c>
      <c r="I56" s="463" t="s">
        <v>4707</v>
      </c>
      <c r="J56" s="333" t="s">
        <v>4127</v>
      </c>
      <c r="K56" s="334"/>
      <c r="L56" s="305">
        <f t="shared" ca="1" si="1"/>
        <v>21451.530960640001</v>
      </c>
      <c r="M56" s="306">
        <f t="shared" ca="1" si="11"/>
        <v>0</v>
      </c>
      <c r="N56" s="307"/>
      <c r="O56" s="162"/>
      <c r="P56" s="384">
        <f ca="1">IF(IFERROR(VLOOKUP(C56,APU!H:N,4,0),0),VLOOKUP(C56,APU!H:N,4,0),0)</f>
        <v>0</v>
      </c>
      <c r="Q56" s="384">
        <f ca="1">IF(IFERROR(VLOOKUP(C56,APU!H:N,5,0),0),VLOOKUP(C56,APU!H:N,5,0),0)</f>
        <v>17212.1728</v>
      </c>
      <c r="R56" s="384">
        <f ca="1">IF(IFERROR(VLOOKUP(C56,APU!H:N,6,0),0),VLOOKUP(C56,APU!H:N,6,0),0)</f>
        <v>0</v>
      </c>
      <c r="S56" s="384">
        <f ca="1">IF(IFERROR(VLOOKUP(C56,APU!H:N,7,0),0),VLOOKUP(C56,APU!H:N,7,0),0)</f>
        <v>0</v>
      </c>
      <c r="T56" s="160"/>
      <c r="U56" s="384">
        <f t="shared" ca="1" si="2"/>
        <v>1721.2172800000001</v>
      </c>
      <c r="V56" s="384">
        <f t="shared" ca="1" si="3"/>
        <v>1721.2172800000001</v>
      </c>
      <c r="W56" s="384">
        <f t="shared" ca="1" si="4"/>
        <v>172.12172800000002</v>
      </c>
      <c r="X56" s="384">
        <f t="shared" ca="1" si="5"/>
        <v>0</v>
      </c>
      <c r="Y56" s="384">
        <f t="shared" ca="1" si="6"/>
        <v>624.80187263999994</v>
      </c>
      <c r="Z56" s="384">
        <f t="shared" ca="1" si="7"/>
        <v>21451.530960640001</v>
      </c>
      <c r="AA56" s="384">
        <f t="shared" ca="1" si="8"/>
        <v>327.03128320000002</v>
      </c>
      <c r="AB56" s="384">
        <f t="shared" ca="1" si="9"/>
        <v>0</v>
      </c>
      <c r="AC56" s="384">
        <f t="shared" ca="1" si="10"/>
        <v>0</v>
      </c>
    </row>
    <row r="57" spans="2:29" s="149" customFormat="1" ht="30.75" customHeight="1">
      <c r="B57" s="301"/>
      <c r="C57" s="333">
        <v>1.42</v>
      </c>
      <c r="D57" s="461" t="s">
        <v>4708</v>
      </c>
      <c r="E57" s="462" t="s">
        <v>4708</v>
      </c>
      <c r="F57" s="462" t="s">
        <v>4708</v>
      </c>
      <c r="G57" s="462" t="s">
        <v>4708</v>
      </c>
      <c r="H57" s="462" t="s">
        <v>4708</v>
      </c>
      <c r="I57" s="463" t="s">
        <v>4708</v>
      </c>
      <c r="J57" s="333" t="s">
        <v>4127</v>
      </c>
      <c r="K57" s="334"/>
      <c r="L57" s="305">
        <f t="shared" ca="1" si="1"/>
        <v>21451.530960640001</v>
      </c>
      <c r="M57" s="306">
        <f t="shared" ca="1" si="11"/>
        <v>0</v>
      </c>
      <c r="N57" s="307"/>
      <c r="O57" s="162"/>
      <c r="P57" s="384">
        <f ca="1">IF(IFERROR(VLOOKUP(C57,APU!H:N,4,0),0),VLOOKUP(C57,APU!H:N,4,0),0)</f>
        <v>0</v>
      </c>
      <c r="Q57" s="384">
        <f ca="1">IF(IFERROR(VLOOKUP(C57,APU!H:N,5,0),0),VLOOKUP(C57,APU!H:N,5,0),0)</f>
        <v>17212.1728</v>
      </c>
      <c r="R57" s="384">
        <f ca="1">IF(IFERROR(VLOOKUP(C57,APU!H:N,6,0),0),VLOOKUP(C57,APU!H:N,6,0),0)</f>
        <v>0</v>
      </c>
      <c r="S57" s="384">
        <f ca="1">IF(IFERROR(VLOOKUP(C57,APU!H:N,7,0),0),VLOOKUP(C57,APU!H:N,7,0),0)</f>
        <v>0</v>
      </c>
      <c r="T57" s="160"/>
      <c r="U57" s="384">
        <f t="shared" ca="1" si="2"/>
        <v>1721.2172800000001</v>
      </c>
      <c r="V57" s="384">
        <f t="shared" ca="1" si="3"/>
        <v>1721.2172800000001</v>
      </c>
      <c r="W57" s="384">
        <f t="shared" ca="1" si="4"/>
        <v>172.12172800000002</v>
      </c>
      <c r="X57" s="384">
        <f t="shared" ca="1" si="5"/>
        <v>0</v>
      </c>
      <c r="Y57" s="384">
        <f t="shared" ca="1" si="6"/>
        <v>624.80187263999994</v>
      </c>
      <c r="Z57" s="384">
        <f t="shared" ca="1" si="7"/>
        <v>21451.530960640001</v>
      </c>
      <c r="AA57" s="384">
        <f t="shared" ca="1" si="8"/>
        <v>327.03128320000002</v>
      </c>
      <c r="AB57" s="384">
        <f t="shared" ca="1" si="9"/>
        <v>0</v>
      </c>
      <c r="AC57" s="384">
        <f t="shared" ca="1" si="10"/>
        <v>0</v>
      </c>
    </row>
    <row r="58" spans="2:29" s="149" customFormat="1" ht="30.75" customHeight="1">
      <c r="B58" s="301"/>
      <c r="C58" s="333">
        <v>1.43</v>
      </c>
      <c r="D58" s="461" t="s">
        <v>4709</v>
      </c>
      <c r="E58" s="462"/>
      <c r="F58" s="462"/>
      <c r="G58" s="462"/>
      <c r="H58" s="462"/>
      <c r="I58" s="463"/>
      <c r="J58" s="333" t="s">
        <v>4127</v>
      </c>
      <c r="K58" s="334"/>
      <c r="L58" s="305">
        <f t="shared" ca="1" si="1"/>
        <v>21451.530960640001</v>
      </c>
      <c r="M58" s="306">
        <f t="shared" ca="1" si="11"/>
        <v>0</v>
      </c>
      <c r="N58" s="307"/>
      <c r="O58" s="162"/>
      <c r="P58" s="384">
        <f ca="1">IF(IFERROR(VLOOKUP(C58,APU!H:N,4,0),0),VLOOKUP(C58,APU!H:N,4,0),0)</f>
        <v>0</v>
      </c>
      <c r="Q58" s="384">
        <f ca="1">IF(IFERROR(VLOOKUP(C58,APU!H:N,5,0),0),VLOOKUP(C58,APU!H:N,5,0),0)</f>
        <v>17212.1728</v>
      </c>
      <c r="R58" s="384">
        <f ca="1">IF(IFERROR(VLOOKUP(C58,APU!H:N,6,0),0),VLOOKUP(C58,APU!H:N,6,0),0)</f>
        <v>0</v>
      </c>
      <c r="S58" s="384">
        <f ca="1">IF(IFERROR(VLOOKUP(C58,APU!H:N,7,0),0),VLOOKUP(C58,APU!H:N,7,0),0)</f>
        <v>0</v>
      </c>
      <c r="T58" s="160"/>
      <c r="U58" s="384">
        <f t="shared" ca="1" si="2"/>
        <v>1721.2172800000001</v>
      </c>
      <c r="V58" s="384">
        <f t="shared" ca="1" si="3"/>
        <v>1721.2172800000001</v>
      </c>
      <c r="W58" s="384">
        <f t="shared" ca="1" si="4"/>
        <v>172.12172800000002</v>
      </c>
      <c r="X58" s="384">
        <f t="shared" ca="1" si="5"/>
        <v>0</v>
      </c>
      <c r="Y58" s="384">
        <f t="shared" ca="1" si="6"/>
        <v>624.80187263999994</v>
      </c>
      <c r="Z58" s="384">
        <f t="shared" ca="1" si="7"/>
        <v>21451.530960640001</v>
      </c>
      <c r="AA58" s="384">
        <f t="shared" ca="1" si="8"/>
        <v>327.03128320000002</v>
      </c>
      <c r="AB58" s="384">
        <f t="shared" ca="1" si="9"/>
        <v>0</v>
      </c>
      <c r="AC58" s="384">
        <f t="shared" ca="1" si="10"/>
        <v>0</v>
      </c>
    </row>
    <row r="59" spans="2:29" s="149" customFormat="1" ht="30.75" customHeight="1">
      <c r="B59" s="301"/>
      <c r="C59" s="333">
        <v>1.44</v>
      </c>
      <c r="D59" s="461" t="s">
        <v>4710</v>
      </c>
      <c r="E59" s="462"/>
      <c r="F59" s="462"/>
      <c r="G59" s="462"/>
      <c r="H59" s="462"/>
      <c r="I59" s="463"/>
      <c r="J59" s="333" t="s">
        <v>4127</v>
      </c>
      <c r="K59" s="334"/>
      <c r="L59" s="305">
        <f t="shared" ca="1" si="1"/>
        <v>21451.530960640001</v>
      </c>
      <c r="M59" s="306">
        <f t="shared" ca="1" si="11"/>
        <v>0</v>
      </c>
      <c r="N59" s="307"/>
      <c r="O59" s="162"/>
      <c r="P59" s="384">
        <f ca="1">IF(IFERROR(VLOOKUP(C59,APU!H:N,4,0),0),VLOOKUP(C59,APU!H:N,4,0),0)</f>
        <v>0</v>
      </c>
      <c r="Q59" s="384">
        <f ca="1">IF(IFERROR(VLOOKUP(C59,APU!H:N,5,0),0),VLOOKUP(C59,APU!H:N,5,0),0)</f>
        <v>17212.1728</v>
      </c>
      <c r="R59" s="384">
        <f ca="1">IF(IFERROR(VLOOKUP(C59,APU!H:N,6,0),0),VLOOKUP(C59,APU!H:N,6,0),0)</f>
        <v>0</v>
      </c>
      <c r="S59" s="384">
        <f ca="1">IF(IFERROR(VLOOKUP(C59,APU!H:N,7,0),0),VLOOKUP(C59,APU!H:N,7,0),0)</f>
        <v>0</v>
      </c>
      <c r="T59" s="160"/>
      <c r="U59" s="384">
        <f t="shared" ca="1" si="2"/>
        <v>1721.2172800000001</v>
      </c>
      <c r="V59" s="384">
        <f t="shared" ca="1" si="3"/>
        <v>1721.2172800000001</v>
      </c>
      <c r="W59" s="384">
        <f t="shared" ca="1" si="4"/>
        <v>172.12172800000002</v>
      </c>
      <c r="X59" s="384">
        <f t="shared" ca="1" si="5"/>
        <v>0</v>
      </c>
      <c r="Y59" s="384">
        <f t="shared" ca="1" si="6"/>
        <v>624.80187263999994</v>
      </c>
      <c r="Z59" s="384">
        <f t="shared" ca="1" si="7"/>
        <v>21451.530960640001</v>
      </c>
      <c r="AA59" s="384">
        <f t="shared" ca="1" si="8"/>
        <v>327.03128320000002</v>
      </c>
      <c r="AB59" s="384">
        <f t="shared" ca="1" si="9"/>
        <v>0</v>
      </c>
      <c r="AC59" s="384">
        <f t="shared" ca="1" si="10"/>
        <v>0</v>
      </c>
    </row>
    <row r="60" spans="2:29" s="149" customFormat="1" ht="30.75" customHeight="1">
      <c r="B60" s="301"/>
      <c r="C60" s="333">
        <v>1.45</v>
      </c>
      <c r="D60" s="461" t="s">
        <v>4719</v>
      </c>
      <c r="E60" s="462"/>
      <c r="F60" s="462"/>
      <c r="G60" s="462"/>
      <c r="H60" s="462"/>
      <c r="I60" s="463"/>
      <c r="J60" s="333" t="s">
        <v>4127</v>
      </c>
      <c r="K60" s="334"/>
      <c r="L60" s="305">
        <f t="shared" ca="1" si="1"/>
        <v>21451.530960640001</v>
      </c>
      <c r="M60" s="306">
        <f t="shared" ca="1" si="11"/>
        <v>0</v>
      </c>
      <c r="N60" s="307"/>
      <c r="O60" s="162"/>
      <c r="P60" s="384">
        <f ca="1">IF(IFERROR(VLOOKUP(C60,APU!H:N,4,0),0),VLOOKUP(C60,APU!H:N,4,0),0)</f>
        <v>0</v>
      </c>
      <c r="Q60" s="384">
        <f ca="1">IF(IFERROR(VLOOKUP(C60,APU!H:N,5,0),0),VLOOKUP(C60,APU!H:N,5,0),0)</f>
        <v>17212.1728</v>
      </c>
      <c r="R60" s="384">
        <f ca="1">IF(IFERROR(VLOOKUP(C60,APU!H:N,6,0),0),VLOOKUP(C60,APU!H:N,6,0),0)</f>
        <v>0</v>
      </c>
      <c r="S60" s="384">
        <f ca="1">IF(IFERROR(VLOOKUP(C60,APU!H:N,7,0),0),VLOOKUP(C60,APU!H:N,7,0),0)</f>
        <v>0</v>
      </c>
      <c r="T60" s="160"/>
      <c r="U60" s="384">
        <f t="shared" ca="1" si="2"/>
        <v>1721.2172800000001</v>
      </c>
      <c r="V60" s="384">
        <f t="shared" ca="1" si="3"/>
        <v>1721.2172800000001</v>
      </c>
      <c r="W60" s="384">
        <f t="shared" ca="1" si="4"/>
        <v>172.12172800000002</v>
      </c>
      <c r="X60" s="384">
        <f t="shared" ca="1" si="5"/>
        <v>0</v>
      </c>
      <c r="Y60" s="384">
        <f t="shared" ca="1" si="6"/>
        <v>624.80187263999994</v>
      </c>
      <c r="Z60" s="384">
        <f t="shared" ca="1" si="7"/>
        <v>21451.530960640001</v>
      </c>
      <c r="AA60" s="384">
        <f t="shared" ca="1" si="8"/>
        <v>327.03128320000002</v>
      </c>
      <c r="AB60" s="384">
        <f t="shared" ca="1" si="9"/>
        <v>0</v>
      </c>
      <c r="AC60" s="384">
        <f t="shared" ca="1" si="10"/>
        <v>0</v>
      </c>
    </row>
    <row r="61" spans="2:29" s="149" customFormat="1" ht="30.75" customHeight="1">
      <c r="B61" s="301"/>
      <c r="C61" s="333">
        <v>1.46</v>
      </c>
      <c r="D61" s="461" t="s">
        <v>4720</v>
      </c>
      <c r="E61" s="462"/>
      <c r="F61" s="462"/>
      <c r="G61" s="462"/>
      <c r="H61" s="462"/>
      <c r="I61" s="463"/>
      <c r="J61" s="333" t="s">
        <v>4127</v>
      </c>
      <c r="K61" s="334"/>
      <c r="L61" s="305">
        <f t="shared" ca="1" si="1"/>
        <v>21451.530960640001</v>
      </c>
      <c r="M61" s="306">
        <f t="shared" ca="1" si="11"/>
        <v>0</v>
      </c>
      <c r="N61" s="307"/>
      <c r="O61" s="162"/>
      <c r="P61" s="384">
        <f ca="1">IF(IFERROR(VLOOKUP(C61,APU!H:N,4,0),0),VLOOKUP(C61,APU!H:N,4,0),0)</f>
        <v>0</v>
      </c>
      <c r="Q61" s="384">
        <f ca="1">IF(IFERROR(VLOOKUP(C61,APU!H:N,5,0),0),VLOOKUP(C61,APU!H:N,5,0),0)</f>
        <v>17212.1728</v>
      </c>
      <c r="R61" s="384">
        <f ca="1">IF(IFERROR(VLOOKUP(C61,APU!H:N,6,0),0),VLOOKUP(C61,APU!H:N,6,0),0)</f>
        <v>0</v>
      </c>
      <c r="S61" s="384">
        <f ca="1">IF(IFERROR(VLOOKUP(C61,APU!H:N,7,0),0),VLOOKUP(C61,APU!H:N,7,0),0)</f>
        <v>0</v>
      </c>
      <c r="T61" s="160"/>
      <c r="U61" s="384">
        <f t="shared" ca="1" si="2"/>
        <v>1721.2172800000001</v>
      </c>
      <c r="V61" s="384">
        <f t="shared" ca="1" si="3"/>
        <v>1721.2172800000001</v>
      </c>
      <c r="W61" s="384">
        <f t="shared" ca="1" si="4"/>
        <v>172.12172800000002</v>
      </c>
      <c r="X61" s="384">
        <f t="shared" ca="1" si="5"/>
        <v>0</v>
      </c>
      <c r="Y61" s="384">
        <f t="shared" ca="1" si="6"/>
        <v>624.80187263999994</v>
      </c>
      <c r="Z61" s="384">
        <f t="shared" ca="1" si="7"/>
        <v>21451.530960640001</v>
      </c>
      <c r="AA61" s="384">
        <f t="shared" ca="1" si="8"/>
        <v>327.03128320000002</v>
      </c>
      <c r="AB61" s="384">
        <f t="shared" ca="1" si="9"/>
        <v>0</v>
      </c>
      <c r="AC61" s="384">
        <f t="shared" ca="1" si="10"/>
        <v>0</v>
      </c>
    </row>
    <row r="62" spans="2:29" s="149" customFormat="1" ht="30.75" customHeight="1">
      <c r="B62" s="301"/>
      <c r="C62" s="333">
        <v>1.47</v>
      </c>
      <c r="D62" s="461" t="s">
        <v>4721</v>
      </c>
      <c r="E62" s="462"/>
      <c r="F62" s="462"/>
      <c r="G62" s="462"/>
      <c r="H62" s="462"/>
      <c r="I62" s="463"/>
      <c r="J62" s="333" t="s">
        <v>4127</v>
      </c>
      <c r="K62" s="334"/>
      <c r="L62" s="305">
        <f t="shared" ca="1" si="1"/>
        <v>21451.530960640001</v>
      </c>
      <c r="M62" s="306">
        <f t="shared" ca="1" si="11"/>
        <v>0</v>
      </c>
      <c r="N62" s="307"/>
      <c r="O62" s="162"/>
      <c r="P62" s="384">
        <f ca="1">IF(IFERROR(VLOOKUP(C62,APU!H:N,4,0),0),VLOOKUP(C62,APU!H:N,4,0),0)</f>
        <v>0</v>
      </c>
      <c r="Q62" s="384">
        <f ca="1">IF(IFERROR(VLOOKUP(C62,APU!H:N,5,0),0),VLOOKUP(C62,APU!H:N,5,0),0)</f>
        <v>17212.1728</v>
      </c>
      <c r="R62" s="384">
        <f ca="1">IF(IFERROR(VLOOKUP(C62,APU!H:N,6,0),0),VLOOKUP(C62,APU!H:N,6,0),0)</f>
        <v>0</v>
      </c>
      <c r="S62" s="384">
        <f ca="1">IF(IFERROR(VLOOKUP(C62,APU!H:N,7,0),0),VLOOKUP(C62,APU!H:N,7,0),0)</f>
        <v>0</v>
      </c>
      <c r="T62" s="160"/>
      <c r="U62" s="384">
        <f t="shared" ca="1" si="2"/>
        <v>1721.2172800000001</v>
      </c>
      <c r="V62" s="384">
        <f t="shared" ca="1" si="3"/>
        <v>1721.2172800000001</v>
      </c>
      <c r="W62" s="384">
        <f t="shared" ca="1" si="4"/>
        <v>172.12172800000002</v>
      </c>
      <c r="X62" s="384">
        <f t="shared" ca="1" si="5"/>
        <v>0</v>
      </c>
      <c r="Y62" s="384">
        <f t="shared" ca="1" si="6"/>
        <v>624.80187263999994</v>
      </c>
      <c r="Z62" s="384">
        <f t="shared" ca="1" si="7"/>
        <v>21451.530960640001</v>
      </c>
      <c r="AA62" s="384">
        <f t="shared" ca="1" si="8"/>
        <v>327.03128320000002</v>
      </c>
      <c r="AB62" s="384">
        <f t="shared" ca="1" si="9"/>
        <v>0</v>
      </c>
      <c r="AC62" s="384">
        <f t="shared" ca="1" si="10"/>
        <v>0</v>
      </c>
    </row>
    <row r="63" spans="2:29" s="149" customFormat="1" ht="30.75" customHeight="1">
      <c r="B63" s="301"/>
      <c r="C63" s="333">
        <v>1.48</v>
      </c>
      <c r="D63" s="461" t="s">
        <v>4722</v>
      </c>
      <c r="E63" s="462"/>
      <c r="F63" s="462"/>
      <c r="G63" s="462"/>
      <c r="H63" s="462"/>
      <c r="I63" s="463"/>
      <c r="J63" s="333" t="s">
        <v>4127</v>
      </c>
      <c r="K63" s="334"/>
      <c r="L63" s="305">
        <f t="shared" ca="1" si="1"/>
        <v>21451.530960640001</v>
      </c>
      <c r="M63" s="306">
        <f t="shared" ca="1" si="11"/>
        <v>0</v>
      </c>
      <c r="N63" s="307"/>
      <c r="O63" s="162"/>
      <c r="P63" s="384">
        <f ca="1">IF(IFERROR(VLOOKUP(C63,APU!H:N,4,0),0),VLOOKUP(C63,APU!H:N,4,0),0)</f>
        <v>0</v>
      </c>
      <c r="Q63" s="384">
        <f ca="1">IF(IFERROR(VLOOKUP(C63,APU!H:N,5,0),0),VLOOKUP(C63,APU!H:N,5,0),0)</f>
        <v>17212.1728</v>
      </c>
      <c r="R63" s="384">
        <f ca="1">IF(IFERROR(VLOOKUP(C63,APU!H:N,6,0),0),VLOOKUP(C63,APU!H:N,6,0),0)</f>
        <v>0</v>
      </c>
      <c r="S63" s="384">
        <f ca="1">IF(IFERROR(VLOOKUP(C63,APU!H:N,7,0),0),VLOOKUP(C63,APU!H:N,7,0),0)</f>
        <v>0</v>
      </c>
      <c r="T63" s="160"/>
      <c r="U63" s="384">
        <f t="shared" ca="1" si="2"/>
        <v>1721.2172800000001</v>
      </c>
      <c r="V63" s="384">
        <f t="shared" ca="1" si="3"/>
        <v>1721.2172800000001</v>
      </c>
      <c r="W63" s="384">
        <f t="shared" ca="1" si="4"/>
        <v>172.12172800000002</v>
      </c>
      <c r="X63" s="384">
        <f t="shared" ca="1" si="5"/>
        <v>0</v>
      </c>
      <c r="Y63" s="384">
        <f t="shared" ca="1" si="6"/>
        <v>624.80187263999994</v>
      </c>
      <c r="Z63" s="384">
        <f t="shared" ca="1" si="7"/>
        <v>21451.530960640001</v>
      </c>
      <c r="AA63" s="384">
        <f t="shared" ca="1" si="8"/>
        <v>327.03128320000002</v>
      </c>
      <c r="AB63" s="384">
        <f t="shared" ca="1" si="9"/>
        <v>0</v>
      </c>
      <c r="AC63" s="384">
        <f t="shared" ca="1" si="10"/>
        <v>0</v>
      </c>
    </row>
    <row r="64" spans="2:29" s="149" customFormat="1" ht="30.75" customHeight="1">
      <c r="B64" s="301"/>
      <c r="C64" s="333">
        <v>1.49</v>
      </c>
      <c r="D64" s="461" t="s">
        <v>4734</v>
      </c>
      <c r="E64" s="462"/>
      <c r="F64" s="462"/>
      <c r="G64" s="462"/>
      <c r="H64" s="462"/>
      <c r="I64" s="463"/>
      <c r="J64" s="333" t="s">
        <v>4127</v>
      </c>
      <c r="K64" s="334"/>
      <c r="L64" s="305">
        <f t="shared" ca="1" si="1"/>
        <v>21451.530960640001</v>
      </c>
      <c r="M64" s="306">
        <f t="shared" ca="1" si="11"/>
        <v>0</v>
      </c>
      <c r="N64" s="307"/>
      <c r="O64" s="162"/>
      <c r="P64" s="384">
        <f ca="1">IF(IFERROR(VLOOKUP(C64,APU!H:N,4,0),0),VLOOKUP(C64,APU!H:N,4,0),0)</f>
        <v>0</v>
      </c>
      <c r="Q64" s="384">
        <f ca="1">IF(IFERROR(VLOOKUP(C64,APU!H:N,5,0),0),VLOOKUP(C64,APU!H:N,5,0),0)</f>
        <v>17212.1728</v>
      </c>
      <c r="R64" s="384">
        <f ca="1">IF(IFERROR(VLOOKUP(C64,APU!H:N,6,0),0),VLOOKUP(C64,APU!H:N,6,0),0)</f>
        <v>0</v>
      </c>
      <c r="S64" s="384">
        <f ca="1">IF(IFERROR(VLOOKUP(C64,APU!H:N,7,0),0),VLOOKUP(C64,APU!H:N,7,0),0)</f>
        <v>0</v>
      </c>
      <c r="T64" s="160"/>
      <c r="U64" s="384">
        <f t="shared" ca="1" si="2"/>
        <v>1721.2172800000001</v>
      </c>
      <c r="V64" s="384">
        <f t="shared" ca="1" si="3"/>
        <v>1721.2172800000001</v>
      </c>
      <c r="W64" s="384">
        <f t="shared" ca="1" si="4"/>
        <v>172.12172800000002</v>
      </c>
      <c r="X64" s="384">
        <f t="shared" ca="1" si="5"/>
        <v>0</v>
      </c>
      <c r="Y64" s="384">
        <f t="shared" ca="1" si="6"/>
        <v>624.80187263999994</v>
      </c>
      <c r="Z64" s="384">
        <f t="shared" ca="1" si="7"/>
        <v>21451.530960640001</v>
      </c>
      <c r="AA64" s="384">
        <f t="shared" ca="1" si="8"/>
        <v>327.03128320000002</v>
      </c>
      <c r="AB64" s="384">
        <f t="shared" ca="1" si="9"/>
        <v>0</v>
      </c>
      <c r="AC64" s="384">
        <f t="shared" ca="1" si="10"/>
        <v>0</v>
      </c>
    </row>
    <row r="65" spans="2:29" s="149" customFormat="1" ht="30.75" customHeight="1">
      <c r="B65" s="301"/>
      <c r="C65" s="333" t="s">
        <v>4733</v>
      </c>
      <c r="D65" s="461" t="s">
        <v>4735</v>
      </c>
      <c r="E65" s="462"/>
      <c r="F65" s="462"/>
      <c r="G65" s="462"/>
      <c r="H65" s="462"/>
      <c r="I65" s="463"/>
      <c r="J65" s="333" t="s">
        <v>4127</v>
      </c>
      <c r="K65" s="334"/>
      <c r="L65" s="305">
        <f t="shared" ca="1" si="1"/>
        <v>25733.6024</v>
      </c>
      <c r="M65" s="306">
        <f t="shared" ca="1" si="11"/>
        <v>0</v>
      </c>
      <c r="N65" s="307"/>
      <c r="O65" s="162"/>
      <c r="P65" s="384">
        <f ca="1">IF(IFERROR(VLOOKUP(C65,APU!H:N,4,0),0),VLOOKUP(C65,APU!H:N,4,0),0)</f>
        <v>0</v>
      </c>
      <c r="Q65" s="384">
        <f ca="1">IF(IFERROR(VLOOKUP(C65,APU!H:N,5,0),0),VLOOKUP(C65,APU!H:N,5,0),0)</f>
        <v>20648</v>
      </c>
      <c r="R65" s="384">
        <f ca="1">IF(IFERROR(VLOOKUP(C65,APU!H:N,6,0),0),VLOOKUP(C65,APU!H:N,6,0),0)</f>
        <v>0</v>
      </c>
      <c r="S65" s="384">
        <f ca="1">IF(IFERROR(VLOOKUP(C65,APU!H:N,7,0),0),VLOOKUP(C65,APU!H:N,7,0),0)</f>
        <v>0</v>
      </c>
      <c r="T65" s="160"/>
      <c r="U65" s="384">
        <f t="shared" ca="1" si="2"/>
        <v>2064.8000000000002</v>
      </c>
      <c r="V65" s="384">
        <f t="shared" ca="1" si="3"/>
        <v>2064.8000000000002</v>
      </c>
      <c r="W65" s="384">
        <f t="shared" ca="1" si="4"/>
        <v>206.48000000000002</v>
      </c>
      <c r="X65" s="384">
        <f t="shared" ca="1" si="5"/>
        <v>0</v>
      </c>
      <c r="Y65" s="384">
        <f t="shared" ca="1" si="6"/>
        <v>749.52239999999995</v>
      </c>
      <c r="Z65" s="384">
        <f t="shared" ca="1" si="7"/>
        <v>25733.6024</v>
      </c>
      <c r="AA65" s="384">
        <f t="shared" ca="1" si="8"/>
        <v>392.31200000000001</v>
      </c>
      <c r="AB65" s="384">
        <f t="shared" ca="1" si="9"/>
        <v>0</v>
      </c>
      <c r="AC65" s="384">
        <f t="shared" ca="1" si="10"/>
        <v>0</v>
      </c>
    </row>
    <row r="66" spans="2:29" s="149" customFormat="1" ht="30.75" customHeight="1">
      <c r="B66" s="301"/>
      <c r="C66" s="333">
        <v>1.51</v>
      </c>
      <c r="D66" s="461" t="s">
        <v>4744</v>
      </c>
      <c r="E66" s="462"/>
      <c r="F66" s="462"/>
      <c r="G66" s="462"/>
      <c r="H66" s="462"/>
      <c r="I66" s="463"/>
      <c r="J66" s="333" t="s">
        <v>4127</v>
      </c>
      <c r="K66" s="334"/>
      <c r="L66" s="305">
        <f t="shared" ca="1" si="1"/>
        <v>25733.6024</v>
      </c>
      <c r="M66" s="306">
        <f t="shared" ca="1" si="11"/>
        <v>0</v>
      </c>
      <c r="N66" s="307"/>
      <c r="O66" s="162"/>
      <c r="P66" s="384">
        <f ca="1">IF(IFERROR(VLOOKUP(C66,APU!H:N,4,0),0),VLOOKUP(C66,APU!H:N,4,0),0)</f>
        <v>0</v>
      </c>
      <c r="Q66" s="384">
        <f ca="1">IF(IFERROR(VLOOKUP(C66,APU!H:N,5,0),0),VLOOKUP(C66,APU!H:N,5,0),0)</f>
        <v>20648</v>
      </c>
      <c r="R66" s="384">
        <f ca="1">IF(IFERROR(VLOOKUP(C66,APU!H:N,6,0),0),VLOOKUP(C66,APU!H:N,6,0),0)</f>
        <v>0</v>
      </c>
      <c r="S66" s="384">
        <f ca="1">IF(IFERROR(VLOOKUP(C66,APU!H:N,7,0),0),VLOOKUP(C66,APU!H:N,7,0),0)</f>
        <v>0</v>
      </c>
      <c r="T66" s="160"/>
      <c r="U66" s="384">
        <f t="shared" ca="1" si="2"/>
        <v>2064.8000000000002</v>
      </c>
      <c r="V66" s="384">
        <f t="shared" ca="1" si="3"/>
        <v>2064.8000000000002</v>
      </c>
      <c r="W66" s="384">
        <f t="shared" ca="1" si="4"/>
        <v>206.48000000000002</v>
      </c>
      <c r="X66" s="384">
        <f t="shared" ca="1" si="5"/>
        <v>0</v>
      </c>
      <c r="Y66" s="384">
        <f t="shared" ca="1" si="6"/>
        <v>749.52239999999995</v>
      </c>
      <c r="Z66" s="384">
        <f t="shared" ca="1" si="7"/>
        <v>25733.6024</v>
      </c>
      <c r="AA66" s="384">
        <f t="shared" ca="1" si="8"/>
        <v>392.31200000000001</v>
      </c>
      <c r="AB66" s="384">
        <f t="shared" ca="1" si="9"/>
        <v>0</v>
      </c>
      <c r="AC66" s="384">
        <f t="shared" ca="1" si="10"/>
        <v>0</v>
      </c>
    </row>
    <row r="67" spans="2:29" s="149" customFormat="1" ht="30.75" customHeight="1">
      <c r="B67" s="301"/>
      <c r="C67" s="333">
        <v>1.52</v>
      </c>
      <c r="D67" s="461" t="s">
        <v>4751</v>
      </c>
      <c r="E67" s="462"/>
      <c r="F67" s="462"/>
      <c r="G67" s="462"/>
      <c r="H67" s="462"/>
      <c r="I67" s="463"/>
      <c r="J67" s="333" t="s">
        <v>4127</v>
      </c>
      <c r="K67" s="334"/>
      <c r="L67" s="305">
        <f t="shared" ca="1" si="1"/>
        <v>25733.6024</v>
      </c>
      <c r="M67" s="306">
        <f t="shared" ca="1" si="11"/>
        <v>0</v>
      </c>
      <c r="N67" s="307"/>
      <c r="O67" s="162"/>
      <c r="P67" s="384">
        <f ca="1">IF(IFERROR(VLOOKUP(C67,APU!H:N,4,0),0),VLOOKUP(C67,APU!H:N,4,0),0)</f>
        <v>0</v>
      </c>
      <c r="Q67" s="384">
        <f ca="1">IF(IFERROR(VLOOKUP(C67,APU!H:N,5,0),0),VLOOKUP(C67,APU!H:N,5,0),0)</f>
        <v>20648</v>
      </c>
      <c r="R67" s="384">
        <f ca="1">IF(IFERROR(VLOOKUP(C67,APU!H:N,6,0),0),VLOOKUP(C67,APU!H:N,6,0),0)</f>
        <v>0</v>
      </c>
      <c r="S67" s="384">
        <f ca="1">IF(IFERROR(VLOOKUP(C67,APU!H:N,7,0),0),VLOOKUP(C67,APU!H:N,7,0),0)</f>
        <v>0</v>
      </c>
      <c r="T67" s="160"/>
      <c r="U67" s="384">
        <f t="shared" ca="1" si="2"/>
        <v>2064.8000000000002</v>
      </c>
      <c r="V67" s="384">
        <f t="shared" ca="1" si="3"/>
        <v>2064.8000000000002</v>
      </c>
      <c r="W67" s="384">
        <f t="shared" ca="1" si="4"/>
        <v>206.48000000000002</v>
      </c>
      <c r="X67" s="384">
        <f t="shared" ca="1" si="5"/>
        <v>0</v>
      </c>
      <c r="Y67" s="384">
        <f t="shared" ca="1" si="6"/>
        <v>749.52239999999995</v>
      </c>
      <c r="Z67" s="384">
        <f t="shared" ca="1" si="7"/>
        <v>25733.6024</v>
      </c>
      <c r="AA67" s="384">
        <f t="shared" ca="1" si="8"/>
        <v>392.31200000000001</v>
      </c>
      <c r="AB67" s="384">
        <f t="shared" ca="1" si="9"/>
        <v>0</v>
      </c>
      <c r="AC67" s="384">
        <f t="shared" ca="1" si="10"/>
        <v>0</v>
      </c>
    </row>
    <row r="68" spans="2:29" s="149" customFormat="1" ht="30.75" customHeight="1">
      <c r="B68" s="301"/>
      <c r="C68" s="333">
        <v>1.53</v>
      </c>
      <c r="D68" s="461" t="s">
        <v>4752</v>
      </c>
      <c r="E68" s="462"/>
      <c r="F68" s="462"/>
      <c r="G68" s="462"/>
      <c r="H68" s="462"/>
      <c r="I68" s="463"/>
      <c r="J68" s="333" t="s">
        <v>4127</v>
      </c>
      <c r="K68" s="334"/>
      <c r="L68" s="305">
        <f t="shared" ca="1" si="1"/>
        <v>25733.6024</v>
      </c>
      <c r="M68" s="306">
        <f t="shared" ca="1" si="11"/>
        <v>0</v>
      </c>
      <c r="N68" s="307"/>
      <c r="O68" s="162"/>
      <c r="P68" s="384">
        <f ca="1">IF(IFERROR(VLOOKUP(C68,APU!H:N,4,0),0),VLOOKUP(C68,APU!H:N,4,0),0)</f>
        <v>0</v>
      </c>
      <c r="Q68" s="384">
        <f ca="1">IF(IFERROR(VLOOKUP(C68,APU!H:N,5,0),0),VLOOKUP(C68,APU!H:N,5,0),0)</f>
        <v>20648</v>
      </c>
      <c r="R68" s="384">
        <f ca="1">IF(IFERROR(VLOOKUP(C68,APU!H:N,6,0),0),VLOOKUP(C68,APU!H:N,6,0),0)</f>
        <v>0</v>
      </c>
      <c r="S68" s="384">
        <f ca="1">IF(IFERROR(VLOOKUP(C68,APU!H:N,7,0),0),VLOOKUP(C68,APU!H:N,7,0),0)</f>
        <v>0</v>
      </c>
      <c r="T68" s="160"/>
      <c r="U68" s="384">
        <f t="shared" ca="1" si="2"/>
        <v>2064.8000000000002</v>
      </c>
      <c r="V68" s="384">
        <f t="shared" ca="1" si="3"/>
        <v>2064.8000000000002</v>
      </c>
      <c r="W68" s="384">
        <f t="shared" ca="1" si="4"/>
        <v>206.48000000000002</v>
      </c>
      <c r="X68" s="384">
        <f t="shared" ca="1" si="5"/>
        <v>0</v>
      </c>
      <c r="Y68" s="384">
        <f t="shared" ca="1" si="6"/>
        <v>749.52239999999995</v>
      </c>
      <c r="Z68" s="384">
        <f t="shared" ca="1" si="7"/>
        <v>25733.6024</v>
      </c>
      <c r="AA68" s="384">
        <f t="shared" ca="1" si="8"/>
        <v>392.31200000000001</v>
      </c>
      <c r="AB68" s="384">
        <f t="shared" ca="1" si="9"/>
        <v>0</v>
      </c>
      <c r="AC68" s="384">
        <f t="shared" ca="1" si="10"/>
        <v>0</v>
      </c>
    </row>
    <row r="69" spans="2:29" s="149" customFormat="1" ht="30.75" customHeight="1">
      <c r="B69" s="301"/>
      <c r="C69" s="333">
        <v>1.54</v>
      </c>
      <c r="D69" s="461" t="s">
        <v>4753</v>
      </c>
      <c r="E69" s="462"/>
      <c r="F69" s="462"/>
      <c r="G69" s="462"/>
      <c r="H69" s="462"/>
      <c r="I69" s="463"/>
      <c r="J69" s="333" t="s">
        <v>4127</v>
      </c>
      <c r="K69" s="334"/>
      <c r="L69" s="305">
        <f t="shared" ca="1" si="1"/>
        <v>25733.6024</v>
      </c>
      <c r="M69" s="306">
        <f t="shared" ca="1" si="11"/>
        <v>0</v>
      </c>
      <c r="N69" s="307"/>
      <c r="O69" s="162"/>
      <c r="P69" s="384">
        <f ca="1">IF(IFERROR(VLOOKUP(C69,APU!H:N,4,0),0),VLOOKUP(C69,APU!H:N,4,0),0)</f>
        <v>0</v>
      </c>
      <c r="Q69" s="384">
        <f ca="1">IF(IFERROR(VLOOKUP(C69,APU!H:N,5,0),0),VLOOKUP(C69,APU!H:N,5,0),0)</f>
        <v>20648</v>
      </c>
      <c r="R69" s="384">
        <f ca="1">IF(IFERROR(VLOOKUP(C69,APU!H:N,6,0),0),VLOOKUP(C69,APU!H:N,6,0),0)</f>
        <v>0</v>
      </c>
      <c r="S69" s="384">
        <f ca="1">IF(IFERROR(VLOOKUP(C69,APU!H:N,7,0),0),VLOOKUP(C69,APU!H:N,7,0),0)</f>
        <v>0</v>
      </c>
      <c r="T69" s="160"/>
      <c r="U69" s="384">
        <f t="shared" ca="1" si="2"/>
        <v>2064.8000000000002</v>
      </c>
      <c r="V69" s="384">
        <f t="shared" ca="1" si="3"/>
        <v>2064.8000000000002</v>
      </c>
      <c r="W69" s="384">
        <f t="shared" ca="1" si="4"/>
        <v>206.48000000000002</v>
      </c>
      <c r="X69" s="384">
        <f t="shared" ca="1" si="5"/>
        <v>0</v>
      </c>
      <c r="Y69" s="384">
        <f t="shared" ca="1" si="6"/>
        <v>749.52239999999995</v>
      </c>
      <c r="Z69" s="384">
        <f t="shared" ca="1" si="7"/>
        <v>25733.6024</v>
      </c>
      <c r="AA69" s="384">
        <f t="shared" ca="1" si="8"/>
        <v>392.31200000000001</v>
      </c>
      <c r="AB69" s="384">
        <f t="shared" ca="1" si="9"/>
        <v>0</v>
      </c>
      <c r="AC69" s="384">
        <f t="shared" ca="1" si="10"/>
        <v>0</v>
      </c>
    </row>
    <row r="70" spans="2:29" s="149" customFormat="1" ht="30.75" customHeight="1">
      <c r="B70" s="301"/>
      <c r="C70" s="333">
        <v>1.55</v>
      </c>
      <c r="D70" s="461" t="s">
        <v>4754</v>
      </c>
      <c r="E70" s="462"/>
      <c r="F70" s="462"/>
      <c r="G70" s="462"/>
      <c r="H70" s="462"/>
      <c r="I70" s="463"/>
      <c r="J70" s="333" t="s">
        <v>4127</v>
      </c>
      <c r="K70" s="334"/>
      <c r="L70" s="305">
        <f t="shared" ca="1" si="1"/>
        <v>25733.6024</v>
      </c>
      <c r="M70" s="306">
        <f t="shared" ca="1" si="11"/>
        <v>0</v>
      </c>
      <c r="N70" s="307"/>
      <c r="O70" s="162"/>
      <c r="P70" s="384">
        <f ca="1">IF(IFERROR(VLOOKUP(C70,APU!H:N,4,0),0),VLOOKUP(C70,APU!H:N,4,0),0)</f>
        <v>0</v>
      </c>
      <c r="Q70" s="384">
        <f ca="1">IF(IFERROR(VLOOKUP(C70,APU!H:N,5,0),0),VLOOKUP(C70,APU!H:N,5,0),0)</f>
        <v>20648</v>
      </c>
      <c r="R70" s="384">
        <f ca="1">IF(IFERROR(VLOOKUP(C70,APU!H:N,6,0),0),VLOOKUP(C70,APU!H:N,6,0),0)</f>
        <v>0</v>
      </c>
      <c r="S70" s="384">
        <f ca="1">IF(IFERROR(VLOOKUP(C70,APU!H:N,7,0),0),VLOOKUP(C70,APU!H:N,7,0),0)</f>
        <v>0</v>
      </c>
      <c r="T70" s="160"/>
      <c r="U70" s="384">
        <f t="shared" ca="1" si="2"/>
        <v>2064.8000000000002</v>
      </c>
      <c r="V70" s="384">
        <f t="shared" ca="1" si="3"/>
        <v>2064.8000000000002</v>
      </c>
      <c r="W70" s="384">
        <f t="shared" ca="1" si="4"/>
        <v>206.48000000000002</v>
      </c>
      <c r="X70" s="384">
        <f t="shared" ca="1" si="5"/>
        <v>0</v>
      </c>
      <c r="Y70" s="384">
        <f t="shared" ca="1" si="6"/>
        <v>749.52239999999995</v>
      </c>
      <c r="Z70" s="384">
        <f t="shared" ca="1" si="7"/>
        <v>25733.6024</v>
      </c>
      <c r="AA70" s="384">
        <f t="shared" ca="1" si="8"/>
        <v>392.31200000000001</v>
      </c>
      <c r="AB70" s="384">
        <f t="shared" ca="1" si="9"/>
        <v>0</v>
      </c>
      <c r="AC70" s="384">
        <f t="shared" ca="1" si="10"/>
        <v>0</v>
      </c>
    </row>
    <row r="71" spans="2:29" s="149" customFormat="1" ht="30.75" customHeight="1">
      <c r="B71" s="301"/>
      <c r="C71" s="333">
        <v>1.56</v>
      </c>
      <c r="D71" s="461" t="s">
        <v>4755</v>
      </c>
      <c r="E71" s="462" t="s">
        <v>4755</v>
      </c>
      <c r="F71" s="462" t="s">
        <v>4755</v>
      </c>
      <c r="G71" s="462" t="s">
        <v>4755</v>
      </c>
      <c r="H71" s="462" t="s">
        <v>4755</v>
      </c>
      <c r="I71" s="463" t="s">
        <v>4755</v>
      </c>
      <c r="J71" s="333" t="s">
        <v>4127</v>
      </c>
      <c r="K71" s="334"/>
      <c r="L71" s="305">
        <f t="shared" ca="1" si="1"/>
        <v>25733.6024</v>
      </c>
      <c r="M71" s="306">
        <f t="shared" ca="1" si="11"/>
        <v>0</v>
      </c>
      <c r="N71" s="307"/>
      <c r="O71" s="162"/>
      <c r="P71" s="384">
        <f ca="1">IF(IFERROR(VLOOKUP(C71,APU!H:N,4,0),0),VLOOKUP(C71,APU!H:N,4,0),0)</f>
        <v>0</v>
      </c>
      <c r="Q71" s="384">
        <f ca="1">IF(IFERROR(VLOOKUP(C71,APU!H:N,5,0),0),VLOOKUP(C71,APU!H:N,5,0),0)</f>
        <v>20648</v>
      </c>
      <c r="R71" s="384">
        <f ca="1">IF(IFERROR(VLOOKUP(C71,APU!H:N,6,0),0),VLOOKUP(C71,APU!H:N,6,0),0)</f>
        <v>0</v>
      </c>
      <c r="S71" s="384">
        <f ca="1">IF(IFERROR(VLOOKUP(C71,APU!H:N,7,0),0),VLOOKUP(C71,APU!H:N,7,0),0)</f>
        <v>0</v>
      </c>
      <c r="T71" s="160"/>
      <c r="U71" s="384">
        <f t="shared" ca="1" si="2"/>
        <v>2064.8000000000002</v>
      </c>
      <c r="V71" s="384">
        <f t="shared" ca="1" si="3"/>
        <v>2064.8000000000002</v>
      </c>
      <c r="W71" s="384">
        <f t="shared" ca="1" si="4"/>
        <v>206.48000000000002</v>
      </c>
      <c r="X71" s="384">
        <f t="shared" ca="1" si="5"/>
        <v>0</v>
      </c>
      <c r="Y71" s="384">
        <f t="shared" ca="1" si="6"/>
        <v>749.52239999999995</v>
      </c>
      <c r="Z71" s="384">
        <f t="shared" ca="1" si="7"/>
        <v>25733.6024</v>
      </c>
      <c r="AA71" s="384">
        <f t="shared" ca="1" si="8"/>
        <v>392.31200000000001</v>
      </c>
      <c r="AB71" s="384">
        <f t="shared" ca="1" si="9"/>
        <v>0</v>
      </c>
      <c r="AC71" s="384">
        <f t="shared" ca="1" si="10"/>
        <v>0</v>
      </c>
    </row>
    <row r="72" spans="2:29" s="149" customFormat="1" ht="30.75" customHeight="1">
      <c r="B72" s="301"/>
      <c r="C72" s="333">
        <v>1.57</v>
      </c>
      <c r="D72" s="461" t="s">
        <v>4756</v>
      </c>
      <c r="E72" s="462" t="s">
        <v>4756</v>
      </c>
      <c r="F72" s="462" t="s">
        <v>4756</v>
      </c>
      <c r="G72" s="462" t="s">
        <v>4756</v>
      </c>
      <c r="H72" s="462" t="s">
        <v>4756</v>
      </c>
      <c r="I72" s="463" t="s">
        <v>4756</v>
      </c>
      <c r="J72" s="333" t="s">
        <v>4127</v>
      </c>
      <c r="K72" s="334"/>
      <c r="L72" s="305">
        <f t="shared" ca="1" si="1"/>
        <v>25733.6024</v>
      </c>
      <c r="M72" s="306">
        <f t="shared" ca="1" si="11"/>
        <v>0</v>
      </c>
      <c r="N72" s="307"/>
      <c r="O72" s="162"/>
      <c r="P72" s="384">
        <f ca="1">IF(IFERROR(VLOOKUP(C72,APU!H:N,4,0),0),VLOOKUP(C72,APU!H:N,4,0),0)</f>
        <v>0</v>
      </c>
      <c r="Q72" s="384">
        <f ca="1">IF(IFERROR(VLOOKUP(C72,APU!H:N,5,0),0),VLOOKUP(C72,APU!H:N,5,0),0)</f>
        <v>20648</v>
      </c>
      <c r="R72" s="384">
        <f ca="1">IF(IFERROR(VLOOKUP(C72,APU!H:N,6,0),0),VLOOKUP(C72,APU!H:N,6,0),0)</f>
        <v>0</v>
      </c>
      <c r="S72" s="384">
        <f ca="1">IF(IFERROR(VLOOKUP(C72,APU!H:N,7,0),0),VLOOKUP(C72,APU!H:N,7,0),0)</f>
        <v>0</v>
      </c>
      <c r="T72" s="160"/>
      <c r="U72" s="384">
        <f t="shared" ca="1" si="2"/>
        <v>2064.8000000000002</v>
      </c>
      <c r="V72" s="384">
        <f t="shared" ca="1" si="3"/>
        <v>2064.8000000000002</v>
      </c>
      <c r="W72" s="384">
        <f t="shared" ca="1" si="4"/>
        <v>206.48000000000002</v>
      </c>
      <c r="X72" s="384">
        <f t="shared" ca="1" si="5"/>
        <v>0</v>
      </c>
      <c r="Y72" s="384">
        <f t="shared" ca="1" si="6"/>
        <v>749.52239999999995</v>
      </c>
      <c r="Z72" s="384">
        <f t="shared" ca="1" si="7"/>
        <v>25733.6024</v>
      </c>
      <c r="AA72" s="384">
        <f t="shared" ca="1" si="8"/>
        <v>392.31200000000001</v>
      </c>
      <c r="AB72" s="384">
        <f t="shared" ca="1" si="9"/>
        <v>0</v>
      </c>
      <c r="AC72" s="384">
        <f t="shared" ca="1" si="10"/>
        <v>0</v>
      </c>
    </row>
    <row r="73" spans="2:29" s="149" customFormat="1" ht="30.75" customHeight="1">
      <c r="B73" s="301"/>
      <c r="C73" s="333">
        <v>1.58</v>
      </c>
      <c r="D73" s="461" t="s">
        <v>4757</v>
      </c>
      <c r="E73" s="462" t="s">
        <v>4757</v>
      </c>
      <c r="F73" s="462" t="s">
        <v>4757</v>
      </c>
      <c r="G73" s="462" t="s">
        <v>4757</v>
      </c>
      <c r="H73" s="462" t="s">
        <v>4757</v>
      </c>
      <c r="I73" s="463" t="s">
        <v>4757</v>
      </c>
      <c r="J73" s="333" t="s">
        <v>4127</v>
      </c>
      <c r="K73" s="334"/>
      <c r="L73" s="305">
        <f t="shared" ca="1" si="1"/>
        <v>25733.6024</v>
      </c>
      <c r="M73" s="306">
        <f t="shared" ca="1" si="11"/>
        <v>0</v>
      </c>
      <c r="N73" s="307"/>
      <c r="O73" s="162"/>
      <c r="P73" s="384">
        <f ca="1">IF(IFERROR(VLOOKUP(C73,APU!H:N,4,0),0),VLOOKUP(C73,APU!H:N,4,0),0)</f>
        <v>0</v>
      </c>
      <c r="Q73" s="384">
        <f ca="1">IF(IFERROR(VLOOKUP(C73,APU!H:N,5,0),0),VLOOKUP(C73,APU!H:N,5,0),0)</f>
        <v>20648</v>
      </c>
      <c r="R73" s="384">
        <f ca="1">IF(IFERROR(VLOOKUP(C73,APU!H:N,6,0),0),VLOOKUP(C73,APU!H:N,6,0),0)</f>
        <v>0</v>
      </c>
      <c r="S73" s="384">
        <f ca="1">IF(IFERROR(VLOOKUP(C73,APU!H:N,7,0),0),VLOOKUP(C73,APU!H:N,7,0),0)</f>
        <v>0</v>
      </c>
      <c r="T73" s="160"/>
      <c r="U73" s="384">
        <f t="shared" ca="1" si="2"/>
        <v>2064.8000000000002</v>
      </c>
      <c r="V73" s="384">
        <f t="shared" ca="1" si="3"/>
        <v>2064.8000000000002</v>
      </c>
      <c r="W73" s="384">
        <f t="shared" ca="1" si="4"/>
        <v>206.48000000000002</v>
      </c>
      <c r="X73" s="384">
        <f t="shared" ca="1" si="5"/>
        <v>0</v>
      </c>
      <c r="Y73" s="384">
        <f t="shared" ca="1" si="6"/>
        <v>749.52239999999995</v>
      </c>
      <c r="Z73" s="384">
        <f t="shared" ca="1" si="7"/>
        <v>25733.6024</v>
      </c>
      <c r="AA73" s="384">
        <f t="shared" ca="1" si="8"/>
        <v>392.31200000000001</v>
      </c>
      <c r="AB73" s="384">
        <f t="shared" ca="1" si="9"/>
        <v>0</v>
      </c>
      <c r="AC73" s="384">
        <f t="shared" ca="1" si="10"/>
        <v>0</v>
      </c>
    </row>
    <row r="74" spans="2:29" s="149" customFormat="1" ht="30.75" customHeight="1">
      <c r="B74" s="301"/>
      <c r="C74" s="333">
        <v>1.59</v>
      </c>
      <c r="D74" s="461" t="s">
        <v>4758</v>
      </c>
      <c r="E74" s="462" t="s">
        <v>4758</v>
      </c>
      <c r="F74" s="462" t="s">
        <v>4758</v>
      </c>
      <c r="G74" s="462" t="s">
        <v>4758</v>
      </c>
      <c r="H74" s="462" t="s">
        <v>4758</v>
      </c>
      <c r="I74" s="463" t="s">
        <v>4758</v>
      </c>
      <c r="J74" s="333" t="s">
        <v>4127</v>
      </c>
      <c r="K74" s="334"/>
      <c r="L74" s="305">
        <f t="shared" ca="1" si="1"/>
        <v>25733.6024</v>
      </c>
      <c r="M74" s="306">
        <f t="shared" ca="1" si="11"/>
        <v>0</v>
      </c>
      <c r="N74" s="307"/>
      <c r="O74" s="162"/>
      <c r="P74" s="384">
        <f ca="1">IF(IFERROR(VLOOKUP(C74,APU!H:N,4,0),0),VLOOKUP(C74,APU!H:N,4,0),0)</f>
        <v>0</v>
      </c>
      <c r="Q74" s="384">
        <f ca="1">IF(IFERROR(VLOOKUP(C74,APU!H:N,5,0),0),VLOOKUP(C74,APU!H:N,5,0),0)</f>
        <v>20648</v>
      </c>
      <c r="R74" s="384">
        <f ca="1">IF(IFERROR(VLOOKUP(C74,APU!H:N,6,0),0),VLOOKUP(C74,APU!H:N,6,0),0)</f>
        <v>0</v>
      </c>
      <c r="S74" s="384">
        <f ca="1">IF(IFERROR(VLOOKUP(C74,APU!H:N,7,0),0),VLOOKUP(C74,APU!H:N,7,0),0)</f>
        <v>0</v>
      </c>
      <c r="T74" s="160"/>
      <c r="U74" s="384">
        <f t="shared" ca="1" si="2"/>
        <v>2064.8000000000002</v>
      </c>
      <c r="V74" s="384">
        <f t="shared" ca="1" si="3"/>
        <v>2064.8000000000002</v>
      </c>
      <c r="W74" s="384">
        <f t="shared" ca="1" si="4"/>
        <v>206.48000000000002</v>
      </c>
      <c r="X74" s="384">
        <f t="shared" ca="1" si="5"/>
        <v>0</v>
      </c>
      <c r="Y74" s="384">
        <f t="shared" ca="1" si="6"/>
        <v>749.52239999999995</v>
      </c>
      <c r="Z74" s="384">
        <f t="shared" ca="1" si="7"/>
        <v>25733.6024</v>
      </c>
      <c r="AA74" s="384">
        <f t="shared" ca="1" si="8"/>
        <v>392.31200000000001</v>
      </c>
      <c r="AB74" s="384">
        <f t="shared" ca="1" si="9"/>
        <v>0</v>
      </c>
      <c r="AC74" s="384">
        <f t="shared" ca="1" si="10"/>
        <v>0</v>
      </c>
    </row>
    <row r="75" spans="2:29" s="149" customFormat="1" ht="30.75" customHeight="1">
      <c r="B75" s="301"/>
      <c r="C75" s="333" t="s">
        <v>4764</v>
      </c>
      <c r="D75" s="461" t="s">
        <v>4759</v>
      </c>
      <c r="E75" s="462" t="s">
        <v>4759</v>
      </c>
      <c r="F75" s="462" t="s">
        <v>4759</v>
      </c>
      <c r="G75" s="462" t="s">
        <v>4759</v>
      </c>
      <c r="H75" s="462" t="s">
        <v>4759</v>
      </c>
      <c r="I75" s="463" t="s">
        <v>4759</v>
      </c>
      <c r="J75" s="333" t="s">
        <v>4127</v>
      </c>
      <c r="K75" s="334"/>
      <c r="L75" s="305">
        <f t="shared" ca="1" si="1"/>
        <v>25733.6024</v>
      </c>
      <c r="M75" s="306">
        <f t="shared" ca="1" si="11"/>
        <v>0</v>
      </c>
      <c r="N75" s="307"/>
      <c r="O75" s="162"/>
      <c r="P75" s="384">
        <f ca="1">IF(IFERROR(VLOOKUP(C75,APU!H:N,4,0),0),VLOOKUP(C75,APU!H:N,4,0),0)</f>
        <v>0</v>
      </c>
      <c r="Q75" s="384">
        <f ca="1">IF(IFERROR(VLOOKUP(C75,APU!H:N,5,0),0),VLOOKUP(C75,APU!H:N,5,0),0)</f>
        <v>20648</v>
      </c>
      <c r="R75" s="384">
        <f ca="1">IF(IFERROR(VLOOKUP(C75,APU!H:N,6,0),0),VLOOKUP(C75,APU!H:N,6,0),0)</f>
        <v>0</v>
      </c>
      <c r="S75" s="384">
        <f ca="1">IF(IFERROR(VLOOKUP(C75,APU!H:N,7,0),0),VLOOKUP(C75,APU!H:N,7,0),0)</f>
        <v>0</v>
      </c>
      <c r="T75" s="160"/>
      <c r="U75" s="384">
        <f t="shared" ca="1" si="2"/>
        <v>2064.8000000000002</v>
      </c>
      <c r="V75" s="384">
        <f t="shared" ca="1" si="3"/>
        <v>2064.8000000000002</v>
      </c>
      <c r="W75" s="384">
        <f t="shared" ca="1" si="4"/>
        <v>206.48000000000002</v>
      </c>
      <c r="X75" s="384">
        <f t="shared" ca="1" si="5"/>
        <v>0</v>
      </c>
      <c r="Y75" s="384">
        <f t="shared" ca="1" si="6"/>
        <v>749.52239999999995</v>
      </c>
      <c r="Z75" s="384">
        <f t="shared" ca="1" si="7"/>
        <v>25733.6024</v>
      </c>
      <c r="AA75" s="384">
        <f t="shared" ca="1" si="8"/>
        <v>392.31200000000001</v>
      </c>
      <c r="AB75" s="384">
        <f t="shared" ca="1" si="9"/>
        <v>0</v>
      </c>
      <c r="AC75" s="384">
        <f t="shared" ca="1" si="10"/>
        <v>0</v>
      </c>
    </row>
    <row r="76" spans="2:29" s="149" customFormat="1" ht="30.75" customHeight="1">
      <c r="B76" s="301"/>
      <c r="C76" s="333">
        <v>1.61</v>
      </c>
      <c r="D76" s="461" t="s">
        <v>4760</v>
      </c>
      <c r="E76" s="462" t="s">
        <v>4760</v>
      </c>
      <c r="F76" s="462" t="s">
        <v>4760</v>
      </c>
      <c r="G76" s="462" t="s">
        <v>4760</v>
      </c>
      <c r="H76" s="462" t="s">
        <v>4760</v>
      </c>
      <c r="I76" s="463" t="s">
        <v>4760</v>
      </c>
      <c r="J76" s="333" t="s">
        <v>4127</v>
      </c>
      <c r="K76" s="334"/>
      <c r="L76" s="305">
        <f t="shared" ca="1" si="1"/>
        <v>25733.6024</v>
      </c>
      <c r="M76" s="306">
        <f t="shared" ca="1" si="11"/>
        <v>0</v>
      </c>
      <c r="N76" s="307"/>
      <c r="O76" s="162"/>
      <c r="P76" s="384">
        <f ca="1">IF(IFERROR(VLOOKUP(C76,APU!H:N,4,0),0),VLOOKUP(C76,APU!H:N,4,0),0)</f>
        <v>0</v>
      </c>
      <c r="Q76" s="384">
        <f ca="1">IF(IFERROR(VLOOKUP(C76,APU!H:N,5,0),0),VLOOKUP(C76,APU!H:N,5,0),0)</f>
        <v>20648</v>
      </c>
      <c r="R76" s="384">
        <f ca="1">IF(IFERROR(VLOOKUP(C76,APU!H:N,6,0),0),VLOOKUP(C76,APU!H:N,6,0),0)</f>
        <v>0</v>
      </c>
      <c r="S76" s="384">
        <f ca="1">IF(IFERROR(VLOOKUP(C76,APU!H:N,7,0),0),VLOOKUP(C76,APU!H:N,7,0),0)</f>
        <v>0</v>
      </c>
      <c r="T76" s="160"/>
      <c r="U76" s="384">
        <f t="shared" ca="1" si="2"/>
        <v>2064.8000000000002</v>
      </c>
      <c r="V76" s="384">
        <f t="shared" ca="1" si="3"/>
        <v>2064.8000000000002</v>
      </c>
      <c r="W76" s="384">
        <f t="shared" ca="1" si="4"/>
        <v>206.48000000000002</v>
      </c>
      <c r="X76" s="384">
        <f t="shared" ca="1" si="5"/>
        <v>0</v>
      </c>
      <c r="Y76" s="384">
        <f t="shared" ca="1" si="6"/>
        <v>749.52239999999995</v>
      </c>
      <c r="Z76" s="384">
        <f t="shared" ca="1" si="7"/>
        <v>25733.6024</v>
      </c>
      <c r="AA76" s="384">
        <f t="shared" ca="1" si="8"/>
        <v>392.31200000000001</v>
      </c>
      <c r="AB76" s="384">
        <f t="shared" ca="1" si="9"/>
        <v>0</v>
      </c>
      <c r="AC76" s="384">
        <f t="shared" ca="1" si="10"/>
        <v>0</v>
      </c>
    </row>
    <row r="77" spans="2:29" s="149" customFormat="1" ht="30.75" customHeight="1">
      <c r="B77" s="301"/>
      <c r="C77" s="333">
        <v>1.62</v>
      </c>
      <c r="D77" s="461" t="s">
        <v>4761</v>
      </c>
      <c r="E77" s="462" t="s">
        <v>4761</v>
      </c>
      <c r="F77" s="462" t="s">
        <v>4761</v>
      </c>
      <c r="G77" s="462" t="s">
        <v>4761</v>
      </c>
      <c r="H77" s="462" t="s">
        <v>4761</v>
      </c>
      <c r="I77" s="463" t="s">
        <v>4761</v>
      </c>
      <c r="J77" s="333" t="s">
        <v>4127</v>
      </c>
      <c r="K77" s="334"/>
      <c r="L77" s="305">
        <f t="shared" ca="1" si="1"/>
        <v>25733.6024</v>
      </c>
      <c r="M77" s="306">
        <f t="shared" ca="1" si="11"/>
        <v>0</v>
      </c>
      <c r="N77" s="307"/>
      <c r="O77" s="162"/>
      <c r="P77" s="384">
        <f ca="1">IF(IFERROR(VLOOKUP(C77,APU!H:N,4,0),0),VLOOKUP(C77,APU!H:N,4,0),0)</f>
        <v>0</v>
      </c>
      <c r="Q77" s="384">
        <f ca="1">IF(IFERROR(VLOOKUP(C77,APU!H:N,5,0),0),VLOOKUP(C77,APU!H:N,5,0),0)</f>
        <v>20648</v>
      </c>
      <c r="R77" s="384">
        <f ca="1">IF(IFERROR(VLOOKUP(C77,APU!H:N,6,0),0),VLOOKUP(C77,APU!H:N,6,0),0)</f>
        <v>0</v>
      </c>
      <c r="S77" s="384">
        <f ca="1">IF(IFERROR(VLOOKUP(C77,APU!H:N,7,0),0),VLOOKUP(C77,APU!H:N,7,0),0)</f>
        <v>0</v>
      </c>
      <c r="T77" s="160"/>
      <c r="U77" s="384">
        <f t="shared" ca="1" si="2"/>
        <v>2064.8000000000002</v>
      </c>
      <c r="V77" s="384">
        <f t="shared" ca="1" si="3"/>
        <v>2064.8000000000002</v>
      </c>
      <c r="W77" s="384">
        <f t="shared" ca="1" si="4"/>
        <v>206.48000000000002</v>
      </c>
      <c r="X77" s="384">
        <f t="shared" ca="1" si="5"/>
        <v>0</v>
      </c>
      <c r="Y77" s="384">
        <f t="shared" ca="1" si="6"/>
        <v>749.52239999999995</v>
      </c>
      <c r="Z77" s="384">
        <f t="shared" ca="1" si="7"/>
        <v>25733.6024</v>
      </c>
      <c r="AA77" s="384">
        <f t="shared" ca="1" si="8"/>
        <v>392.31200000000001</v>
      </c>
      <c r="AB77" s="384">
        <f t="shared" ca="1" si="9"/>
        <v>0</v>
      </c>
      <c r="AC77" s="384">
        <f t="shared" ca="1" si="10"/>
        <v>0</v>
      </c>
    </row>
    <row r="78" spans="2:29" s="149" customFormat="1" ht="30.75" customHeight="1">
      <c r="B78" s="301"/>
      <c r="C78" s="333">
        <v>1.63</v>
      </c>
      <c r="D78" s="461" t="s">
        <v>4762</v>
      </c>
      <c r="E78" s="462" t="s">
        <v>4762</v>
      </c>
      <c r="F78" s="462" t="s">
        <v>4762</v>
      </c>
      <c r="G78" s="462" t="s">
        <v>4762</v>
      </c>
      <c r="H78" s="462" t="s">
        <v>4762</v>
      </c>
      <c r="I78" s="463" t="s">
        <v>4762</v>
      </c>
      <c r="J78" s="333" t="s">
        <v>4127</v>
      </c>
      <c r="K78" s="334"/>
      <c r="L78" s="305">
        <f t="shared" ca="1" si="1"/>
        <v>25733.6024</v>
      </c>
      <c r="M78" s="306">
        <f t="shared" ca="1" si="11"/>
        <v>0</v>
      </c>
      <c r="N78" s="307"/>
      <c r="O78" s="162"/>
      <c r="P78" s="384">
        <f ca="1">IF(IFERROR(VLOOKUP(C78,APU!H:N,4,0),0),VLOOKUP(C78,APU!H:N,4,0),0)</f>
        <v>0</v>
      </c>
      <c r="Q78" s="384">
        <f ca="1">IF(IFERROR(VLOOKUP(C78,APU!H:N,5,0),0),VLOOKUP(C78,APU!H:N,5,0),0)</f>
        <v>20648</v>
      </c>
      <c r="R78" s="384">
        <f ca="1">IF(IFERROR(VLOOKUP(C78,APU!H:N,6,0),0),VLOOKUP(C78,APU!H:N,6,0),0)</f>
        <v>0</v>
      </c>
      <c r="S78" s="384">
        <f ca="1">IF(IFERROR(VLOOKUP(C78,APU!H:N,7,0),0),VLOOKUP(C78,APU!H:N,7,0),0)</f>
        <v>0</v>
      </c>
      <c r="T78" s="160"/>
      <c r="U78" s="384">
        <f t="shared" ca="1" si="2"/>
        <v>2064.8000000000002</v>
      </c>
      <c r="V78" s="384">
        <f t="shared" ca="1" si="3"/>
        <v>2064.8000000000002</v>
      </c>
      <c r="W78" s="384">
        <f t="shared" ca="1" si="4"/>
        <v>206.48000000000002</v>
      </c>
      <c r="X78" s="384">
        <f t="shared" ca="1" si="5"/>
        <v>0</v>
      </c>
      <c r="Y78" s="384">
        <f t="shared" ca="1" si="6"/>
        <v>749.52239999999995</v>
      </c>
      <c r="Z78" s="384">
        <f t="shared" ca="1" si="7"/>
        <v>25733.6024</v>
      </c>
      <c r="AA78" s="384">
        <f t="shared" ca="1" si="8"/>
        <v>392.31200000000001</v>
      </c>
      <c r="AB78" s="384">
        <f t="shared" ca="1" si="9"/>
        <v>0</v>
      </c>
      <c r="AC78" s="384">
        <f t="shared" ca="1" si="10"/>
        <v>0</v>
      </c>
    </row>
    <row r="79" spans="2:29" s="149" customFormat="1" ht="30.75" customHeight="1">
      <c r="B79" s="301"/>
      <c r="C79" s="333">
        <v>1.64</v>
      </c>
      <c r="D79" s="461" t="s">
        <v>4763</v>
      </c>
      <c r="E79" s="462" t="s">
        <v>4763</v>
      </c>
      <c r="F79" s="462" t="s">
        <v>4763</v>
      </c>
      <c r="G79" s="462" t="s">
        <v>4763</v>
      </c>
      <c r="H79" s="462" t="s">
        <v>4763</v>
      </c>
      <c r="I79" s="463" t="s">
        <v>4763</v>
      </c>
      <c r="J79" s="333" t="s">
        <v>4127</v>
      </c>
      <c r="K79" s="334"/>
      <c r="L79" s="305">
        <f t="shared" ca="1" si="1"/>
        <v>25733.6024</v>
      </c>
      <c r="M79" s="306">
        <f t="shared" ca="1" si="11"/>
        <v>0</v>
      </c>
      <c r="N79" s="307"/>
      <c r="O79" s="162"/>
      <c r="P79" s="384">
        <f ca="1">IF(IFERROR(VLOOKUP(C79,APU!H:N,4,0),0),VLOOKUP(C79,APU!H:N,4,0),0)</f>
        <v>0</v>
      </c>
      <c r="Q79" s="384">
        <f ca="1">IF(IFERROR(VLOOKUP(C79,APU!H:N,5,0),0),VLOOKUP(C79,APU!H:N,5,0),0)</f>
        <v>20648</v>
      </c>
      <c r="R79" s="384">
        <f ca="1">IF(IFERROR(VLOOKUP(C79,APU!H:N,6,0),0),VLOOKUP(C79,APU!H:N,6,0),0)</f>
        <v>0</v>
      </c>
      <c r="S79" s="384">
        <f ca="1">IF(IFERROR(VLOOKUP(C79,APU!H:N,7,0),0),VLOOKUP(C79,APU!H:N,7,0),0)</f>
        <v>0</v>
      </c>
      <c r="T79" s="160"/>
      <c r="U79" s="384">
        <f t="shared" ca="1" si="2"/>
        <v>2064.8000000000002</v>
      </c>
      <c r="V79" s="384">
        <f t="shared" ca="1" si="3"/>
        <v>2064.8000000000002</v>
      </c>
      <c r="W79" s="384">
        <f t="shared" ca="1" si="4"/>
        <v>206.48000000000002</v>
      </c>
      <c r="X79" s="384">
        <f t="shared" ca="1" si="5"/>
        <v>0</v>
      </c>
      <c r="Y79" s="384">
        <f t="shared" ca="1" si="6"/>
        <v>749.52239999999995</v>
      </c>
      <c r="Z79" s="384">
        <f t="shared" ca="1" si="7"/>
        <v>25733.6024</v>
      </c>
      <c r="AA79" s="384">
        <f t="shared" ca="1" si="8"/>
        <v>392.31200000000001</v>
      </c>
      <c r="AB79" s="384">
        <f t="shared" ca="1" si="9"/>
        <v>0</v>
      </c>
      <c r="AC79" s="384">
        <f t="shared" ca="1" si="10"/>
        <v>0</v>
      </c>
    </row>
    <row r="80" spans="2:29" s="149" customFormat="1" ht="30.75" customHeight="1">
      <c r="B80" s="301"/>
      <c r="C80" s="333">
        <v>1.65</v>
      </c>
      <c r="D80" s="461" t="s">
        <v>4765</v>
      </c>
      <c r="E80" s="462"/>
      <c r="F80" s="462"/>
      <c r="G80" s="462"/>
      <c r="H80" s="462"/>
      <c r="I80" s="463"/>
      <c r="J80" s="333" t="s">
        <v>4127</v>
      </c>
      <c r="K80" s="334"/>
      <c r="L80" s="305">
        <f t="shared" ca="1" si="1"/>
        <v>25733.6024</v>
      </c>
      <c r="M80" s="306">
        <f t="shared" ca="1" si="11"/>
        <v>0</v>
      </c>
      <c r="N80" s="307"/>
      <c r="O80" s="162"/>
      <c r="P80" s="384">
        <f ca="1">IF(IFERROR(VLOOKUP(C80,APU!H:N,4,0),0),VLOOKUP(C80,APU!H:N,4,0),0)</f>
        <v>0</v>
      </c>
      <c r="Q80" s="384">
        <f ca="1">IF(IFERROR(VLOOKUP(C80,APU!H:N,5,0),0),VLOOKUP(C80,APU!H:N,5,0),0)</f>
        <v>20648</v>
      </c>
      <c r="R80" s="384">
        <f ca="1">IF(IFERROR(VLOOKUP(C80,APU!H:N,6,0),0),VLOOKUP(C80,APU!H:N,6,0),0)</f>
        <v>0</v>
      </c>
      <c r="S80" s="384">
        <f ca="1">IF(IFERROR(VLOOKUP(C80,APU!H:N,7,0),0),VLOOKUP(C80,APU!H:N,7,0),0)</f>
        <v>0</v>
      </c>
      <c r="T80" s="160"/>
      <c r="U80" s="384">
        <f t="shared" ca="1" si="2"/>
        <v>2064.8000000000002</v>
      </c>
      <c r="V80" s="384">
        <f t="shared" ca="1" si="3"/>
        <v>2064.8000000000002</v>
      </c>
      <c r="W80" s="384">
        <f t="shared" ca="1" si="4"/>
        <v>206.48000000000002</v>
      </c>
      <c r="X80" s="384">
        <f t="shared" ca="1" si="5"/>
        <v>0</v>
      </c>
      <c r="Y80" s="384">
        <f t="shared" ca="1" si="6"/>
        <v>749.52239999999995</v>
      </c>
      <c r="Z80" s="384">
        <f t="shared" ca="1" si="7"/>
        <v>25733.6024</v>
      </c>
      <c r="AA80" s="384">
        <f t="shared" ca="1" si="8"/>
        <v>392.31200000000001</v>
      </c>
      <c r="AB80" s="384">
        <f t="shared" ca="1" si="9"/>
        <v>0</v>
      </c>
      <c r="AC80" s="384">
        <f t="shared" ca="1" si="10"/>
        <v>0</v>
      </c>
    </row>
    <row r="81" spans="2:29" s="149" customFormat="1" ht="30.75" customHeight="1">
      <c r="B81" s="301"/>
      <c r="C81" s="333">
        <v>1.66</v>
      </c>
      <c r="D81" s="461" t="s">
        <v>4774</v>
      </c>
      <c r="E81" s="462"/>
      <c r="F81" s="462"/>
      <c r="G81" s="462"/>
      <c r="H81" s="462"/>
      <c r="I81" s="463"/>
      <c r="J81" s="333" t="s">
        <v>4127</v>
      </c>
      <c r="K81" s="334"/>
      <c r="L81" s="305">
        <f t="shared" ca="1" si="1"/>
        <v>25733.6024</v>
      </c>
      <c r="M81" s="306">
        <f t="shared" ca="1" si="11"/>
        <v>0</v>
      </c>
      <c r="N81" s="307"/>
      <c r="O81" s="162"/>
      <c r="P81" s="384">
        <f ca="1">IF(IFERROR(VLOOKUP(C81,APU!H:N,4,0),0),VLOOKUP(C81,APU!H:N,4,0),0)</f>
        <v>0</v>
      </c>
      <c r="Q81" s="384">
        <f ca="1">IF(IFERROR(VLOOKUP(C81,APU!H:N,5,0),0),VLOOKUP(C81,APU!H:N,5,0),0)</f>
        <v>20648</v>
      </c>
      <c r="R81" s="384">
        <f ca="1">IF(IFERROR(VLOOKUP(C81,APU!H:N,6,0),0),VLOOKUP(C81,APU!H:N,6,0),0)</f>
        <v>0</v>
      </c>
      <c r="S81" s="384">
        <f ca="1">IF(IFERROR(VLOOKUP(C81,APU!H:N,7,0),0),VLOOKUP(C81,APU!H:N,7,0),0)</f>
        <v>0</v>
      </c>
      <c r="T81" s="160"/>
      <c r="U81" s="384">
        <f t="shared" ca="1" si="2"/>
        <v>2064.8000000000002</v>
      </c>
      <c r="V81" s="384">
        <f t="shared" ca="1" si="3"/>
        <v>2064.8000000000002</v>
      </c>
      <c r="W81" s="384">
        <f t="shared" ca="1" si="4"/>
        <v>206.48000000000002</v>
      </c>
      <c r="X81" s="384">
        <f t="shared" ca="1" si="5"/>
        <v>0</v>
      </c>
      <c r="Y81" s="384">
        <f t="shared" ca="1" si="6"/>
        <v>749.52239999999995</v>
      </c>
      <c r="Z81" s="384">
        <f t="shared" ca="1" si="7"/>
        <v>25733.6024</v>
      </c>
      <c r="AA81" s="384">
        <f t="shared" ca="1" si="8"/>
        <v>392.31200000000001</v>
      </c>
      <c r="AB81" s="384">
        <f t="shared" ca="1" si="9"/>
        <v>0</v>
      </c>
      <c r="AC81" s="384">
        <f t="shared" ca="1" si="10"/>
        <v>0</v>
      </c>
    </row>
    <row r="82" spans="2:29" s="149" customFormat="1" ht="30.75" customHeight="1">
      <c r="B82" s="301"/>
      <c r="C82" s="333">
        <v>1.67</v>
      </c>
      <c r="D82" s="461" t="s">
        <v>4775</v>
      </c>
      <c r="E82" s="462"/>
      <c r="F82" s="462"/>
      <c r="G82" s="462"/>
      <c r="H82" s="462"/>
      <c r="I82" s="463"/>
      <c r="J82" s="333" t="s">
        <v>4127</v>
      </c>
      <c r="K82" s="334"/>
      <c r="L82" s="305">
        <f t="shared" ref="L82:L151" ca="1" si="12">Z82</f>
        <v>25733.6024</v>
      </c>
      <c r="M82" s="306">
        <f t="shared" ca="1" si="11"/>
        <v>0</v>
      </c>
      <c r="N82" s="307"/>
      <c r="O82" s="162"/>
      <c r="P82" s="384">
        <f ca="1">IF(IFERROR(VLOOKUP(C82,APU!H:N,4,0),0),VLOOKUP(C82,APU!H:N,4,0),0)</f>
        <v>0</v>
      </c>
      <c r="Q82" s="384">
        <f ca="1">IF(IFERROR(VLOOKUP(C82,APU!H:N,5,0),0),VLOOKUP(C82,APU!H:N,5,0),0)</f>
        <v>20648</v>
      </c>
      <c r="R82" s="384">
        <f ca="1">IF(IFERROR(VLOOKUP(C82,APU!H:N,6,0),0),VLOOKUP(C82,APU!H:N,6,0),0)</f>
        <v>0</v>
      </c>
      <c r="S82" s="384">
        <f ca="1">IF(IFERROR(VLOOKUP(C82,APU!H:N,7,0),0),VLOOKUP(C82,APU!H:N,7,0),0)</f>
        <v>0</v>
      </c>
      <c r="T82" s="160"/>
      <c r="U82" s="384">
        <f t="shared" ref="U82:U151" ca="1" si="13">(P82+Q82+R82+S82)*$U$14</f>
        <v>2064.8000000000002</v>
      </c>
      <c r="V82" s="384">
        <f t="shared" ref="V82:V151" ca="1" si="14">(P82+Q82+R82+S82)*$V$14</f>
        <v>2064.8000000000002</v>
      </c>
      <c r="W82" s="384">
        <f t="shared" ref="W82:W151" ca="1" si="15">(Q82+R82+S82)*$W$14</f>
        <v>206.48000000000002</v>
      </c>
      <c r="X82" s="384">
        <f t="shared" ref="X82:X151" ca="1" si="16">(P82+Q82+R82+S82)*$X$14</f>
        <v>0</v>
      </c>
      <c r="Y82" s="384">
        <f t="shared" ref="Y82:Y151" ca="1" si="17">(P82+Q82+U82+V82+W82+X82+R82+S82)*$Y$14</f>
        <v>749.52239999999995</v>
      </c>
      <c r="Z82" s="384">
        <f t="shared" ref="Z82:Z151" ca="1" si="18">R82+S82+U82+V82+W82+X82+Y82+Q82+P82</f>
        <v>25733.6024</v>
      </c>
      <c r="AA82" s="384">
        <f t="shared" ref="AA82:AA151" ca="1" si="19">V82*$AA$14</f>
        <v>392.31200000000001</v>
      </c>
      <c r="AB82" s="384">
        <f t="shared" ref="AB82:AB151" ca="1" si="20">Z82*K82</f>
        <v>0</v>
      </c>
      <c r="AC82" s="384">
        <f t="shared" ref="AC82:AC151" ca="1" si="21">AA82*K82</f>
        <v>0</v>
      </c>
    </row>
    <row r="83" spans="2:29" s="149" customFormat="1" ht="30.75" customHeight="1">
      <c r="B83" s="301"/>
      <c r="C83" s="333">
        <v>1.68</v>
      </c>
      <c r="D83" s="461" t="s">
        <v>4777</v>
      </c>
      <c r="E83" s="462"/>
      <c r="F83" s="462"/>
      <c r="G83" s="462"/>
      <c r="H83" s="462"/>
      <c r="I83" s="463"/>
      <c r="J83" s="333" t="s">
        <v>4127</v>
      </c>
      <c r="K83" s="334"/>
      <c r="L83" s="305">
        <f t="shared" ca="1" si="12"/>
        <v>25733.6024</v>
      </c>
      <c r="M83" s="306">
        <f t="shared" ca="1" si="11"/>
        <v>0</v>
      </c>
      <c r="N83" s="307"/>
      <c r="O83" s="162"/>
      <c r="P83" s="384">
        <f ca="1">IF(IFERROR(VLOOKUP(C83,APU!H:N,4,0),0),VLOOKUP(C83,APU!H:N,4,0),0)</f>
        <v>0</v>
      </c>
      <c r="Q83" s="384">
        <f ca="1">IF(IFERROR(VLOOKUP(C83,APU!H:N,5,0),0),VLOOKUP(C83,APU!H:N,5,0),0)</f>
        <v>20648</v>
      </c>
      <c r="R83" s="384">
        <f ca="1">IF(IFERROR(VLOOKUP(C83,APU!H:N,6,0),0),VLOOKUP(C83,APU!H:N,6,0),0)</f>
        <v>0</v>
      </c>
      <c r="S83" s="384">
        <f ca="1">IF(IFERROR(VLOOKUP(C83,APU!H:N,7,0),0),VLOOKUP(C83,APU!H:N,7,0),0)</f>
        <v>0</v>
      </c>
      <c r="T83" s="160"/>
      <c r="U83" s="384">
        <f t="shared" ca="1" si="13"/>
        <v>2064.8000000000002</v>
      </c>
      <c r="V83" s="384">
        <f t="shared" ca="1" si="14"/>
        <v>2064.8000000000002</v>
      </c>
      <c r="W83" s="384">
        <f t="shared" ca="1" si="15"/>
        <v>206.48000000000002</v>
      </c>
      <c r="X83" s="384">
        <f t="shared" ca="1" si="16"/>
        <v>0</v>
      </c>
      <c r="Y83" s="384">
        <f t="shared" ca="1" si="17"/>
        <v>749.52239999999995</v>
      </c>
      <c r="Z83" s="384">
        <f t="shared" ca="1" si="18"/>
        <v>25733.6024</v>
      </c>
      <c r="AA83" s="384">
        <f t="shared" ca="1" si="19"/>
        <v>392.31200000000001</v>
      </c>
      <c r="AB83" s="384">
        <f t="shared" ca="1" si="20"/>
        <v>0</v>
      </c>
      <c r="AC83" s="384">
        <f t="shared" ca="1" si="21"/>
        <v>0</v>
      </c>
    </row>
    <row r="84" spans="2:29" s="149" customFormat="1" ht="30.75" customHeight="1">
      <c r="B84" s="301"/>
      <c r="C84" s="333">
        <v>1.69</v>
      </c>
      <c r="D84" s="461" t="s">
        <v>4782</v>
      </c>
      <c r="E84" s="462"/>
      <c r="F84" s="462"/>
      <c r="G84" s="462"/>
      <c r="H84" s="462"/>
      <c r="I84" s="463"/>
      <c r="J84" s="333" t="s">
        <v>4127</v>
      </c>
      <c r="K84" s="334"/>
      <c r="L84" s="305">
        <f t="shared" ca="1" si="12"/>
        <v>25733.6024</v>
      </c>
      <c r="M84" s="306">
        <f t="shared" ca="1" si="11"/>
        <v>0</v>
      </c>
      <c r="N84" s="307"/>
      <c r="O84" s="162"/>
      <c r="P84" s="384">
        <f ca="1">IF(IFERROR(VLOOKUP(C84,APU!H:N,4,0),0),VLOOKUP(C84,APU!H:N,4,0),0)</f>
        <v>0</v>
      </c>
      <c r="Q84" s="384">
        <f ca="1">IF(IFERROR(VLOOKUP(C84,APU!H:N,5,0),0),VLOOKUP(C84,APU!H:N,5,0),0)</f>
        <v>20648</v>
      </c>
      <c r="R84" s="384">
        <f ca="1">IF(IFERROR(VLOOKUP(C84,APU!H:N,6,0),0),VLOOKUP(C84,APU!H:N,6,0),0)</f>
        <v>0</v>
      </c>
      <c r="S84" s="384">
        <f ca="1">IF(IFERROR(VLOOKUP(C84,APU!H:N,7,0),0),VLOOKUP(C84,APU!H:N,7,0),0)</f>
        <v>0</v>
      </c>
      <c r="T84" s="160"/>
      <c r="U84" s="384">
        <f t="shared" ca="1" si="13"/>
        <v>2064.8000000000002</v>
      </c>
      <c r="V84" s="384">
        <f t="shared" ca="1" si="14"/>
        <v>2064.8000000000002</v>
      </c>
      <c r="W84" s="384">
        <f t="shared" ca="1" si="15"/>
        <v>206.48000000000002</v>
      </c>
      <c r="X84" s="384">
        <f t="shared" ca="1" si="16"/>
        <v>0</v>
      </c>
      <c r="Y84" s="384">
        <f t="shared" ca="1" si="17"/>
        <v>749.52239999999995</v>
      </c>
      <c r="Z84" s="384">
        <f t="shared" ca="1" si="18"/>
        <v>25733.6024</v>
      </c>
      <c r="AA84" s="384">
        <f t="shared" ca="1" si="19"/>
        <v>392.31200000000001</v>
      </c>
      <c r="AB84" s="384">
        <f t="shared" ca="1" si="20"/>
        <v>0</v>
      </c>
      <c r="AC84" s="384">
        <f t="shared" ca="1" si="21"/>
        <v>0</v>
      </c>
    </row>
    <row r="85" spans="2:29" s="149" customFormat="1" ht="30.75" customHeight="1">
      <c r="B85" s="301"/>
      <c r="C85" s="333" t="s">
        <v>4784</v>
      </c>
      <c r="D85" s="461" t="s">
        <v>4783</v>
      </c>
      <c r="E85" s="462"/>
      <c r="F85" s="462"/>
      <c r="G85" s="462"/>
      <c r="H85" s="462"/>
      <c r="I85" s="463"/>
      <c r="J85" s="333" t="s">
        <v>4127</v>
      </c>
      <c r="K85" s="334"/>
      <c r="L85" s="305">
        <f t="shared" ca="1" si="12"/>
        <v>25733.6024</v>
      </c>
      <c r="M85" s="306">
        <f t="shared" ca="1" si="11"/>
        <v>0</v>
      </c>
      <c r="N85" s="307"/>
      <c r="O85" s="162"/>
      <c r="P85" s="384">
        <f ca="1">IF(IFERROR(VLOOKUP(C85,APU!H:N,4,0),0),VLOOKUP(C85,APU!H:N,4,0),0)</f>
        <v>0</v>
      </c>
      <c r="Q85" s="384">
        <f ca="1">IF(IFERROR(VLOOKUP(C85,APU!H:N,5,0),0),VLOOKUP(C85,APU!H:N,5,0),0)</f>
        <v>20648</v>
      </c>
      <c r="R85" s="384">
        <f ca="1">IF(IFERROR(VLOOKUP(C85,APU!H:N,6,0),0),VLOOKUP(C85,APU!H:N,6,0),0)</f>
        <v>0</v>
      </c>
      <c r="S85" s="384">
        <f ca="1">IF(IFERROR(VLOOKUP(C85,APU!H:N,7,0),0),VLOOKUP(C85,APU!H:N,7,0),0)</f>
        <v>0</v>
      </c>
      <c r="T85" s="160"/>
      <c r="U85" s="384">
        <f t="shared" ca="1" si="13"/>
        <v>2064.8000000000002</v>
      </c>
      <c r="V85" s="384">
        <f t="shared" ca="1" si="14"/>
        <v>2064.8000000000002</v>
      </c>
      <c r="W85" s="384">
        <f t="shared" ca="1" si="15"/>
        <v>206.48000000000002</v>
      </c>
      <c r="X85" s="384">
        <f t="shared" ca="1" si="16"/>
        <v>0</v>
      </c>
      <c r="Y85" s="384">
        <f t="shared" ca="1" si="17"/>
        <v>749.52239999999995</v>
      </c>
      <c r="Z85" s="384">
        <f t="shared" ca="1" si="18"/>
        <v>25733.6024</v>
      </c>
      <c r="AA85" s="384">
        <f t="shared" ca="1" si="19"/>
        <v>392.31200000000001</v>
      </c>
      <c r="AB85" s="384">
        <f t="shared" ca="1" si="20"/>
        <v>0</v>
      </c>
      <c r="AC85" s="384">
        <f t="shared" ca="1" si="21"/>
        <v>0</v>
      </c>
    </row>
    <row r="86" spans="2:29" s="149" customFormat="1" ht="30.75" customHeight="1">
      <c r="B86" s="301"/>
      <c r="C86" s="333">
        <v>1.71</v>
      </c>
      <c r="D86" s="461" t="s">
        <v>4801</v>
      </c>
      <c r="E86" s="462"/>
      <c r="F86" s="462"/>
      <c r="G86" s="462"/>
      <c r="H86" s="462"/>
      <c r="I86" s="463"/>
      <c r="J86" s="333" t="s">
        <v>4127</v>
      </c>
      <c r="K86" s="334"/>
      <c r="L86" s="305">
        <f t="shared" ca="1" si="12"/>
        <v>25733.6024</v>
      </c>
      <c r="M86" s="306">
        <f t="shared" ca="1" si="11"/>
        <v>0</v>
      </c>
      <c r="N86" s="307"/>
      <c r="O86" s="162"/>
      <c r="P86" s="384">
        <f ca="1">IF(IFERROR(VLOOKUP(C86,APU!H:N,4,0),0),VLOOKUP(C86,APU!H:N,4,0),0)</f>
        <v>0</v>
      </c>
      <c r="Q86" s="384">
        <f ca="1">IF(IFERROR(VLOOKUP(C86,APU!H:N,5,0),0),VLOOKUP(C86,APU!H:N,5,0),0)</f>
        <v>20648</v>
      </c>
      <c r="R86" s="384">
        <f ca="1">IF(IFERROR(VLOOKUP(C86,APU!H:N,6,0),0),VLOOKUP(C86,APU!H:N,6,0),0)</f>
        <v>0</v>
      </c>
      <c r="S86" s="384">
        <f ca="1">IF(IFERROR(VLOOKUP(C86,APU!H:N,7,0),0),VLOOKUP(C86,APU!H:N,7,0),0)</f>
        <v>0</v>
      </c>
      <c r="T86" s="160"/>
      <c r="U86" s="384">
        <f t="shared" ca="1" si="13"/>
        <v>2064.8000000000002</v>
      </c>
      <c r="V86" s="384">
        <f t="shared" ca="1" si="14"/>
        <v>2064.8000000000002</v>
      </c>
      <c r="W86" s="384">
        <f t="shared" ca="1" si="15"/>
        <v>206.48000000000002</v>
      </c>
      <c r="X86" s="384">
        <f t="shared" ca="1" si="16"/>
        <v>0</v>
      </c>
      <c r="Y86" s="384">
        <f t="shared" ca="1" si="17"/>
        <v>749.52239999999995</v>
      </c>
      <c r="Z86" s="384">
        <f t="shared" ca="1" si="18"/>
        <v>25733.6024</v>
      </c>
      <c r="AA86" s="384">
        <f t="shared" ca="1" si="19"/>
        <v>392.31200000000001</v>
      </c>
      <c r="AB86" s="384">
        <f t="shared" ca="1" si="20"/>
        <v>0</v>
      </c>
      <c r="AC86" s="384">
        <f t="shared" ca="1" si="21"/>
        <v>0</v>
      </c>
    </row>
    <row r="87" spans="2:29" s="149" customFormat="1" ht="30.75" customHeight="1">
      <c r="B87" s="301"/>
      <c r="C87" s="333">
        <v>1.72</v>
      </c>
      <c r="D87" s="461" t="s">
        <v>4803</v>
      </c>
      <c r="E87" s="462"/>
      <c r="F87" s="462"/>
      <c r="G87" s="462"/>
      <c r="H87" s="462"/>
      <c r="I87" s="463"/>
      <c r="J87" s="333" t="s">
        <v>4127</v>
      </c>
      <c r="K87" s="334"/>
      <c r="L87" s="305">
        <f t="shared" ca="1" si="12"/>
        <v>25733.6024</v>
      </c>
      <c r="M87" s="306">
        <f t="shared" ref="M87:M98" ca="1" si="22">L87*K87</f>
        <v>0</v>
      </c>
      <c r="N87" s="307"/>
      <c r="O87" s="162"/>
      <c r="P87" s="384">
        <f ca="1">IF(IFERROR(VLOOKUP(C87,APU!H:N,4,0),0),VLOOKUP(C87,APU!H:N,4,0),0)</f>
        <v>0</v>
      </c>
      <c r="Q87" s="384">
        <f ca="1">IF(IFERROR(VLOOKUP(C87,APU!H:N,5,0),0),VLOOKUP(C87,APU!H:N,5,0),0)</f>
        <v>20648</v>
      </c>
      <c r="R87" s="384">
        <f ca="1">IF(IFERROR(VLOOKUP(C87,APU!H:N,6,0),0),VLOOKUP(C87,APU!H:N,6,0),0)</f>
        <v>0</v>
      </c>
      <c r="S87" s="384">
        <f ca="1">IF(IFERROR(VLOOKUP(C87,APU!H:N,7,0),0),VLOOKUP(C87,APU!H:N,7,0),0)</f>
        <v>0</v>
      </c>
      <c r="T87" s="160"/>
      <c r="U87" s="384">
        <f t="shared" ca="1" si="13"/>
        <v>2064.8000000000002</v>
      </c>
      <c r="V87" s="384">
        <f t="shared" ca="1" si="14"/>
        <v>2064.8000000000002</v>
      </c>
      <c r="W87" s="384">
        <f t="shared" ca="1" si="15"/>
        <v>206.48000000000002</v>
      </c>
      <c r="X87" s="384">
        <f t="shared" ca="1" si="16"/>
        <v>0</v>
      </c>
      <c r="Y87" s="384">
        <f t="shared" ca="1" si="17"/>
        <v>749.52239999999995</v>
      </c>
      <c r="Z87" s="384">
        <f t="shared" ca="1" si="18"/>
        <v>25733.6024</v>
      </c>
      <c r="AA87" s="384">
        <f t="shared" ca="1" si="19"/>
        <v>392.31200000000001</v>
      </c>
      <c r="AB87" s="384">
        <f t="shared" ca="1" si="20"/>
        <v>0</v>
      </c>
      <c r="AC87" s="384">
        <f t="shared" ca="1" si="21"/>
        <v>0</v>
      </c>
    </row>
    <row r="88" spans="2:29" s="149" customFormat="1" ht="30.75" customHeight="1">
      <c r="B88" s="301"/>
      <c r="C88" s="333">
        <v>1.73</v>
      </c>
      <c r="D88" s="461" t="s">
        <v>4804</v>
      </c>
      <c r="E88" s="462"/>
      <c r="F88" s="462"/>
      <c r="G88" s="462"/>
      <c r="H88" s="462"/>
      <c r="I88" s="463"/>
      <c r="J88" s="333" t="s">
        <v>4127</v>
      </c>
      <c r="K88" s="334"/>
      <c r="L88" s="305">
        <f t="shared" ca="1" si="12"/>
        <v>25733.6024</v>
      </c>
      <c r="M88" s="306">
        <f t="shared" ca="1" si="22"/>
        <v>0</v>
      </c>
      <c r="N88" s="307"/>
      <c r="O88" s="162"/>
      <c r="P88" s="384">
        <f ca="1">IF(IFERROR(VLOOKUP(C88,APU!H:N,4,0),0),VLOOKUP(C88,APU!H:N,4,0),0)</f>
        <v>0</v>
      </c>
      <c r="Q88" s="384">
        <f ca="1">IF(IFERROR(VLOOKUP(C88,APU!H:N,5,0),0),VLOOKUP(C88,APU!H:N,5,0),0)</f>
        <v>20648</v>
      </c>
      <c r="R88" s="384">
        <f ca="1">IF(IFERROR(VLOOKUP(C88,APU!H:N,6,0),0),VLOOKUP(C88,APU!H:N,6,0),0)</f>
        <v>0</v>
      </c>
      <c r="S88" s="384">
        <f ca="1">IF(IFERROR(VLOOKUP(C88,APU!H:N,7,0),0),VLOOKUP(C88,APU!H:N,7,0),0)</f>
        <v>0</v>
      </c>
      <c r="T88" s="160"/>
      <c r="U88" s="384">
        <f t="shared" ca="1" si="13"/>
        <v>2064.8000000000002</v>
      </c>
      <c r="V88" s="384">
        <f t="shared" ca="1" si="14"/>
        <v>2064.8000000000002</v>
      </c>
      <c r="W88" s="384">
        <f t="shared" ca="1" si="15"/>
        <v>206.48000000000002</v>
      </c>
      <c r="X88" s="384">
        <f t="shared" ca="1" si="16"/>
        <v>0</v>
      </c>
      <c r="Y88" s="384">
        <f t="shared" ca="1" si="17"/>
        <v>749.52239999999995</v>
      </c>
      <c r="Z88" s="384">
        <f t="shared" ca="1" si="18"/>
        <v>25733.6024</v>
      </c>
      <c r="AA88" s="384">
        <f t="shared" ca="1" si="19"/>
        <v>392.31200000000001</v>
      </c>
      <c r="AB88" s="384">
        <f t="shared" ca="1" si="20"/>
        <v>0</v>
      </c>
      <c r="AC88" s="384">
        <f t="shared" ca="1" si="21"/>
        <v>0</v>
      </c>
    </row>
    <row r="89" spans="2:29" s="149" customFormat="1" ht="30.75" customHeight="1">
      <c r="B89" s="301"/>
      <c r="C89" s="333">
        <v>1.74</v>
      </c>
      <c r="D89" s="461" t="s">
        <v>4805</v>
      </c>
      <c r="E89" s="462"/>
      <c r="F89" s="462"/>
      <c r="G89" s="462"/>
      <c r="H89" s="462"/>
      <c r="I89" s="463"/>
      <c r="J89" s="333" t="s">
        <v>4127</v>
      </c>
      <c r="K89" s="334"/>
      <c r="L89" s="305">
        <f t="shared" ca="1" si="12"/>
        <v>25733.6024</v>
      </c>
      <c r="M89" s="306">
        <f t="shared" ca="1" si="22"/>
        <v>0</v>
      </c>
      <c r="N89" s="307"/>
      <c r="O89" s="162"/>
      <c r="P89" s="384">
        <f ca="1">IF(IFERROR(VLOOKUP(C89,APU!H:N,4,0),0),VLOOKUP(C89,APU!H:N,4,0),0)</f>
        <v>0</v>
      </c>
      <c r="Q89" s="384">
        <f ca="1">IF(IFERROR(VLOOKUP(C89,APU!H:N,5,0),0),VLOOKUP(C89,APU!H:N,5,0),0)</f>
        <v>20648</v>
      </c>
      <c r="R89" s="384">
        <f ca="1">IF(IFERROR(VLOOKUP(C89,APU!H:N,6,0),0),VLOOKUP(C89,APU!H:N,6,0),0)</f>
        <v>0</v>
      </c>
      <c r="S89" s="384">
        <f ca="1">IF(IFERROR(VLOOKUP(C89,APU!H:N,7,0),0),VLOOKUP(C89,APU!H:N,7,0),0)</f>
        <v>0</v>
      </c>
      <c r="T89" s="160"/>
      <c r="U89" s="384">
        <f t="shared" ca="1" si="13"/>
        <v>2064.8000000000002</v>
      </c>
      <c r="V89" s="384">
        <f t="shared" ca="1" si="14"/>
        <v>2064.8000000000002</v>
      </c>
      <c r="W89" s="384">
        <f t="shared" ca="1" si="15"/>
        <v>206.48000000000002</v>
      </c>
      <c r="X89" s="384">
        <f t="shared" ca="1" si="16"/>
        <v>0</v>
      </c>
      <c r="Y89" s="384">
        <f t="shared" ca="1" si="17"/>
        <v>749.52239999999995</v>
      </c>
      <c r="Z89" s="384">
        <f t="shared" ca="1" si="18"/>
        <v>25733.6024</v>
      </c>
      <c r="AA89" s="384">
        <f t="shared" ca="1" si="19"/>
        <v>392.31200000000001</v>
      </c>
      <c r="AB89" s="384">
        <f t="shared" ca="1" si="20"/>
        <v>0</v>
      </c>
      <c r="AC89" s="384">
        <f t="shared" ca="1" si="21"/>
        <v>0</v>
      </c>
    </row>
    <row r="90" spans="2:29" s="149" customFormat="1" ht="30.75" customHeight="1">
      <c r="B90" s="301"/>
      <c r="C90" s="333">
        <v>1.75</v>
      </c>
      <c r="D90" s="461" t="s">
        <v>4818</v>
      </c>
      <c r="E90" s="462"/>
      <c r="F90" s="462"/>
      <c r="G90" s="462"/>
      <c r="H90" s="462"/>
      <c r="I90" s="463"/>
      <c r="J90" s="333" t="s">
        <v>4127</v>
      </c>
      <c r="K90" s="334"/>
      <c r="L90" s="305">
        <f t="shared" ca="1" si="12"/>
        <v>25733.6024</v>
      </c>
      <c r="M90" s="306">
        <f t="shared" ca="1" si="22"/>
        <v>0</v>
      </c>
      <c r="N90" s="307"/>
      <c r="O90" s="162"/>
      <c r="P90" s="384">
        <f ca="1">IF(IFERROR(VLOOKUP(C90,APU!H:N,4,0),0),VLOOKUP(C90,APU!H:N,4,0),0)</f>
        <v>0</v>
      </c>
      <c r="Q90" s="384">
        <f ca="1">IF(IFERROR(VLOOKUP(C90,APU!H:N,5,0),0),VLOOKUP(C90,APU!H:N,5,0),0)</f>
        <v>20648</v>
      </c>
      <c r="R90" s="384">
        <f ca="1">IF(IFERROR(VLOOKUP(C90,APU!H:N,6,0),0),VLOOKUP(C90,APU!H:N,6,0),0)</f>
        <v>0</v>
      </c>
      <c r="S90" s="384">
        <f ca="1">IF(IFERROR(VLOOKUP(C90,APU!H:N,7,0),0),VLOOKUP(C90,APU!H:N,7,0),0)</f>
        <v>0</v>
      </c>
      <c r="T90" s="160"/>
      <c r="U90" s="384">
        <f t="shared" ca="1" si="13"/>
        <v>2064.8000000000002</v>
      </c>
      <c r="V90" s="384">
        <f t="shared" ca="1" si="14"/>
        <v>2064.8000000000002</v>
      </c>
      <c r="W90" s="384">
        <f t="shared" ca="1" si="15"/>
        <v>206.48000000000002</v>
      </c>
      <c r="X90" s="384">
        <f t="shared" ca="1" si="16"/>
        <v>0</v>
      </c>
      <c r="Y90" s="384">
        <f t="shared" ca="1" si="17"/>
        <v>749.52239999999995</v>
      </c>
      <c r="Z90" s="384">
        <f t="shared" ca="1" si="18"/>
        <v>25733.6024</v>
      </c>
      <c r="AA90" s="384">
        <f t="shared" ca="1" si="19"/>
        <v>392.31200000000001</v>
      </c>
      <c r="AB90" s="384">
        <f t="shared" ca="1" si="20"/>
        <v>0</v>
      </c>
      <c r="AC90" s="384">
        <f t="shared" ca="1" si="21"/>
        <v>0</v>
      </c>
    </row>
    <row r="91" spans="2:29" s="149" customFormat="1" ht="30.75" customHeight="1">
      <c r="B91" s="301"/>
      <c r="C91" s="333">
        <v>1.76</v>
      </c>
      <c r="D91" s="461" t="s">
        <v>4819</v>
      </c>
      <c r="E91" s="462"/>
      <c r="F91" s="462"/>
      <c r="G91" s="462"/>
      <c r="H91" s="462"/>
      <c r="I91" s="463"/>
      <c r="J91" s="333" t="s">
        <v>4127</v>
      </c>
      <c r="K91" s="334"/>
      <c r="L91" s="305">
        <f t="shared" ca="1" si="12"/>
        <v>25733.6024</v>
      </c>
      <c r="M91" s="306">
        <f t="shared" ca="1" si="22"/>
        <v>0</v>
      </c>
      <c r="N91" s="307"/>
      <c r="O91" s="162"/>
      <c r="P91" s="384">
        <f ca="1">IF(IFERROR(VLOOKUP(C91,APU!H:N,4,0),0),VLOOKUP(C91,APU!H:N,4,0),0)</f>
        <v>0</v>
      </c>
      <c r="Q91" s="384">
        <f ca="1">IF(IFERROR(VLOOKUP(C91,APU!H:N,5,0),0),VLOOKUP(C91,APU!H:N,5,0),0)</f>
        <v>20648</v>
      </c>
      <c r="R91" s="384">
        <f ca="1">IF(IFERROR(VLOOKUP(C91,APU!H:N,6,0),0),VLOOKUP(C91,APU!H:N,6,0),0)</f>
        <v>0</v>
      </c>
      <c r="S91" s="384">
        <f ca="1">IF(IFERROR(VLOOKUP(C91,APU!H:N,7,0),0),VLOOKUP(C91,APU!H:N,7,0),0)</f>
        <v>0</v>
      </c>
      <c r="T91" s="160"/>
      <c r="U91" s="384">
        <f t="shared" ca="1" si="13"/>
        <v>2064.8000000000002</v>
      </c>
      <c r="V91" s="384">
        <f t="shared" ca="1" si="14"/>
        <v>2064.8000000000002</v>
      </c>
      <c r="W91" s="384">
        <f t="shared" ca="1" si="15"/>
        <v>206.48000000000002</v>
      </c>
      <c r="X91" s="384">
        <f t="shared" ca="1" si="16"/>
        <v>0</v>
      </c>
      <c r="Y91" s="384">
        <f t="shared" ca="1" si="17"/>
        <v>749.52239999999995</v>
      </c>
      <c r="Z91" s="384">
        <f t="shared" ca="1" si="18"/>
        <v>25733.6024</v>
      </c>
      <c r="AA91" s="384">
        <f t="shared" ca="1" si="19"/>
        <v>392.31200000000001</v>
      </c>
      <c r="AB91" s="384">
        <f t="shared" ca="1" si="20"/>
        <v>0</v>
      </c>
      <c r="AC91" s="384">
        <f t="shared" ca="1" si="21"/>
        <v>0</v>
      </c>
    </row>
    <row r="92" spans="2:29" s="149" customFormat="1" ht="30.75" customHeight="1">
      <c r="B92" s="301"/>
      <c r="C92" s="333">
        <v>1.77</v>
      </c>
      <c r="D92" s="461" t="s">
        <v>4825</v>
      </c>
      <c r="E92" s="462"/>
      <c r="F92" s="462"/>
      <c r="G92" s="462"/>
      <c r="H92" s="462"/>
      <c r="I92" s="463"/>
      <c r="J92" s="333" t="s">
        <v>4127</v>
      </c>
      <c r="K92" s="334"/>
      <c r="L92" s="305">
        <f t="shared" ca="1" si="12"/>
        <v>25733.6024</v>
      </c>
      <c r="M92" s="306">
        <f t="shared" ca="1" si="22"/>
        <v>0</v>
      </c>
      <c r="N92" s="307"/>
      <c r="O92" s="162"/>
      <c r="P92" s="384">
        <f ca="1">IF(IFERROR(VLOOKUP(C92,APU!H:N,4,0),0),VLOOKUP(C92,APU!H:N,4,0),0)</f>
        <v>0</v>
      </c>
      <c r="Q92" s="384">
        <f ca="1">IF(IFERROR(VLOOKUP(C92,APU!H:N,5,0),0),VLOOKUP(C92,APU!H:N,5,0),0)</f>
        <v>20648</v>
      </c>
      <c r="R92" s="384">
        <f ca="1">IF(IFERROR(VLOOKUP(C92,APU!H:N,6,0),0),VLOOKUP(C92,APU!H:N,6,0),0)</f>
        <v>0</v>
      </c>
      <c r="S92" s="384">
        <f ca="1">IF(IFERROR(VLOOKUP(C92,APU!H:N,7,0),0),VLOOKUP(C92,APU!H:N,7,0),0)</f>
        <v>0</v>
      </c>
      <c r="T92" s="160"/>
      <c r="U92" s="384">
        <f t="shared" ca="1" si="13"/>
        <v>2064.8000000000002</v>
      </c>
      <c r="V92" s="384">
        <f t="shared" ca="1" si="14"/>
        <v>2064.8000000000002</v>
      </c>
      <c r="W92" s="384">
        <f t="shared" ca="1" si="15"/>
        <v>206.48000000000002</v>
      </c>
      <c r="X92" s="384">
        <f t="shared" ca="1" si="16"/>
        <v>0</v>
      </c>
      <c r="Y92" s="384">
        <f t="shared" ca="1" si="17"/>
        <v>749.52239999999995</v>
      </c>
      <c r="Z92" s="384">
        <f t="shared" ca="1" si="18"/>
        <v>25733.6024</v>
      </c>
      <c r="AA92" s="384">
        <f t="shared" ca="1" si="19"/>
        <v>392.31200000000001</v>
      </c>
      <c r="AB92" s="384">
        <f t="shared" ca="1" si="20"/>
        <v>0</v>
      </c>
      <c r="AC92" s="384">
        <f t="shared" ca="1" si="21"/>
        <v>0</v>
      </c>
    </row>
    <row r="93" spans="2:29" s="149" customFormat="1" ht="30.75" customHeight="1">
      <c r="B93" s="301"/>
      <c r="C93" s="333">
        <v>1.78</v>
      </c>
      <c r="D93" s="461" t="s">
        <v>4969</v>
      </c>
      <c r="E93" s="462"/>
      <c r="F93" s="462"/>
      <c r="G93" s="462"/>
      <c r="H93" s="462"/>
      <c r="I93" s="463"/>
      <c r="J93" s="333" t="s">
        <v>4127</v>
      </c>
      <c r="K93" s="334"/>
      <c r="L93" s="305">
        <f t="shared" ref="L93:L97" ca="1" si="23">Z93</f>
        <v>29151.024798720002</v>
      </c>
      <c r="M93" s="306">
        <f t="shared" ref="M93:M97" ca="1" si="24">L93*K93</f>
        <v>0</v>
      </c>
      <c r="N93" s="307"/>
      <c r="O93" s="162"/>
      <c r="P93" s="384">
        <f ca="1">IF(IFERROR(VLOOKUP(C93,APU!H:N,4,0),0),VLOOKUP(C93,APU!H:N,4,0),0)</f>
        <v>0</v>
      </c>
      <c r="Q93" s="384">
        <f ca="1">IF(IFERROR(VLOOKUP(C93,APU!H:N,5,0),0),VLOOKUP(C93,APU!H:N,5,0),0)</f>
        <v>23390.054400000001</v>
      </c>
      <c r="R93" s="384">
        <f ca="1">IF(IFERROR(VLOOKUP(C93,APU!H:N,6,0),0),VLOOKUP(C93,APU!H:N,6,0),0)</f>
        <v>0</v>
      </c>
      <c r="S93" s="384">
        <f ca="1">IF(IFERROR(VLOOKUP(C93,APU!H:N,7,0),0),VLOOKUP(C93,APU!H:N,7,0),0)</f>
        <v>0</v>
      </c>
      <c r="T93" s="160"/>
      <c r="U93" s="384">
        <f t="shared" ref="U93:U97" ca="1" si="25">(P93+Q93+R93+S93)*$U$14</f>
        <v>2339.0054400000004</v>
      </c>
      <c r="V93" s="384">
        <f t="shared" ref="V93:V97" ca="1" si="26">(P93+Q93+R93+S93)*$V$14</f>
        <v>2339.0054400000004</v>
      </c>
      <c r="W93" s="384">
        <f t="shared" ref="W93:W97" ca="1" si="27">(Q93+R93+S93)*$W$14</f>
        <v>233.90054400000002</v>
      </c>
      <c r="X93" s="384">
        <f t="shared" ref="X93:X97" ca="1" si="28">(P93+Q93+R93+S93)*$X$14</f>
        <v>0</v>
      </c>
      <c r="Y93" s="384">
        <f t="shared" ref="Y93:Y97" ca="1" si="29">(P93+Q93+U93+V93+W93+X93+R93+S93)*$Y$14</f>
        <v>849.05897472000004</v>
      </c>
      <c r="Z93" s="384">
        <f t="shared" ref="Z93:Z97" ca="1" si="30">R93+S93+U93+V93+W93+X93+Y93+Q93+P93</f>
        <v>29151.024798720002</v>
      </c>
      <c r="AA93" s="384">
        <f t="shared" ref="AA93:AA97" ca="1" si="31">V93*$AA$14</f>
        <v>444.41103360000005</v>
      </c>
      <c r="AB93" s="384">
        <f t="shared" ref="AB93:AB97" ca="1" si="32">Z93*K93</f>
        <v>0</v>
      </c>
      <c r="AC93" s="384">
        <f t="shared" ref="AC93:AC97" ca="1" si="33">AA93*K93</f>
        <v>0</v>
      </c>
    </row>
    <row r="94" spans="2:29" s="149" customFormat="1" ht="30.75" customHeight="1">
      <c r="B94" s="301"/>
      <c r="C94" s="333">
        <v>1.79</v>
      </c>
      <c r="D94" s="461" t="s">
        <v>4970</v>
      </c>
      <c r="E94" s="462"/>
      <c r="F94" s="462"/>
      <c r="G94" s="462"/>
      <c r="H94" s="462"/>
      <c r="I94" s="463"/>
      <c r="J94" s="333" t="s">
        <v>4127</v>
      </c>
      <c r="K94" s="334"/>
      <c r="L94" s="305">
        <f t="shared" ref="L94" ca="1" si="34">Z94</f>
        <v>29151.024798720002</v>
      </c>
      <c r="M94" s="306">
        <f t="shared" ref="M94" ca="1" si="35">L94*K94</f>
        <v>0</v>
      </c>
      <c r="N94" s="307"/>
      <c r="O94" s="162"/>
      <c r="P94" s="384">
        <f ca="1">IF(IFERROR(VLOOKUP(C94,APU!H:N,4,0),0),VLOOKUP(C94,APU!H:N,4,0),0)</f>
        <v>0</v>
      </c>
      <c r="Q94" s="384">
        <f ca="1">IF(IFERROR(VLOOKUP(C94,APU!H:N,5,0),0),VLOOKUP(C94,APU!H:N,5,0),0)</f>
        <v>23390.054400000001</v>
      </c>
      <c r="R94" s="384">
        <f ca="1">IF(IFERROR(VLOOKUP(C94,APU!H:N,6,0),0),VLOOKUP(C94,APU!H:N,6,0),0)</f>
        <v>0</v>
      </c>
      <c r="S94" s="384">
        <f ca="1">IF(IFERROR(VLOOKUP(C94,APU!H:N,7,0),0),VLOOKUP(C94,APU!H:N,7,0),0)</f>
        <v>0</v>
      </c>
      <c r="T94" s="160"/>
      <c r="U94" s="384">
        <f t="shared" ref="U94" ca="1" si="36">(P94+Q94+R94+S94)*$U$14</f>
        <v>2339.0054400000004</v>
      </c>
      <c r="V94" s="384">
        <f t="shared" ref="V94" ca="1" si="37">(P94+Q94+R94+S94)*$V$14</f>
        <v>2339.0054400000004</v>
      </c>
      <c r="W94" s="384">
        <f t="shared" ref="W94" ca="1" si="38">(Q94+R94+S94)*$W$14</f>
        <v>233.90054400000002</v>
      </c>
      <c r="X94" s="384">
        <f t="shared" ref="X94" ca="1" si="39">(P94+Q94+R94+S94)*$X$14</f>
        <v>0</v>
      </c>
      <c r="Y94" s="384">
        <f t="shared" ref="Y94" ca="1" si="40">(P94+Q94+U94+V94+W94+X94+R94+S94)*$Y$14</f>
        <v>849.05897472000004</v>
      </c>
      <c r="Z94" s="384">
        <f t="shared" ref="Z94" ca="1" si="41">R94+S94+U94+V94+W94+X94+Y94+Q94+P94</f>
        <v>29151.024798720002</v>
      </c>
      <c r="AA94" s="384">
        <f t="shared" ref="AA94" ca="1" si="42">V94*$AA$14</f>
        <v>444.41103360000005</v>
      </c>
      <c r="AB94" s="384">
        <f t="shared" ref="AB94" ca="1" si="43">Z94*K94</f>
        <v>0</v>
      </c>
      <c r="AC94" s="384">
        <f t="shared" ref="AC94" ca="1" si="44">AA94*K94</f>
        <v>0</v>
      </c>
    </row>
    <row r="95" spans="2:29" s="149" customFormat="1" ht="30.75" customHeight="1">
      <c r="B95" s="301"/>
      <c r="C95" s="333" t="s">
        <v>4973</v>
      </c>
      <c r="D95" s="461" t="s">
        <v>4971</v>
      </c>
      <c r="E95" s="462"/>
      <c r="F95" s="462"/>
      <c r="G95" s="462"/>
      <c r="H95" s="462"/>
      <c r="I95" s="463"/>
      <c r="J95" s="333" t="s">
        <v>4127</v>
      </c>
      <c r="K95" s="334"/>
      <c r="L95" s="305">
        <f t="shared" ca="1" si="23"/>
        <v>29151.024798720002</v>
      </c>
      <c r="M95" s="306">
        <f t="shared" ca="1" si="24"/>
        <v>0</v>
      </c>
      <c r="N95" s="307"/>
      <c r="O95" s="162"/>
      <c r="P95" s="384">
        <f ca="1">IF(IFERROR(VLOOKUP(C95,APU!H:N,4,0),0),VLOOKUP(C95,APU!H:N,4,0),0)</f>
        <v>0</v>
      </c>
      <c r="Q95" s="384">
        <f ca="1">IF(IFERROR(VLOOKUP(C95,APU!H:N,5,0),0),VLOOKUP(C95,APU!H:N,5,0),0)</f>
        <v>23390.054400000001</v>
      </c>
      <c r="R95" s="384">
        <f ca="1">IF(IFERROR(VLOOKUP(C95,APU!H:N,6,0),0),VLOOKUP(C95,APU!H:N,6,0),0)</f>
        <v>0</v>
      </c>
      <c r="S95" s="384">
        <f ca="1">IF(IFERROR(VLOOKUP(C95,APU!H:N,7,0),0),VLOOKUP(C95,APU!H:N,7,0),0)</f>
        <v>0</v>
      </c>
      <c r="T95" s="160"/>
      <c r="U95" s="384">
        <f t="shared" ca="1" si="25"/>
        <v>2339.0054400000004</v>
      </c>
      <c r="V95" s="384">
        <f t="shared" ca="1" si="26"/>
        <v>2339.0054400000004</v>
      </c>
      <c r="W95" s="384">
        <f t="shared" ca="1" si="27"/>
        <v>233.90054400000002</v>
      </c>
      <c r="X95" s="384">
        <f t="shared" ca="1" si="28"/>
        <v>0</v>
      </c>
      <c r="Y95" s="384">
        <f t="shared" ca="1" si="29"/>
        <v>849.05897472000004</v>
      </c>
      <c r="Z95" s="384">
        <f t="shared" ca="1" si="30"/>
        <v>29151.024798720002</v>
      </c>
      <c r="AA95" s="384">
        <f t="shared" ca="1" si="31"/>
        <v>444.41103360000005</v>
      </c>
      <c r="AB95" s="384">
        <f t="shared" ca="1" si="32"/>
        <v>0</v>
      </c>
      <c r="AC95" s="384">
        <f t="shared" ca="1" si="33"/>
        <v>0</v>
      </c>
    </row>
    <row r="96" spans="2:29" s="149" customFormat="1" ht="30.75" customHeight="1">
      <c r="B96" s="301"/>
      <c r="C96" s="333">
        <v>1.81</v>
      </c>
      <c r="D96" s="461" t="s">
        <v>4972</v>
      </c>
      <c r="E96" s="462"/>
      <c r="F96" s="462"/>
      <c r="G96" s="462"/>
      <c r="H96" s="462"/>
      <c r="I96" s="463"/>
      <c r="J96" s="333" t="s">
        <v>4127</v>
      </c>
      <c r="K96" s="334"/>
      <c r="L96" s="305">
        <f t="shared" ca="1" si="23"/>
        <v>25733.6024</v>
      </c>
      <c r="M96" s="306">
        <f t="shared" ca="1" si="24"/>
        <v>0</v>
      </c>
      <c r="N96" s="307"/>
      <c r="O96" s="162"/>
      <c r="P96" s="384">
        <f ca="1">IF(IFERROR(VLOOKUP(C96,APU!H:N,4,0),0),VLOOKUP(C96,APU!H:N,4,0),0)</f>
        <v>0</v>
      </c>
      <c r="Q96" s="384">
        <f ca="1">IF(IFERROR(VLOOKUP(C96,APU!H:N,5,0),0),VLOOKUP(C96,APU!H:N,5,0),0)</f>
        <v>20648</v>
      </c>
      <c r="R96" s="384">
        <f ca="1">IF(IFERROR(VLOOKUP(C96,APU!H:N,6,0),0),VLOOKUP(C96,APU!H:N,6,0),0)</f>
        <v>0</v>
      </c>
      <c r="S96" s="384">
        <f ca="1">IF(IFERROR(VLOOKUP(C96,APU!H:N,7,0),0),VLOOKUP(C96,APU!H:N,7,0),0)</f>
        <v>0</v>
      </c>
      <c r="T96" s="160"/>
      <c r="U96" s="384">
        <f t="shared" ca="1" si="25"/>
        <v>2064.8000000000002</v>
      </c>
      <c r="V96" s="384">
        <f t="shared" ca="1" si="26"/>
        <v>2064.8000000000002</v>
      </c>
      <c r="W96" s="384">
        <f t="shared" ca="1" si="27"/>
        <v>206.48000000000002</v>
      </c>
      <c r="X96" s="384">
        <f t="shared" ca="1" si="28"/>
        <v>0</v>
      </c>
      <c r="Y96" s="384">
        <f t="shared" ca="1" si="29"/>
        <v>749.52239999999995</v>
      </c>
      <c r="Z96" s="384">
        <f t="shared" ca="1" si="30"/>
        <v>25733.6024</v>
      </c>
      <c r="AA96" s="384">
        <f t="shared" ca="1" si="31"/>
        <v>392.31200000000001</v>
      </c>
      <c r="AB96" s="384">
        <f t="shared" ca="1" si="32"/>
        <v>0</v>
      </c>
      <c r="AC96" s="384">
        <f t="shared" ca="1" si="33"/>
        <v>0</v>
      </c>
    </row>
    <row r="97" spans="2:29" s="149" customFormat="1" ht="30.75" customHeight="1">
      <c r="B97" s="301"/>
      <c r="C97" s="333">
        <v>1.82</v>
      </c>
      <c r="D97" s="461" t="s">
        <v>4979</v>
      </c>
      <c r="E97" s="462"/>
      <c r="F97" s="462"/>
      <c r="G97" s="462"/>
      <c r="H97" s="462"/>
      <c r="I97" s="463"/>
      <c r="J97" s="333" t="s">
        <v>4127</v>
      </c>
      <c r="K97" s="334"/>
      <c r="L97" s="305">
        <f t="shared" ca="1" si="23"/>
        <v>25733.6024</v>
      </c>
      <c r="M97" s="306">
        <f t="shared" ca="1" si="24"/>
        <v>0</v>
      </c>
      <c r="N97" s="307"/>
      <c r="O97" s="162"/>
      <c r="P97" s="384">
        <f ca="1">IF(IFERROR(VLOOKUP(C97,APU!H:N,4,0),0),VLOOKUP(C97,APU!H:N,4,0),0)</f>
        <v>0</v>
      </c>
      <c r="Q97" s="384">
        <f ca="1">IF(IFERROR(VLOOKUP(C97,APU!H:N,5,0),0),VLOOKUP(C97,APU!H:N,5,0),0)</f>
        <v>20648</v>
      </c>
      <c r="R97" s="384">
        <f ca="1">IF(IFERROR(VLOOKUP(C97,APU!H:N,6,0),0),VLOOKUP(C97,APU!H:N,6,0),0)</f>
        <v>0</v>
      </c>
      <c r="S97" s="384">
        <f ca="1">IF(IFERROR(VLOOKUP(C97,APU!H:N,7,0),0),VLOOKUP(C97,APU!H:N,7,0),0)</f>
        <v>0</v>
      </c>
      <c r="T97" s="160"/>
      <c r="U97" s="384">
        <f t="shared" ca="1" si="25"/>
        <v>2064.8000000000002</v>
      </c>
      <c r="V97" s="384">
        <f t="shared" ca="1" si="26"/>
        <v>2064.8000000000002</v>
      </c>
      <c r="W97" s="384">
        <f t="shared" ca="1" si="27"/>
        <v>206.48000000000002</v>
      </c>
      <c r="X97" s="384">
        <f t="shared" ca="1" si="28"/>
        <v>0</v>
      </c>
      <c r="Y97" s="384">
        <f t="shared" ca="1" si="29"/>
        <v>749.52239999999995</v>
      </c>
      <c r="Z97" s="384">
        <f t="shared" ca="1" si="30"/>
        <v>25733.6024</v>
      </c>
      <c r="AA97" s="384">
        <f t="shared" ca="1" si="31"/>
        <v>392.31200000000001</v>
      </c>
      <c r="AB97" s="384">
        <f t="shared" ca="1" si="32"/>
        <v>0</v>
      </c>
      <c r="AC97" s="384">
        <f t="shared" ca="1" si="33"/>
        <v>0</v>
      </c>
    </row>
    <row r="98" spans="2:29" s="149" customFormat="1" ht="30.75" customHeight="1">
      <c r="B98" s="301"/>
      <c r="C98" s="333">
        <v>1.83</v>
      </c>
      <c r="D98" s="461" t="s">
        <v>4980</v>
      </c>
      <c r="E98" s="462"/>
      <c r="F98" s="462"/>
      <c r="G98" s="462"/>
      <c r="H98" s="462"/>
      <c r="I98" s="463"/>
      <c r="J98" s="333" t="s">
        <v>4127</v>
      </c>
      <c r="K98" s="334"/>
      <c r="L98" s="305">
        <f t="shared" ca="1" si="12"/>
        <v>25733.6024</v>
      </c>
      <c r="M98" s="306">
        <f t="shared" ca="1" si="22"/>
        <v>0</v>
      </c>
      <c r="N98" s="307"/>
      <c r="O98" s="162"/>
      <c r="P98" s="384">
        <f ca="1">IF(IFERROR(VLOOKUP(C98,APU!H:N,4,0),0),VLOOKUP(C98,APU!H:N,4,0),0)</f>
        <v>0</v>
      </c>
      <c r="Q98" s="384">
        <f ca="1">IF(IFERROR(VLOOKUP(C98,APU!H:N,5,0),0),VLOOKUP(C98,APU!H:N,5,0),0)</f>
        <v>20648</v>
      </c>
      <c r="R98" s="384">
        <f ca="1">IF(IFERROR(VLOOKUP(C98,APU!H:N,6,0),0),VLOOKUP(C98,APU!H:N,6,0),0)</f>
        <v>0</v>
      </c>
      <c r="S98" s="384">
        <f ca="1">IF(IFERROR(VLOOKUP(C98,APU!H:N,7,0),0),VLOOKUP(C98,APU!H:N,7,0),0)</f>
        <v>0</v>
      </c>
      <c r="T98" s="160"/>
      <c r="U98" s="384">
        <f t="shared" ca="1" si="13"/>
        <v>2064.8000000000002</v>
      </c>
      <c r="V98" s="384">
        <f t="shared" ca="1" si="14"/>
        <v>2064.8000000000002</v>
      </c>
      <c r="W98" s="384">
        <f t="shared" ca="1" si="15"/>
        <v>206.48000000000002</v>
      </c>
      <c r="X98" s="384">
        <f t="shared" ca="1" si="16"/>
        <v>0</v>
      </c>
      <c r="Y98" s="384">
        <f t="shared" ca="1" si="17"/>
        <v>749.52239999999995</v>
      </c>
      <c r="Z98" s="384">
        <f t="shared" ca="1" si="18"/>
        <v>25733.6024</v>
      </c>
      <c r="AA98" s="384">
        <f t="shared" ca="1" si="19"/>
        <v>392.31200000000001</v>
      </c>
      <c r="AB98" s="384">
        <f t="shared" ca="1" si="20"/>
        <v>0</v>
      </c>
      <c r="AC98" s="384">
        <f t="shared" ca="1" si="21"/>
        <v>0</v>
      </c>
    </row>
    <row r="99" spans="2:29" s="149" customFormat="1" ht="30.75" customHeight="1">
      <c r="B99" s="301"/>
      <c r="C99" s="339">
        <v>2</v>
      </c>
      <c r="D99" s="464" t="s">
        <v>4612</v>
      </c>
      <c r="E99" s="465"/>
      <c r="F99" s="465"/>
      <c r="G99" s="465"/>
      <c r="H99" s="465"/>
      <c r="I99" s="466"/>
      <c r="J99" s="340"/>
      <c r="K99" s="341"/>
      <c r="L99" s="341"/>
      <c r="M99" s="341"/>
      <c r="N99" s="307"/>
      <c r="O99" s="162"/>
      <c r="P99" s="384">
        <f ca="1">IF(IFERROR(VLOOKUP(C99,APU!H:N,4,0),0),VLOOKUP(C99,APU!H:N,4,0),0)</f>
        <v>0</v>
      </c>
      <c r="Q99" s="384">
        <f ca="1">IF(IFERROR(VLOOKUP(C99,APU!H:N,5,0),0),VLOOKUP(C99,APU!H:N,5,0),0)</f>
        <v>0</v>
      </c>
      <c r="R99" s="384">
        <f ca="1">IF(IFERROR(VLOOKUP(C99,APU!H:N,6,0),0),VLOOKUP(C99,APU!H:N,6,0),0)</f>
        <v>0</v>
      </c>
      <c r="S99" s="384">
        <f ca="1">IF(IFERROR(VLOOKUP(C99,APU!H:N,7,0),0),VLOOKUP(C99,APU!H:N,7,0),0)</f>
        <v>0</v>
      </c>
      <c r="T99" s="160"/>
      <c r="U99" s="384">
        <f t="shared" ca="1" si="13"/>
        <v>0</v>
      </c>
      <c r="V99" s="384">
        <f t="shared" ca="1" si="14"/>
        <v>0</v>
      </c>
      <c r="W99" s="384">
        <f t="shared" ca="1" si="15"/>
        <v>0</v>
      </c>
      <c r="X99" s="384">
        <f t="shared" ca="1" si="16"/>
        <v>0</v>
      </c>
      <c r="Y99" s="384">
        <f t="shared" ca="1" si="17"/>
        <v>0</v>
      </c>
      <c r="Z99" s="384">
        <f t="shared" ca="1" si="18"/>
        <v>0</v>
      </c>
      <c r="AA99" s="384">
        <f t="shared" ca="1" si="19"/>
        <v>0</v>
      </c>
      <c r="AB99" s="384">
        <f t="shared" ca="1" si="20"/>
        <v>0</v>
      </c>
      <c r="AC99" s="384">
        <f t="shared" ca="1" si="21"/>
        <v>0</v>
      </c>
    </row>
    <row r="100" spans="2:29" s="149" customFormat="1" ht="30.75" customHeight="1">
      <c r="B100" s="301"/>
      <c r="C100" s="333">
        <v>2.1</v>
      </c>
      <c r="D100" s="461" t="s">
        <v>4771</v>
      </c>
      <c r="E100" s="462"/>
      <c r="F100" s="462"/>
      <c r="G100" s="462"/>
      <c r="H100" s="462"/>
      <c r="I100" s="463"/>
      <c r="J100" s="333" t="s">
        <v>4127</v>
      </c>
      <c r="K100" s="335"/>
      <c r="L100" s="305">
        <f t="shared" ca="1" si="12"/>
        <v>94370.266721279986</v>
      </c>
      <c r="M100" s="306">
        <f t="shared" ref="M100:M103" ca="1" si="45">L100*K100</f>
        <v>0</v>
      </c>
      <c r="N100" s="307"/>
      <c r="O100" s="162"/>
      <c r="P100" s="384">
        <f ca="1">IF(IFERROR(VLOOKUP(C100,APU!H:N,4,0),0),VLOOKUP(C100,APU!H:N,4,0),0)</f>
        <v>0</v>
      </c>
      <c r="Q100" s="384">
        <f ca="1">IF(IFERROR(VLOOKUP(C100,APU!H:N,5,0),0),VLOOKUP(C100,APU!H:N,5,0),0)</f>
        <v>75720.345599999986</v>
      </c>
      <c r="R100" s="384">
        <f ca="1">IF(IFERROR(VLOOKUP(C100,APU!H:N,6,0),0),VLOOKUP(C100,APU!H:N,6,0),0)</f>
        <v>0</v>
      </c>
      <c r="S100" s="384">
        <f ca="1">IF(IFERROR(VLOOKUP(C100,APU!H:N,7,0),0),VLOOKUP(C100,APU!H:N,7,0),0)</f>
        <v>0</v>
      </c>
      <c r="T100" s="160"/>
      <c r="U100" s="384">
        <f t="shared" ca="1" si="13"/>
        <v>7572.0345599999991</v>
      </c>
      <c r="V100" s="384">
        <f t="shared" ca="1" si="14"/>
        <v>7572.0345599999991</v>
      </c>
      <c r="W100" s="384">
        <f t="shared" ca="1" si="15"/>
        <v>757.20345599999985</v>
      </c>
      <c r="X100" s="384">
        <f t="shared" ca="1" si="16"/>
        <v>0</v>
      </c>
      <c r="Y100" s="384">
        <f t="shared" ca="1" si="17"/>
        <v>2748.6485452799998</v>
      </c>
      <c r="Z100" s="384">
        <f t="shared" ca="1" si="18"/>
        <v>94370.266721279986</v>
      </c>
      <c r="AA100" s="384">
        <f t="shared" ca="1" si="19"/>
        <v>1438.6865663999999</v>
      </c>
      <c r="AB100" s="384">
        <f t="shared" ca="1" si="20"/>
        <v>0</v>
      </c>
      <c r="AC100" s="384">
        <f t="shared" ca="1" si="21"/>
        <v>0</v>
      </c>
    </row>
    <row r="101" spans="2:29" s="149" customFormat="1" ht="30.75" customHeight="1">
      <c r="B101" s="301"/>
      <c r="C101" s="333">
        <v>2.2000000000000002</v>
      </c>
      <c r="D101" s="461" t="s">
        <v>4613</v>
      </c>
      <c r="E101" s="462"/>
      <c r="F101" s="462"/>
      <c r="G101" s="462"/>
      <c r="H101" s="462"/>
      <c r="I101" s="463"/>
      <c r="J101" s="333" t="s">
        <v>4127</v>
      </c>
      <c r="K101" s="335"/>
      <c r="L101" s="305">
        <f t="shared" ca="1" si="12"/>
        <v>94370.266721279986</v>
      </c>
      <c r="M101" s="306">
        <f t="shared" ca="1" si="45"/>
        <v>0</v>
      </c>
      <c r="N101" s="307"/>
      <c r="O101" s="162"/>
      <c r="P101" s="384">
        <f ca="1">IF(IFERROR(VLOOKUP(C101,APU!H:N,4,0),0),VLOOKUP(C101,APU!H:N,4,0),0)</f>
        <v>0</v>
      </c>
      <c r="Q101" s="384">
        <f ca="1">IF(IFERROR(VLOOKUP(C101,APU!H:N,5,0),0),VLOOKUP(C101,APU!H:N,5,0),0)</f>
        <v>75720.345599999986</v>
      </c>
      <c r="R101" s="384">
        <f ca="1">IF(IFERROR(VLOOKUP(C101,APU!H:N,6,0),0),VLOOKUP(C101,APU!H:N,6,0),0)</f>
        <v>0</v>
      </c>
      <c r="S101" s="384">
        <f ca="1">IF(IFERROR(VLOOKUP(C101,APU!H:N,7,0),0),VLOOKUP(C101,APU!H:N,7,0),0)</f>
        <v>0</v>
      </c>
      <c r="T101" s="160"/>
      <c r="U101" s="384">
        <f t="shared" ca="1" si="13"/>
        <v>7572.0345599999991</v>
      </c>
      <c r="V101" s="384">
        <f t="shared" ca="1" si="14"/>
        <v>7572.0345599999991</v>
      </c>
      <c r="W101" s="384">
        <f t="shared" ca="1" si="15"/>
        <v>757.20345599999985</v>
      </c>
      <c r="X101" s="384">
        <f t="shared" ca="1" si="16"/>
        <v>0</v>
      </c>
      <c r="Y101" s="384">
        <f t="shared" ca="1" si="17"/>
        <v>2748.6485452799998</v>
      </c>
      <c r="Z101" s="384">
        <f t="shared" ca="1" si="18"/>
        <v>94370.266721279986</v>
      </c>
      <c r="AA101" s="384">
        <f t="shared" ca="1" si="19"/>
        <v>1438.6865663999999</v>
      </c>
      <c r="AB101" s="384">
        <f t="shared" ca="1" si="20"/>
        <v>0</v>
      </c>
      <c r="AC101" s="384">
        <f t="shared" ca="1" si="21"/>
        <v>0</v>
      </c>
    </row>
    <row r="102" spans="2:29" s="149" customFormat="1" ht="18">
      <c r="B102" s="301"/>
      <c r="C102" s="333">
        <v>2.2999999999999998</v>
      </c>
      <c r="D102" s="461" t="s">
        <v>4629</v>
      </c>
      <c r="E102" s="462"/>
      <c r="F102" s="462"/>
      <c r="G102" s="462"/>
      <c r="H102" s="462"/>
      <c r="I102" s="463"/>
      <c r="J102" s="333" t="s">
        <v>4127</v>
      </c>
      <c r="K102" s="335"/>
      <c r="L102" s="305">
        <f t="shared" ca="1" si="12"/>
        <v>60031.347678719998</v>
      </c>
      <c r="M102" s="306">
        <f t="shared" ca="1" si="45"/>
        <v>0</v>
      </c>
      <c r="N102" s="307"/>
      <c r="O102" s="162"/>
      <c r="P102" s="384">
        <f ca="1">IF(IFERROR(VLOOKUP(C102,APU!H:N,4,0),0),VLOOKUP(C102,APU!H:N,4,0),0)</f>
        <v>0</v>
      </c>
      <c r="Q102" s="384">
        <f ca="1">IF(IFERROR(VLOOKUP(C102,APU!H:N,5,0),0),VLOOKUP(C102,APU!H:N,5,0),0)</f>
        <v>48167.654399999999</v>
      </c>
      <c r="R102" s="384">
        <f ca="1">IF(IFERROR(VLOOKUP(C102,APU!H:N,6,0),0),VLOOKUP(C102,APU!H:N,6,0),0)</f>
        <v>0</v>
      </c>
      <c r="S102" s="384">
        <f ca="1">IF(IFERROR(VLOOKUP(C102,APU!H:N,7,0),0),VLOOKUP(C102,APU!H:N,7,0),0)</f>
        <v>0</v>
      </c>
      <c r="T102" s="160"/>
      <c r="U102" s="384">
        <f t="shared" ca="1" si="13"/>
        <v>4816.7654400000001</v>
      </c>
      <c r="V102" s="384">
        <f t="shared" ca="1" si="14"/>
        <v>4816.7654400000001</v>
      </c>
      <c r="W102" s="384">
        <f t="shared" ca="1" si="15"/>
        <v>481.67654399999998</v>
      </c>
      <c r="X102" s="384">
        <f t="shared" ca="1" si="16"/>
        <v>0</v>
      </c>
      <c r="Y102" s="384">
        <f t="shared" ca="1" si="17"/>
        <v>1748.4858547200001</v>
      </c>
      <c r="Z102" s="384">
        <f t="shared" ca="1" si="18"/>
        <v>60031.347678719998</v>
      </c>
      <c r="AA102" s="384">
        <f t="shared" ca="1" si="19"/>
        <v>915.18543360000001</v>
      </c>
      <c r="AB102" s="384">
        <f t="shared" ca="1" si="20"/>
        <v>0</v>
      </c>
      <c r="AC102" s="384">
        <f t="shared" ca="1" si="21"/>
        <v>0</v>
      </c>
    </row>
    <row r="103" spans="2:29" s="149" customFormat="1" ht="18">
      <c r="B103" s="301"/>
      <c r="C103" s="333">
        <v>2.4</v>
      </c>
      <c r="D103" s="461" t="s">
        <v>4614</v>
      </c>
      <c r="E103" s="462" t="s">
        <v>4614</v>
      </c>
      <c r="F103" s="462" t="s">
        <v>4614</v>
      </c>
      <c r="G103" s="462" t="s">
        <v>4614</v>
      </c>
      <c r="H103" s="462" t="s">
        <v>4614</v>
      </c>
      <c r="I103" s="463" t="s">
        <v>4614</v>
      </c>
      <c r="J103" s="333" t="s">
        <v>4127</v>
      </c>
      <c r="K103" s="335"/>
      <c r="L103" s="305">
        <f t="shared" ca="1" si="12"/>
        <v>60031.347678719998</v>
      </c>
      <c r="M103" s="306">
        <f t="shared" ca="1" si="45"/>
        <v>0</v>
      </c>
      <c r="N103" s="307"/>
      <c r="O103" s="162"/>
      <c r="P103" s="384">
        <f ca="1">IF(IFERROR(VLOOKUP(C103,APU!H:N,4,0),0),VLOOKUP(C103,APU!H:N,4,0),0)</f>
        <v>0</v>
      </c>
      <c r="Q103" s="384">
        <f ca="1">IF(IFERROR(VLOOKUP(C103,APU!H:N,5,0),0),VLOOKUP(C103,APU!H:N,5,0),0)</f>
        <v>48167.654399999999</v>
      </c>
      <c r="R103" s="384">
        <f ca="1">IF(IFERROR(VLOOKUP(C103,APU!H:N,6,0),0),VLOOKUP(C103,APU!H:N,6,0),0)</f>
        <v>0</v>
      </c>
      <c r="S103" s="384">
        <f ca="1">IF(IFERROR(VLOOKUP(C103,APU!H:N,7,0),0),VLOOKUP(C103,APU!H:N,7,0),0)</f>
        <v>0</v>
      </c>
      <c r="T103" s="160"/>
      <c r="U103" s="384">
        <f t="shared" ca="1" si="13"/>
        <v>4816.7654400000001</v>
      </c>
      <c r="V103" s="384">
        <f t="shared" ca="1" si="14"/>
        <v>4816.7654400000001</v>
      </c>
      <c r="W103" s="384">
        <f t="shared" ca="1" si="15"/>
        <v>481.67654399999998</v>
      </c>
      <c r="X103" s="384">
        <f t="shared" ca="1" si="16"/>
        <v>0</v>
      </c>
      <c r="Y103" s="384">
        <f t="shared" ca="1" si="17"/>
        <v>1748.4858547200001</v>
      </c>
      <c r="Z103" s="384">
        <f t="shared" ca="1" si="18"/>
        <v>60031.347678719998</v>
      </c>
      <c r="AA103" s="384">
        <f t="shared" ca="1" si="19"/>
        <v>915.18543360000001</v>
      </c>
      <c r="AB103" s="384">
        <f t="shared" ca="1" si="20"/>
        <v>0</v>
      </c>
      <c r="AC103" s="384">
        <f t="shared" ca="1" si="21"/>
        <v>0</v>
      </c>
    </row>
    <row r="104" spans="2:29" s="149" customFormat="1" ht="18">
      <c r="B104" s="301"/>
      <c r="C104" s="333">
        <v>2.5</v>
      </c>
      <c r="D104" s="461" t="s">
        <v>4615</v>
      </c>
      <c r="E104" s="462" t="s">
        <v>4615</v>
      </c>
      <c r="F104" s="462" t="s">
        <v>4615</v>
      </c>
      <c r="G104" s="462" t="s">
        <v>4615</v>
      </c>
      <c r="H104" s="462" t="s">
        <v>4615</v>
      </c>
      <c r="I104" s="463" t="s">
        <v>4615</v>
      </c>
      <c r="J104" s="333" t="s">
        <v>4127</v>
      </c>
      <c r="K104" s="335"/>
      <c r="L104" s="305">
        <f t="shared" ca="1" si="12"/>
        <v>60031.347678719998</v>
      </c>
      <c r="M104" s="306">
        <f ca="1">L104*K104</f>
        <v>0</v>
      </c>
      <c r="N104" s="307"/>
      <c r="O104" s="162"/>
      <c r="P104" s="384">
        <f ca="1">IF(IFERROR(VLOOKUP(C104,APU!H:N,4,0),0),VLOOKUP(C104,APU!H:N,4,0),0)</f>
        <v>0</v>
      </c>
      <c r="Q104" s="384">
        <f ca="1">IF(IFERROR(VLOOKUP(C104,APU!H:N,5,0),0),VLOOKUP(C104,APU!H:N,5,0),0)</f>
        <v>48167.654399999999</v>
      </c>
      <c r="R104" s="384">
        <f ca="1">IF(IFERROR(VLOOKUP(C104,APU!H:N,6,0),0),VLOOKUP(C104,APU!H:N,6,0),0)</f>
        <v>0</v>
      </c>
      <c r="S104" s="384">
        <f ca="1">IF(IFERROR(VLOOKUP(C104,APU!H:N,7,0),0),VLOOKUP(C104,APU!H:N,7,0),0)</f>
        <v>0</v>
      </c>
      <c r="T104" s="160"/>
      <c r="U104" s="384">
        <f t="shared" ca="1" si="13"/>
        <v>4816.7654400000001</v>
      </c>
      <c r="V104" s="384">
        <f t="shared" ca="1" si="14"/>
        <v>4816.7654400000001</v>
      </c>
      <c r="W104" s="384">
        <f t="shared" ca="1" si="15"/>
        <v>481.67654399999998</v>
      </c>
      <c r="X104" s="384">
        <f t="shared" ca="1" si="16"/>
        <v>0</v>
      </c>
      <c r="Y104" s="384">
        <f t="shared" ca="1" si="17"/>
        <v>1748.4858547200001</v>
      </c>
      <c r="Z104" s="384">
        <f t="shared" ca="1" si="18"/>
        <v>60031.347678719998</v>
      </c>
      <c r="AA104" s="384">
        <f t="shared" ca="1" si="19"/>
        <v>915.18543360000001</v>
      </c>
      <c r="AB104" s="384">
        <f t="shared" ca="1" si="20"/>
        <v>0</v>
      </c>
      <c r="AC104" s="384">
        <f t="shared" ca="1" si="21"/>
        <v>0</v>
      </c>
    </row>
    <row r="105" spans="2:29" s="149" customFormat="1" ht="18">
      <c r="B105" s="301"/>
      <c r="C105" s="333">
        <v>2.6</v>
      </c>
      <c r="D105" s="461" t="s">
        <v>4630</v>
      </c>
      <c r="E105" s="462"/>
      <c r="F105" s="462"/>
      <c r="G105" s="462"/>
      <c r="H105" s="462"/>
      <c r="I105" s="463"/>
      <c r="J105" s="333" t="s">
        <v>4127</v>
      </c>
      <c r="K105" s="335"/>
      <c r="L105" s="305">
        <f t="shared" ca="1" si="12"/>
        <v>94370.266721279986</v>
      </c>
      <c r="M105" s="306">
        <f t="shared" ref="M105:M129" ca="1" si="46">L105*K105</f>
        <v>0</v>
      </c>
      <c r="N105" s="307"/>
      <c r="O105" s="162"/>
      <c r="P105" s="384">
        <f ca="1">IF(IFERROR(VLOOKUP(C105,APU!H:N,4,0),0),VLOOKUP(C105,APU!H:N,4,0),0)</f>
        <v>0</v>
      </c>
      <c r="Q105" s="384">
        <f ca="1">IF(IFERROR(VLOOKUP(C105,APU!H:N,5,0),0),VLOOKUP(C105,APU!H:N,5,0),0)</f>
        <v>75720.345599999986</v>
      </c>
      <c r="R105" s="384">
        <f ca="1">IF(IFERROR(VLOOKUP(C105,APU!H:N,6,0),0),VLOOKUP(C105,APU!H:N,6,0),0)</f>
        <v>0</v>
      </c>
      <c r="S105" s="384">
        <f ca="1">IF(IFERROR(VLOOKUP(C105,APU!H:N,7,0),0),VLOOKUP(C105,APU!H:N,7,0),0)</f>
        <v>0</v>
      </c>
      <c r="T105" s="160"/>
      <c r="U105" s="384">
        <f t="shared" ca="1" si="13"/>
        <v>7572.0345599999991</v>
      </c>
      <c r="V105" s="384">
        <f t="shared" ca="1" si="14"/>
        <v>7572.0345599999991</v>
      </c>
      <c r="W105" s="384">
        <f t="shared" ca="1" si="15"/>
        <v>757.20345599999985</v>
      </c>
      <c r="X105" s="384">
        <f t="shared" ca="1" si="16"/>
        <v>0</v>
      </c>
      <c r="Y105" s="384">
        <f t="shared" ca="1" si="17"/>
        <v>2748.6485452799998</v>
      </c>
      <c r="Z105" s="384">
        <f t="shared" ca="1" si="18"/>
        <v>94370.266721279986</v>
      </c>
      <c r="AA105" s="384">
        <f t="shared" ca="1" si="19"/>
        <v>1438.6865663999999</v>
      </c>
      <c r="AB105" s="384">
        <f t="shared" ca="1" si="20"/>
        <v>0</v>
      </c>
      <c r="AC105" s="384">
        <f t="shared" ca="1" si="21"/>
        <v>0</v>
      </c>
    </row>
    <row r="106" spans="2:29" s="149" customFormat="1" ht="18">
      <c r="B106" s="301"/>
      <c r="C106" s="333">
        <v>2.7</v>
      </c>
      <c r="D106" s="461" t="s">
        <v>4679</v>
      </c>
      <c r="E106" s="462"/>
      <c r="F106" s="462"/>
      <c r="G106" s="462"/>
      <c r="H106" s="462"/>
      <c r="I106" s="463"/>
      <c r="J106" s="333" t="s">
        <v>4127</v>
      </c>
      <c r="K106" s="335"/>
      <c r="L106" s="305">
        <f t="shared" ca="1" si="12"/>
        <v>94370.266721279986</v>
      </c>
      <c r="M106" s="306">
        <f t="shared" ca="1" si="46"/>
        <v>0</v>
      </c>
      <c r="N106" s="307"/>
      <c r="O106" s="162"/>
      <c r="P106" s="384">
        <f ca="1">IF(IFERROR(VLOOKUP(C106,APU!H:N,4,0),0),VLOOKUP(C106,APU!H:N,4,0),0)</f>
        <v>0</v>
      </c>
      <c r="Q106" s="384">
        <f ca="1">IF(IFERROR(VLOOKUP(C106,APU!H:N,5,0),0),VLOOKUP(C106,APU!H:N,5,0),0)</f>
        <v>75720.345599999986</v>
      </c>
      <c r="R106" s="384">
        <f ca="1">IF(IFERROR(VLOOKUP(C106,APU!H:N,6,0),0),VLOOKUP(C106,APU!H:N,6,0),0)</f>
        <v>0</v>
      </c>
      <c r="S106" s="384">
        <f ca="1">IF(IFERROR(VLOOKUP(C106,APU!H:N,7,0),0),VLOOKUP(C106,APU!H:N,7,0),0)</f>
        <v>0</v>
      </c>
      <c r="T106" s="160"/>
      <c r="U106" s="384">
        <f t="shared" ca="1" si="13"/>
        <v>7572.0345599999991</v>
      </c>
      <c r="V106" s="384">
        <f t="shared" ca="1" si="14"/>
        <v>7572.0345599999991</v>
      </c>
      <c r="W106" s="384">
        <f t="shared" ca="1" si="15"/>
        <v>757.20345599999985</v>
      </c>
      <c r="X106" s="384">
        <f t="shared" ca="1" si="16"/>
        <v>0</v>
      </c>
      <c r="Y106" s="384">
        <f t="shared" ca="1" si="17"/>
        <v>2748.6485452799998</v>
      </c>
      <c r="Z106" s="384">
        <f t="shared" ca="1" si="18"/>
        <v>94370.266721279986</v>
      </c>
      <c r="AA106" s="384">
        <f t="shared" ca="1" si="19"/>
        <v>1438.6865663999999</v>
      </c>
      <c r="AB106" s="384">
        <f t="shared" ca="1" si="20"/>
        <v>0</v>
      </c>
      <c r="AC106" s="384">
        <f t="shared" ca="1" si="21"/>
        <v>0</v>
      </c>
    </row>
    <row r="107" spans="2:29" s="149" customFormat="1" ht="18">
      <c r="B107" s="301"/>
      <c r="C107" s="333">
        <v>2.8</v>
      </c>
      <c r="D107" s="461" t="s">
        <v>4680</v>
      </c>
      <c r="E107" s="462"/>
      <c r="F107" s="462"/>
      <c r="G107" s="462"/>
      <c r="H107" s="462"/>
      <c r="I107" s="463"/>
      <c r="J107" s="333" t="s">
        <v>4127</v>
      </c>
      <c r="K107" s="335"/>
      <c r="L107" s="305">
        <f t="shared" ca="1" si="12"/>
        <v>128668.012</v>
      </c>
      <c r="M107" s="306">
        <f t="shared" ca="1" si="46"/>
        <v>0</v>
      </c>
      <c r="N107" s="307"/>
      <c r="O107" s="162"/>
      <c r="P107" s="384">
        <f ca="1">IF(IFERROR(VLOOKUP(C107,APU!H:N,4,0),0),VLOOKUP(C107,APU!H:N,4,0),0)</f>
        <v>0</v>
      </c>
      <c r="Q107" s="384">
        <f ca="1">IF(IFERROR(VLOOKUP(C107,APU!H:N,5,0),0),VLOOKUP(C107,APU!H:N,5,0),0)</f>
        <v>103240</v>
      </c>
      <c r="R107" s="384">
        <f ca="1">IF(IFERROR(VLOOKUP(C107,APU!H:N,6,0),0),VLOOKUP(C107,APU!H:N,6,0),0)</f>
        <v>0</v>
      </c>
      <c r="S107" s="384">
        <f ca="1">IF(IFERROR(VLOOKUP(C107,APU!H:N,7,0),0),VLOOKUP(C107,APU!H:N,7,0),0)</f>
        <v>0</v>
      </c>
      <c r="T107" s="160"/>
      <c r="U107" s="384">
        <f t="shared" ca="1" si="13"/>
        <v>10324</v>
      </c>
      <c r="V107" s="384">
        <f t="shared" ca="1" si="14"/>
        <v>10324</v>
      </c>
      <c r="W107" s="384">
        <f t="shared" ca="1" si="15"/>
        <v>1032.4000000000001</v>
      </c>
      <c r="X107" s="384">
        <f t="shared" ca="1" si="16"/>
        <v>0</v>
      </c>
      <c r="Y107" s="384">
        <f t="shared" ca="1" si="17"/>
        <v>3747.6119999999996</v>
      </c>
      <c r="Z107" s="384">
        <f t="shared" ca="1" si="18"/>
        <v>128668.012</v>
      </c>
      <c r="AA107" s="384">
        <f t="shared" ca="1" si="19"/>
        <v>1961.56</v>
      </c>
      <c r="AB107" s="384">
        <f t="shared" ca="1" si="20"/>
        <v>0</v>
      </c>
      <c r="AC107" s="384">
        <f t="shared" ca="1" si="21"/>
        <v>0</v>
      </c>
    </row>
    <row r="108" spans="2:29" s="149" customFormat="1" ht="18">
      <c r="B108" s="301"/>
      <c r="C108" s="333">
        <v>2.9</v>
      </c>
      <c r="D108" s="461" t="s">
        <v>4681</v>
      </c>
      <c r="E108" s="462"/>
      <c r="F108" s="462"/>
      <c r="G108" s="462"/>
      <c r="H108" s="462"/>
      <c r="I108" s="463"/>
      <c r="J108" s="333" t="s">
        <v>4127</v>
      </c>
      <c r="K108" s="335"/>
      <c r="L108" s="305">
        <f t="shared" ca="1" si="12"/>
        <v>51467.2048</v>
      </c>
      <c r="M108" s="306">
        <f t="shared" ca="1" si="46"/>
        <v>0</v>
      </c>
      <c r="N108" s="307"/>
      <c r="O108" s="162"/>
      <c r="P108" s="384">
        <f ca="1">IF(IFERROR(VLOOKUP(C108,APU!H:N,4,0),0),VLOOKUP(C108,APU!H:N,4,0),0)</f>
        <v>0</v>
      </c>
      <c r="Q108" s="384">
        <f ca="1">IF(IFERROR(VLOOKUP(C108,APU!H:N,5,0),0),VLOOKUP(C108,APU!H:N,5,0),0)</f>
        <v>41296</v>
      </c>
      <c r="R108" s="384">
        <f ca="1">IF(IFERROR(VLOOKUP(C108,APU!H:N,6,0),0),VLOOKUP(C108,APU!H:N,6,0),0)</f>
        <v>0</v>
      </c>
      <c r="S108" s="384">
        <f ca="1">IF(IFERROR(VLOOKUP(C108,APU!H:N,7,0),0),VLOOKUP(C108,APU!H:N,7,0),0)</f>
        <v>0</v>
      </c>
      <c r="T108" s="160"/>
      <c r="U108" s="384">
        <f t="shared" ca="1" si="13"/>
        <v>4129.6000000000004</v>
      </c>
      <c r="V108" s="384">
        <f t="shared" ca="1" si="14"/>
        <v>4129.6000000000004</v>
      </c>
      <c r="W108" s="384">
        <f t="shared" ca="1" si="15"/>
        <v>412.96000000000004</v>
      </c>
      <c r="X108" s="384">
        <f t="shared" ca="1" si="16"/>
        <v>0</v>
      </c>
      <c r="Y108" s="384">
        <f t="shared" ca="1" si="17"/>
        <v>1499.0447999999999</v>
      </c>
      <c r="Z108" s="384">
        <f t="shared" ca="1" si="18"/>
        <v>51467.2048</v>
      </c>
      <c r="AA108" s="384">
        <f t="shared" ca="1" si="19"/>
        <v>784.62400000000002</v>
      </c>
      <c r="AB108" s="384">
        <f t="shared" ca="1" si="20"/>
        <v>0</v>
      </c>
      <c r="AC108" s="384">
        <f t="shared" ca="1" si="21"/>
        <v>0</v>
      </c>
    </row>
    <row r="109" spans="2:29" s="149" customFormat="1" ht="18">
      <c r="B109" s="301"/>
      <c r="C109" s="333">
        <v>2.11</v>
      </c>
      <c r="D109" s="461" t="s">
        <v>4723</v>
      </c>
      <c r="E109" s="462"/>
      <c r="F109" s="462"/>
      <c r="G109" s="462"/>
      <c r="H109" s="462"/>
      <c r="I109" s="463"/>
      <c r="J109" s="333" t="s">
        <v>4127</v>
      </c>
      <c r="K109" s="335"/>
      <c r="L109" s="305">
        <f t="shared" ca="1" si="12"/>
        <v>51467.2048</v>
      </c>
      <c r="M109" s="306">
        <f t="shared" ca="1" si="46"/>
        <v>0</v>
      </c>
      <c r="N109" s="307"/>
      <c r="O109" s="162"/>
      <c r="P109" s="384">
        <f ca="1">IF(IFERROR(VLOOKUP(C109,APU!H:N,4,0),0),VLOOKUP(C109,APU!H:N,4,0),0)</f>
        <v>0</v>
      </c>
      <c r="Q109" s="384">
        <f ca="1">IF(IFERROR(VLOOKUP(C109,APU!H:N,5,0),0),VLOOKUP(C109,APU!H:N,5,0),0)</f>
        <v>41296</v>
      </c>
      <c r="R109" s="384">
        <f ca="1">IF(IFERROR(VLOOKUP(C109,APU!H:N,6,0),0),VLOOKUP(C109,APU!H:N,6,0),0)</f>
        <v>0</v>
      </c>
      <c r="S109" s="384">
        <f ca="1">IF(IFERROR(VLOOKUP(C109,APU!H:N,7,0),0),VLOOKUP(C109,APU!H:N,7,0),0)</f>
        <v>0</v>
      </c>
      <c r="T109" s="160"/>
      <c r="U109" s="384">
        <f t="shared" ca="1" si="13"/>
        <v>4129.6000000000004</v>
      </c>
      <c r="V109" s="384">
        <f t="shared" ca="1" si="14"/>
        <v>4129.6000000000004</v>
      </c>
      <c r="W109" s="384">
        <f t="shared" ca="1" si="15"/>
        <v>412.96000000000004</v>
      </c>
      <c r="X109" s="384">
        <f t="shared" ca="1" si="16"/>
        <v>0</v>
      </c>
      <c r="Y109" s="384">
        <f t="shared" ca="1" si="17"/>
        <v>1499.0447999999999</v>
      </c>
      <c r="Z109" s="384">
        <f t="shared" ca="1" si="18"/>
        <v>51467.2048</v>
      </c>
      <c r="AA109" s="384">
        <f t="shared" ca="1" si="19"/>
        <v>784.62400000000002</v>
      </c>
      <c r="AB109" s="384">
        <f t="shared" ca="1" si="20"/>
        <v>0</v>
      </c>
      <c r="AC109" s="384">
        <f t="shared" ca="1" si="21"/>
        <v>0</v>
      </c>
    </row>
    <row r="110" spans="2:29" s="149" customFormat="1" ht="18">
      <c r="B110" s="301"/>
      <c r="C110" s="333">
        <v>2.12</v>
      </c>
      <c r="D110" s="461" t="s">
        <v>4724</v>
      </c>
      <c r="E110" s="462"/>
      <c r="F110" s="462"/>
      <c r="G110" s="462"/>
      <c r="H110" s="462"/>
      <c r="I110" s="463"/>
      <c r="J110" s="333" t="s">
        <v>4127</v>
      </c>
      <c r="K110" s="335"/>
      <c r="L110" s="305">
        <f t="shared" ca="1" si="12"/>
        <v>60031.347678719998</v>
      </c>
      <c r="M110" s="306">
        <f t="shared" ca="1" si="46"/>
        <v>0</v>
      </c>
      <c r="N110" s="307"/>
      <c r="O110" s="162"/>
      <c r="P110" s="384">
        <f ca="1">IF(IFERROR(VLOOKUP(C110,APU!H:N,4,0),0),VLOOKUP(C110,APU!H:N,4,0),0)</f>
        <v>0</v>
      </c>
      <c r="Q110" s="384">
        <f ca="1">IF(IFERROR(VLOOKUP(C110,APU!H:N,5,0),0),VLOOKUP(C110,APU!H:N,5,0),0)</f>
        <v>48167.654399999999</v>
      </c>
      <c r="R110" s="384">
        <f ca="1">IF(IFERROR(VLOOKUP(C110,APU!H:N,6,0),0),VLOOKUP(C110,APU!H:N,6,0),0)</f>
        <v>0</v>
      </c>
      <c r="S110" s="384">
        <f ca="1">IF(IFERROR(VLOOKUP(C110,APU!H:N,7,0),0),VLOOKUP(C110,APU!H:N,7,0),0)</f>
        <v>0</v>
      </c>
      <c r="T110" s="160"/>
      <c r="U110" s="384">
        <f t="shared" ca="1" si="13"/>
        <v>4816.7654400000001</v>
      </c>
      <c r="V110" s="384">
        <f t="shared" ca="1" si="14"/>
        <v>4816.7654400000001</v>
      </c>
      <c r="W110" s="384">
        <f t="shared" ca="1" si="15"/>
        <v>481.67654399999998</v>
      </c>
      <c r="X110" s="384">
        <f t="shared" ca="1" si="16"/>
        <v>0</v>
      </c>
      <c r="Y110" s="384">
        <f t="shared" ca="1" si="17"/>
        <v>1748.4858547200001</v>
      </c>
      <c r="Z110" s="384">
        <f t="shared" ca="1" si="18"/>
        <v>60031.347678719998</v>
      </c>
      <c r="AA110" s="384">
        <f t="shared" ca="1" si="19"/>
        <v>915.18543360000001</v>
      </c>
      <c r="AB110" s="384">
        <f t="shared" ca="1" si="20"/>
        <v>0</v>
      </c>
      <c r="AC110" s="384">
        <f t="shared" ca="1" si="21"/>
        <v>0</v>
      </c>
    </row>
    <row r="111" spans="2:29" s="149" customFormat="1" ht="18">
      <c r="B111" s="301"/>
      <c r="C111" s="333">
        <v>2.13</v>
      </c>
      <c r="D111" s="461" t="s">
        <v>4725</v>
      </c>
      <c r="E111" s="462"/>
      <c r="F111" s="462"/>
      <c r="G111" s="462"/>
      <c r="H111" s="462"/>
      <c r="I111" s="463"/>
      <c r="J111" s="333" t="s">
        <v>4127</v>
      </c>
      <c r="K111" s="335"/>
      <c r="L111" s="305">
        <f t="shared" ca="1" si="12"/>
        <v>60031.347678719998</v>
      </c>
      <c r="M111" s="306">
        <f t="shared" ca="1" si="46"/>
        <v>0</v>
      </c>
      <c r="N111" s="307"/>
      <c r="O111" s="162"/>
      <c r="P111" s="384">
        <f ca="1">IF(IFERROR(VLOOKUP(C111,APU!H:N,4,0),0),VLOOKUP(C111,APU!H:N,4,0),0)</f>
        <v>0</v>
      </c>
      <c r="Q111" s="384">
        <f ca="1">IF(IFERROR(VLOOKUP(C111,APU!H:N,5,0),0),VLOOKUP(C111,APU!H:N,5,0),0)</f>
        <v>48167.654399999999</v>
      </c>
      <c r="R111" s="384">
        <f ca="1">IF(IFERROR(VLOOKUP(C111,APU!H:N,6,0),0),VLOOKUP(C111,APU!H:N,6,0),0)</f>
        <v>0</v>
      </c>
      <c r="S111" s="384">
        <f ca="1">IF(IFERROR(VLOOKUP(C111,APU!H:N,7,0),0),VLOOKUP(C111,APU!H:N,7,0),0)</f>
        <v>0</v>
      </c>
      <c r="T111" s="160"/>
      <c r="U111" s="384">
        <f t="shared" ca="1" si="13"/>
        <v>4816.7654400000001</v>
      </c>
      <c r="V111" s="384">
        <f t="shared" ca="1" si="14"/>
        <v>4816.7654400000001</v>
      </c>
      <c r="W111" s="384">
        <f t="shared" ca="1" si="15"/>
        <v>481.67654399999998</v>
      </c>
      <c r="X111" s="384">
        <f t="shared" ca="1" si="16"/>
        <v>0</v>
      </c>
      <c r="Y111" s="384">
        <f t="shared" ca="1" si="17"/>
        <v>1748.4858547200001</v>
      </c>
      <c r="Z111" s="384">
        <f t="shared" ca="1" si="18"/>
        <v>60031.347678719998</v>
      </c>
      <c r="AA111" s="384">
        <f t="shared" ca="1" si="19"/>
        <v>915.18543360000001</v>
      </c>
      <c r="AB111" s="384">
        <f t="shared" ca="1" si="20"/>
        <v>0</v>
      </c>
      <c r="AC111" s="384">
        <f t="shared" ca="1" si="21"/>
        <v>0</v>
      </c>
    </row>
    <row r="112" spans="2:29" s="149" customFormat="1" ht="18">
      <c r="B112" s="301"/>
      <c r="C112" s="333">
        <v>2.14</v>
      </c>
      <c r="D112" s="461" t="s">
        <v>4738</v>
      </c>
      <c r="E112" s="462"/>
      <c r="F112" s="462"/>
      <c r="G112" s="462"/>
      <c r="H112" s="462"/>
      <c r="I112" s="463"/>
      <c r="J112" s="333" t="s">
        <v>4127</v>
      </c>
      <c r="K112" s="335"/>
      <c r="L112" s="305">
        <f t="shared" ca="1" si="12"/>
        <v>60031.347678719998</v>
      </c>
      <c r="M112" s="306">
        <f t="shared" ca="1" si="46"/>
        <v>0</v>
      </c>
      <c r="N112" s="307"/>
      <c r="O112" s="162"/>
      <c r="P112" s="384">
        <f ca="1">IF(IFERROR(VLOOKUP(C112,APU!H:N,4,0),0),VLOOKUP(C112,APU!H:N,4,0),0)</f>
        <v>0</v>
      </c>
      <c r="Q112" s="384">
        <f ca="1">IF(IFERROR(VLOOKUP(C112,APU!H:N,5,0),0),VLOOKUP(C112,APU!H:N,5,0),0)</f>
        <v>48167.654399999999</v>
      </c>
      <c r="R112" s="384">
        <f ca="1">IF(IFERROR(VLOOKUP(C112,APU!H:N,6,0),0),VLOOKUP(C112,APU!H:N,6,0),0)</f>
        <v>0</v>
      </c>
      <c r="S112" s="384">
        <f ca="1">IF(IFERROR(VLOOKUP(C112,APU!H:N,7,0),0),VLOOKUP(C112,APU!H:N,7,0),0)</f>
        <v>0</v>
      </c>
      <c r="T112" s="160"/>
      <c r="U112" s="384">
        <f t="shared" ca="1" si="13"/>
        <v>4816.7654400000001</v>
      </c>
      <c r="V112" s="384">
        <f t="shared" ca="1" si="14"/>
        <v>4816.7654400000001</v>
      </c>
      <c r="W112" s="384">
        <f t="shared" ca="1" si="15"/>
        <v>481.67654399999998</v>
      </c>
      <c r="X112" s="384">
        <f t="shared" ca="1" si="16"/>
        <v>0</v>
      </c>
      <c r="Y112" s="384">
        <f t="shared" ca="1" si="17"/>
        <v>1748.4858547200001</v>
      </c>
      <c r="Z112" s="384">
        <f t="shared" ca="1" si="18"/>
        <v>60031.347678719998</v>
      </c>
      <c r="AA112" s="384">
        <f t="shared" ca="1" si="19"/>
        <v>915.18543360000001</v>
      </c>
      <c r="AB112" s="384">
        <f t="shared" ca="1" si="20"/>
        <v>0</v>
      </c>
      <c r="AC112" s="384">
        <f t="shared" ca="1" si="21"/>
        <v>0</v>
      </c>
    </row>
    <row r="113" spans="2:29" s="149" customFormat="1" ht="18">
      <c r="B113" s="301"/>
      <c r="C113" s="333">
        <v>2.15</v>
      </c>
      <c r="D113" s="461" t="s">
        <v>4740</v>
      </c>
      <c r="E113" s="462"/>
      <c r="F113" s="462"/>
      <c r="G113" s="462"/>
      <c r="H113" s="462"/>
      <c r="I113" s="463"/>
      <c r="J113" s="333" t="s">
        <v>4127</v>
      </c>
      <c r="K113" s="335"/>
      <c r="L113" s="305">
        <f t="shared" ca="1" si="12"/>
        <v>51467.2048</v>
      </c>
      <c r="M113" s="306">
        <f t="shared" ca="1" si="46"/>
        <v>0</v>
      </c>
      <c r="N113" s="307"/>
      <c r="O113" s="162"/>
      <c r="P113" s="384">
        <f ca="1">IF(IFERROR(VLOOKUP(C113,APU!H:N,4,0),0),VLOOKUP(C113,APU!H:N,4,0),0)</f>
        <v>0</v>
      </c>
      <c r="Q113" s="384">
        <f ca="1">IF(IFERROR(VLOOKUP(C113,APU!H:N,5,0),0),VLOOKUP(C113,APU!H:N,5,0),0)</f>
        <v>41296</v>
      </c>
      <c r="R113" s="384">
        <f ca="1">IF(IFERROR(VLOOKUP(C113,APU!H:N,6,0),0),VLOOKUP(C113,APU!H:N,6,0),0)</f>
        <v>0</v>
      </c>
      <c r="S113" s="384">
        <f ca="1">IF(IFERROR(VLOOKUP(C113,APU!H:N,7,0),0),VLOOKUP(C113,APU!H:N,7,0),0)</f>
        <v>0</v>
      </c>
      <c r="T113" s="160"/>
      <c r="U113" s="384">
        <f t="shared" ca="1" si="13"/>
        <v>4129.6000000000004</v>
      </c>
      <c r="V113" s="384">
        <f t="shared" ca="1" si="14"/>
        <v>4129.6000000000004</v>
      </c>
      <c r="W113" s="384">
        <f t="shared" ca="1" si="15"/>
        <v>412.96000000000004</v>
      </c>
      <c r="X113" s="384">
        <f t="shared" ca="1" si="16"/>
        <v>0</v>
      </c>
      <c r="Y113" s="384">
        <f t="shared" ca="1" si="17"/>
        <v>1499.0447999999999</v>
      </c>
      <c r="Z113" s="384">
        <f t="shared" ca="1" si="18"/>
        <v>51467.2048</v>
      </c>
      <c r="AA113" s="384">
        <f t="shared" ca="1" si="19"/>
        <v>784.62400000000002</v>
      </c>
      <c r="AB113" s="384">
        <f t="shared" ca="1" si="20"/>
        <v>0</v>
      </c>
      <c r="AC113" s="384">
        <f t="shared" ca="1" si="21"/>
        <v>0</v>
      </c>
    </row>
    <row r="114" spans="2:29" s="149" customFormat="1" ht="18">
      <c r="B114" s="301"/>
      <c r="C114" s="333">
        <v>2.16</v>
      </c>
      <c r="D114" s="461" t="s">
        <v>4742</v>
      </c>
      <c r="E114" s="462"/>
      <c r="F114" s="462"/>
      <c r="G114" s="462"/>
      <c r="H114" s="462"/>
      <c r="I114" s="463"/>
      <c r="J114" s="333" t="s">
        <v>4127</v>
      </c>
      <c r="K114" s="335"/>
      <c r="L114" s="305">
        <f t="shared" ca="1" si="12"/>
        <v>60031.347678719998</v>
      </c>
      <c r="M114" s="306">
        <f t="shared" ca="1" si="46"/>
        <v>0</v>
      </c>
      <c r="N114" s="307"/>
      <c r="O114" s="162"/>
      <c r="P114" s="384">
        <f ca="1">IF(IFERROR(VLOOKUP(C114,APU!H:N,4,0),0),VLOOKUP(C114,APU!H:N,4,0),0)</f>
        <v>0</v>
      </c>
      <c r="Q114" s="384">
        <f ca="1">IF(IFERROR(VLOOKUP(C114,APU!H:N,5,0),0),VLOOKUP(C114,APU!H:N,5,0),0)</f>
        <v>48167.654399999999</v>
      </c>
      <c r="R114" s="384">
        <f ca="1">IF(IFERROR(VLOOKUP(C114,APU!H:N,6,0),0),VLOOKUP(C114,APU!H:N,6,0),0)</f>
        <v>0</v>
      </c>
      <c r="S114" s="384">
        <f ca="1">IF(IFERROR(VLOOKUP(C114,APU!H:N,7,0),0),VLOOKUP(C114,APU!H:N,7,0),0)</f>
        <v>0</v>
      </c>
      <c r="T114" s="160"/>
      <c r="U114" s="384">
        <f t="shared" ca="1" si="13"/>
        <v>4816.7654400000001</v>
      </c>
      <c r="V114" s="384">
        <f t="shared" ca="1" si="14"/>
        <v>4816.7654400000001</v>
      </c>
      <c r="W114" s="384">
        <f t="shared" ca="1" si="15"/>
        <v>481.67654399999998</v>
      </c>
      <c r="X114" s="384">
        <f t="shared" ca="1" si="16"/>
        <v>0</v>
      </c>
      <c r="Y114" s="384">
        <f t="shared" ca="1" si="17"/>
        <v>1748.4858547200001</v>
      </c>
      <c r="Z114" s="384">
        <f t="shared" ca="1" si="18"/>
        <v>60031.347678719998</v>
      </c>
      <c r="AA114" s="384">
        <f t="shared" ca="1" si="19"/>
        <v>915.18543360000001</v>
      </c>
      <c r="AB114" s="384">
        <f t="shared" ca="1" si="20"/>
        <v>0</v>
      </c>
      <c r="AC114" s="384">
        <f t="shared" ca="1" si="21"/>
        <v>0</v>
      </c>
    </row>
    <row r="115" spans="2:29" s="149" customFormat="1" ht="18">
      <c r="B115" s="301"/>
      <c r="C115" s="333">
        <v>2.17</v>
      </c>
      <c r="D115" s="461" t="s">
        <v>4743</v>
      </c>
      <c r="E115" s="462"/>
      <c r="F115" s="462"/>
      <c r="G115" s="462"/>
      <c r="H115" s="462"/>
      <c r="I115" s="463"/>
      <c r="J115" s="333" t="s">
        <v>4127</v>
      </c>
      <c r="K115" s="335"/>
      <c r="L115" s="305">
        <f t="shared" ca="1" si="12"/>
        <v>60031.347678719998</v>
      </c>
      <c r="M115" s="306">
        <f t="shared" ca="1" si="46"/>
        <v>0</v>
      </c>
      <c r="N115" s="307"/>
      <c r="O115" s="162"/>
      <c r="P115" s="384">
        <f ca="1">IF(IFERROR(VLOOKUP(C115,APU!H:N,4,0),0),VLOOKUP(C115,APU!H:N,4,0),0)</f>
        <v>0</v>
      </c>
      <c r="Q115" s="384">
        <f ca="1">IF(IFERROR(VLOOKUP(C115,APU!H:N,5,0),0),VLOOKUP(C115,APU!H:N,5,0),0)</f>
        <v>48167.654399999999</v>
      </c>
      <c r="R115" s="384">
        <f ca="1">IF(IFERROR(VLOOKUP(C115,APU!H:N,6,0),0),VLOOKUP(C115,APU!H:N,6,0),0)</f>
        <v>0</v>
      </c>
      <c r="S115" s="384">
        <f ca="1">IF(IFERROR(VLOOKUP(C115,APU!H:N,7,0),0),VLOOKUP(C115,APU!H:N,7,0),0)</f>
        <v>0</v>
      </c>
      <c r="T115" s="160"/>
      <c r="U115" s="384">
        <f t="shared" ca="1" si="13"/>
        <v>4816.7654400000001</v>
      </c>
      <c r="V115" s="384">
        <f t="shared" ca="1" si="14"/>
        <v>4816.7654400000001</v>
      </c>
      <c r="W115" s="384">
        <f t="shared" ca="1" si="15"/>
        <v>481.67654399999998</v>
      </c>
      <c r="X115" s="384">
        <f t="shared" ca="1" si="16"/>
        <v>0</v>
      </c>
      <c r="Y115" s="384">
        <f t="shared" ca="1" si="17"/>
        <v>1748.4858547200001</v>
      </c>
      <c r="Z115" s="384">
        <f t="shared" ca="1" si="18"/>
        <v>60031.347678719998</v>
      </c>
      <c r="AA115" s="384">
        <f t="shared" ca="1" si="19"/>
        <v>915.18543360000001</v>
      </c>
      <c r="AB115" s="384">
        <f t="shared" ca="1" si="20"/>
        <v>0</v>
      </c>
      <c r="AC115" s="384">
        <f t="shared" ca="1" si="21"/>
        <v>0</v>
      </c>
    </row>
    <row r="116" spans="2:29" s="149" customFormat="1" ht="18">
      <c r="B116" s="301"/>
      <c r="C116" s="333">
        <v>2.1800000000000002</v>
      </c>
      <c r="D116" s="461" t="s">
        <v>4746</v>
      </c>
      <c r="E116" s="462"/>
      <c r="F116" s="462"/>
      <c r="G116" s="462"/>
      <c r="H116" s="462"/>
      <c r="I116" s="463"/>
      <c r="J116" s="333" t="s">
        <v>4127</v>
      </c>
      <c r="K116" s="335"/>
      <c r="L116" s="305">
        <f t="shared" ca="1" si="12"/>
        <v>51467.2048</v>
      </c>
      <c r="M116" s="306">
        <f t="shared" ca="1" si="46"/>
        <v>0</v>
      </c>
      <c r="N116" s="307"/>
      <c r="O116" s="162"/>
      <c r="P116" s="384">
        <f ca="1">IF(IFERROR(VLOOKUP(C116,APU!H:N,4,0),0),VLOOKUP(C116,APU!H:N,4,0),0)</f>
        <v>0</v>
      </c>
      <c r="Q116" s="384">
        <f ca="1">IF(IFERROR(VLOOKUP(C116,APU!H:N,5,0),0),VLOOKUP(C116,APU!H:N,5,0),0)</f>
        <v>41296</v>
      </c>
      <c r="R116" s="384">
        <f ca="1">IF(IFERROR(VLOOKUP(C116,APU!H:N,6,0),0),VLOOKUP(C116,APU!H:N,6,0),0)</f>
        <v>0</v>
      </c>
      <c r="S116" s="384">
        <f ca="1">IF(IFERROR(VLOOKUP(C116,APU!H:N,7,0),0),VLOOKUP(C116,APU!H:N,7,0),0)</f>
        <v>0</v>
      </c>
      <c r="T116" s="160"/>
      <c r="U116" s="384">
        <f t="shared" ca="1" si="13"/>
        <v>4129.6000000000004</v>
      </c>
      <c r="V116" s="384">
        <f t="shared" ca="1" si="14"/>
        <v>4129.6000000000004</v>
      </c>
      <c r="W116" s="384">
        <f t="shared" ca="1" si="15"/>
        <v>412.96000000000004</v>
      </c>
      <c r="X116" s="384">
        <f t="shared" ca="1" si="16"/>
        <v>0</v>
      </c>
      <c r="Y116" s="384">
        <f t="shared" ca="1" si="17"/>
        <v>1499.0447999999999</v>
      </c>
      <c r="Z116" s="384">
        <f t="shared" ca="1" si="18"/>
        <v>51467.2048</v>
      </c>
      <c r="AA116" s="384">
        <f t="shared" ca="1" si="19"/>
        <v>784.62400000000002</v>
      </c>
      <c r="AB116" s="384">
        <f t="shared" ca="1" si="20"/>
        <v>0</v>
      </c>
      <c r="AC116" s="384">
        <f t="shared" ca="1" si="21"/>
        <v>0</v>
      </c>
    </row>
    <row r="117" spans="2:29" s="149" customFormat="1" ht="18">
      <c r="B117" s="301"/>
      <c r="C117" s="333">
        <v>2.19</v>
      </c>
      <c r="D117" s="461" t="s">
        <v>4747</v>
      </c>
      <c r="E117" s="462" t="s">
        <v>4747</v>
      </c>
      <c r="F117" s="462" t="s">
        <v>4747</v>
      </c>
      <c r="G117" s="462" t="s">
        <v>4747</v>
      </c>
      <c r="H117" s="462" t="s">
        <v>4747</v>
      </c>
      <c r="I117" s="463" t="s">
        <v>4747</v>
      </c>
      <c r="J117" s="333" t="s">
        <v>4127</v>
      </c>
      <c r="K117" s="335"/>
      <c r="L117" s="305">
        <f t="shared" ca="1" si="12"/>
        <v>68636.664321279997</v>
      </c>
      <c r="M117" s="306">
        <f t="shared" ca="1" si="46"/>
        <v>0</v>
      </c>
      <c r="N117" s="307"/>
      <c r="O117" s="162"/>
      <c r="P117" s="384">
        <f ca="1">IF(IFERROR(VLOOKUP(C117,APU!H:N,4,0),0),VLOOKUP(C117,APU!H:N,4,0),0)</f>
        <v>0</v>
      </c>
      <c r="Q117" s="384">
        <f ca="1">IF(IFERROR(VLOOKUP(C117,APU!H:N,5,0),0),VLOOKUP(C117,APU!H:N,5,0),0)</f>
        <v>55072.345600000001</v>
      </c>
      <c r="R117" s="384">
        <f ca="1">IF(IFERROR(VLOOKUP(C117,APU!H:N,6,0),0),VLOOKUP(C117,APU!H:N,6,0),0)</f>
        <v>0</v>
      </c>
      <c r="S117" s="384">
        <f ca="1">IF(IFERROR(VLOOKUP(C117,APU!H:N,7,0),0),VLOOKUP(C117,APU!H:N,7,0),0)</f>
        <v>0</v>
      </c>
      <c r="T117" s="160"/>
      <c r="U117" s="384">
        <f t="shared" ca="1" si="13"/>
        <v>5507.2345600000008</v>
      </c>
      <c r="V117" s="384">
        <f t="shared" ca="1" si="14"/>
        <v>5507.2345600000008</v>
      </c>
      <c r="W117" s="384">
        <f t="shared" ca="1" si="15"/>
        <v>550.72345600000006</v>
      </c>
      <c r="X117" s="384">
        <f t="shared" ca="1" si="16"/>
        <v>0</v>
      </c>
      <c r="Y117" s="384">
        <f t="shared" ca="1" si="17"/>
        <v>1999.1261452799999</v>
      </c>
      <c r="Z117" s="384">
        <f t="shared" ca="1" si="18"/>
        <v>68636.664321279997</v>
      </c>
      <c r="AA117" s="384">
        <f t="shared" ca="1" si="19"/>
        <v>1046.3745664</v>
      </c>
      <c r="AB117" s="384">
        <f t="shared" ca="1" si="20"/>
        <v>0</v>
      </c>
      <c r="AC117" s="384">
        <f t="shared" ca="1" si="21"/>
        <v>0</v>
      </c>
    </row>
    <row r="118" spans="2:29" s="149" customFormat="1" ht="18">
      <c r="B118" s="301"/>
      <c r="C118" s="333" t="s">
        <v>4745</v>
      </c>
      <c r="D118" s="461" t="s">
        <v>4748</v>
      </c>
      <c r="E118" s="462" t="s">
        <v>4748</v>
      </c>
      <c r="F118" s="462" t="s">
        <v>4748</v>
      </c>
      <c r="G118" s="462" t="s">
        <v>4748</v>
      </c>
      <c r="H118" s="462" t="s">
        <v>4748</v>
      </c>
      <c r="I118" s="463" t="s">
        <v>4748</v>
      </c>
      <c r="J118" s="333" t="s">
        <v>4127</v>
      </c>
      <c r="K118" s="335"/>
      <c r="L118" s="305">
        <f t="shared" ca="1" si="12"/>
        <v>68636.664321279997</v>
      </c>
      <c r="M118" s="306">
        <f t="shared" ca="1" si="46"/>
        <v>0</v>
      </c>
      <c r="N118" s="307"/>
      <c r="O118" s="162"/>
      <c r="P118" s="384">
        <f ca="1">IF(IFERROR(VLOOKUP(C118,APU!H:N,4,0),0),VLOOKUP(C118,APU!H:N,4,0),0)</f>
        <v>0</v>
      </c>
      <c r="Q118" s="384">
        <f ca="1">IF(IFERROR(VLOOKUP(C118,APU!H:N,5,0),0),VLOOKUP(C118,APU!H:N,5,0),0)</f>
        <v>55072.345600000001</v>
      </c>
      <c r="R118" s="384">
        <f ca="1">IF(IFERROR(VLOOKUP(C118,APU!H:N,6,0),0),VLOOKUP(C118,APU!H:N,6,0),0)</f>
        <v>0</v>
      </c>
      <c r="S118" s="384">
        <f ca="1">IF(IFERROR(VLOOKUP(C118,APU!H:N,7,0),0),VLOOKUP(C118,APU!H:N,7,0),0)</f>
        <v>0</v>
      </c>
      <c r="T118" s="160"/>
      <c r="U118" s="384">
        <f t="shared" ca="1" si="13"/>
        <v>5507.2345600000008</v>
      </c>
      <c r="V118" s="384">
        <f t="shared" ca="1" si="14"/>
        <v>5507.2345600000008</v>
      </c>
      <c r="W118" s="384">
        <f t="shared" ca="1" si="15"/>
        <v>550.72345600000006</v>
      </c>
      <c r="X118" s="384">
        <f t="shared" ca="1" si="16"/>
        <v>0</v>
      </c>
      <c r="Y118" s="384">
        <f t="shared" ca="1" si="17"/>
        <v>1999.1261452799999</v>
      </c>
      <c r="Z118" s="384">
        <f t="shared" ca="1" si="18"/>
        <v>68636.664321279997</v>
      </c>
      <c r="AA118" s="384">
        <f t="shared" ca="1" si="19"/>
        <v>1046.3745664</v>
      </c>
      <c r="AB118" s="384">
        <f t="shared" ca="1" si="20"/>
        <v>0</v>
      </c>
      <c r="AC118" s="384">
        <f t="shared" ca="1" si="21"/>
        <v>0</v>
      </c>
    </row>
    <row r="119" spans="2:29" s="149" customFormat="1" ht="18">
      <c r="B119" s="301"/>
      <c r="C119" s="333">
        <v>2.21</v>
      </c>
      <c r="D119" s="461" t="s">
        <v>4749</v>
      </c>
      <c r="E119" s="462" t="s">
        <v>4748</v>
      </c>
      <c r="F119" s="462" t="s">
        <v>4748</v>
      </c>
      <c r="G119" s="462" t="s">
        <v>4748</v>
      </c>
      <c r="H119" s="462" t="s">
        <v>4748</v>
      </c>
      <c r="I119" s="463" t="s">
        <v>4748</v>
      </c>
      <c r="J119" s="333" t="s">
        <v>4127</v>
      </c>
      <c r="K119" s="335"/>
      <c r="L119" s="305">
        <f t="shared" ca="1" si="12"/>
        <v>60031.347678719998</v>
      </c>
      <c r="M119" s="306">
        <f t="shared" ca="1" si="46"/>
        <v>0</v>
      </c>
      <c r="N119" s="307"/>
      <c r="O119" s="162"/>
      <c r="P119" s="384">
        <f ca="1">IF(IFERROR(VLOOKUP(C119,APU!H:N,4,0),0),VLOOKUP(C119,APU!H:N,4,0),0)</f>
        <v>0</v>
      </c>
      <c r="Q119" s="384">
        <f ca="1">IF(IFERROR(VLOOKUP(C119,APU!H:N,5,0),0),VLOOKUP(C119,APU!H:N,5,0),0)</f>
        <v>48167.654399999999</v>
      </c>
      <c r="R119" s="384">
        <f ca="1">IF(IFERROR(VLOOKUP(C119,APU!H:N,6,0),0),VLOOKUP(C119,APU!H:N,6,0),0)</f>
        <v>0</v>
      </c>
      <c r="S119" s="384">
        <f ca="1">IF(IFERROR(VLOOKUP(C119,APU!H:N,7,0),0),VLOOKUP(C119,APU!H:N,7,0),0)</f>
        <v>0</v>
      </c>
      <c r="T119" s="160"/>
      <c r="U119" s="384">
        <f t="shared" ca="1" si="13"/>
        <v>4816.7654400000001</v>
      </c>
      <c r="V119" s="384">
        <f t="shared" ca="1" si="14"/>
        <v>4816.7654400000001</v>
      </c>
      <c r="W119" s="384">
        <f t="shared" ca="1" si="15"/>
        <v>481.67654399999998</v>
      </c>
      <c r="X119" s="384">
        <f t="shared" ca="1" si="16"/>
        <v>0</v>
      </c>
      <c r="Y119" s="384">
        <f t="shared" ca="1" si="17"/>
        <v>1748.4858547200001</v>
      </c>
      <c r="Z119" s="384">
        <f t="shared" ca="1" si="18"/>
        <v>60031.347678719998</v>
      </c>
      <c r="AA119" s="384">
        <f t="shared" ca="1" si="19"/>
        <v>915.18543360000001</v>
      </c>
      <c r="AB119" s="384">
        <f t="shared" ca="1" si="20"/>
        <v>0</v>
      </c>
      <c r="AC119" s="384">
        <f t="shared" ca="1" si="21"/>
        <v>0</v>
      </c>
    </row>
    <row r="120" spans="2:29" s="149" customFormat="1" ht="18">
      <c r="B120" s="301"/>
      <c r="C120" s="333">
        <v>2.2200000000000002</v>
      </c>
      <c r="D120" s="461" t="s">
        <v>4770</v>
      </c>
      <c r="E120" s="462" t="s">
        <v>4748</v>
      </c>
      <c r="F120" s="462" t="s">
        <v>4748</v>
      </c>
      <c r="G120" s="462" t="s">
        <v>4748</v>
      </c>
      <c r="H120" s="462" t="s">
        <v>4748</v>
      </c>
      <c r="I120" s="463" t="s">
        <v>4748</v>
      </c>
      <c r="J120" s="333" t="s">
        <v>4127</v>
      </c>
      <c r="K120" s="335"/>
      <c r="L120" s="305">
        <f t="shared" ca="1" si="12"/>
        <v>60031.347678719998</v>
      </c>
      <c r="M120" s="306">
        <f t="shared" ca="1" si="46"/>
        <v>0</v>
      </c>
      <c r="N120" s="307"/>
      <c r="O120" s="162"/>
      <c r="P120" s="384">
        <f ca="1">IF(IFERROR(VLOOKUP(C120,APU!H:N,4,0),0),VLOOKUP(C120,APU!H:N,4,0),0)</f>
        <v>0</v>
      </c>
      <c r="Q120" s="384">
        <f ca="1">IF(IFERROR(VLOOKUP(C120,APU!H:N,5,0),0),VLOOKUP(C120,APU!H:N,5,0),0)</f>
        <v>48167.654399999999</v>
      </c>
      <c r="R120" s="384">
        <f ca="1">IF(IFERROR(VLOOKUP(C120,APU!H:N,6,0),0),VLOOKUP(C120,APU!H:N,6,0),0)</f>
        <v>0</v>
      </c>
      <c r="S120" s="384">
        <f ca="1">IF(IFERROR(VLOOKUP(C120,APU!H:N,7,0),0),VLOOKUP(C120,APU!H:N,7,0),0)</f>
        <v>0</v>
      </c>
      <c r="T120" s="160"/>
      <c r="U120" s="384">
        <f t="shared" ca="1" si="13"/>
        <v>4816.7654400000001</v>
      </c>
      <c r="V120" s="384">
        <f t="shared" ca="1" si="14"/>
        <v>4816.7654400000001</v>
      </c>
      <c r="W120" s="384">
        <f t="shared" ca="1" si="15"/>
        <v>481.67654399999998</v>
      </c>
      <c r="X120" s="384">
        <f t="shared" ca="1" si="16"/>
        <v>0</v>
      </c>
      <c r="Y120" s="384">
        <f t="shared" ca="1" si="17"/>
        <v>1748.4858547200001</v>
      </c>
      <c r="Z120" s="384">
        <f t="shared" ca="1" si="18"/>
        <v>60031.347678719998</v>
      </c>
      <c r="AA120" s="384">
        <f t="shared" ca="1" si="19"/>
        <v>915.18543360000001</v>
      </c>
      <c r="AB120" s="384">
        <f t="shared" ca="1" si="20"/>
        <v>0</v>
      </c>
      <c r="AC120" s="384">
        <f t="shared" ca="1" si="21"/>
        <v>0</v>
      </c>
    </row>
    <row r="121" spans="2:29" s="149" customFormat="1" ht="18">
      <c r="B121" s="301"/>
      <c r="C121" s="333">
        <v>2.23</v>
      </c>
      <c r="D121" s="461" t="s">
        <v>4772</v>
      </c>
      <c r="E121" s="462" t="s">
        <v>4748</v>
      </c>
      <c r="F121" s="462" t="s">
        <v>4748</v>
      </c>
      <c r="G121" s="462" t="s">
        <v>4748</v>
      </c>
      <c r="H121" s="462" t="s">
        <v>4748</v>
      </c>
      <c r="I121" s="463" t="s">
        <v>4748</v>
      </c>
      <c r="J121" s="333" t="s">
        <v>4127</v>
      </c>
      <c r="K121" s="335"/>
      <c r="L121" s="305">
        <f t="shared" ca="1" si="12"/>
        <v>60031.347678719998</v>
      </c>
      <c r="M121" s="306">
        <f t="shared" ca="1" si="46"/>
        <v>0</v>
      </c>
      <c r="N121" s="307"/>
      <c r="O121" s="162"/>
      <c r="P121" s="384">
        <f ca="1">IF(IFERROR(VLOOKUP(C121,APU!H:N,4,0),0),VLOOKUP(C121,APU!H:N,4,0),0)</f>
        <v>0</v>
      </c>
      <c r="Q121" s="384">
        <f ca="1">IF(IFERROR(VLOOKUP(C121,APU!H:N,5,0),0),VLOOKUP(C121,APU!H:N,5,0),0)</f>
        <v>48167.654399999999</v>
      </c>
      <c r="R121" s="384">
        <f ca="1">IF(IFERROR(VLOOKUP(C121,APU!H:N,6,0),0),VLOOKUP(C121,APU!H:N,6,0),0)</f>
        <v>0</v>
      </c>
      <c r="S121" s="384">
        <f ca="1">IF(IFERROR(VLOOKUP(C121,APU!H:N,7,0),0),VLOOKUP(C121,APU!H:N,7,0),0)</f>
        <v>0</v>
      </c>
      <c r="T121" s="160"/>
      <c r="U121" s="384">
        <f t="shared" ca="1" si="13"/>
        <v>4816.7654400000001</v>
      </c>
      <c r="V121" s="384">
        <f t="shared" ca="1" si="14"/>
        <v>4816.7654400000001</v>
      </c>
      <c r="W121" s="384">
        <f t="shared" ca="1" si="15"/>
        <v>481.67654399999998</v>
      </c>
      <c r="X121" s="384">
        <f t="shared" ca="1" si="16"/>
        <v>0</v>
      </c>
      <c r="Y121" s="384">
        <f t="shared" ca="1" si="17"/>
        <v>1748.4858547200001</v>
      </c>
      <c r="Z121" s="384">
        <f t="shared" ca="1" si="18"/>
        <v>60031.347678719998</v>
      </c>
      <c r="AA121" s="384">
        <f t="shared" ca="1" si="19"/>
        <v>915.18543360000001</v>
      </c>
      <c r="AB121" s="384">
        <f t="shared" ca="1" si="20"/>
        <v>0</v>
      </c>
      <c r="AC121" s="384">
        <f t="shared" ca="1" si="21"/>
        <v>0</v>
      </c>
    </row>
    <row r="122" spans="2:29" s="149" customFormat="1" ht="18">
      <c r="B122" s="301"/>
      <c r="C122" s="333">
        <v>2.2400000000000002</v>
      </c>
      <c r="D122" s="461" t="s">
        <v>4786</v>
      </c>
      <c r="E122" s="462" t="s">
        <v>4748</v>
      </c>
      <c r="F122" s="462" t="s">
        <v>4748</v>
      </c>
      <c r="G122" s="462" t="s">
        <v>4748</v>
      </c>
      <c r="H122" s="462" t="s">
        <v>4748</v>
      </c>
      <c r="I122" s="463" t="s">
        <v>4748</v>
      </c>
      <c r="J122" s="333" t="s">
        <v>4127</v>
      </c>
      <c r="K122" s="335"/>
      <c r="L122" s="305">
        <f t="shared" ca="1" si="12"/>
        <v>60031.347678719998</v>
      </c>
      <c r="M122" s="306">
        <f t="shared" ca="1" si="46"/>
        <v>0</v>
      </c>
      <c r="N122" s="307"/>
      <c r="O122" s="162"/>
      <c r="P122" s="384">
        <f ca="1">IF(IFERROR(VLOOKUP(C122,APU!H:N,4,0),0),VLOOKUP(C122,APU!H:N,4,0),0)</f>
        <v>0</v>
      </c>
      <c r="Q122" s="384">
        <f ca="1">IF(IFERROR(VLOOKUP(C122,APU!H:N,5,0),0),VLOOKUP(C122,APU!H:N,5,0),0)</f>
        <v>48167.654399999999</v>
      </c>
      <c r="R122" s="384">
        <f ca="1">IF(IFERROR(VLOOKUP(C122,APU!H:N,6,0),0),VLOOKUP(C122,APU!H:N,6,0),0)</f>
        <v>0</v>
      </c>
      <c r="S122" s="384">
        <f ca="1">IF(IFERROR(VLOOKUP(C122,APU!H:N,7,0),0),VLOOKUP(C122,APU!H:N,7,0),0)</f>
        <v>0</v>
      </c>
      <c r="T122" s="160"/>
      <c r="U122" s="384">
        <f t="shared" ca="1" si="13"/>
        <v>4816.7654400000001</v>
      </c>
      <c r="V122" s="384">
        <f t="shared" ca="1" si="14"/>
        <v>4816.7654400000001</v>
      </c>
      <c r="W122" s="384">
        <f t="shared" ca="1" si="15"/>
        <v>481.67654399999998</v>
      </c>
      <c r="X122" s="384">
        <f t="shared" ca="1" si="16"/>
        <v>0</v>
      </c>
      <c r="Y122" s="384">
        <f t="shared" ca="1" si="17"/>
        <v>1748.4858547200001</v>
      </c>
      <c r="Z122" s="384">
        <f t="shared" ca="1" si="18"/>
        <v>60031.347678719998</v>
      </c>
      <c r="AA122" s="384">
        <f t="shared" ca="1" si="19"/>
        <v>915.18543360000001</v>
      </c>
      <c r="AB122" s="384">
        <f t="shared" ca="1" si="20"/>
        <v>0</v>
      </c>
      <c r="AC122" s="384">
        <f t="shared" ca="1" si="21"/>
        <v>0</v>
      </c>
    </row>
    <row r="123" spans="2:29" s="149" customFormat="1" ht="18">
      <c r="B123" s="301"/>
      <c r="C123" s="333">
        <v>2.25</v>
      </c>
      <c r="D123" s="461" t="s">
        <v>4787</v>
      </c>
      <c r="E123" s="462" t="s">
        <v>4748</v>
      </c>
      <c r="F123" s="462" t="s">
        <v>4748</v>
      </c>
      <c r="G123" s="462" t="s">
        <v>4748</v>
      </c>
      <c r="H123" s="462" t="s">
        <v>4748</v>
      </c>
      <c r="I123" s="463" t="s">
        <v>4748</v>
      </c>
      <c r="J123" s="333" t="s">
        <v>4127</v>
      </c>
      <c r="K123" s="335"/>
      <c r="L123" s="305">
        <f t="shared" ca="1" si="12"/>
        <v>60031.347678719998</v>
      </c>
      <c r="M123" s="306">
        <f t="shared" ca="1" si="46"/>
        <v>0</v>
      </c>
      <c r="N123" s="307"/>
      <c r="O123" s="162"/>
      <c r="P123" s="384">
        <f ca="1">IF(IFERROR(VLOOKUP(C123,APU!H:N,4,0),0),VLOOKUP(C123,APU!H:N,4,0),0)</f>
        <v>0</v>
      </c>
      <c r="Q123" s="384">
        <f ca="1">IF(IFERROR(VLOOKUP(C123,APU!H:N,5,0),0),VLOOKUP(C123,APU!H:N,5,0),0)</f>
        <v>48167.654399999999</v>
      </c>
      <c r="R123" s="384">
        <f ca="1">IF(IFERROR(VLOOKUP(C123,APU!H:N,6,0),0),VLOOKUP(C123,APU!H:N,6,0),0)</f>
        <v>0</v>
      </c>
      <c r="S123" s="384">
        <f ca="1">IF(IFERROR(VLOOKUP(C123,APU!H:N,7,0),0),VLOOKUP(C123,APU!H:N,7,0),0)</f>
        <v>0</v>
      </c>
      <c r="T123" s="160"/>
      <c r="U123" s="384">
        <f t="shared" ca="1" si="13"/>
        <v>4816.7654400000001</v>
      </c>
      <c r="V123" s="384">
        <f t="shared" ca="1" si="14"/>
        <v>4816.7654400000001</v>
      </c>
      <c r="W123" s="384">
        <f t="shared" ca="1" si="15"/>
        <v>481.67654399999998</v>
      </c>
      <c r="X123" s="384">
        <f t="shared" ca="1" si="16"/>
        <v>0</v>
      </c>
      <c r="Y123" s="384">
        <f t="shared" ca="1" si="17"/>
        <v>1748.4858547200001</v>
      </c>
      <c r="Z123" s="384">
        <f t="shared" ca="1" si="18"/>
        <v>60031.347678719998</v>
      </c>
      <c r="AA123" s="384">
        <f t="shared" ca="1" si="19"/>
        <v>915.18543360000001</v>
      </c>
      <c r="AB123" s="384">
        <f t="shared" ca="1" si="20"/>
        <v>0</v>
      </c>
      <c r="AC123" s="384">
        <f t="shared" ca="1" si="21"/>
        <v>0</v>
      </c>
    </row>
    <row r="124" spans="2:29" s="149" customFormat="1" ht="18">
      <c r="B124" s="301"/>
      <c r="C124" s="333">
        <v>2.2599999999999998</v>
      </c>
      <c r="D124" s="461" t="s">
        <v>4792</v>
      </c>
      <c r="E124" s="462" t="s">
        <v>4748</v>
      </c>
      <c r="F124" s="462" t="s">
        <v>4748</v>
      </c>
      <c r="G124" s="462" t="s">
        <v>4748</v>
      </c>
      <c r="H124" s="462" t="s">
        <v>4748</v>
      </c>
      <c r="I124" s="463" t="s">
        <v>4748</v>
      </c>
      <c r="J124" s="333" t="s">
        <v>4127</v>
      </c>
      <c r="K124" s="335"/>
      <c r="L124" s="305">
        <f t="shared" ca="1" si="12"/>
        <v>180135.21679999999</v>
      </c>
      <c r="M124" s="306">
        <f t="shared" ca="1" si="46"/>
        <v>0</v>
      </c>
      <c r="N124" s="307"/>
      <c r="O124" s="162"/>
      <c r="P124" s="384">
        <f ca="1">IF(IFERROR(VLOOKUP(C124,APU!H:N,4,0),0),VLOOKUP(C124,APU!H:N,4,0),0)</f>
        <v>0</v>
      </c>
      <c r="Q124" s="384">
        <f ca="1">IF(IFERROR(VLOOKUP(C124,APU!H:N,5,0),0),VLOOKUP(C124,APU!H:N,5,0),0)</f>
        <v>144536</v>
      </c>
      <c r="R124" s="384">
        <f ca="1">IF(IFERROR(VLOOKUP(C124,APU!H:N,6,0),0),VLOOKUP(C124,APU!H:N,6,0),0)</f>
        <v>0</v>
      </c>
      <c r="S124" s="384">
        <f ca="1">IF(IFERROR(VLOOKUP(C124,APU!H:N,7,0),0),VLOOKUP(C124,APU!H:N,7,0),0)</f>
        <v>0</v>
      </c>
      <c r="T124" s="160"/>
      <c r="U124" s="384">
        <f t="shared" ca="1" si="13"/>
        <v>14453.6</v>
      </c>
      <c r="V124" s="384">
        <f t="shared" ca="1" si="14"/>
        <v>14453.6</v>
      </c>
      <c r="W124" s="384">
        <f t="shared" ca="1" si="15"/>
        <v>1445.3600000000001</v>
      </c>
      <c r="X124" s="384">
        <f t="shared" ca="1" si="16"/>
        <v>0</v>
      </c>
      <c r="Y124" s="384">
        <f t="shared" ca="1" si="17"/>
        <v>5246.6567999999997</v>
      </c>
      <c r="Z124" s="384">
        <f t="shared" ca="1" si="18"/>
        <v>180135.21679999999</v>
      </c>
      <c r="AA124" s="384">
        <f t="shared" ca="1" si="19"/>
        <v>2746.1840000000002</v>
      </c>
      <c r="AB124" s="384">
        <f t="shared" ca="1" si="20"/>
        <v>0</v>
      </c>
      <c r="AC124" s="384">
        <f t="shared" ca="1" si="21"/>
        <v>0</v>
      </c>
    </row>
    <row r="125" spans="2:29" s="149" customFormat="1" ht="18">
      <c r="B125" s="301"/>
      <c r="C125" s="333">
        <v>2.27</v>
      </c>
      <c r="D125" s="461" t="s">
        <v>4814</v>
      </c>
      <c r="E125" s="462" t="s">
        <v>4748</v>
      </c>
      <c r="F125" s="462" t="s">
        <v>4748</v>
      </c>
      <c r="G125" s="462" t="s">
        <v>4748</v>
      </c>
      <c r="H125" s="462" t="s">
        <v>4748</v>
      </c>
      <c r="I125" s="463" t="s">
        <v>4748</v>
      </c>
      <c r="J125" s="333" t="s">
        <v>4127</v>
      </c>
      <c r="K125" s="335"/>
      <c r="L125" s="305">
        <f t="shared" ca="1" si="12"/>
        <v>68636.664321279997</v>
      </c>
      <c r="M125" s="306">
        <f t="shared" ca="1" si="46"/>
        <v>0</v>
      </c>
      <c r="N125" s="307"/>
      <c r="O125" s="162"/>
      <c r="P125" s="384">
        <f ca="1">IF(IFERROR(VLOOKUP(C125,APU!H:N,4,0),0),VLOOKUP(C125,APU!H:N,4,0),0)</f>
        <v>0</v>
      </c>
      <c r="Q125" s="384">
        <f ca="1">IF(IFERROR(VLOOKUP(C125,APU!H:N,5,0),0),VLOOKUP(C125,APU!H:N,5,0),0)</f>
        <v>55072.345600000001</v>
      </c>
      <c r="R125" s="384">
        <f ca="1">IF(IFERROR(VLOOKUP(C125,APU!H:N,6,0),0),VLOOKUP(C125,APU!H:N,6,0),0)</f>
        <v>0</v>
      </c>
      <c r="S125" s="384">
        <f ca="1">IF(IFERROR(VLOOKUP(C125,APU!H:N,7,0),0),VLOOKUP(C125,APU!H:N,7,0),0)</f>
        <v>0</v>
      </c>
      <c r="T125" s="160"/>
      <c r="U125" s="384">
        <f t="shared" ca="1" si="13"/>
        <v>5507.2345600000008</v>
      </c>
      <c r="V125" s="384">
        <f t="shared" ca="1" si="14"/>
        <v>5507.2345600000008</v>
      </c>
      <c r="W125" s="384">
        <f t="shared" ca="1" si="15"/>
        <v>550.72345600000006</v>
      </c>
      <c r="X125" s="384">
        <f t="shared" ca="1" si="16"/>
        <v>0</v>
      </c>
      <c r="Y125" s="384">
        <f t="shared" ca="1" si="17"/>
        <v>1999.1261452799999</v>
      </c>
      <c r="Z125" s="384">
        <f t="shared" ca="1" si="18"/>
        <v>68636.664321279997</v>
      </c>
      <c r="AA125" s="384">
        <f t="shared" ca="1" si="19"/>
        <v>1046.3745664</v>
      </c>
      <c r="AB125" s="384">
        <f t="shared" ca="1" si="20"/>
        <v>0</v>
      </c>
      <c r="AC125" s="384">
        <f t="shared" ca="1" si="21"/>
        <v>0</v>
      </c>
    </row>
    <row r="126" spans="2:29" s="149" customFormat="1" ht="18">
      <c r="B126" s="301"/>
      <c r="C126" s="333">
        <v>2.2799999999999998</v>
      </c>
      <c r="D126" s="461" t="s">
        <v>4823</v>
      </c>
      <c r="E126" s="462" t="s">
        <v>4748</v>
      </c>
      <c r="F126" s="462" t="s">
        <v>4748</v>
      </c>
      <c r="G126" s="462" t="s">
        <v>4748</v>
      </c>
      <c r="H126" s="462" t="s">
        <v>4748</v>
      </c>
      <c r="I126" s="463" t="s">
        <v>4748</v>
      </c>
      <c r="J126" s="333" t="s">
        <v>4127</v>
      </c>
      <c r="K126" s="335"/>
      <c r="L126" s="305">
        <f t="shared" ca="1" si="12"/>
        <v>120103.86912128</v>
      </c>
      <c r="M126" s="306">
        <f t="shared" ca="1" si="46"/>
        <v>0</v>
      </c>
      <c r="N126" s="307"/>
      <c r="O126" s="162"/>
      <c r="P126" s="384">
        <f ca="1">IF(IFERROR(VLOOKUP(C126,APU!H:N,4,0),0),VLOOKUP(C126,APU!H:N,4,0),0)</f>
        <v>0</v>
      </c>
      <c r="Q126" s="384">
        <f ca="1">IF(IFERROR(VLOOKUP(C126,APU!H:N,5,0),0),VLOOKUP(C126,APU!H:N,5,0),0)</f>
        <v>96368.345600000001</v>
      </c>
      <c r="R126" s="384">
        <f ca="1">IF(IFERROR(VLOOKUP(C126,APU!H:N,6,0),0),VLOOKUP(C126,APU!H:N,6,0),0)</f>
        <v>0</v>
      </c>
      <c r="S126" s="384">
        <f ca="1">IF(IFERROR(VLOOKUP(C126,APU!H:N,7,0),0),VLOOKUP(C126,APU!H:N,7,0),0)</f>
        <v>0</v>
      </c>
      <c r="T126" s="160"/>
      <c r="U126" s="384">
        <f t="shared" ca="1" si="13"/>
        <v>9636.8345600000011</v>
      </c>
      <c r="V126" s="384">
        <f t="shared" ca="1" si="14"/>
        <v>9636.8345600000011</v>
      </c>
      <c r="W126" s="384">
        <f t="shared" ca="1" si="15"/>
        <v>963.68345599999998</v>
      </c>
      <c r="X126" s="384">
        <f t="shared" ca="1" si="16"/>
        <v>0</v>
      </c>
      <c r="Y126" s="384">
        <f t="shared" ca="1" si="17"/>
        <v>3498.1709452800001</v>
      </c>
      <c r="Z126" s="384">
        <f t="shared" ca="1" si="18"/>
        <v>120103.86912128</v>
      </c>
      <c r="AA126" s="384">
        <f t="shared" ca="1" si="19"/>
        <v>1830.9985664000003</v>
      </c>
      <c r="AB126" s="384">
        <f t="shared" ca="1" si="20"/>
        <v>0</v>
      </c>
      <c r="AC126" s="384">
        <f t="shared" ca="1" si="21"/>
        <v>0</v>
      </c>
    </row>
    <row r="127" spans="2:29" s="149" customFormat="1" ht="18">
      <c r="B127" s="301"/>
      <c r="C127" s="333">
        <v>2.29</v>
      </c>
      <c r="D127" s="461" t="s">
        <v>4983</v>
      </c>
      <c r="E127" s="462" t="s">
        <v>4748</v>
      </c>
      <c r="F127" s="462" t="s">
        <v>4748</v>
      </c>
      <c r="G127" s="462" t="s">
        <v>4748</v>
      </c>
      <c r="H127" s="462" t="s">
        <v>4748</v>
      </c>
      <c r="I127" s="463" t="s">
        <v>4748</v>
      </c>
      <c r="J127" s="333" t="s">
        <v>4127</v>
      </c>
      <c r="K127" s="335"/>
      <c r="L127" s="305">
        <f t="shared" ca="1" si="12"/>
        <v>68636.664321279997</v>
      </c>
      <c r="M127" s="306">
        <f t="shared" ca="1" si="46"/>
        <v>0</v>
      </c>
      <c r="N127" s="307"/>
      <c r="O127" s="162"/>
      <c r="P127" s="384">
        <f ca="1">IF(IFERROR(VLOOKUP(C127,APU!H:N,4,0),0),VLOOKUP(C127,APU!H:N,4,0),0)</f>
        <v>0</v>
      </c>
      <c r="Q127" s="384">
        <f ca="1">IF(IFERROR(VLOOKUP(C127,APU!H:N,5,0),0),VLOOKUP(C127,APU!H:N,5,0),0)</f>
        <v>55072.345600000001</v>
      </c>
      <c r="R127" s="384">
        <f ca="1">IF(IFERROR(VLOOKUP(C127,APU!H:N,6,0),0),VLOOKUP(C127,APU!H:N,6,0),0)</f>
        <v>0</v>
      </c>
      <c r="S127" s="384">
        <f ca="1">IF(IFERROR(VLOOKUP(C127,APU!H:N,7,0),0),VLOOKUP(C127,APU!H:N,7,0),0)</f>
        <v>0</v>
      </c>
      <c r="T127" s="160"/>
      <c r="U127" s="384">
        <f t="shared" ca="1" si="13"/>
        <v>5507.2345600000008</v>
      </c>
      <c r="V127" s="384">
        <f t="shared" ca="1" si="14"/>
        <v>5507.2345600000008</v>
      </c>
      <c r="W127" s="384">
        <f t="shared" ca="1" si="15"/>
        <v>550.72345600000006</v>
      </c>
      <c r="X127" s="384">
        <f t="shared" ca="1" si="16"/>
        <v>0</v>
      </c>
      <c r="Y127" s="384">
        <f t="shared" ca="1" si="17"/>
        <v>1999.1261452799999</v>
      </c>
      <c r="Z127" s="384">
        <f t="shared" ca="1" si="18"/>
        <v>68636.664321279997</v>
      </c>
      <c r="AA127" s="384">
        <f t="shared" ca="1" si="19"/>
        <v>1046.3745664</v>
      </c>
      <c r="AB127" s="384">
        <f t="shared" ca="1" si="20"/>
        <v>0</v>
      </c>
      <c r="AC127" s="384">
        <f t="shared" ca="1" si="21"/>
        <v>0</v>
      </c>
    </row>
    <row r="128" spans="2:29" s="149" customFormat="1" ht="18">
      <c r="B128" s="301"/>
      <c r="C128" s="333"/>
      <c r="D128" s="461" t="s">
        <v>4843</v>
      </c>
      <c r="E128" s="462" t="s">
        <v>4748</v>
      </c>
      <c r="F128" s="462" t="s">
        <v>4748</v>
      </c>
      <c r="G128" s="462" t="s">
        <v>4748</v>
      </c>
      <c r="H128" s="462" t="s">
        <v>4748</v>
      </c>
      <c r="I128" s="463" t="s">
        <v>4748</v>
      </c>
      <c r="J128" s="333" t="s">
        <v>4127</v>
      </c>
      <c r="K128" s="335"/>
      <c r="L128" s="305">
        <f t="shared" ca="1" si="12"/>
        <v>0</v>
      </c>
      <c r="M128" s="306">
        <f t="shared" ca="1" si="46"/>
        <v>0</v>
      </c>
      <c r="N128" s="307"/>
      <c r="O128" s="162"/>
      <c r="P128" s="384">
        <f ca="1">IF(IFERROR(VLOOKUP(C128,APU!H:N,4,0),0),VLOOKUP(C128,APU!H:N,4,0),0)</f>
        <v>0</v>
      </c>
      <c r="Q128" s="384">
        <f ca="1">IF(IFERROR(VLOOKUP(C128,APU!H:N,5,0),0),VLOOKUP(C128,APU!H:N,5,0),0)</f>
        <v>0</v>
      </c>
      <c r="R128" s="384">
        <f ca="1">IF(IFERROR(VLOOKUP(C128,APU!H:N,6,0),0),VLOOKUP(C128,APU!H:N,6,0),0)</f>
        <v>0</v>
      </c>
      <c r="S128" s="384">
        <f ca="1">IF(IFERROR(VLOOKUP(C128,APU!H:N,7,0),0),VLOOKUP(C128,APU!H:N,7,0),0)</f>
        <v>0</v>
      </c>
      <c r="T128" s="160"/>
      <c r="U128" s="384">
        <f t="shared" ca="1" si="13"/>
        <v>0</v>
      </c>
      <c r="V128" s="384">
        <f t="shared" ca="1" si="14"/>
        <v>0</v>
      </c>
      <c r="W128" s="384">
        <f t="shared" ca="1" si="15"/>
        <v>0</v>
      </c>
      <c r="X128" s="384">
        <f t="shared" ca="1" si="16"/>
        <v>0</v>
      </c>
      <c r="Y128" s="384">
        <f t="shared" ca="1" si="17"/>
        <v>0</v>
      </c>
      <c r="Z128" s="384">
        <f t="shared" ca="1" si="18"/>
        <v>0</v>
      </c>
      <c r="AA128" s="384">
        <f t="shared" ca="1" si="19"/>
        <v>0</v>
      </c>
      <c r="AB128" s="384">
        <f t="shared" ca="1" si="20"/>
        <v>0</v>
      </c>
      <c r="AC128" s="384">
        <f t="shared" ca="1" si="21"/>
        <v>0</v>
      </c>
    </row>
    <row r="129" spans="2:29" s="149" customFormat="1" ht="18">
      <c r="B129" s="301"/>
      <c r="C129" s="333"/>
      <c r="D129" s="461" t="s">
        <v>4844</v>
      </c>
      <c r="E129" s="462" t="s">
        <v>4748</v>
      </c>
      <c r="F129" s="462" t="s">
        <v>4748</v>
      </c>
      <c r="G129" s="462" t="s">
        <v>4748</v>
      </c>
      <c r="H129" s="462" t="s">
        <v>4748</v>
      </c>
      <c r="I129" s="463" t="s">
        <v>4748</v>
      </c>
      <c r="J129" s="333" t="s">
        <v>4127</v>
      </c>
      <c r="K129" s="335"/>
      <c r="L129" s="305">
        <f t="shared" ca="1" si="12"/>
        <v>0</v>
      </c>
      <c r="M129" s="306">
        <f t="shared" ca="1" si="46"/>
        <v>0</v>
      </c>
      <c r="N129" s="307"/>
      <c r="O129" s="162"/>
      <c r="P129" s="384">
        <f ca="1">IF(IFERROR(VLOOKUP(C129,APU!H:N,4,0),0),VLOOKUP(C129,APU!H:N,4,0),0)</f>
        <v>0</v>
      </c>
      <c r="Q129" s="384">
        <f ca="1">IF(IFERROR(VLOOKUP(C129,APU!H:N,5,0),0),VLOOKUP(C129,APU!H:N,5,0),0)</f>
        <v>0</v>
      </c>
      <c r="R129" s="384">
        <f ca="1">IF(IFERROR(VLOOKUP(C129,APU!H:N,6,0),0),VLOOKUP(C129,APU!H:N,6,0),0)</f>
        <v>0</v>
      </c>
      <c r="S129" s="384">
        <f ca="1">IF(IFERROR(VLOOKUP(C129,APU!H:N,7,0),0),VLOOKUP(C129,APU!H:N,7,0),0)</f>
        <v>0</v>
      </c>
      <c r="T129" s="160"/>
      <c r="U129" s="384">
        <f t="shared" ca="1" si="13"/>
        <v>0</v>
      </c>
      <c r="V129" s="384">
        <f t="shared" ca="1" si="14"/>
        <v>0</v>
      </c>
      <c r="W129" s="384">
        <f t="shared" ca="1" si="15"/>
        <v>0</v>
      </c>
      <c r="X129" s="384">
        <f t="shared" ca="1" si="16"/>
        <v>0</v>
      </c>
      <c r="Y129" s="384">
        <f t="shared" ca="1" si="17"/>
        <v>0</v>
      </c>
      <c r="Z129" s="384">
        <f t="shared" ca="1" si="18"/>
        <v>0</v>
      </c>
      <c r="AA129" s="384">
        <f t="shared" ca="1" si="19"/>
        <v>0</v>
      </c>
      <c r="AB129" s="384">
        <f t="shared" ca="1" si="20"/>
        <v>0</v>
      </c>
      <c r="AC129" s="384">
        <f t="shared" ca="1" si="21"/>
        <v>0</v>
      </c>
    </row>
    <row r="130" spans="2:29" s="149" customFormat="1" ht="30.75" customHeight="1">
      <c r="B130" s="301"/>
      <c r="C130" s="339">
        <v>3</v>
      </c>
      <c r="D130" s="464" t="s">
        <v>4633</v>
      </c>
      <c r="E130" s="465"/>
      <c r="F130" s="465"/>
      <c r="G130" s="465"/>
      <c r="H130" s="465"/>
      <c r="I130" s="466"/>
      <c r="J130" s="340"/>
      <c r="K130" s="341"/>
      <c r="L130" s="341"/>
      <c r="M130" s="341"/>
      <c r="N130" s="307"/>
      <c r="O130" s="162"/>
      <c r="P130" s="384">
        <f ca="1">IF(IFERROR(VLOOKUP(C130,APU!H:N,4,0),0),VLOOKUP(C130,APU!H:N,4,0),0)</f>
        <v>0</v>
      </c>
      <c r="Q130" s="384">
        <f ca="1">IF(IFERROR(VLOOKUP(C130,APU!H:N,5,0),0),VLOOKUP(C130,APU!H:N,5,0),0)</f>
        <v>0</v>
      </c>
      <c r="R130" s="384">
        <f ca="1">IF(IFERROR(VLOOKUP(C130,APU!H:N,6,0),0),VLOOKUP(C130,APU!H:N,6,0),0)</f>
        <v>0</v>
      </c>
      <c r="S130" s="384">
        <f ca="1">IF(IFERROR(VLOOKUP(C130,APU!H:N,7,0),0),VLOOKUP(C130,APU!H:N,7,0),0)</f>
        <v>0</v>
      </c>
      <c r="T130" s="160"/>
      <c r="U130" s="384">
        <f t="shared" ca="1" si="13"/>
        <v>0</v>
      </c>
      <c r="V130" s="384">
        <f t="shared" ca="1" si="14"/>
        <v>0</v>
      </c>
      <c r="W130" s="384">
        <f t="shared" ca="1" si="15"/>
        <v>0</v>
      </c>
      <c r="X130" s="384">
        <f t="shared" ca="1" si="16"/>
        <v>0</v>
      </c>
      <c r="Y130" s="384">
        <f t="shared" ca="1" si="17"/>
        <v>0</v>
      </c>
      <c r="Z130" s="384">
        <f t="shared" ca="1" si="18"/>
        <v>0</v>
      </c>
      <c r="AA130" s="384">
        <f t="shared" ca="1" si="19"/>
        <v>0</v>
      </c>
      <c r="AB130" s="384">
        <f t="shared" ca="1" si="20"/>
        <v>0</v>
      </c>
      <c r="AC130" s="384">
        <f t="shared" ca="1" si="21"/>
        <v>0</v>
      </c>
    </row>
    <row r="131" spans="2:29" s="149" customFormat="1" ht="38.25" customHeight="1">
      <c r="B131" s="301"/>
      <c r="C131" s="333">
        <v>3.1</v>
      </c>
      <c r="D131" s="455" t="s">
        <v>4920</v>
      </c>
      <c r="E131" s="456" t="s">
        <v>4634</v>
      </c>
      <c r="F131" s="456" t="s">
        <v>4634</v>
      </c>
      <c r="G131" s="456" t="s">
        <v>4634</v>
      </c>
      <c r="H131" s="456" t="s">
        <v>4634</v>
      </c>
      <c r="I131" s="457" t="s">
        <v>4634</v>
      </c>
      <c r="J131" s="333" t="s">
        <v>4127</v>
      </c>
      <c r="K131" s="335"/>
      <c r="L131" s="305">
        <f t="shared" ca="1" si="12"/>
        <v>5579045.0003199987</v>
      </c>
      <c r="M131" s="306">
        <f t="shared" ref="M131:M186" ca="1" si="47">L131*K131</f>
        <v>0</v>
      </c>
      <c r="N131" s="307"/>
      <c r="O131" s="162"/>
      <c r="P131" s="384">
        <f ca="1">IF(IFERROR(VLOOKUP(C131,APU!H:N,4,0),0),VLOOKUP(C131,APU!H:N,4,0),0)*500</f>
        <v>0</v>
      </c>
      <c r="Q131" s="384">
        <f ca="1">IF(IFERROR(VLOOKUP(C131,APU!H:N,5,0),0),VLOOKUP(C131,APU!H:N,5,0),0)*500</f>
        <v>4476486.3999999994</v>
      </c>
      <c r="R131" s="384">
        <f ca="1">IF(IFERROR(VLOOKUP(C131,APU!H:N,6,0),0),VLOOKUP(C131,APU!H:N,6,0),0)*500</f>
        <v>0</v>
      </c>
      <c r="S131" s="384">
        <f ca="1">IF(IFERROR(VLOOKUP(C131,APU!H:N,7,0),0),VLOOKUP(C131,APU!H:N,7,0),0)*500</f>
        <v>0</v>
      </c>
      <c r="T131" s="160"/>
      <c r="U131" s="384">
        <f t="shared" ca="1" si="13"/>
        <v>447648.63999999996</v>
      </c>
      <c r="V131" s="384">
        <f t="shared" ca="1" si="14"/>
        <v>447648.63999999996</v>
      </c>
      <c r="W131" s="384">
        <f t="shared" ca="1" si="15"/>
        <v>44764.863999999994</v>
      </c>
      <c r="X131" s="384">
        <f t="shared" ca="1" si="16"/>
        <v>0</v>
      </c>
      <c r="Y131" s="384">
        <f t="shared" ca="1" si="17"/>
        <v>162496.45631999997</v>
      </c>
      <c r="Z131" s="384">
        <f t="shared" ca="1" si="18"/>
        <v>5579045.0003199987</v>
      </c>
      <c r="AA131" s="384">
        <f t="shared" ca="1" si="19"/>
        <v>85053.241599999994</v>
      </c>
      <c r="AB131" s="384">
        <f t="shared" ca="1" si="20"/>
        <v>0</v>
      </c>
      <c r="AC131" s="384">
        <f t="shared" ca="1" si="21"/>
        <v>0</v>
      </c>
    </row>
    <row r="132" spans="2:29" s="149" customFormat="1" ht="38.25" customHeight="1">
      <c r="B132" s="301"/>
      <c r="C132" s="333">
        <v>3.2</v>
      </c>
      <c r="D132" s="455" t="s">
        <v>4921</v>
      </c>
      <c r="E132" s="456" t="s">
        <v>4635</v>
      </c>
      <c r="F132" s="456" t="s">
        <v>4635</v>
      </c>
      <c r="G132" s="456" t="s">
        <v>4635</v>
      </c>
      <c r="H132" s="456" t="s">
        <v>4635</v>
      </c>
      <c r="I132" s="457" t="s">
        <v>4635</v>
      </c>
      <c r="J132" s="333" t="s">
        <v>4127</v>
      </c>
      <c r="K132" s="335"/>
      <c r="L132" s="305">
        <f t="shared" ca="1" si="12"/>
        <v>3005684.7603199999</v>
      </c>
      <c r="M132" s="306">
        <f t="shared" ca="1" si="47"/>
        <v>0</v>
      </c>
      <c r="N132" s="307"/>
      <c r="O132" s="162"/>
      <c r="P132" s="384">
        <f ca="1">IF(IFERROR(VLOOKUP(C132,APU!H:N,4,0),0),VLOOKUP(C132,APU!H:N,4,0),0)*500</f>
        <v>0</v>
      </c>
      <c r="Q132" s="384">
        <f ca="1">IF(IFERROR(VLOOKUP(C132,APU!H:N,5,0),0),VLOOKUP(C132,APU!H:N,5,0),0)*500</f>
        <v>2411686.4</v>
      </c>
      <c r="R132" s="384">
        <f ca="1">IF(IFERROR(VLOOKUP(C132,APU!H:N,6,0),0),VLOOKUP(C132,APU!H:N,6,0),0)*500</f>
        <v>0</v>
      </c>
      <c r="S132" s="384">
        <f ca="1">IF(IFERROR(VLOOKUP(C132,APU!H:N,7,0),0),VLOOKUP(C132,APU!H:N,7,0),0)*500</f>
        <v>0</v>
      </c>
      <c r="T132" s="160"/>
      <c r="U132" s="384">
        <f t="shared" ca="1" si="13"/>
        <v>241168.64000000001</v>
      </c>
      <c r="V132" s="384">
        <f t="shared" ca="1" si="14"/>
        <v>241168.64000000001</v>
      </c>
      <c r="W132" s="384">
        <f t="shared" ca="1" si="15"/>
        <v>24116.863999999998</v>
      </c>
      <c r="X132" s="384">
        <f t="shared" ca="1" si="16"/>
        <v>0</v>
      </c>
      <c r="Y132" s="384">
        <f t="shared" ca="1" si="17"/>
        <v>87544.216320000007</v>
      </c>
      <c r="Z132" s="384">
        <f t="shared" ca="1" si="18"/>
        <v>3005684.7603199999</v>
      </c>
      <c r="AA132" s="384">
        <f t="shared" ca="1" si="19"/>
        <v>45822.041600000004</v>
      </c>
      <c r="AB132" s="384">
        <f t="shared" ca="1" si="20"/>
        <v>0</v>
      </c>
      <c r="AC132" s="384">
        <f t="shared" ca="1" si="21"/>
        <v>0</v>
      </c>
    </row>
    <row r="133" spans="2:29" s="149" customFormat="1" ht="38.25" customHeight="1">
      <c r="B133" s="301"/>
      <c r="C133" s="333">
        <v>3.3</v>
      </c>
      <c r="D133" s="455" t="s">
        <v>4922</v>
      </c>
      <c r="E133" s="456"/>
      <c r="F133" s="456"/>
      <c r="G133" s="456"/>
      <c r="H133" s="456"/>
      <c r="I133" s="457"/>
      <c r="J133" s="333" t="s">
        <v>4127</v>
      </c>
      <c r="K133" s="335"/>
      <c r="L133" s="305">
        <f t="shared" ca="1" si="12"/>
        <v>3870333.8009600001</v>
      </c>
      <c r="M133" s="306">
        <f t="shared" ca="1" si="47"/>
        <v>0</v>
      </c>
      <c r="N133" s="307"/>
      <c r="O133" s="162"/>
      <c r="P133" s="384">
        <f ca="1">IF(IFERROR(VLOOKUP(C133,APU!H:N,4,0),0),VLOOKUP(C133,APU!H:N,4,0),0)*500</f>
        <v>0</v>
      </c>
      <c r="Q133" s="384">
        <f ca="1">IF(IFERROR(VLOOKUP(C133,APU!H:N,5,0),0),VLOOKUP(C133,APU!H:N,5,0),0)*500</f>
        <v>3105459.2</v>
      </c>
      <c r="R133" s="384">
        <f ca="1">IF(IFERROR(VLOOKUP(C133,APU!H:N,6,0),0),VLOOKUP(C133,APU!H:N,6,0),0)*500</f>
        <v>0</v>
      </c>
      <c r="S133" s="384">
        <f ca="1">IF(IFERROR(VLOOKUP(C133,APU!H:N,7,0),0),VLOOKUP(C133,APU!H:N,7,0),0)*500</f>
        <v>0</v>
      </c>
      <c r="T133" s="160"/>
      <c r="U133" s="384">
        <f t="shared" ca="1" si="13"/>
        <v>310545.92000000004</v>
      </c>
      <c r="V133" s="384">
        <f t="shared" ca="1" si="14"/>
        <v>310545.92000000004</v>
      </c>
      <c r="W133" s="384">
        <f t="shared" ca="1" si="15"/>
        <v>31054.592000000004</v>
      </c>
      <c r="X133" s="384">
        <f t="shared" ca="1" si="16"/>
        <v>0</v>
      </c>
      <c r="Y133" s="384">
        <f t="shared" ca="1" si="17"/>
        <v>112728.16896</v>
      </c>
      <c r="Z133" s="384">
        <f t="shared" ca="1" si="18"/>
        <v>3870333.8009600001</v>
      </c>
      <c r="AA133" s="384">
        <f t="shared" ca="1" si="19"/>
        <v>59003.724800000011</v>
      </c>
      <c r="AB133" s="384">
        <f t="shared" ca="1" si="20"/>
        <v>0</v>
      </c>
      <c r="AC133" s="384">
        <f t="shared" ca="1" si="21"/>
        <v>0</v>
      </c>
    </row>
    <row r="134" spans="2:29" s="149" customFormat="1" ht="30.75" customHeight="1">
      <c r="B134" s="301"/>
      <c r="C134" s="333">
        <v>3.4</v>
      </c>
      <c r="D134" s="461" t="s">
        <v>4923</v>
      </c>
      <c r="E134" s="462" t="s">
        <v>4636</v>
      </c>
      <c r="F134" s="462" t="s">
        <v>4636</v>
      </c>
      <c r="G134" s="462" t="s">
        <v>4636</v>
      </c>
      <c r="H134" s="462" t="s">
        <v>4636</v>
      </c>
      <c r="I134" s="463" t="s">
        <v>4636</v>
      </c>
      <c r="J134" s="333" t="s">
        <v>4127</v>
      </c>
      <c r="K134" s="335"/>
      <c r="L134" s="305">
        <f t="shared" ca="1" si="12"/>
        <v>2141035.7196799996</v>
      </c>
      <c r="M134" s="306">
        <f t="shared" ca="1" si="47"/>
        <v>0</v>
      </c>
      <c r="N134" s="307"/>
      <c r="O134" s="162"/>
      <c r="P134" s="384">
        <f ca="1">IF(IFERROR(VLOOKUP(C134,APU!H:N,4,0),0),VLOOKUP(C134,APU!H:N,4,0),0)*500</f>
        <v>0</v>
      </c>
      <c r="Q134" s="384">
        <f ca="1">IF(IFERROR(VLOOKUP(C134,APU!H:N,5,0),0),VLOOKUP(C134,APU!H:N,5,0),0)*500</f>
        <v>1717913.5999999999</v>
      </c>
      <c r="R134" s="384">
        <f ca="1">IF(IFERROR(VLOOKUP(C134,APU!H:N,6,0),0),VLOOKUP(C134,APU!H:N,6,0),0)*500</f>
        <v>0</v>
      </c>
      <c r="S134" s="384">
        <f ca="1">IF(IFERROR(VLOOKUP(C134,APU!H:N,7,0),0),VLOOKUP(C134,APU!H:N,7,0),0)*500</f>
        <v>0</v>
      </c>
      <c r="T134" s="160"/>
      <c r="U134" s="384">
        <f t="shared" ca="1" si="13"/>
        <v>171791.35999999999</v>
      </c>
      <c r="V134" s="384">
        <f t="shared" ca="1" si="14"/>
        <v>171791.35999999999</v>
      </c>
      <c r="W134" s="384">
        <f t="shared" ca="1" si="15"/>
        <v>17179.135999999999</v>
      </c>
      <c r="X134" s="384">
        <f t="shared" ca="1" si="16"/>
        <v>0</v>
      </c>
      <c r="Y134" s="384">
        <f t="shared" ca="1" si="17"/>
        <v>62360.263679999989</v>
      </c>
      <c r="Z134" s="384">
        <f t="shared" ca="1" si="18"/>
        <v>2141035.7196799996</v>
      </c>
      <c r="AA134" s="384">
        <f t="shared" ca="1" si="19"/>
        <v>32640.358399999997</v>
      </c>
      <c r="AB134" s="384">
        <f t="shared" ca="1" si="20"/>
        <v>0</v>
      </c>
      <c r="AC134" s="384">
        <f t="shared" ca="1" si="21"/>
        <v>0</v>
      </c>
    </row>
    <row r="135" spans="2:29" s="149" customFormat="1" ht="30.75" customHeight="1">
      <c r="B135" s="301"/>
      <c r="C135" s="333">
        <v>3.5</v>
      </c>
      <c r="D135" s="461" t="s">
        <v>4924</v>
      </c>
      <c r="E135" s="462"/>
      <c r="F135" s="462"/>
      <c r="G135" s="462"/>
      <c r="H135" s="462"/>
      <c r="I135" s="463"/>
      <c r="J135" s="333" t="s">
        <v>4127</v>
      </c>
      <c r="K135" s="335"/>
      <c r="L135" s="305">
        <f t="shared" ca="1" si="12"/>
        <v>2141035.7196799996</v>
      </c>
      <c r="M135" s="306">
        <f t="shared" ca="1" si="47"/>
        <v>0</v>
      </c>
      <c r="N135" s="307"/>
      <c r="O135" s="162"/>
      <c r="P135" s="384">
        <f ca="1">IF(IFERROR(VLOOKUP(C135,APU!H:N,4,0),0),VLOOKUP(C135,APU!H:N,4,0),0)*500</f>
        <v>0</v>
      </c>
      <c r="Q135" s="384">
        <f ca="1">IF(IFERROR(VLOOKUP(C135,APU!H:N,5,0),0),VLOOKUP(C135,APU!H:N,5,0),0)*500</f>
        <v>1717913.5999999999</v>
      </c>
      <c r="R135" s="384">
        <f ca="1">IF(IFERROR(VLOOKUP(C135,APU!H:N,6,0),0),VLOOKUP(C135,APU!H:N,6,0),0)*500</f>
        <v>0</v>
      </c>
      <c r="S135" s="384">
        <f ca="1">IF(IFERROR(VLOOKUP(C135,APU!H:N,7,0),0),VLOOKUP(C135,APU!H:N,7,0),0)*500</f>
        <v>0</v>
      </c>
      <c r="T135" s="160"/>
      <c r="U135" s="384">
        <f t="shared" ca="1" si="13"/>
        <v>171791.35999999999</v>
      </c>
      <c r="V135" s="384">
        <f t="shared" ca="1" si="14"/>
        <v>171791.35999999999</v>
      </c>
      <c r="W135" s="384">
        <f t="shared" ca="1" si="15"/>
        <v>17179.135999999999</v>
      </c>
      <c r="X135" s="384">
        <f t="shared" ca="1" si="16"/>
        <v>0</v>
      </c>
      <c r="Y135" s="384">
        <f t="shared" ca="1" si="17"/>
        <v>62360.263679999989</v>
      </c>
      <c r="Z135" s="384">
        <f t="shared" ca="1" si="18"/>
        <v>2141035.7196799996</v>
      </c>
      <c r="AA135" s="384">
        <f t="shared" ca="1" si="19"/>
        <v>32640.358399999997</v>
      </c>
      <c r="AB135" s="384">
        <f t="shared" ca="1" si="20"/>
        <v>0</v>
      </c>
      <c r="AC135" s="384">
        <f t="shared" ca="1" si="21"/>
        <v>0</v>
      </c>
    </row>
    <row r="136" spans="2:29" s="149" customFormat="1" ht="30.75" customHeight="1">
      <c r="B136" s="301"/>
      <c r="C136" s="333">
        <v>3.6</v>
      </c>
      <c r="D136" s="461" t="s">
        <v>4925</v>
      </c>
      <c r="E136" s="462"/>
      <c r="F136" s="462"/>
      <c r="G136" s="462"/>
      <c r="H136" s="462"/>
      <c r="I136" s="463"/>
      <c r="J136" s="333" t="s">
        <v>4127</v>
      </c>
      <c r="K136" s="335"/>
      <c r="L136" s="305">
        <f t="shared" ca="1" si="12"/>
        <v>2141035.7196799996</v>
      </c>
      <c r="M136" s="306">
        <f ca="1">L136*K136</f>
        <v>0</v>
      </c>
      <c r="N136" s="307"/>
      <c r="O136" s="162"/>
      <c r="P136" s="384">
        <f ca="1">IF(IFERROR(VLOOKUP(C136,APU!H:N,4,0),0),VLOOKUP(C136,APU!H:N,4,0),0)*500</f>
        <v>0</v>
      </c>
      <c r="Q136" s="384">
        <f ca="1">IF(IFERROR(VLOOKUP(C136,APU!H:N,5,0),0),VLOOKUP(C136,APU!H:N,5,0),0)*500</f>
        <v>1717913.5999999999</v>
      </c>
      <c r="R136" s="384">
        <f ca="1">IF(IFERROR(VLOOKUP(C136,APU!H:N,6,0),0),VLOOKUP(C136,APU!H:N,6,0),0)*500</f>
        <v>0</v>
      </c>
      <c r="S136" s="384">
        <f ca="1">IF(IFERROR(VLOOKUP(C136,APU!H:N,7,0),0),VLOOKUP(C136,APU!H:N,7,0),0)*500</f>
        <v>0</v>
      </c>
      <c r="T136" s="160"/>
      <c r="U136" s="384">
        <f t="shared" ca="1" si="13"/>
        <v>171791.35999999999</v>
      </c>
      <c r="V136" s="384">
        <f t="shared" ca="1" si="14"/>
        <v>171791.35999999999</v>
      </c>
      <c r="W136" s="384">
        <f t="shared" ca="1" si="15"/>
        <v>17179.135999999999</v>
      </c>
      <c r="X136" s="384">
        <f t="shared" ca="1" si="16"/>
        <v>0</v>
      </c>
      <c r="Y136" s="384">
        <f t="shared" ca="1" si="17"/>
        <v>62360.263679999989</v>
      </c>
      <c r="Z136" s="384">
        <f t="shared" ca="1" si="18"/>
        <v>2141035.7196799996</v>
      </c>
      <c r="AA136" s="384">
        <f t="shared" ca="1" si="19"/>
        <v>32640.358399999997</v>
      </c>
      <c r="AB136" s="384">
        <f t="shared" ca="1" si="20"/>
        <v>0</v>
      </c>
      <c r="AC136" s="384">
        <f t="shared" ca="1" si="21"/>
        <v>0</v>
      </c>
    </row>
    <row r="137" spans="2:29" s="149" customFormat="1" ht="39" customHeight="1">
      <c r="B137" s="301"/>
      <c r="C137" s="333">
        <v>3.7</v>
      </c>
      <c r="D137" s="461" t="s">
        <v>4926</v>
      </c>
      <c r="E137" s="462" t="s">
        <v>4637</v>
      </c>
      <c r="F137" s="462" t="s">
        <v>4637</v>
      </c>
      <c r="G137" s="462" t="s">
        <v>4637</v>
      </c>
      <c r="H137" s="462" t="s">
        <v>4637</v>
      </c>
      <c r="I137" s="463" t="s">
        <v>4637</v>
      </c>
      <c r="J137" s="333" t="s">
        <v>4127</v>
      </c>
      <c r="K137" s="335"/>
      <c r="L137" s="305">
        <f t="shared" ca="1" si="12"/>
        <v>2141035.7196799996</v>
      </c>
      <c r="M137" s="306">
        <f t="shared" ca="1" si="47"/>
        <v>0</v>
      </c>
      <c r="N137" s="307"/>
      <c r="O137" s="162"/>
      <c r="P137" s="384">
        <f ca="1">IF(IFERROR(VLOOKUP(C137,APU!H:N,4,0),0),VLOOKUP(C137,APU!H:N,4,0),0)*500</f>
        <v>0</v>
      </c>
      <c r="Q137" s="384">
        <f ca="1">IF(IFERROR(VLOOKUP(C137,APU!H:N,5,0),0),VLOOKUP(C137,APU!H:N,5,0),0)*500</f>
        <v>1717913.5999999999</v>
      </c>
      <c r="R137" s="384">
        <f ca="1">IF(IFERROR(VLOOKUP(C137,APU!H:N,6,0),0),VLOOKUP(C137,APU!H:N,6,0),0)*500</f>
        <v>0</v>
      </c>
      <c r="S137" s="384">
        <f ca="1">IF(IFERROR(VLOOKUP(C137,APU!H:N,7,0),0),VLOOKUP(C137,APU!H:N,7,0),0)*500</f>
        <v>0</v>
      </c>
      <c r="T137" s="160"/>
      <c r="U137" s="384">
        <f t="shared" ca="1" si="13"/>
        <v>171791.35999999999</v>
      </c>
      <c r="V137" s="384">
        <f t="shared" ca="1" si="14"/>
        <v>171791.35999999999</v>
      </c>
      <c r="W137" s="384">
        <f t="shared" ca="1" si="15"/>
        <v>17179.135999999999</v>
      </c>
      <c r="X137" s="384">
        <f t="shared" ca="1" si="16"/>
        <v>0</v>
      </c>
      <c r="Y137" s="384">
        <f t="shared" ca="1" si="17"/>
        <v>62360.263679999989</v>
      </c>
      <c r="Z137" s="384">
        <f t="shared" ca="1" si="18"/>
        <v>2141035.7196799996</v>
      </c>
      <c r="AA137" s="384">
        <f t="shared" ca="1" si="19"/>
        <v>32640.358399999997</v>
      </c>
      <c r="AB137" s="384">
        <f t="shared" ca="1" si="20"/>
        <v>0</v>
      </c>
      <c r="AC137" s="384">
        <f t="shared" ca="1" si="21"/>
        <v>0</v>
      </c>
    </row>
    <row r="138" spans="2:29" s="149" customFormat="1" ht="30.75" customHeight="1">
      <c r="B138" s="301"/>
      <c r="C138" s="333">
        <v>3.8</v>
      </c>
      <c r="D138" s="461" t="s">
        <v>4927</v>
      </c>
      <c r="E138" s="462"/>
      <c r="F138" s="462"/>
      <c r="G138" s="462"/>
      <c r="H138" s="462"/>
      <c r="I138" s="463"/>
      <c r="J138" s="333" t="s">
        <v>4127</v>
      </c>
      <c r="K138" s="335"/>
      <c r="L138" s="305">
        <f t="shared" ca="1" si="12"/>
        <v>2141035.7196799996</v>
      </c>
      <c r="M138" s="306">
        <f t="shared" ca="1" si="47"/>
        <v>0</v>
      </c>
      <c r="N138" s="307"/>
      <c r="O138" s="162"/>
      <c r="P138" s="384">
        <f ca="1">IF(IFERROR(VLOOKUP(C138,APU!H:N,4,0),0),VLOOKUP(C138,APU!H:N,4,0),0)*500</f>
        <v>0</v>
      </c>
      <c r="Q138" s="384">
        <f ca="1">IF(IFERROR(VLOOKUP(C138,APU!H:N,5,0),0),VLOOKUP(C138,APU!H:N,5,0),0)*500</f>
        <v>1717913.5999999999</v>
      </c>
      <c r="R138" s="384">
        <f ca="1">IF(IFERROR(VLOOKUP(C138,APU!H:N,6,0),0),VLOOKUP(C138,APU!H:N,6,0),0)*500</f>
        <v>0</v>
      </c>
      <c r="S138" s="384">
        <f ca="1">IF(IFERROR(VLOOKUP(C138,APU!H:N,7,0),0),VLOOKUP(C138,APU!H:N,7,0),0)*500</f>
        <v>0</v>
      </c>
      <c r="T138" s="160"/>
      <c r="U138" s="384">
        <f t="shared" ca="1" si="13"/>
        <v>171791.35999999999</v>
      </c>
      <c r="V138" s="384">
        <f t="shared" ca="1" si="14"/>
        <v>171791.35999999999</v>
      </c>
      <c r="W138" s="384">
        <f t="shared" ca="1" si="15"/>
        <v>17179.135999999999</v>
      </c>
      <c r="X138" s="384">
        <f t="shared" ca="1" si="16"/>
        <v>0</v>
      </c>
      <c r="Y138" s="384">
        <f t="shared" ca="1" si="17"/>
        <v>62360.263679999989</v>
      </c>
      <c r="Z138" s="384">
        <f t="shared" ca="1" si="18"/>
        <v>2141035.7196799996</v>
      </c>
      <c r="AA138" s="384">
        <f t="shared" ca="1" si="19"/>
        <v>32640.358399999997</v>
      </c>
      <c r="AB138" s="384">
        <f t="shared" ca="1" si="20"/>
        <v>0</v>
      </c>
      <c r="AC138" s="384">
        <f t="shared" ca="1" si="21"/>
        <v>0</v>
      </c>
    </row>
    <row r="139" spans="2:29" s="149" customFormat="1" ht="30.75" customHeight="1">
      <c r="B139" s="301"/>
      <c r="C139" s="333">
        <v>3.9</v>
      </c>
      <c r="D139" s="461" t="s">
        <v>4928</v>
      </c>
      <c r="E139" s="462"/>
      <c r="F139" s="462"/>
      <c r="G139" s="462"/>
      <c r="H139" s="462"/>
      <c r="I139" s="463"/>
      <c r="J139" s="333" t="s">
        <v>4127</v>
      </c>
      <c r="K139" s="335"/>
      <c r="L139" s="305">
        <f t="shared" ca="1" si="12"/>
        <v>1708711.19936</v>
      </c>
      <c r="M139" s="306">
        <f t="shared" ca="1" si="47"/>
        <v>0</v>
      </c>
      <c r="N139" s="307"/>
      <c r="O139" s="162"/>
      <c r="P139" s="384">
        <f ca="1">IF(IFERROR(VLOOKUP(C139,APU!H:N,4,0),0),VLOOKUP(C139,APU!H:N,4,0),0)*500</f>
        <v>0</v>
      </c>
      <c r="Q139" s="384">
        <f ca="1">IF(IFERROR(VLOOKUP(C139,APU!H:N,5,0),0),VLOOKUP(C139,APU!H:N,5,0),0)*500</f>
        <v>1371027.2</v>
      </c>
      <c r="R139" s="384">
        <f ca="1">IF(IFERROR(VLOOKUP(C139,APU!H:N,6,0),0),VLOOKUP(C139,APU!H:N,6,0),0)*500</f>
        <v>0</v>
      </c>
      <c r="S139" s="384">
        <f ca="1">IF(IFERROR(VLOOKUP(C139,APU!H:N,7,0),0),VLOOKUP(C139,APU!H:N,7,0),0)*500</f>
        <v>0</v>
      </c>
      <c r="T139" s="160"/>
      <c r="U139" s="384">
        <f t="shared" ca="1" si="13"/>
        <v>137102.72</v>
      </c>
      <c r="V139" s="384">
        <f t="shared" ca="1" si="14"/>
        <v>137102.72</v>
      </c>
      <c r="W139" s="384">
        <f t="shared" ca="1" si="15"/>
        <v>13710.271999999999</v>
      </c>
      <c r="X139" s="384">
        <f t="shared" ca="1" si="16"/>
        <v>0</v>
      </c>
      <c r="Y139" s="384">
        <f t="shared" ca="1" si="17"/>
        <v>49768.287360000002</v>
      </c>
      <c r="Z139" s="384">
        <f t="shared" ca="1" si="18"/>
        <v>1708711.19936</v>
      </c>
      <c r="AA139" s="384">
        <f t="shared" ca="1" si="19"/>
        <v>26049.516800000001</v>
      </c>
      <c r="AB139" s="384">
        <f t="shared" ca="1" si="20"/>
        <v>0</v>
      </c>
      <c r="AC139" s="384">
        <f t="shared" ca="1" si="21"/>
        <v>0</v>
      </c>
    </row>
    <row r="140" spans="2:29" s="149" customFormat="1" ht="30.75" customHeight="1">
      <c r="B140" s="301"/>
      <c r="C140" s="333" t="s">
        <v>4685</v>
      </c>
      <c r="D140" s="461" t="s">
        <v>4929</v>
      </c>
      <c r="E140" s="462"/>
      <c r="F140" s="462"/>
      <c r="G140" s="462"/>
      <c r="H140" s="462"/>
      <c r="I140" s="463"/>
      <c r="J140" s="333" t="s">
        <v>4127</v>
      </c>
      <c r="K140" s="335"/>
      <c r="L140" s="305">
        <f t="shared" ca="1" si="12"/>
        <v>1708711.19936</v>
      </c>
      <c r="M140" s="306">
        <f t="shared" ca="1" si="47"/>
        <v>0</v>
      </c>
      <c r="N140" s="307"/>
      <c r="O140" s="162"/>
      <c r="P140" s="384">
        <f ca="1">IF(IFERROR(VLOOKUP(C140,APU!H:N,4,0),0),VLOOKUP(C140,APU!H:N,4,0),0)*500</f>
        <v>0</v>
      </c>
      <c r="Q140" s="384">
        <f ca="1">IF(IFERROR(VLOOKUP(C140,APU!H:N,5,0),0),VLOOKUP(C140,APU!H:N,5,0),0)*500</f>
        <v>1371027.2</v>
      </c>
      <c r="R140" s="384">
        <f ca="1">IF(IFERROR(VLOOKUP(C140,APU!H:N,6,0),0),VLOOKUP(C140,APU!H:N,6,0),0)*500</f>
        <v>0</v>
      </c>
      <c r="S140" s="384">
        <f ca="1">IF(IFERROR(VLOOKUP(C140,APU!H:N,7,0),0),VLOOKUP(C140,APU!H:N,7,0),0)*500</f>
        <v>0</v>
      </c>
      <c r="T140" s="160"/>
      <c r="U140" s="384">
        <f t="shared" ca="1" si="13"/>
        <v>137102.72</v>
      </c>
      <c r="V140" s="384">
        <f t="shared" ca="1" si="14"/>
        <v>137102.72</v>
      </c>
      <c r="W140" s="384">
        <f t="shared" ca="1" si="15"/>
        <v>13710.271999999999</v>
      </c>
      <c r="X140" s="384">
        <f t="shared" ca="1" si="16"/>
        <v>0</v>
      </c>
      <c r="Y140" s="384">
        <f t="shared" ca="1" si="17"/>
        <v>49768.287360000002</v>
      </c>
      <c r="Z140" s="384">
        <f t="shared" ca="1" si="18"/>
        <v>1708711.19936</v>
      </c>
      <c r="AA140" s="384">
        <f t="shared" ca="1" si="19"/>
        <v>26049.516800000001</v>
      </c>
      <c r="AB140" s="384">
        <f t="shared" ca="1" si="20"/>
        <v>0</v>
      </c>
      <c r="AC140" s="384">
        <f t="shared" ca="1" si="21"/>
        <v>0</v>
      </c>
    </row>
    <row r="141" spans="2:29" s="149" customFormat="1" ht="30.75" customHeight="1">
      <c r="B141" s="301"/>
      <c r="C141" s="333">
        <v>3.11</v>
      </c>
      <c r="D141" s="461" t="s">
        <v>4930</v>
      </c>
      <c r="E141" s="462"/>
      <c r="F141" s="462"/>
      <c r="G141" s="462"/>
      <c r="H141" s="462"/>
      <c r="I141" s="463"/>
      <c r="J141" s="333" t="s">
        <v>4127</v>
      </c>
      <c r="K141" s="335"/>
      <c r="L141" s="305">
        <f t="shared" ca="1" si="12"/>
        <v>2141035.7196799996</v>
      </c>
      <c r="M141" s="306">
        <f t="shared" ca="1" si="47"/>
        <v>0</v>
      </c>
      <c r="N141" s="307"/>
      <c r="O141" s="162"/>
      <c r="P141" s="384">
        <f ca="1">IF(IFERROR(VLOOKUP(C141,APU!H:N,4,0),0),VLOOKUP(C141,APU!H:N,4,0),0)*500</f>
        <v>0</v>
      </c>
      <c r="Q141" s="384">
        <f ca="1">IF(IFERROR(VLOOKUP(C141,APU!H:N,5,0),0),VLOOKUP(C141,APU!H:N,5,0),0)*500</f>
        <v>1717913.5999999999</v>
      </c>
      <c r="R141" s="384">
        <f ca="1">IF(IFERROR(VLOOKUP(C141,APU!H:N,6,0),0),VLOOKUP(C141,APU!H:N,6,0),0)*500</f>
        <v>0</v>
      </c>
      <c r="S141" s="384">
        <f ca="1">IF(IFERROR(VLOOKUP(C141,APU!H:N,7,0),0),VLOOKUP(C141,APU!H:N,7,0),0)*500</f>
        <v>0</v>
      </c>
      <c r="T141" s="160"/>
      <c r="U141" s="384">
        <f t="shared" ca="1" si="13"/>
        <v>171791.35999999999</v>
      </c>
      <c r="V141" s="384">
        <f t="shared" ca="1" si="14"/>
        <v>171791.35999999999</v>
      </c>
      <c r="W141" s="384">
        <f t="shared" ca="1" si="15"/>
        <v>17179.135999999999</v>
      </c>
      <c r="X141" s="384">
        <f t="shared" ca="1" si="16"/>
        <v>0</v>
      </c>
      <c r="Y141" s="384">
        <f t="shared" ca="1" si="17"/>
        <v>62360.263679999989</v>
      </c>
      <c r="Z141" s="384">
        <f t="shared" ca="1" si="18"/>
        <v>2141035.7196799996</v>
      </c>
      <c r="AA141" s="384">
        <f t="shared" ca="1" si="19"/>
        <v>32640.358399999997</v>
      </c>
      <c r="AB141" s="384">
        <f t="shared" ca="1" si="20"/>
        <v>0</v>
      </c>
      <c r="AC141" s="384">
        <f t="shared" ca="1" si="21"/>
        <v>0</v>
      </c>
    </row>
    <row r="142" spans="2:29" s="149" customFormat="1" ht="30.75" customHeight="1">
      <c r="B142" s="301"/>
      <c r="C142" s="333">
        <v>3.12</v>
      </c>
      <c r="D142" s="461" t="s">
        <v>4931</v>
      </c>
      <c r="E142" s="462"/>
      <c r="F142" s="462"/>
      <c r="G142" s="462"/>
      <c r="H142" s="462"/>
      <c r="I142" s="463"/>
      <c r="J142" s="333" t="s">
        <v>4127</v>
      </c>
      <c r="K142" s="335"/>
      <c r="L142" s="305">
        <f t="shared" ca="1" si="12"/>
        <v>2141035.7196799996</v>
      </c>
      <c r="M142" s="306">
        <f t="shared" ca="1" si="47"/>
        <v>0</v>
      </c>
      <c r="N142" s="307"/>
      <c r="O142" s="162"/>
      <c r="P142" s="384">
        <f ca="1">IF(IFERROR(VLOOKUP(C142,APU!H:N,4,0),0),VLOOKUP(C142,APU!H:N,4,0),0)*500</f>
        <v>0</v>
      </c>
      <c r="Q142" s="384">
        <f ca="1">IF(IFERROR(VLOOKUP(C142,APU!H:N,5,0),0),VLOOKUP(C142,APU!H:N,5,0),0)*500</f>
        <v>1717913.5999999999</v>
      </c>
      <c r="R142" s="384">
        <f ca="1">IF(IFERROR(VLOOKUP(C142,APU!H:N,6,0),0),VLOOKUP(C142,APU!H:N,6,0),0)*500</f>
        <v>0</v>
      </c>
      <c r="S142" s="384">
        <f ca="1">IF(IFERROR(VLOOKUP(C142,APU!H:N,7,0),0),VLOOKUP(C142,APU!H:N,7,0),0)*500</f>
        <v>0</v>
      </c>
      <c r="T142" s="160"/>
      <c r="U142" s="384">
        <f t="shared" ca="1" si="13"/>
        <v>171791.35999999999</v>
      </c>
      <c r="V142" s="384">
        <f t="shared" ca="1" si="14"/>
        <v>171791.35999999999</v>
      </c>
      <c r="W142" s="384">
        <f t="shared" ca="1" si="15"/>
        <v>17179.135999999999</v>
      </c>
      <c r="X142" s="384">
        <f t="shared" ca="1" si="16"/>
        <v>0</v>
      </c>
      <c r="Y142" s="384">
        <f t="shared" ca="1" si="17"/>
        <v>62360.263679999989</v>
      </c>
      <c r="Z142" s="384">
        <f t="shared" ca="1" si="18"/>
        <v>2141035.7196799996</v>
      </c>
      <c r="AA142" s="384">
        <f t="shared" ca="1" si="19"/>
        <v>32640.358399999997</v>
      </c>
      <c r="AB142" s="384">
        <f t="shared" ca="1" si="20"/>
        <v>0</v>
      </c>
      <c r="AC142" s="384">
        <f t="shared" ca="1" si="21"/>
        <v>0</v>
      </c>
    </row>
    <row r="143" spans="2:29" s="149" customFormat="1" ht="30.75" customHeight="1">
      <c r="B143" s="301"/>
      <c r="C143" s="333">
        <v>3.13</v>
      </c>
      <c r="D143" s="461" t="s">
        <v>4932</v>
      </c>
      <c r="E143" s="462"/>
      <c r="F143" s="462"/>
      <c r="G143" s="462"/>
      <c r="H143" s="462"/>
      <c r="I143" s="463"/>
      <c r="J143" s="333" t="s">
        <v>4127</v>
      </c>
      <c r="K143" s="335"/>
      <c r="L143" s="305">
        <f t="shared" ca="1" si="12"/>
        <v>2141035.7196799996</v>
      </c>
      <c r="M143" s="306">
        <f t="shared" ca="1" si="47"/>
        <v>0</v>
      </c>
      <c r="N143" s="307"/>
      <c r="O143" s="162"/>
      <c r="P143" s="384">
        <f ca="1">IF(IFERROR(VLOOKUP(C143,APU!H:N,4,0),0),VLOOKUP(C143,APU!H:N,4,0),0)*500</f>
        <v>0</v>
      </c>
      <c r="Q143" s="384">
        <f ca="1">IF(IFERROR(VLOOKUP(C143,APU!H:N,5,0),0),VLOOKUP(C143,APU!H:N,5,0),0)*500</f>
        <v>1717913.5999999999</v>
      </c>
      <c r="R143" s="384">
        <f ca="1">IF(IFERROR(VLOOKUP(C143,APU!H:N,6,0),0),VLOOKUP(C143,APU!H:N,6,0),0)*500</f>
        <v>0</v>
      </c>
      <c r="S143" s="384">
        <f ca="1">IF(IFERROR(VLOOKUP(C143,APU!H:N,7,0),0),VLOOKUP(C143,APU!H:N,7,0),0)*500</f>
        <v>0</v>
      </c>
      <c r="T143" s="160"/>
      <c r="U143" s="384">
        <f t="shared" ca="1" si="13"/>
        <v>171791.35999999999</v>
      </c>
      <c r="V143" s="384">
        <f t="shared" ca="1" si="14"/>
        <v>171791.35999999999</v>
      </c>
      <c r="W143" s="384">
        <f t="shared" ca="1" si="15"/>
        <v>17179.135999999999</v>
      </c>
      <c r="X143" s="384">
        <f t="shared" ca="1" si="16"/>
        <v>0</v>
      </c>
      <c r="Y143" s="384">
        <f t="shared" ca="1" si="17"/>
        <v>62360.263679999989</v>
      </c>
      <c r="Z143" s="384">
        <f t="shared" ca="1" si="18"/>
        <v>2141035.7196799996</v>
      </c>
      <c r="AA143" s="384">
        <f t="shared" ca="1" si="19"/>
        <v>32640.358399999997</v>
      </c>
      <c r="AB143" s="384">
        <f t="shared" ca="1" si="20"/>
        <v>0</v>
      </c>
      <c r="AC143" s="384">
        <f t="shared" ca="1" si="21"/>
        <v>0</v>
      </c>
    </row>
    <row r="144" spans="2:29" s="149" customFormat="1" ht="30.75" customHeight="1">
      <c r="B144" s="301"/>
      <c r="C144" s="333">
        <v>3.14</v>
      </c>
      <c r="D144" s="461" t="s">
        <v>4933</v>
      </c>
      <c r="E144" s="462"/>
      <c r="F144" s="462"/>
      <c r="G144" s="462"/>
      <c r="H144" s="462"/>
      <c r="I144" s="463"/>
      <c r="J144" s="333" t="s">
        <v>4127</v>
      </c>
      <c r="K144" s="335"/>
      <c r="L144" s="305">
        <f t="shared" ca="1" si="12"/>
        <v>2141035.7196799996</v>
      </c>
      <c r="M144" s="306">
        <f t="shared" ca="1" si="47"/>
        <v>0</v>
      </c>
      <c r="N144" s="307"/>
      <c r="O144" s="162"/>
      <c r="P144" s="384">
        <f ca="1">IF(IFERROR(VLOOKUP(C144,APU!H:N,4,0),0),VLOOKUP(C144,APU!H:N,4,0),0)*500</f>
        <v>0</v>
      </c>
      <c r="Q144" s="384">
        <f ca="1">IF(IFERROR(VLOOKUP(C144,APU!H:N,5,0),0),VLOOKUP(C144,APU!H:N,5,0),0)*500</f>
        <v>1717913.5999999999</v>
      </c>
      <c r="R144" s="384">
        <f ca="1">IF(IFERROR(VLOOKUP(C144,APU!H:N,6,0),0),VLOOKUP(C144,APU!H:N,6,0),0)*500</f>
        <v>0</v>
      </c>
      <c r="S144" s="384">
        <f ca="1">IF(IFERROR(VLOOKUP(C144,APU!H:N,7,0),0),VLOOKUP(C144,APU!H:N,7,0),0)*500</f>
        <v>0</v>
      </c>
      <c r="T144" s="160"/>
      <c r="U144" s="384">
        <f t="shared" ca="1" si="13"/>
        <v>171791.35999999999</v>
      </c>
      <c r="V144" s="384">
        <f t="shared" ca="1" si="14"/>
        <v>171791.35999999999</v>
      </c>
      <c r="W144" s="384">
        <f t="shared" ca="1" si="15"/>
        <v>17179.135999999999</v>
      </c>
      <c r="X144" s="384">
        <f t="shared" ca="1" si="16"/>
        <v>0</v>
      </c>
      <c r="Y144" s="384">
        <f t="shared" ca="1" si="17"/>
        <v>62360.263679999989</v>
      </c>
      <c r="Z144" s="384">
        <f t="shared" ca="1" si="18"/>
        <v>2141035.7196799996</v>
      </c>
      <c r="AA144" s="384">
        <f t="shared" ca="1" si="19"/>
        <v>32640.358399999997</v>
      </c>
      <c r="AB144" s="384">
        <f t="shared" ca="1" si="20"/>
        <v>0</v>
      </c>
      <c r="AC144" s="384">
        <f t="shared" ca="1" si="21"/>
        <v>0</v>
      </c>
    </row>
    <row r="145" spans="2:29" s="149" customFormat="1" ht="30.75" customHeight="1">
      <c r="B145" s="301"/>
      <c r="C145" s="333">
        <v>3.15</v>
      </c>
      <c r="D145" s="461" t="s">
        <v>4934</v>
      </c>
      <c r="E145" s="462"/>
      <c r="F145" s="462"/>
      <c r="G145" s="462"/>
      <c r="H145" s="462"/>
      <c r="I145" s="463"/>
      <c r="J145" s="333" t="s">
        <v>4127</v>
      </c>
      <c r="K145" s="335"/>
      <c r="L145" s="305">
        <f t="shared" ca="1" si="12"/>
        <v>3438009.2806399995</v>
      </c>
      <c r="M145" s="306">
        <f t="shared" ca="1" si="47"/>
        <v>0</v>
      </c>
      <c r="N145" s="307"/>
      <c r="O145" s="162"/>
      <c r="P145" s="384">
        <f ca="1">IF(IFERROR(VLOOKUP(C145,APU!H:N,4,0),0),VLOOKUP(C145,APU!H:N,4,0),0)*500</f>
        <v>0</v>
      </c>
      <c r="Q145" s="384">
        <f ca="1">IF(IFERROR(VLOOKUP(C145,APU!H:N,5,0),0),VLOOKUP(C145,APU!H:N,5,0),0)*500</f>
        <v>2758572.8</v>
      </c>
      <c r="R145" s="384">
        <f ca="1">IF(IFERROR(VLOOKUP(C145,APU!H:N,6,0),0),VLOOKUP(C145,APU!H:N,6,0),0)*500</f>
        <v>0</v>
      </c>
      <c r="S145" s="384">
        <f ca="1">IF(IFERROR(VLOOKUP(C145,APU!H:N,7,0),0),VLOOKUP(C145,APU!H:N,7,0),0)*500</f>
        <v>0</v>
      </c>
      <c r="T145" s="160"/>
      <c r="U145" s="384">
        <f t="shared" ca="1" si="13"/>
        <v>275857.27999999997</v>
      </c>
      <c r="V145" s="384">
        <f t="shared" ca="1" si="14"/>
        <v>275857.27999999997</v>
      </c>
      <c r="W145" s="384">
        <f t="shared" ca="1" si="15"/>
        <v>27585.727999999999</v>
      </c>
      <c r="X145" s="384">
        <f t="shared" ca="1" si="16"/>
        <v>0</v>
      </c>
      <c r="Y145" s="384">
        <f t="shared" ca="1" si="17"/>
        <v>100136.19263999998</v>
      </c>
      <c r="Z145" s="384">
        <f t="shared" ca="1" si="18"/>
        <v>3438009.2806399995</v>
      </c>
      <c r="AA145" s="384">
        <f t="shared" ca="1" si="19"/>
        <v>52412.883199999997</v>
      </c>
      <c r="AB145" s="384">
        <f t="shared" ca="1" si="20"/>
        <v>0</v>
      </c>
      <c r="AC145" s="384">
        <f t="shared" ca="1" si="21"/>
        <v>0</v>
      </c>
    </row>
    <row r="146" spans="2:29" s="149" customFormat="1" ht="30.75" customHeight="1">
      <c r="B146" s="301"/>
      <c r="C146" s="333">
        <v>3.16</v>
      </c>
      <c r="D146" s="461" t="s">
        <v>4935</v>
      </c>
      <c r="E146" s="462"/>
      <c r="F146" s="462"/>
      <c r="G146" s="462"/>
      <c r="H146" s="462"/>
      <c r="I146" s="463"/>
      <c r="J146" s="333" t="s">
        <v>4127</v>
      </c>
      <c r="K146" s="335"/>
      <c r="L146" s="305">
        <f t="shared" ca="1" si="12"/>
        <v>3438009.2806399995</v>
      </c>
      <c r="M146" s="306">
        <f t="shared" ca="1" si="47"/>
        <v>0</v>
      </c>
      <c r="N146" s="307"/>
      <c r="O146" s="162"/>
      <c r="P146" s="384">
        <f ca="1">IF(IFERROR(VLOOKUP(C146,APU!H:N,4,0),0),VLOOKUP(C146,APU!H:N,4,0),0)*500</f>
        <v>0</v>
      </c>
      <c r="Q146" s="384">
        <f ca="1">IF(IFERROR(VLOOKUP(C146,APU!H:N,5,0),0),VLOOKUP(C146,APU!H:N,5,0),0)*500</f>
        <v>2758572.8</v>
      </c>
      <c r="R146" s="384">
        <f ca="1">IF(IFERROR(VLOOKUP(C146,APU!H:N,6,0),0),VLOOKUP(C146,APU!H:N,6,0),0)*500</f>
        <v>0</v>
      </c>
      <c r="S146" s="384">
        <f ca="1">IF(IFERROR(VLOOKUP(C146,APU!H:N,7,0),0),VLOOKUP(C146,APU!H:N,7,0),0)*500</f>
        <v>0</v>
      </c>
      <c r="T146" s="160"/>
      <c r="U146" s="384">
        <f t="shared" ca="1" si="13"/>
        <v>275857.27999999997</v>
      </c>
      <c r="V146" s="384">
        <f t="shared" ca="1" si="14"/>
        <v>275857.27999999997</v>
      </c>
      <c r="W146" s="384">
        <f t="shared" ca="1" si="15"/>
        <v>27585.727999999999</v>
      </c>
      <c r="X146" s="384">
        <f t="shared" ca="1" si="16"/>
        <v>0</v>
      </c>
      <c r="Y146" s="384">
        <f t="shared" ca="1" si="17"/>
        <v>100136.19263999998</v>
      </c>
      <c r="Z146" s="384">
        <f t="shared" ca="1" si="18"/>
        <v>3438009.2806399995</v>
      </c>
      <c r="AA146" s="384">
        <f t="shared" ca="1" si="19"/>
        <v>52412.883199999997</v>
      </c>
      <c r="AB146" s="384">
        <f t="shared" ca="1" si="20"/>
        <v>0</v>
      </c>
      <c r="AC146" s="384">
        <f t="shared" ca="1" si="21"/>
        <v>0</v>
      </c>
    </row>
    <row r="147" spans="2:29" s="149" customFormat="1" ht="30.75" customHeight="1">
      <c r="B147" s="301"/>
      <c r="C147" s="333">
        <v>3.17</v>
      </c>
      <c r="D147" s="461" t="s">
        <v>4936</v>
      </c>
      <c r="E147" s="462"/>
      <c r="F147" s="462"/>
      <c r="G147" s="462"/>
      <c r="H147" s="462"/>
      <c r="I147" s="463"/>
      <c r="J147" s="333" t="s">
        <v>4127</v>
      </c>
      <c r="K147" s="335"/>
      <c r="L147" s="305">
        <f t="shared" ca="1" si="12"/>
        <v>1296973.5609600001</v>
      </c>
      <c r="M147" s="306">
        <f t="shared" ca="1" si="47"/>
        <v>0</v>
      </c>
      <c r="N147" s="307"/>
      <c r="O147" s="162"/>
      <c r="P147" s="384">
        <f ca="1">IF(IFERROR(VLOOKUP(C147,APU!H:N,4,0),0),VLOOKUP(C147,APU!H:N,4,0),0)*500</f>
        <v>0</v>
      </c>
      <c r="Q147" s="384">
        <f ca="1">IF(IFERROR(VLOOKUP(C147,APU!H:N,5,0),0),VLOOKUP(C147,APU!H:N,5,0),0)*500</f>
        <v>1040659.2000000001</v>
      </c>
      <c r="R147" s="384">
        <f ca="1">IF(IFERROR(VLOOKUP(C147,APU!H:N,6,0),0),VLOOKUP(C147,APU!H:N,6,0),0)*500</f>
        <v>0</v>
      </c>
      <c r="S147" s="384">
        <f ca="1">IF(IFERROR(VLOOKUP(C147,APU!H:N,7,0),0),VLOOKUP(C147,APU!H:N,7,0),0)*500</f>
        <v>0</v>
      </c>
      <c r="T147" s="160"/>
      <c r="U147" s="384">
        <f t="shared" ca="1" si="13"/>
        <v>104065.92000000001</v>
      </c>
      <c r="V147" s="384">
        <f t="shared" ca="1" si="14"/>
        <v>104065.92000000001</v>
      </c>
      <c r="W147" s="384">
        <f t="shared" ca="1" si="15"/>
        <v>10406.592000000001</v>
      </c>
      <c r="X147" s="384">
        <f t="shared" ca="1" si="16"/>
        <v>0</v>
      </c>
      <c r="Y147" s="384">
        <f t="shared" ca="1" si="17"/>
        <v>37775.928959999997</v>
      </c>
      <c r="Z147" s="384">
        <f t="shared" ca="1" si="18"/>
        <v>1296973.5609600001</v>
      </c>
      <c r="AA147" s="384">
        <f t="shared" ca="1" si="19"/>
        <v>19772.524800000003</v>
      </c>
      <c r="AB147" s="384">
        <f t="shared" ca="1" si="20"/>
        <v>0</v>
      </c>
      <c r="AC147" s="384">
        <f t="shared" ca="1" si="21"/>
        <v>0</v>
      </c>
    </row>
    <row r="148" spans="2:29" s="149" customFormat="1" ht="30.75" customHeight="1">
      <c r="B148" s="301"/>
      <c r="C148" s="333">
        <v>3.18</v>
      </c>
      <c r="D148" s="461" t="s">
        <v>4937</v>
      </c>
      <c r="E148" s="462"/>
      <c r="F148" s="462"/>
      <c r="G148" s="462"/>
      <c r="H148" s="462"/>
      <c r="I148" s="463"/>
      <c r="J148" s="333" t="s">
        <v>4127</v>
      </c>
      <c r="K148" s="335"/>
      <c r="L148" s="305">
        <f t="shared" ca="1" si="12"/>
        <v>1296973.5609600001</v>
      </c>
      <c r="M148" s="306">
        <f t="shared" ca="1" si="47"/>
        <v>0</v>
      </c>
      <c r="N148" s="307"/>
      <c r="O148" s="162"/>
      <c r="P148" s="384">
        <f ca="1">IF(IFERROR(VLOOKUP(C148,APU!H:N,4,0),0),VLOOKUP(C148,APU!H:N,4,0),0)*500</f>
        <v>0</v>
      </c>
      <c r="Q148" s="384">
        <f ca="1">IF(IFERROR(VLOOKUP(C148,APU!H:N,5,0),0),VLOOKUP(C148,APU!H:N,5,0),0)*500</f>
        <v>1040659.2000000001</v>
      </c>
      <c r="R148" s="384">
        <f ca="1">IF(IFERROR(VLOOKUP(C148,APU!H:N,6,0),0),VLOOKUP(C148,APU!H:N,6,0),0)*500</f>
        <v>0</v>
      </c>
      <c r="S148" s="384">
        <f ca="1">IF(IFERROR(VLOOKUP(C148,APU!H:N,7,0),0),VLOOKUP(C148,APU!H:N,7,0),0)*500</f>
        <v>0</v>
      </c>
      <c r="T148" s="160"/>
      <c r="U148" s="384">
        <f t="shared" ca="1" si="13"/>
        <v>104065.92000000001</v>
      </c>
      <c r="V148" s="384">
        <f t="shared" ca="1" si="14"/>
        <v>104065.92000000001</v>
      </c>
      <c r="W148" s="384">
        <f t="shared" ca="1" si="15"/>
        <v>10406.592000000001</v>
      </c>
      <c r="X148" s="384">
        <f t="shared" ca="1" si="16"/>
        <v>0</v>
      </c>
      <c r="Y148" s="384">
        <f t="shared" ca="1" si="17"/>
        <v>37775.928959999997</v>
      </c>
      <c r="Z148" s="384">
        <f t="shared" ca="1" si="18"/>
        <v>1296973.5609600001</v>
      </c>
      <c r="AA148" s="384">
        <f t="shared" ca="1" si="19"/>
        <v>19772.524800000003</v>
      </c>
      <c r="AB148" s="384">
        <f t="shared" ca="1" si="20"/>
        <v>0</v>
      </c>
      <c r="AC148" s="384">
        <f t="shared" ca="1" si="21"/>
        <v>0</v>
      </c>
    </row>
    <row r="149" spans="2:29" s="149" customFormat="1" ht="30.75" customHeight="1">
      <c r="B149" s="301"/>
      <c r="C149" s="333">
        <v>3.19</v>
      </c>
      <c r="D149" s="461" t="s">
        <v>4938</v>
      </c>
      <c r="E149" s="462" t="s">
        <v>4637</v>
      </c>
      <c r="F149" s="462" t="s">
        <v>4637</v>
      </c>
      <c r="G149" s="462" t="s">
        <v>4637</v>
      </c>
      <c r="H149" s="462" t="s">
        <v>4637</v>
      </c>
      <c r="I149" s="463" t="s">
        <v>4637</v>
      </c>
      <c r="J149" s="333" t="s">
        <v>4127</v>
      </c>
      <c r="K149" s="335"/>
      <c r="L149" s="305">
        <f t="shared" ca="1" si="12"/>
        <v>2141035.7196799996</v>
      </c>
      <c r="M149" s="306">
        <f t="shared" ca="1" si="47"/>
        <v>0</v>
      </c>
      <c r="N149" s="307"/>
      <c r="O149" s="162"/>
      <c r="P149" s="384">
        <f ca="1">IF(IFERROR(VLOOKUP(C149,APU!H:N,4,0),0),VLOOKUP(C149,APU!H:N,4,0),0)*500</f>
        <v>0</v>
      </c>
      <c r="Q149" s="384">
        <f ca="1">IF(IFERROR(VLOOKUP(C149,APU!H:N,5,0),0),VLOOKUP(C149,APU!H:N,5,0),0)*500</f>
        <v>1717913.5999999999</v>
      </c>
      <c r="R149" s="384">
        <f ca="1">IF(IFERROR(VLOOKUP(C149,APU!H:N,6,0),0),VLOOKUP(C149,APU!H:N,6,0),0)*500</f>
        <v>0</v>
      </c>
      <c r="S149" s="384">
        <f ca="1">IF(IFERROR(VLOOKUP(C149,APU!H:N,7,0),0),VLOOKUP(C149,APU!H:N,7,0),0)*500</f>
        <v>0</v>
      </c>
      <c r="T149" s="160"/>
      <c r="U149" s="384">
        <f t="shared" ca="1" si="13"/>
        <v>171791.35999999999</v>
      </c>
      <c r="V149" s="384">
        <f t="shared" ca="1" si="14"/>
        <v>171791.35999999999</v>
      </c>
      <c r="W149" s="384">
        <f t="shared" ca="1" si="15"/>
        <v>17179.135999999999</v>
      </c>
      <c r="X149" s="384">
        <f t="shared" ca="1" si="16"/>
        <v>0</v>
      </c>
      <c r="Y149" s="384">
        <f t="shared" ca="1" si="17"/>
        <v>62360.263679999989</v>
      </c>
      <c r="Z149" s="384">
        <f t="shared" ca="1" si="18"/>
        <v>2141035.7196799996</v>
      </c>
      <c r="AA149" s="384">
        <f t="shared" ca="1" si="19"/>
        <v>32640.358399999997</v>
      </c>
      <c r="AB149" s="384">
        <f t="shared" ca="1" si="20"/>
        <v>0</v>
      </c>
      <c r="AC149" s="384">
        <f t="shared" ca="1" si="21"/>
        <v>0</v>
      </c>
    </row>
    <row r="150" spans="2:29" s="149" customFormat="1" ht="30.75" customHeight="1">
      <c r="B150" s="301"/>
      <c r="C150" s="333" t="s">
        <v>4773</v>
      </c>
      <c r="D150" s="461" t="s">
        <v>4939</v>
      </c>
      <c r="E150" s="462" t="s">
        <v>4637</v>
      </c>
      <c r="F150" s="462" t="s">
        <v>4637</v>
      </c>
      <c r="G150" s="462" t="s">
        <v>4637</v>
      </c>
      <c r="H150" s="462" t="s">
        <v>4637</v>
      </c>
      <c r="I150" s="463" t="s">
        <v>4637</v>
      </c>
      <c r="J150" s="333" t="s">
        <v>4127</v>
      </c>
      <c r="K150" s="335"/>
      <c r="L150" s="305">
        <f t="shared" ca="1" si="12"/>
        <v>3438009.2806399995</v>
      </c>
      <c r="M150" s="306">
        <f t="shared" ca="1" si="47"/>
        <v>0</v>
      </c>
      <c r="N150" s="307"/>
      <c r="O150" s="162"/>
      <c r="P150" s="384">
        <f ca="1">IF(IFERROR(VLOOKUP(C150,APU!H:N,4,0),0),VLOOKUP(C150,APU!H:N,4,0),0)*500</f>
        <v>0</v>
      </c>
      <c r="Q150" s="384">
        <f ca="1">IF(IFERROR(VLOOKUP(C150,APU!H:N,5,0),0),VLOOKUP(C150,APU!H:N,5,0),0)*500</f>
        <v>2758572.8</v>
      </c>
      <c r="R150" s="384">
        <f ca="1">IF(IFERROR(VLOOKUP(C150,APU!H:N,6,0),0),VLOOKUP(C150,APU!H:N,6,0),0)*500</f>
        <v>0</v>
      </c>
      <c r="S150" s="384">
        <f ca="1">IF(IFERROR(VLOOKUP(C150,APU!H:N,7,0),0),VLOOKUP(C150,APU!H:N,7,0),0)*500</f>
        <v>0</v>
      </c>
      <c r="T150" s="160"/>
      <c r="U150" s="384">
        <f t="shared" ca="1" si="13"/>
        <v>275857.27999999997</v>
      </c>
      <c r="V150" s="384">
        <f t="shared" ca="1" si="14"/>
        <v>275857.27999999997</v>
      </c>
      <c r="W150" s="384">
        <f t="shared" ca="1" si="15"/>
        <v>27585.727999999999</v>
      </c>
      <c r="X150" s="384">
        <f t="shared" ca="1" si="16"/>
        <v>0</v>
      </c>
      <c r="Y150" s="384">
        <f t="shared" ca="1" si="17"/>
        <v>100136.19263999998</v>
      </c>
      <c r="Z150" s="384">
        <f t="shared" ca="1" si="18"/>
        <v>3438009.2806399995</v>
      </c>
      <c r="AA150" s="384">
        <f t="shared" ca="1" si="19"/>
        <v>52412.883199999997</v>
      </c>
      <c r="AB150" s="384">
        <f t="shared" ca="1" si="20"/>
        <v>0</v>
      </c>
      <c r="AC150" s="384">
        <f t="shared" ca="1" si="21"/>
        <v>0</v>
      </c>
    </row>
    <row r="151" spans="2:29" s="149" customFormat="1" ht="30.75" customHeight="1">
      <c r="B151" s="301"/>
      <c r="C151" s="333">
        <v>3.21</v>
      </c>
      <c r="D151" s="461" t="s">
        <v>4940</v>
      </c>
      <c r="E151" s="462" t="s">
        <v>4636</v>
      </c>
      <c r="F151" s="462" t="s">
        <v>4636</v>
      </c>
      <c r="G151" s="462" t="s">
        <v>4636</v>
      </c>
      <c r="H151" s="462" t="s">
        <v>4636</v>
      </c>
      <c r="I151" s="463" t="s">
        <v>4636</v>
      </c>
      <c r="J151" s="333" t="s">
        <v>4127</v>
      </c>
      <c r="K151" s="335"/>
      <c r="L151" s="305">
        <f t="shared" ca="1" si="12"/>
        <v>4282071.4393599993</v>
      </c>
      <c r="M151" s="306">
        <f t="shared" ca="1" si="47"/>
        <v>0</v>
      </c>
      <c r="N151" s="307"/>
      <c r="O151" s="162"/>
      <c r="P151" s="384">
        <f ca="1">IF(IFERROR(VLOOKUP(C151,APU!H:N,4,0),0),VLOOKUP(C151,APU!H:N,4,0),0)*500</f>
        <v>0</v>
      </c>
      <c r="Q151" s="384">
        <f ca="1">IF(IFERROR(VLOOKUP(C151,APU!H:N,5,0),0),VLOOKUP(C151,APU!H:N,5,0),0)*500</f>
        <v>3435827.1999999997</v>
      </c>
      <c r="R151" s="384">
        <f ca="1">IF(IFERROR(VLOOKUP(C151,APU!H:N,6,0),0),VLOOKUP(C151,APU!H:N,6,0),0)*500</f>
        <v>0</v>
      </c>
      <c r="S151" s="384">
        <f ca="1">IF(IFERROR(VLOOKUP(C151,APU!H:N,7,0),0),VLOOKUP(C151,APU!H:N,7,0),0)*500</f>
        <v>0</v>
      </c>
      <c r="T151" s="160"/>
      <c r="U151" s="384">
        <f t="shared" ca="1" si="13"/>
        <v>343582.71999999997</v>
      </c>
      <c r="V151" s="384">
        <f t="shared" ca="1" si="14"/>
        <v>343582.71999999997</v>
      </c>
      <c r="W151" s="384">
        <f t="shared" ca="1" si="15"/>
        <v>34358.271999999997</v>
      </c>
      <c r="X151" s="384">
        <f t="shared" ca="1" si="16"/>
        <v>0</v>
      </c>
      <c r="Y151" s="384">
        <f t="shared" ca="1" si="17"/>
        <v>124720.52735999998</v>
      </c>
      <c r="Z151" s="384">
        <f t="shared" ca="1" si="18"/>
        <v>4282071.4393599993</v>
      </c>
      <c r="AA151" s="384">
        <f t="shared" ca="1" si="19"/>
        <v>65280.716799999995</v>
      </c>
      <c r="AB151" s="384">
        <f t="shared" ca="1" si="20"/>
        <v>0</v>
      </c>
      <c r="AC151" s="384">
        <f t="shared" ca="1" si="21"/>
        <v>0</v>
      </c>
    </row>
    <row r="152" spans="2:29" s="149" customFormat="1" ht="30.75" customHeight="1">
      <c r="B152" s="301"/>
      <c r="C152" s="333">
        <v>3.22</v>
      </c>
      <c r="D152" s="461" t="s">
        <v>4941</v>
      </c>
      <c r="E152" s="462" t="s">
        <v>4637</v>
      </c>
      <c r="F152" s="462" t="s">
        <v>4637</v>
      </c>
      <c r="G152" s="462" t="s">
        <v>4637</v>
      </c>
      <c r="H152" s="462" t="s">
        <v>4637</v>
      </c>
      <c r="I152" s="463" t="s">
        <v>4637</v>
      </c>
      <c r="J152" s="333" t="s">
        <v>4127</v>
      </c>
      <c r="K152" s="335"/>
      <c r="L152" s="305">
        <f t="shared" ref="L152:L207" ca="1" si="48">Z152</f>
        <v>3438009.2806399995</v>
      </c>
      <c r="M152" s="306">
        <f t="shared" ca="1" si="47"/>
        <v>0</v>
      </c>
      <c r="N152" s="307"/>
      <c r="O152" s="162"/>
      <c r="P152" s="384">
        <f ca="1">IF(IFERROR(VLOOKUP(C152,APU!H:N,4,0),0),VLOOKUP(C152,APU!H:N,4,0),0)*500</f>
        <v>0</v>
      </c>
      <c r="Q152" s="384">
        <f ca="1">IF(IFERROR(VLOOKUP(C152,APU!H:N,5,0),0),VLOOKUP(C152,APU!H:N,5,0),0)*500</f>
        <v>2758572.8</v>
      </c>
      <c r="R152" s="384">
        <f ca="1">IF(IFERROR(VLOOKUP(C152,APU!H:N,6,0),0),VLOOKUP(C152,APU!H:N,6,0),0)*500</f>
        <v>0</v>
      </c>
      <c r="S152" s="384">
        <f ca="1">IF(IFERROR(VLOOKUP(C152,APU!H:N,7,0),0),VLOOKUP(C152,APU!H:N,7,0),0)*500</f>
        <v>0</v>
      </c>
      <c r="T152" s="160"/>
      <c r="U152" s="384">
        <f t="shared" ref="U152:U207" ca="1" si="49">(P152+Q152+R152+S152)*$U$14</f>
        <v>275857.27999999997</v>
      </c>
      <c r="V152" s="384">
        <f t="shared" ref="V152:V207" ca="1" si="50">(P152+Q152+R152+S152)*$V$14</f>
        <v>275857.27999999997</v>
      </c>
      <c r="W152" s="384">
        <f t="shared" ref="W152:W207" ca="1" si="51">(Q152+R152+S152)*$W$14</f>
        <v>27585.727999999999</v>
      </c>
      <c r="X152" s="384">
        <f t="shared" ref="X152:X207" ca="1" si="52">(P152+Q152+R152+S152)*$X$14</f>
        <v>0</v>
      </c>
      <c r="Y152" s="384">
        <f t="shared" ref="Y152:Y207" ca="1" si="53">(P152+Q152+U152+V152+W152+X152+R152+S152)*$Y$14</f>
        <v>100136.19263999998</v>
      </c>
      <c r="Z152" s="384">
        <f t="shared" ref="Z152:Z207" ca="1" si="54">R152+S152+U152+V152+W152+X152+Y152+Q152+P152</f>
        <v>3438009.2806399995</v>
      </c>
      <c r="AA152" s="384">
        <f t="shared" ref="AA152:AA207" ca="1" si="55">V152*$AA$14</f>
        <v>52412.883199999997</v>
      </c>
      <c r="AB152" s="384">
        <f t="shared" ref="AB152:AB207" ca="1" si="56">Z152*K152</f>
        <v>0</v>
      </c>
      <c r="AC152" s="384">
        <f t="shared" ref="AC152:AC207" ca="1" si="57">AA152*K152</f>
        <v>0</v>
      </c>
    </row>
    <row r="153" spans="2:29" s="149" customFormat="1" ht="30.75" customHeight="1">
      <c r="B153" s="301"/>
      <c r="C153" s="333">
        <v>3.23</v>
      </c>
      <c r="D153" s="461" t="s">
        <v>4942</v>
      </c>
      <c r="E153" s="462"/>
      <c r="F153" s="462"/>
      <c r="G153" s="462"/>
      <c r="H153" s="462"/>
      <c r="I153" s="463"/>
      <c r="J153" s="333" t="s">
        <v>4127</v>
      </c>
      <c r="K153" s="335"/>
      <c r="L153" s="305">
        <f t="shared" ca="1" si="48"/>
        <v>1708711.19936</v>
      </c>
      <c r="M153" s="306">
        <f t="shared" ca="1" si="47"/>
        <v>0</v>
      </c>
      <c r="N153" s="307"/>
      <c r="O153" s="162"/>
      <c r="P153" s="384">
        <f ca="1">IF(IFERROR(VLOOKUP(C153,APU!H:N,4,0),0),VLOOKUP(C153,APU!H:N,4,0),0)*500</f>
        <v>0</v>
      </c>
      <c r="Q153" s="384">
        <f ca="1">IF(IFERROR(VLOOKUP(C153,APU!H:N,5,0),0),VLOOKUP(C153,APU!H:N,5,0),0)*500</f>
        <v>1371027.2</v>
      </c>
      <c r="R153" s="384">
        <f ca="1">IF(IFERROR(VLOOKUP(C153,APU!H:N,6,0),0),VLOOKUP(C153,APU!H:N,6,0),0)*500</f>
        <v>0</v>
      </c>
      <c r="S153" s="384">
        <f ca="1">IF(IFERROR(VLOOKUP(C153,APU!H:N,7,0),0),VLOOKUP(C153,APU!H:N,7,0),0)*500</f>
        <v>0</v>
      </c>
      <c r="T153" s="160"/>
      <c r="U153" s="384">
        <f t="shared" ca="1" si="49"/>
        <v>137102.72</v>
      </c>
      <c r="V153" s="384">
        <f t="shared" ca="1" si="50"/>
        <v>137102.72</v>
      </c>
      <c r="W153" s="384">
        <f t="shared" ca="1" si="51"/>
        <v>13710.271999999999</v>
      </c>
      <c r="X153" s="384">
        <f t="shared" ca="1" si="52"/>
        <v>0</v>
      </c>
      <c r="Y153" s="384">
        <f t="shared" ca="1" si="53"/>
        <v>49768.287360000002</v>
      </c>
      <c r="Z153" s="384">
        <f t="shared" ca="1" si="54"/>
        <v>1708711.19936</v>
      </c>
      <c r="AA153" s="384">
        <f t="shared" ca="1" si="55"/>
        <v>26049.516800000001</v>
      </c>
      <c r="AB153" s="384">
        <f t="shared" ca="1" si="56"/>
        <v>0</v>
      </c>
      <c r="AC153" s="384">
        <f t="shared" ca="1" si="57"/>
        <v>0</v>
      </c>
    </row>
    <row r="154" spans="2:29" s="149" customFormat="1" ht="30.75" customHeight="1">
      <c r="B154" s="301"/>
      <c r="C154" s="333">
        <v>3.24</v>
      </c>
      <c r="D154" s="461" t="s">
        <v>4943</v>
      </c>
      <c r="E154" s="462"/>
      <c r="F154" s="462"/>
      <c r="G154" s="462"/>
      <c r="H154" s="462"/>
      <c r="I154" s="463"/>
      <c r="J154" s="333" t="s">
        <v>4127</v>
      </c>
      <c r="K154" s="335"/>
      <c r="L154" s="305">
        <f t="shared" ca="1" si="48"/>
        <v>1708711.19936</v>
      </c>
      <c r="M154" s="306">
        <f t="shared" ca="1" si="47"/>
        <v>0</v>
      </c>
      <c r="N154" s="307"/>
      <c r="O154" s="162"/>
      <c r="P154" s="384">
        <f ca="1">IF(IFERROR(VLOOKUP(C154,APU!H:N,4,0),0),VLOOKUP(C154,APU!H:N,4,0),0)*500</f>
        <v>0</v>
      </c>
      <c r="Q154" s="384">
        <f ca="1">IF(IFERROR(VLOOKUP(C154,APU!H:N,5,0),0),VLOOKUP(C154,APU!H:N,5,0),0)*500</f>
        <v>1371027.2</v>
      </c>
      <c r="R154" s="384">
        <f ca="1">IF(IFERROR(VLOOKUP(C154,APU!H:N,6,0),0),VLOOKUP(C154,APU!H:N,6,0),0)*500</f>
        <v>0</v>
      </c>
      <c r="S154" s="384">
        <f ca="1">IF(IFERROR(VLOOKUP(C154,APU!H:N,7,0),0),VLOOKUP(C154,APU!H:N,7,0),0)*500</f>
        <v>0</v>
      </c>
      <c r="T154" s="160"/>
      <c r="U154" s="384">
        <f t="shared" ca="1" si="49"/>
        <v>137102.72</v>
      </c>
      <c r="V154" s="384">
        <f t="shared" ca="1" si="50"/>
        <v>137102.72</v>
      </c>
      <c r="W154" s="384">
        <f t="shared" ca="1" si="51"/>
        <v>13710.271999999999</v>
      </c>
      <c r="X154" s="384">
        <f t="shared" ca="1" si="52"/>
        <v>0</v>
      </c>
      <c r="Y154" s="384">
        <f t="shared" ca="1" si="53"/>
        <v>49768.287360000002</v>
      </c>
      <c r="Z154" s="384">
        <f t="shared" ca="1" si="54"/>
        <v>1708711.19936</v>
      </c>
      <c r="AA154" s="384">
        <f t="shared" ca="1" si="55"/>
        <v>26049.516800000001</v>
      </c>
      <c r="AB154" s="384">
        <f t="shared" ca="1" si="56"/>
        <v>0</v>
      </c>
      <c r="AC154" s="384">
        <f t="shared" ca="1" si="57"/>
        <v>0</v>
      </c>
    </row>
    <row r="155" spans="2:29" s="149" customFormat="1" ht="30.75" customHeight="1">
      <c r="B155" s="301"/>
      <c r="C155" s="333">
        <v>3.25</v>
      </c>
      <c r="D155" s="461" t="s">
        <v>4944</v>
      </c>
      <c r="E155" s="462"/>
      <c r="F155" s="462"/>
      <c r="G155" s="462"/>
      <c r="H155" s="462"/>
      <c r="I155" s="463"/>
      <c r="J155" s="333" t="s">
        <v>4127</v>
      </c>
      <c r="K155" s="335"/>
      <c r="L155" s="305">
        <f t="shared" ca="1" si="48"/>
        <v>1708711.19936</v>
      </c>
      <c r="M155" s="306">
        <f t="shared" ca="1" si="47"/>
        <v>0</v>
      </c>
      <c r="N155" s="307"/>
      <c r="O155" s="162"/>
      <c r="P155" s="384">
        <f ca="1">IF(IFERROR(VLOOKUP(C155,APU!H:N,4,0),0),VLOOKUP(C155,APU!H:N,4,0),0)*500</f>
        <v>0</v>
      </c>
      <c r="Q155" s="384">
        <f ca="1">IF(IFERROR(VLOOKUP(C155,APU!H:N,5,0),0),VLOOKUP(C155,APU!H:N,5,0),0)*500</f>
        <v>1371027.2</v>
      </c>
      <c r="R155" s="384">
        <f ca="1">IF(IFERROR(VLOOKUP(C155,APU!H:N,6,0),0),VLOOKUP(C155,APU!H:N,6,0),0)*500</f>
        <v>0</v>
      </c>
      <c r="S155" s="384">
        <f ca="1">IF(IFERROR(VLOOKUP(C155,APU!H:N,7,0),0),VLOOKUP(C155,APU!H:N,7,0),0)*500</f>
        <v>0</v>
      </c>
      <c r="T155" s="160"/>
      <c r="U155" s="384">
        <f t="shared" ca="1" si="49"/>
        <v>137102.72</v>
      </c>
      <c r="V155" s="384">
        <f t="shared" ca="1" si="50"/>
        <v>137102.72</v>
      </c>
      <c r="W155" s="384">
        <f t="shared" ca="1" si="51"/>
        <v>13710.271999999999</v>
      </c>
      <c r="X155" s="384">
        <f t="shared" ca="1" si="52"/>
        <v>0</v>
      </c>
      <c r="Y155" s="384">
        <f t="shared" ca="1" si="53"/>
        <v>49768.287360000002</v>
      </c>
      <c r="Z155" s="384">
        <f t="shared" ca="1" si="54"/>
        <v>1708711.19936</v>
      </c>
      <c r="AA155" s="384">
        <f t="shared" ca="1" si="55"/>
        <v>26049.516800000001</v>
      </c>
      <c r="AB155" s="384">
        <f t="shared" ca="1" si="56"/>
        <v>0</v>
      </c>
      <c r="AC155" s="384">
        <f t="shared" ca="1" si="57"/>
        <v>0</v>
      </c>
    </row>
    <row r="156" spans="2:29" s="149" customFormat="1" ht="30.75" customHeight="1">
      <c r="B156" s="301"/>
      <c r="C156" s="333">
        <v>3.26</v>
      </c>
      <c r="D156" s="461" t="s">
        <v>4945</v>
      </c>
      <c r="E156" s="462"/>
      <c r="F156" s="462"/>
      <c r="G156" s="462"/>
      <c r="H156" s="462"/>
      <c r="I156" s="463"/>
      <c r="J156" s="333" t="s">
        <v>4127</v>
      </c>
      <c r="K156" s="335"/>
      <c r="L156" s="305">
        <f t="shared" ca="1" si="48"/>
        <v>1708711.19936</v>
      </c>
      <c r="M156" s="306">
        <f t="shared" ca="1" si="47"/>
        <v>0</v>
      </c>
      <c r="N156" s="307"/>
      <c r="O156" s="162"/>
      <c r="P156" s="384">
        <f ca="1">IF(IFERROR(VLOOKUP(C156,APU!H:N,4,0),0),VLOOKUP(C156,APU!H:N,4,0),0)*500</f>
        <v>0</v>
      </c>
      <c r="Q156" s="384">
        <f ca="1">IF(IFERROR(VLOOKUP(C156,APU!H:N,5,0),0),VLOOKUP(C156,APU!H:N,5,0),0)*500</f>
        <v>1371027.2</v>
      </c>
      <c r="R156" s="384">
        <f ca="1">IF(IFERROR(VLOOKUP(C156,APU!H:N,6,0),0),VLOOKUP(C156,APU!H:N,6,0),0)*500</f>
        <v>0</v>
      </c>
      <c r="S156" s="384">
        <f ca="1">IF(IFERROR(VLOOKUP(C156,APU!H:N,7,0),0),VLOOKUP(C156,APU!H:N,7,0),0)*500</f>
        <v>0</v>
      </c>
      <c r="T156" s="160"/>
      <c r="U156" s="384">
        <f t="shared" ca="1" si="49"/>
        <v>137102.72</v>
      </c>
      <c r="V156" s="384">
        <f t="shared" ca="1" si="50"/>
        <v>137102.72</v>
      </c>
      <c r="W156" s="384">
        <f t="shared" ca="1" si="51"/>
        <v>13710.271999999999</v>
      </c>
      <c r="X156" s="384">
        <f t="shared" ca="1" si="52"/>
        <v>0</v>
      </c>
      <c r="Y156" s="384">
        <f t="shared" ca="1" si="53"/>
        <v>49768.287360000002</v>
      </c>
      <c r="Z156" s="384">
        <f t="shared" ca="1" si="54"/>
        <v>1708711.19936</v>
      </c>
      <c r="AA156" s="384">
        <f t="shared" ca="1" si="55"/>
        <v>26049.516800000001</v>
      </c>
      <c r="AB156" s="384">
        <f t="shared" ca="1" si="56"/>
        <v>0</v>
      </c>
      <c r="AC156" s="384">
        <f t="shared" ca="1" si="57"/>
        <v>0</v>
      </c>
    </row>
    <row r="157" spans="2:29" s="149" customFormat="1" ht="30.75" customHeight="1">
      <c r="B157" s="301"/>
      <c r="C157" s="333">
        <v>3.27</v>
      </c>
      <c r="D157" s="461" t="s">
        <v>4946</v>
      </c>
      <c r="E157" s="462"/>
      <c r="F157" s="462"/>
      <c r="G157" s="462"/>
      <c r="H157" s="462"/>
      <c r="I157" s="463"/>
      <c r="J157" s="333" t="s">
        <v>4127</v>
      </c>
      <c r="K157" s="335"/>
      <c r="L157" s="305">
        <f t="shared" ca="1" si="48"/>
        <v>1708711.19936</v>
      </c>
      <c r="M157" s="306">
        <f t="shared" ca="1" si="47"/>
        <v>0</v>
      </c>
      <c r="N157" s="307"/>
      <c r="O157" s="162"/>
      <c r="P157" s="384">
        <f ca="1">IF(IFERROR(VLOOKUP(C157,APU!H:N,4,0),0),VLOOKUP(C157,APU!H:N,4,0),0)*500</f>
        <v>0</v>
      </c>
      <c r="Q157" s="384">
        <f ca="1">IF(IFERROR(VLOOKUP(C157,APU!H:N,5,0),0),VLOOKUP(C157,APU!H:N,5,0),0)*500</f>
        <v>1371027.2</v>
      </c>
      <c r="R157" s="384">
        <f ca="1">IF(IFERROR(VLOOKUP(C157,APU!H:N,6,0),0),VLOOKUP(C157,APU!H:N,6,0),0)*500</f>
        <v>0</v>
      </c>
      <c r="S157" s="384">
        <f ca="1">IF(IFERROR(VLOOKUP(C157,APU!H:N,7,0),0),VLOOKUP(C157,APU!H:N,7,0),0)*500</f>
        <v>0</v>
      </c>
      <c r="T157" s="160"/>
      <c r="U157" s="384">
        <f t="shared" ca="1" si="49"/>
        <v>137102.72</v>
      </c>
      <c r="V157" s="384">
        <f t="shared" ca="1" si="50"/>
        <v>137102.72</v>
      </c>
      <c r="W157" s="384">
        <f t="shared" ca="1" si="51"/>
        <v>13710.271999999999</v>
      </c>
      <c r="X157" s="384">
        <f t="shared" ca="1" si="52"/>
        <v>0</v>
      </c>
      <c r="Y157" s="384">
        <f t="shared" ca="1" si="53"/>
        <v>49768.287360000002</v>
      </c>
      <c r="Z157" s="384">
        <f t="shared" ca="1" si="54"/>
        <v>1708711.19936</v>
      </c>
      <c r="AA157" s="384">
        <f t="shared" ca="1" si="55"/>
        <v>26049.516800000001</v>
      </c>
      <c r="AB157" s="384">
        <f t="shared" ca="1" si="56"/>
        <v>0</v>
      </c>
      <c r="AC157" s="384">
        <f t="shared" ca="1" si="57"/>
        <v>0</v>
      </c>
    </row>
    <row r="158" spans="2:29" s="149" customFormat="1" ht="30.75" customHeight="1">
      <c r="B158" s="301"/>
      <c r="C158" s="333">
        <v>3.28</v>
      </c>
      <c r="D158" s="461" t="s">
        <v>4947</v>
      </c>
      <c r="E158" s="462"/>
      <c r="F158" s="462"/>
      <c r="G158" s="462"/>
      <c r="H158" s="462"/>
      <c r="I158" s="463"/>
      <c r="J158" s="333" t="s">
        <v>4127</v>
      </c>
      <c r="K158" s="335"/>
      <c r="L158" s="305">
        <f t="shared" ca="1" si="48"/>
        <v>1708711.19936</v>
      </c>
      <c r="M158" s="306">
        <f t="shared" ca="1" si="47"/>
        <v>0</v>
      </c>
      <c r="N158" s="307"/>
      <c r="O158" s="162"/>
      <c r="P158" s="384">
        <f ca="1">IF(IFERROR(VLOOKUP(C158,APU!H:N,4,0),0),VLOOKUP(C158,APU!H:N,4,0),0)*500</f>
        <v>0</v>
      </c>
      <c r="Q158" s="384">
        <f ca="1">IF(IFERROR(VLOOKUP(C158,APU!H:N,5,0),0),VLOOKUP(C158,APU!H:N,5,0),0)*500</f>
        <v>1371027.2</v>
      </c>
      <c r="R158" s="384">
        <f ca="1">IF(IFERROR(VLOOKUP(C158,APU!H:N,6,0),0),VLOOKUP(C158,APU!H:N,6,0),0)*500</f>
        <v>0</v>
      </c>
      <c r="S158" s="384">
        <f ca="1">IF(IFERROR(VLOOKUP(C158,APU!H:N,7,0),0),VLOOKUP(C158,APU!H:N,7,0),0)*500</f>
        <v>0</v>
      </c>
      <c r="T158" s="160"/>
      <c r="U158" s="384">
        <f t="shared" ca="1" si="49"/>
        <v>137102.72</v>
      </c>
      <c r="V158" s="384">
        <f t="shared" ca="1" si="50"/>
        <v>137102.72</v>
      </c>
      <c r="W158" s="384">
        <f t="shared" ca="1" si="51"/>
        <v>13710.271999999999</v>
      </c>
      <c r="X158" s="384">
        <f t="shared" ca="1" si="52"/>
        <v>0</v>
      </c>
      <c r="Y158" s="384">
        <f t="shared" ca="1" si="53"/>
        <v>49768.287360000002</v>
      </c>
      <c r="Z158" s="384">
        <f t="shared" ca="1" si="54"/>
        <v>1708711.19936</v>
      </c>
      <c r="AA158" s="384">
        <f t="shared" ca="1" si="55"/>
        <v>26049.516800000001</v>
      </c>
      <c r="AB158" s="384">
        <f t="shared" ca="1" si="56"/>
        <v>0</v>
      </c>
      <c r="AC158" s="384">
        <f t="shared" ca="1" si="57"/>
        <v>0</v>
      </c>
    </row>
    <row r="159" spans="2:29" s="149" customFormat="1" ht="30.75" customHeight="1">
      <c r="B159" s="301"/>
      <c r="C159" s="333">
        <v>3.29</v>
      </c>
      <c r="D159" s="461" t="s">
        <v>4948</v>
      </c>
      <c r="E159" s="462"/>
      <c r="F159" s="462"/>
      <c r="G159" s="462"/>
      <c r="H159" s="462"/>
      <c r="I159" s="463"/>
      <c r="J159" s="333" t="s">
        <v>4127</v>
      </c>
      <c r="K159" s="335"/>
      <c r="L159" s="305">
        <f t="shared" ca="1" si="48"/>
        <v>1708711.19936</v>
      </c>
      <c r="M159" s="306">
        <f t="shared" ca="1" si="47"/>
        <v>0</v>
      </c>
      <c r="N159" s="307"/>
      <c r="O159" s="162"/>
      <c r="P159" s="384">
        <f ca="1">IF(IFERROR(VLOOKUP(C159,APU!H:N,4,0),0),VLOOKUP(C159,APU!H:N,4,0),0)*500</f>
        <v>0</v>
      </c>
      <c r="Q159" s="384">
        <f ca="1">IF(IFERROR(VLOOKUP(C159,APU!H:N,5,0),0),VLOOKUP(C159,APU!H:N,5,0),0)*500</f>
        <v>1371027.2</v>
      </c>
      <c r="R159" s="384">
        <f ca="1">IF(IFERROR(VLOOKUP(C159,APU!H:N,6,0),0),VLOOKUP(C159,APU!H:N,6,0),0)*500</f>
        <v>0</v>
      </c>
      <c r="S159" s="384">
        <f ca="1">IF(IFERROR(VLOOKUP(C159,APU!H:N,7,0),0),VLOOKUP(C159,APU!H:N,7,0),0)*500</f>
        <v>0</v>
      </c>
      <c r="T159" s="160"/>
      <c r="U159" s="384">
        <f t="shared" ca="1" si="49"/>
        <v>137102.72</v>
      </c>
      <c r="V159" s="384">
        <f t="shared" ca="1" si="50"/>
        <v>137102.72</v>
      </c>
      <c r="W159" s="384">
        <f t="shared" ca="1" si="51"/>
        <v>13710.271999999999</v>
      </c>
      <c r="X159" s="384">
        <f t="shared" ca="1" si="52"/>
        <v>0</v>
      </c>
      <c r="Y159" s="384">
        <f t="shared" ca="1" si="53"/>
        <v>49768.287360000002</v>
      </c>
      <c r="Z159" s="384">
        <f t="shared" ca="1" si="54"/>
        <v>1708711.19936</v>
      </c>
      <c r="AA159" s="384">
        <f t="shared" ca="1" si="55"/>
        <v>26049.516800000001</v>
      </c>
      <c r="AB159" s="384">
        <f t="shared" ca="1" si="56"/>
        <v>0</v>
      </c>
      <c r="AC159" s="384">
        <f t="shared" ca="1" si="57"/>
        <v>0</v>
      </c>
    </row>
    <row r="160" spans="2:29" s="149" customFormat="1" ht="30.75" customHeight="1">
      <c r="B160" s="301"/>
      <c r="C160" s="333" t="s">
        <v>4797</v>
      </c>
      <c r="D160" s="461" t="s">
        <v>4949</v>
      </c>
      <c r="E160" s="462"/>
      <c r="F160" s="462"/>
      <c r="G160" s="462"/>
      <c r="H160" s="462"/>
      <c r="I160" s="463"/>
      <c r="J160" s="333" t="s">
        <v>4127</v>
      </c>
      <c r="K160" s="335"/>
      <c r="L160" s="305">
        <f t="shared" ca="1" si="48"/>
        <v>2141035.7196799996</v>
      </c>
      <c r="M160" s="306">
        <f t="shared" ca="1" si="47"/>
        <v>0</v>
      </c>
      <c r="N160" s="307"/>
      <c r="O160" s="162"/>
      <c r="P160" s="384">
        <f ca="1">IF(IFERROR(VLOOKUP(C160,APU!H:N,4,0),0),VLOOKUP(C160,APU!H:N,4,0),0)*500</f>
        <v>0</v>
      </c>
      <c r="Q160" s="384">
        <f ca="1">IF(IFERROR(VLOOKUP(C160,APU!H:N,5,0),0),VLOOKUP(C160,APU!H:N,5,0),0)*500</f>
        <v>1717913.5999999999</v>
      </c>
      <c r="R160" s="384">
        <f ca="1">IF(IFERROR(VLOOKUP(C160,APU!H:N,6,0),0),VLOOKUP(C160,APU!H:N,6,0),0)*500</f>
        <v>0</v>
      </c>
      <c r="S160" s="384">
        <f ca="1">IF(IFERROR(VLOOKUP(C160,APU!H:N,7,0),0),VLOOKUP(C160,APU!H:N,7,0),0)*500</f>
        <v>0</v>
      </c>
      <c r="T160" s="160"/>
      <c r="U160" s="384">
        <f t="shared" ca="1" si="49"/>
        <v>171791.35999999999</v>
      </c>
      <c r="V160" s="384">
        <f t="shared" ca="1" si="50"/>
        <v>171791.35999999999</v>
      </c>
      <c r="W160" s="384">
        <f t="shared" ca="1" si="51"/>
        <v>17179.135999999999</v>
      </c>
      <c r="X160" s="384">
        <f t="shared" ca="1" si="52"/>
        <v>0</v>
      </c>
      <c r="Y160" s="384">
        <f t="shared" ca="1" si="53"/>
        <v>62360.263679999989</v>
      </c>
      <c r="Z160" s="384">
        <f t="shared" ca="1" si="54"/>
        <v>2141035.7196799996</v>
      </c>
      <c r="AA160" s="384">
        <f t="shared" ca="1" si="55"/>
        <v>32640.358399999997</v>
      </c>
      <c r="AB160" s="384">
        <f t="shared" ca="1" si="56"/>
        <v>0</v>
      </c>
      <c r="AC160" s="384">
        <f t="shared" ca="1" si="57"/>
        <v>0</v>
      </c>
    </row>
    <row r="161" spans="2:29" s="149" customFormat="1" ht="30.75" customHeight="1">
      <c r="B161" s="301"/>
      <c r="C161" s="333">
        <v>3.31</v>
      </c>
      <c r="D161" s="461" t="s">
        <v>4950</v>
      </c>
      <c r="E161" s="462"/>
      <c r="F161" s="462"/>
      <c r="G161" s="462"/>
      <c r="H161" s="462"/>
      <c r="I161" s="463"/>
      <c r="J161" s="333" t="s">
        <v>4127</v>
      </c>
      <c r="K161" s="335"/>
      <c r="L161" s="305">
        <f t="shared" ca="1" si="48"/>
        <v>2141035.7196799996</v>
      </c>
      <c r="M161" s="306">
        <f t="shared" ca="1" si="47"/>
        <v>0</v>
      </c>
      <c r="N161" s="307"/>
      <c r="O161" s="162"/>
      <c r="P161" s="384">
        <f ca="1">IF(IFERROR(VLOOKUP(C161,APU!H:N,4,0),0),VLOOKUP(C161,APU!H:N,4,0),0)*500</f>
        <v>0</v>
      </c>
      <c r="Q161" s="384">
        <f ca="1">IF(IFERROR(VLOOKUP(C161,APU!H:N,5,0),0),VLOOKUP(C161,APU!H:N,5,0),0)*500</f>
        <v>1717913.5999999999</v>
      </c>
      <c r="R161" s="384">
        <f ca="1">IF(IFERROR(VLOOKUP(C161,APU!H:N,6,0),0),VLOOKUP(C161,APU!H:N,6,0),0)*500</f>
        <v>0</v>
      </c>
      <c r="S161" s="384">
        <f ca="1">IF(IFERROR(VLOOKUP(C161,APU!H:N,7,0),0),VLOOKUP(C161,APU!H:N,7,0),0)*500</f>
        <v>0</v>
      </c>
      <c r="T161" s="160"/>
      <c r="U161" s="384">
        <f t="shared" ca="1" si="49"/>
        <v>171791.35999999999</v>
      </c>
      <c r="V161" s="384">
        <f t="shared" ca="1" si="50"/>
        <v>171791.35999999999</v>
      </c>
      <c r="W161" s="384">
        <f t="shared" ca="1" si="51"/>
        <v>17179.135999999999</v>
      </c>
      <c r="X161" s="384">
        <f t="shared" ca="1" si="52"/>
        <v>0</v>
      </c>
      <c r="Y161" s="384">
        <f t="shared" ca="1" si="53"/>
        <v>62360.263679999989</v>
      </c>
      <c r="Z161" s="384">
        <f t="shared" ca="1" si="54"/>
        <v>2141035.7196799996</v>
      </c>
      <c r="AA161" s="384">
        <f t="shared" ca="1" si="55"/>
        <v>32640.358399999997</v>
      </c>
      <c r="AB161" s="384">
        <f t="shared" ca="1" si="56"/>
        <v>0</v>
      </c>
      <c r="AC161" s="384">
        <f t="shared" ca="1" si="57"/>
        <v>0</v>
      </c>
    </row>
    <row r="162" spans="2:29" s="149" customFormat="1" ht="30.75" customHeight="1">
      <c r="B162" s="301"/>
      <c r="C162" s="333">
        <v>3.32</v>
      </c>
      <c r="D162" s="461" t="s">
        <v>4951</v>
      </c>
      <c r="E162" s="462"/>
      <c r="F162" s="462"/>
      <c r="G162" s="462"/>
      <c r="H162" s="462"/>
      <c r="I162" s="463"/>
      <c r="J162" s="333" t="s">
        <v>4127</v>
      </c>
      <c r="K162" s="335"/>
      <c r="L162" s="305">
        <f t="shared" ca="1" si="48"/>
        <v>2141035.7196799996</v>
      </c>
      <c r="M162" s="306">
        <f t="shared" ca="1" si="47"/>
        <v>0</v>
      </c>
      <c r="N162" s="307"/>
      <c r="O162" s="162"/>
      <c r="P162" s="384">
        <f ca="1">IF(IFERROR(VLOOKUP(C162,APU!H:N,4,0),0),VLOOKUP(C162,APU!H:N,4,0),0)*500</f>
        <v>0</v>
      </c>
      <c r="Q162" s="384">
        <f ca="1">IF(IFERROR(VLOOKUP(C162,APU!H:N,5,0),0),VLOOKUP(C162,APU!H:N,5,0),0)*500</f>
        <v>1717913.5999999999</v>
      </c>
      <c r="R162" s="384">
        <f ca="1">IF(IFERROR(VLOOKUP(C162,APU!H:N,6,0),0),VLOOKUP(C162,APU!H:N,6,0),0)*500</f>
        <v>0</v>
      </c>
      <c r="S162" s="384">
        <f ca="1">IF(IFERROR(VLOOKUP(C162,APU!H:N,7,0),0),VLOOKUP(C162,APU!H:N,7,0),0)*500</f>
        <v>0</v>
      </c>
      <c r="T162" s="160"/>
      <c r="U162" s="384">
        <f t="shared" ca="1" si="49"/>
        <v>171791.35999999999</v>
      </c>
      <c r="V162" s="384">
        <f t="shared" ca="1" si="50"/>
        <v>171791.35999999999</v>
      </c>
      <c r="W162" s="384">
        <f t="shared" ca="1" si="51"/>
        <v>17179.135999999999</v>
      </c>
      <c r="X162" s="384">
        <f t="shared" ca="1" si="52"/>
        <v>0</v>
      </c>
      <c r="Y162" s="384">
        <f t="shared" ca="1" si="53"/>
        <v>62360.263679999989</v>
      </c>
      <c r="Z162" s="384">
        <f t="shared" ca="1" si="54"/>
        <v>2141035.7196799996</v>
      </c>
      <c r="AA162" s="384">
        <f t="shared" ca="1" si="55"/>
        <v>32640.358399999997</v>
      </c>
      <c r="AB162" s="384">
        <f t="shared" ca="1" si="56"/>
        <v>0</v>
      </c>
      <c r="AC162" s="384">
        <f t="shared" ca="1" si="57"/>
        <v>0</v>
      </c>
    </row>
    <row r="163" spans="2:29" s="149" customFormat="1" ht="30.75" customHeight="1">
      <c r="B163" s="301"/>
      <c r="C163" s="333">
        <v>3.33</v>
      </c>
      <c r="D163" s="461" t="s">
        <v>4952</v>
      </c>
      <c r="E163" s="462"/>
      <c r="F163" s="462"/>
      <c r="G163" s="462"/>
      <c r="H163" s="462"/>
      <c r="I163" s="463"/>
      <c r="J163" s="333" t="s">
        <v>4127</v>
      </c>
      <c r="K163" s="335"/>
      <c r="L163" s="305">
        <f t="shared" ca="1" si="48"/>
        <v>1708711.19936</v>
      </c>
      <c r="M163" s="306">
        <f t="shared" ca="1" si="47"/>
        <v>0</v>
      </c>
      <c r="N163" s="307"/>
      <c r="O163" s="162"/>
      <c r="P163" s="384">
        <f ca="1">IF(IFERROR(VLOOKUP(C163,APU!H:N,4,0),0),VLOOKUP(C163,APU!H:N,4,0),0)*500</f>
        <v>0</v>
      </c>
      <c r="Q163" s="384">
        <f ca="1">IF(IFERROR(VLOOKUP(C163,APU!H:N,5,0),0),VLOOKUP(C163,APU!H:N,5,0),0)*500</f>
        <v>1371027.2</v>
      </c>
      <c r="R163" s="384">
        <f ca="1">IF(IFERROR(VLOOKUP(C163,APU!H:N,6,0),0),VLOOKUP(C163,APU!H:N,6,0),0)*500</f>
        <v>0</v>
      </c>
      <c r="S163" s="384">
        <f ca="1">IF(IFERROR(VLOOKUP(C163,APU!H:N,7,0),0),VLOOKUP(C163,APU!H:N,7,0),0)*500</f>
        <v>0</v>
      </c>
      <c r="T163" s="160"/>
      <c r="U163" s="384">
        <f t="shared" ca="1" si="49"/>
        <v>137102.72</v>
      </c>
      <c r="V163" s="384">
        <f t="shared" ca="1" si="50"/>
        <v>137102.72</v>
      </c>
      <c r="W163" s="384">
        <f t="shared" ca="1" si="51"/>
        <v>13710.271999999999</v>
      </c>
      <c r="X163" s="384">
        <f t="shared" ca="1" si="52"/>
        <v>0</v>
      </c>
      <c r="Y163" s="384">
        <f t="shared" ca="1" si="53"/>
        <v>49768.287360000002</v>
      </c>
      <c r="Z163" s="384">
        <f t="shared" ca="1" si="54"/>
        <v>1708711.19936</v>
      </c>
      <c r="AA163" s="384">
        <f t="shared" ca="1" si="55"/>
        <v>26049.516800000001</v>
      </c>
      <c r="AB163" s="384">
        <f t="shared" ca="1" si="56"/>
        <v>0</v>
      </c>
      <c r="AC163" s="384">
        <f t="shared" ca="1" si="57"/>
        <v>0</v>
      </c>
    </row>
    <row r="164" spans="2:29" s="149" customFormat="1" ht="30.75" customHeight="1">
      <c r="B164" s="301"/>
      <c r="C164" s="333">
        <v>3.34</v>
      </c>
      <c r="D164" s="461" t="s">
        <v>4953</v>
      </c>
      <c r="E164" s="462"/>
      <c r="F164" s="462"/>
      <c r="G164" s="462"/>
      <c r="H164" s="462"/>
      <c r="I164" s="463"/>
      <c r="J164" s="333" t="s">
        <v>4127</v>
      </c>
      <c r="K164" s="335"/>
      <c r="L164" s="305">
        <f t="shared" ref="L164:L173" ca="1" si="58">Z164</f>
        <v>6443694.040959999</v>
      </c>
      <c r="M164" s="306">
        <f t="shared" ref="M164:M173" ca="1" si="59">L164*K164</f>
        <v>0</v>
      </c>
      <c r="N164" s="307"/>
      <c r="O164" s="162"/>
      <c r="P164" s="384">
        <f ca="1">IF(IFERROR(VLOOKUP(C164,APU!H:N,4,0),0),VLOOKUP(C164,APU!H:N,4,0),0)*500</f>
        <v>0</v>
      </c>
      <c r="Q164" s="384">
        <f ca="1">IF(IFERROR(VLOOKUP(C164,APU!H:N,5,0),0),VLOOKUP(C164,APU!H:N,5,0),0)*500</f>
        <v>5170259.1999999993</v>
      </c>
      <c r="R164" s="384">
        <f ca="1">IF(IFERROR(VLOOKUP(C164,APU!H:N,6,0),0),VLOOKUP(C164,APU!H:N,6,0),0)*500</f>
        <v>0</v>
      </c>
      <c r="S164" s="384">
        <f ca="1">IF(IFERROR(VLOOKUP(C164,APU!H:N,7,0),0),VLOOKUP(C164,APU!H:N,7,0),0)*500</f>
        <v>0</v>
      </c>
      <c r="T164" s="160"/>
      <c r="U164" s="384">
        <f t="shared" ref="U164:U173" ca="1" si="60">(P164+Q164+R164+S164)*$U$14</f>
        <v>517025.91999999993</v>
      </c>
      <c r="V164" s="384">
        <f t="shared" ref="V164:V173" ca="1" si="61">(P164+Q164+R164+S164)*$V$14</f>
        <v>517025.91999999993</v>
      </c>
      <c r="W164" s="384">
        <f t="shared" ref="W164:W173" ca="1" si="62">(Q164+R164+S164)*$W$14</f>
        <v>51702.591999999997</v>
      </c>
      <c r="X164" s="384">
        <f t="shared" ref="X164:X173" ca="1" si="63">(P164+Q164+R164+S164)*$X$14</f>
        <v>0</v>
      </c>
      <c r="Y164" s="384">
        <f t="shared" ref="Y164:Y173" ca="1" si="64">(P164+Q164+U164+V164+W164+X164+R164+S164)*$Y$14</f>
        <v>187680.40895999997</v>
      </c>
      <c r="Z164" s="384">
        <f t="shared" ref="Z164:Z173" ca="1" si="65">R164+S164+U164+V164+W164+X164+Y164+Q164+P164</f>
        <v>6443694.040959999</v>
      </c>
      <c r="AA164" s="384">
        <f t="shared" ref="AA164:AA173" ca="1" si="66">V164*$AA$14</f>
        <v>98234.924799999993</v>
      </c>
      <c r="AB164" s="384">
        <f t="shared" ref="AB164:AB173" ca="1" si="67">Z164*K164</f>
        <v>0</v>
      </c>
      <c r="AC164" s="384">
        <f t="shared" ref="AC164:AC173" ca="1" si="68">AA164*K164</f>
        <v>0</v>
      </c>
    </row>
    <row r="165" spans="2:29" s="149" customFormat="1" ht="30.75" customHeight="1">
      <c r="B165" s="301"/>
      <c r="C165" s="333">
        <v>3.35</v>
      </c>
      <c r="D165" s="461" t="s">
        <v>4985</v>
      </c>
      <c r="E165" s="462" t="s">
        <v>4636</v>
      </c>
      <c r="F165" s="462" t="s">
        <v>4636</v>
      </c>
      <c r="G165" s="462" t="s">
        <v>4636</v>
      </c>
      <c r="H165" s="462" t="s">
        <v>4636</v>
      </c>
      <c r="I165" s="463" t="s">
        <v>4636</v>
      </c>
      <c r="J165" s="333" t="s">
        <v>4127</v>
      </c>
      <c r="K165" s="335"/>
      <c r="L165" s="305">
        <f t="shared" ca="1" si="58"/>
        <v>4282071.4393599993</v>
      </c>
      <c r="M165" s="306">
        <f t="shared" ca="1" si="59"/>
        <v>0</v>
      </c>
      <c r="N165" s="307"/>
      <c r="O165" s="162"/>
      <c r="P165" s="384">
        <f ca="1">IF(IFERROR(VLOOKUP(C165,APU!H:N,4,0),0),VLOOKUP(C165,APU!H:N,4,0),0)*500</f>
        <v>0</v>
      </c>
      <c r="Q165" s="384">
        <f ca="1">IF(IFERROR(VLOOKUP(C165,APU!H:N,5,0),0),VLOOKUP(C165,APU!H:N,5,0),0)*500</f>
        <v>3435827.1999999997</v>
      </c>
      <c r="R165" s="384">
        <f ca="1">IF(IFERROR(VLOOKUP(C165,APU!H:N,6,0),0),VLOOKUP(C165,APU!H:N,6,0),0)*500</f>
        <v>0</v>
      </c>
      <c r="S165" s="384">
        <f ca="1">IF(IFERROR(VLOOKUP(C165,APU!H:N,7,0),0),VLOOKUP(C165,APU!H:N,7,0),0)*500</f>
        <v>0</v>
      </c>
      <c r="T165" s="160"/>
      <c r="U165" s="384">
        <f t="shared" ca="1" si="60"/>
        <v>343582.71999999997</v>
      </c>
      <c r="V165" s="384">
        <f t="shared" ca="1" si="61"/>
        <v>343582.71999999997</v>
      </c>
      <c r="W165" s="384">
        <f t="shared" ca="1" si="62"/>
        <v>34358.271999999997</v>
      </c>
      <c r="X165" s="384">
        <f t="shared" ca="1" si="63"/>
        <v>0</v>
      </c>
      <c r="Y165" s="384">
        <f t="shared" ca="1" si="64"/>
        <v>124720.52735999998</v>
      </c>
      <c r="Z165" s="384">
        <f t="shared" ca="1" si="65"/>
        <v>4282071.4393599993</v>
      </c>
      <c r="AA165" s="384">
        <f t="shared" ca="1" si="66"/>
        <v>65280.716799999995</v>
      </c>
      <c r="AB165" s="384">
        <f t="shared" ca="1" si="67"/>
        <v>0</v>
      </c>
      <c r="AC165" s="384">
        <f t="shared" ca="1" si="68"/>
        <v>0</v>
      </c>
    </row>
    <row r="166" spans="2:29" s="149" customFormat="1" ht="30.75" customHeight="1">
      <c r="B166" s="301"/>
      <c r="C166" s="333">
        <v>3.36</v>
      </c>
      <c r="D166" s="461" t="s">
        <v>4986</v>
      </c>
      <c r="E166" s="462" t="s">
        <v>4636</v>
      </c>
      <c r="F166" s="462" t="s">
        <v>4636</v>
      </c>
      <c r="G166" s="462" t="s">
        <v>4636</v>
      </c>
      <c r="H166" s="462" t="s">
        <v>4636</v>
      </c>
      <c r="I166" s="463" t="s">
        <v>4636</v>
      </c>
      <c r="J166" s="333" t="s">
        <v>4127</v>
      </c>
      <c r="K166" s="335"/>
      <c r="L166" s="305">
        <f t="shared" ca="1" si="58"/>
        <v>5579045.0003199987</v>
      </c>
      <c r="M166" s="306">
        <f t="shared" ca="1" si="59"/>
        <v>0</v>
      </c>
      <c r="N166" s="307"/>
      <c r="O166" s="162"/>
      <c r="P166" s="384">
        <f ca="1">IF(IFERROR(VLOOKUP(C166,APU!H:N,4,0),0),VLOOKUP(C166,APU!H:N,4,0),0)*500</f>
        <v>0</v>
      </c>
      <c r="Q166" s="384">
        <f ca="1">IF(IFERROR(VLOOKUP(C166,APU!H:N,5,0),0),VLOOKUP(C166,APU!H:N,5,0),0)*500</f>
        <v>4476486.3999999994</v>
      </c>
      <c r="R166" s="384">
        <f ca="1">IF(IFERROR(VLOOKUP(C166,APU!H:N,6,0),0),VLOOKUP(C166,APU!H:N,6,0),0)*500</f>
        <v>0</v>
      </c>
      <c r="S166" s="384">
        <f ca="1">IF(IFERROR(VLOOKUP(C166,APU!H:N,7,0),0),VLOOKUP(C166,APU!H:N,7,0),0)*500</f>
        <v>0</v>
      </c>
      <c r="T166" s="160"/>
      <c r="U166" s="384">
        <f t="shared" ca="1" si="60"/>
        <v>447648.63999999996</v>
      </c>
      <c r="V166" s="384">
        <f t="shared" ca="1" si="61"/>
        <v>447648.63999999996</v>
      </c>
      <c r="W166" s="384">
        <f t="shared" ca="1" si="62"/>
        <v>44764.863999999994</v>
      </c>
      <c r="X166" s="384">
        <f t="shared" ca="1" si="63"/>
        <v>0</v>
      </c>
      <c r="Y166" s="384">
        <f t="shared" ca="1" si="64"/>
        <v>162496.45631999997</v>
      </c>
      <c r="Z166" s="384">
        <f t="shared" ca="1" si="65"/>
        <v>5579045.0003199987</v>
      </c>
      <c r="AA166" s="384">
        <f t="shared" ca="1" si="66"/>
        <v>85053.241599999994</v>
      </c>
      <c r="AB166" s="384">
        <f t="shared" ca="1" si="67"/>
        <v>0</v>
      </c>
      <c r="AC166" s="384">
        <f t="shared" ca="1" si="68"/>
        <v>0</v>
      </c>
    </row>
    <row r="167" spans="2:29" s="149" customFormat="1" ht="30.75" customHeight="1">
      <c r="B167" s="301"/>
      <c r="C167" s="333">
        <v>3.37</v>
      </c>
      <c r="D167" s="461" t="s">
        <v>4987</v>
      </c>
      <c r="E167" s="462" t="s">
        <v>4636</v>
      </c>
      <c r="F167" s="462" t="s">
        <v>4636</v>
      </c>
      <c r="G167" s="462" t="s">
        <v>4636</v>
      </c>
      <c r="H167" s="462" t="s">
        <v>4636</v>
      </c>
      <c r="I167" s="463" t="s">
        <v>4636</v>
      </c>
      <c r="J167" s="333" t="s">
        <v>4127</v>
      </c>
      <c r="K167" s="335"/>
      <c r="L167" s="305">
        <f t="shared" ca="1" si="58"/>
        <v>5579045.0003199987</v>
      </c>
      <c r="M167" s="306">
        <f t="shared" ca="1" si="59"/>
        <v>0</v>
      </c>
      <c r="N167" s="307"/>
      <c r="O167" s="162"/>
      <c r="P167" s="384">
        <f ca="1">IF(IFERROR(VLOOKUP(C167,APU!H:N,4,0),0),VLOOKUP(C167,APU!H:N,4,0),0)*500</f>
        <v>0</v>
      </c>
      <c r="Q167" s="384">
        <f ca="1">IF(IFERROR(VLOOKUP(C167,APU!H:N,5,0),0),VLOOKUP(C167,APU!H:N,5,0),0)*500</f>
        <v>4476486.3999999994</v>
      </c>
      <c r="R167" s="384">
        <f ca="1">IF(IFERROR(VLOOKUP(C167,APU!H:N,6,0),0),VLOOKUP(C167,APU!H:N,6,0),0)*500</f>
        <v>0</v>
      </c>
      <c r="S167" s="384">
        <f ca="1">IF(IFERROR(VLOOKUP(C167,APU!H:N,7,0),0),VLOOKUP(C167,APU!H:N,7,0),0)*500</f>
        <v>0</v>
      </c>
      <c r="T167" s="160"/>
      <c r="U167" s="384">
        <f t="shared" ca="1" si="60"/>
        <v>447648.63999999996</v>
      </c>
      <c r="V167" s="384">
        <f t="shared" ca="1" si="61"/>
        <v>447648.63999999996</v>
      </c>
      <c r="W167" s="384">
        <f t="shared" ca="1" si="62"/>
        <v>44764.863999999994</v>
      </c>
      <c r="X167" s="384">
        <f t="shared" ca="1" si="63"/>
        <v>0</v>
      </c>
      <c r="Y167" s="384">
        <f t="shared" ca="1" si="64"/>
        <v>162496.45631999997</v>
      </c>
      <c r="Z167" s="384">
        <f t="shared" ca="1" si="65"/>
        <v>5579045.0003199987</v>
      </c>
      <c r="AA167" s="384">
        <f t="shared" ca="1" si="66"/>
        <v>85053.241599999994</v>
      </c>
      <c r="AB167" s="384">
        <f t="shared" ca="1" si="67"/>
        <v>0</v>
      </c>
      <c r="AC167" s="384">
        <f t="shared" ca="1" si="68"/>
        <v>0</v>
      </c>
    </row>
    <row r="168" spans="2:29" s="149" customFormat="1" ht="30.75" customHeight="1">
      <c r="B168" s="301"/>
      <c r="C168" s="333">
        <v>3.38</v>
      </c>
      <c r="D168" s="461" t="s">
        <v>4988</v>
      </c>
      <c r="E168" s="462" t="s">
        <v>4636</v>
      </c>
      <c r="F168" s="462" t="s">
        <v>4636</v>
      </c>
      <c r="G168" s="462" t="s">
        <v>4636</v>
      </c>
      <c r="H168" s="462" t="s">
        <v>4636</v>
      </c>
      <c r="I168" s="463" t="s">
        <v>4636</v>
      </c>
      <c r="J168" s="333" t="s">
        <v>4127</v>
      </c>
      <c r="K168" s="335"/>
      <c r="L168" s="305">
        <f t="shared" ref="L168" ca="1" si="69">Z168</f>
        <v>5579045.0003199987</v>
      </c>
      <c r="M168" s="306">
        <f t="shared" ref="M168" ca="1" si="70">L168*K168</f>
        <v>0</v>
      </c>
      <c r="N168" s="307"/>
      <c r="O168" s="162"/>
      <c r="P168" s="384">
        <f ca="1">IF(IFERROR(VLOOKUP(C168,APU!H:N,4,0),0),VLOOKUP(C168,APU!H:N,4,0),0)*500</f>
        <v>0</v>
      </c>
      <c r="Q168" s="384">
        <f ca="1">IF(IFERROR(VLOOKUP(C168,APU!H:N,5,0),0),VLOOKUP(C168,APU!H:N,5,0),0)*500</f>
        <v>4476486.3999999994</v>
      </c>
      <c r="R168" s="384">
        <f ca="1">IF(IFERROR(VLOOKUP(C168,APU!H:N,6,0),0),VLOOKUP(C168,APU!H:N,6,0),0)*500</f>
        <v>0</v>
      </c>
      <c r="S168" s="384">
        <f ca="1">IF(IFERROR(VLOOKUP(C168,APU!H:N,7,0),0),VLOOKUP(C168,APU!H:N,7,0),0)*500</f>
        <v>0</v>
      </c>
      <c r="T168" s="160"/>
      <c r="U168" s="384">
        <f t="shared" ref="U168" ca="1" si="71">(P168+Q168+R168+S168)*$U$14</f>
        <v>447648.63999999996</v>
      </c>
      <c r="V168" s="384">
        <f t="shared" ref="V168" ca="1" si="72">(P168+Q168+R168+S168)*$V$14</f>
        <v>447648.63999999996</v>
      </c>
      <c r="W168" s="384">
        <f t="shared" ref="W168" ca="1" si="73">(Q168+R168+S168)*$W$14</f>
        <v>44764.863999999994</v>
      </c>
      <c r="X168" s="384">
        <f t="shared" ref="X168" ca="1" si="74">(P168+Q168+R168+S168)*$X$14</f>
        <v>0</v>
      </c>
      <c r="Y168" s="384">
        <f t="shared" ref="Y168" ca="1" si="75">(P168+Q168+U168+V168+W168+X168+R168+S168)*$Y$14</f>
        <v>162496.45631999997</v>
      </c>
      <c r="Z168" s="384">
        <f t="shared" ref="Z168" ca="1" si="76">R168+S168+U168+V168+W168+X168+Y168+Q168+P168</f>
        <v>5579045.0003199987</v>
      </c>
      <c r="AA168" s="384">
        <f t="shared" ref="AA168" ca="1" si="77">V168*$AA$14</f>
        <v>85053.241599999994</v>
      </c>
      <c r="AB168" s="384">
        <f t="shared" ref="AB168" ca="1" si="78">Z168*K168</f>
        <v>0</v>
      </c>
      <c r="AC168" s="384">
        <f t="shared" ref="AC168" ca="1" si="79">AA168*K168</f>
        <v>0</v>
      </c>
    </row>
    <row r="169" spans="2:29" s="149" customFormat="1" ht="30.75" customHeight="1">
      <c r="B169" s="301"/>
      <c r="C169" s="333">
        <v>3.39</v>
      </c>
      <c r="D169" s="455" t="s">
        <v>4993</v>
      </c>
      <c r="E169" s="456"/>
      <c r="F169" s="456"/>
      <c r="G169" s="456"/>
      <c r="H169" s="456"/>
      <c r="I169" s="457"/>
      <c r="J169" s="333" t="s">
        <v>4127</v>
      </c>
      <c r="K169" s="335"/>
      <c r="L169" s="305">
        <f t="shared" ca="1" si="58"/>
        <v>3005684.7603199999</v>
      </c>
      <c r="M169" s="306">
        <f t="shared" ca="1" si="59"/>
        <v>0</v>
      </c>
      <c r="N169" s="307"/>
      <c r="O169" s="162"/>
      <c r="P169" s="384">
        <f ca="1">IF(IFERROR(VLOOKUP(C169,APU!H:N,4,0),0),VLOOKUP(C169,APU!H:N,4,0),0)*500</f>
        <v>0</v>
      </c>
      <c r="Q169" s="384">
        <f ca="1">IF(IFERROR(VLOOKUP(C169,APU!H:N,5,0),0),VLOOKUP(C169,APU!H:N,5,0),0)*500</f>
        <v>2411686.4</v>
      </c>
      <c r="R169" s="384">
        <f ca="1">IF(IFERROR(VLOOKUP(C169,APU!H:N,6,0),0),VLOOKUP(C169,APU!H:N,6,0),0)*500</f>
        <v>0</v>
      </c>
      <c r="S169" s="384">
        <f ca="1">IF(IFERROR(VLOOKUP(C169,APU!H:N,7,0),0),VLOOKUP(C169,APU!H:N,7,0),0)*500</f>
        <v>0</v>
      </c>
      <c r="T169" s="160"/>
      <c r="U169" s="384">
        <f t="shared" ca="1" si="60"/>
        <v>241168.64000000001</v>
      </c>
      <c r="V169" s="384">
        <f t="shared" ca="1" si="61"/>
        <v>241168.64000000001</v>
      </c>
      <c r="W169" s="384">
        <f t="shared" ca="1" si="62"/>
        <v>24116.863999999998</v>
      </c>
      <c r="X169" s="384">
        <f t="shared" ca="1" si="63"/>
        <v>0</v>
      </c>
      <c r="Y169" s="384">
        <f t="shared" ca="1" si="64"/>
        <v>87544.216320000007</v>
      </c>
      <c r="Z169" s="384">
        <f t="shared" ca="1" si="65"/>
        <v>3005684.7603199999</v>
      </c>
      <c r="AA169" s="384">
        <f t="shared" ca="1" si="66"/>
        <v>45822.041600000004</v>
      </c>
      <c r="AB169" s="384">
        <f t="shared" ca="1" si="67"/>
        <v>0</v>
      </c>
      <c r="AC169" s="384">
        <f t="shared" ca="1" si="68"/>
        <v>0</v>
      </c>
    </row>
    <row r="170" spans="2:29" s="149" customFormat="1" ht="30.75" customHeight="1">
      <c r="B170" s="301"/>
      <c r="C170" s="333" t="s">
        <v>4992</v>
      </c>
      <c r="D170" s="455" t="s">
        <v>4994</v>
      </c>
      <c r="E170" s="456"/>
      <c r="F170" s="456"/>
      <c r="G170" s="456"/>
      <c r="H170" s="456"/>
      <c r="I170" s="457"/>
      <c r="J170" s="333" t="s">
        <v>4127</v>
      </c>
      <c r="K170" s="335"/>
      <c r="L170" s="305">
        <f t="shared" ref="L170" ca="1" si="80">Z170</f>
        <v>3005684.7603199999</v>
      </c>
      <c r="M170" s="306">
        <f t="shared" ref="M170" ca="1" si="81">L170*K170</f>
        <v>0</v>
      </c>
      <c r="N170" s="307"/>
      <c r="O170" s="162"/>
      <c r="P170" s="384">
        <f ca="1">IF(IFERROR(VLOOKUP(C170,APU!H:N,4,0),0),VLOOKUP(C170,APU!H:N,4,0),0)*500</f>
        <v>0</v>
      </c>
      <c r="Q170" s="384">
        <f ca="1">IF(IFERROR(VLOOKUP(C170,APU!H:N,5,0),0),VLOOKUP(C170,APU!H:N,5,0),0)*500</f>
        <v>2411686.4</v>
      </c>
      <c r="R170" s="384">
        <f ca="1">IF(IFERROR(VLOOKUP(C170,APU!H:N,6,0),0),VLOOKUP(C170,APU!H:N,6,0),0)*500</f>
        <v>0</v>
      </c>
      <c r="S170" s="384">
        <f ca="1">IF(IFERROR(VLOOKUP(C170,APU!H:N,7,0),0),VLOOKUP(C170,APU!H:N,7,0),0)*500</f>
        <v>0</v>
      </c>
      <c r="T170" s="160"/>
      <c r="U170" s="384">
        <f t="shared" ref="U170" ca="1" si="82">(P170+Q170+R170+S170)*$U$14</f>
        <v>241168.64000000001</v>
      </c>
      <c r="V170" s="384">
        <f t="shared" ref="V170" ca="1" si="83">(P170+Q170+R170+S170)*$V$14</f>
        <v>241168.64000000001</v>
      </c>
      <c r="W170" s="384">
        <f t="shared" ref="W170" ca="1" si="84">(Q170+R170+S170)*$W$14</f>
        <v>24116.863999999998</v>
      </c>
      <c r="X170" s="384">
        <f t="shared" ref="X170" ca="1" si="85">(P170+Q170+R170+S170)*$X$14</f>
        <v>0</v>
      </c>
      <c r="Y170" s="384">
        <f t="shared" ref="Y170" ca="1" si="86">(P170+Q170+U170+V170+W170+X170+R170+S170)*$Y$14</f>
        <v>87544.216320000007</v>
      </c>
      <c r="Z170" s="384">
        <f t="shared" ref="Z170" ca="1" si="87">R170+S170+U170+V170+W170+X170+Y170+Q170+P170</f>
        <v>3005684.7603199999</v>
      </c>
      <c r="AA170" s="384">
        <f t="shared" ref="AA170" ca="1" si="88">V170*$AA$14</f>
        <v>45822.041600000004</v>
      </c>
      <c r="AB170" s="384">
        <f t="shared" ref="AB170" ca="1" si="89">Z170*K170</f>
        <v>0</v>
      </c>
      <c r="AC170" s="384">
        <f t="shared" ref="AC170" ca="1" si="90">AA170*K170</f>
        <v>0</v>
      </c>
    </row>
    <row r="171" spans="2:29" s="149" customFormat="1" ht="30.75" customHeight="1">
      <c r="B171" s="301"/>
      <c r="C171" s="333">
        <v>3.41</v>
      </c>
      <c r="D171" s="455" t="s">
        <v>4995</v>
      </c>
      <c r="E171" s="456"/>
      <c r="F171" s="456"/>
      <c r="G171" s="456"/>
      <c r="H171" s="456"/>
      <c r="I171" s="457"/>
      <c r="J171" s="333" t="s">
        <v>4127</v>
      </c>
      <c r="K171" s="335"/>
      <c r="L171" s="305">
        <f t="shared" ca="1" si="58"/>
        <v>3870333.8009600001</v>
      </c>
      <c r="M171" s="306">
        <f t="shared" ca="1" si="59"/>
        <v>0</v>
      </c>
      <c r="N171" s="307"/>
      <c r="O171" s="162"/>
      <c r="P171" s="384">
        <f ca="1">IF(IFERROR(VLOOKUP(C171,APU!H:N,4,0),0),VLOOKUP(C171,APU!H:N,4,0),0)*500</f>
        <v>0</v>
      </c>
      <c r="Q171" s="384">
        <f ca="1">IF(IFERROR(VLOOKUP(C171,APU!H:N,5,0),0),VLOOKUP(C171,APU!H:N,5,0),0)*500</f>
        <v>3105459.2</v>
      </c>
      <c r="R171" s="384">
        <f ca="1">IF(IFERROR(VLOOKUP(C171,APU!H:N,6,0),0),VLOOKUP(C171,APU!H:N,6,0),0)*500</f>
        <v>0</v>
      </c>
      <c r="S171" s="384">
        <f ca="1">IF(IFERROR(VLOOKUP(C171,APU!H:N,7,0),0),VLOOKUP(C171,APU!H:N,7,0),0)*500</f>
        <v>0</v>
      </c>
      <c r="T171" s="160"/>
      <c r="U171" s="384">
        <f t="shared" ca="1" si="60"/>
        <v>310545.92000000004</v>
      </c>
      <c r="V171" s="384">
        <f t="shared" ca="1" si="61"/>
        <v>310545.92000000004</v>
      </c>
      <c r="W171" s="384">
        <f t="shared" ca="1" si="62"/>
        <v>31054.592000000004</v>
      </c>
      <c r="X171" s="384">
        <f t="shared" ca="1" si="63"/>
        <v>0</v>
      </c>
      <c r="Y171" s="384">
        <f t="shared" ca="1" si="64"/>
        <v>112728.16896</v>
      </c>
      <c r="Z171" s="384">
        <f t="shared" ca="1" si="65"/>
        <v>3870333.8009600001</v>
      </c>
      <c r="AA171" s="384">
        <f t="shared" ca="1" si="66"/>
        <v>59003.724800000011</v>
      </c>
      <c r="AB171" s="384">
        <f t="shared" ca="1" si="67"/>
        <v>0</v>
      </c>
      <c r="AC171" s="384">
        <f t="shared" ca="1" si="68"/>
        <v>0</v>
      </c>
    </row>
    <row r="172" spans="2:29" s="149" customFormat="1" ht="30.75" customHeight="1">
      <c r="B172" s="301"/>
      <c r="C172" s="333">
        <v>3.42</v>
      </c>
      <c r="D172" s="455" t="s">
        <v>4996</v>
      </c>
      <c r="E172" s="456"/>
      <c r="F172" s="456"/>
      <c r="G172" s="456"/>
      <c r="H172" s="456"/>
      <c r="I172" s="457"/>
      <c r="J172" s="333" t="s">
        <v>4127</v>
      </c>
      <c r="K172" s="335"/>
      <c r="L172" s="305">
        <f t="shared" ca="1" si="58"/>
        <v>4714395.9596800003</v>
      </c>
      <c r="M172" s="306">
        <f t="shared" ca="1" si="59"/>
        <v>0</v>
      </c>
      <c r="N172" s="307"/>
      <c r="O172" s="162"/>
      <c r="P172" s="384">
        <f ca="1">IF(IFERROR(VLOOKUP(C172,APU!H:N,4,0),0),VLOOKUP(C172,APU!H:N,4,0),0)*500</f>
        <v>0</v>
      </c>
      <c r="Q172" s="384">
        <f ca="1">IF(IFERROR(VLOOKUP(C172,APU!H:N,5,0),0),VLOOKUP(C172,APU!H:N,5,0),0)*500</f>
        <v>3782713.6000000006</v>
      </c>
      <c r="R172" s="384">
        <f ca="1">IF(IFERROR(VLOOKUP(C172,APU!H:N,6,0),0),VLOOKUP(C172,APU!H:N,6,0),0)*500</f>
        <v>0</v>
      </c>
      <c r="S172" s="384">
        <f ca="1">IF(IFERROR(VLOOKUP(C172,APU!H:N,7,0),0),VLOOKUP(C172,APU!H:N,7,0),0)*500</f>
        <v>0</v>
      </c>
      <c r="T172" s="160"/>
      <c r="U172" s="384">
        <f t="shared" ca="1" si="60"/>
        <v>378271.3600000001</v>
      </c>
      <c r="V172" s="384">
        <f t="shared" ca="1" si="61"/>
        <v>378271.3600000001</v>
      </c>
      <c r="W172" s="384">
        <f t="shared" ca="1" si="62"/>
        <v>37827.136000000006</v>
      </c>
      <c r="X172" s="384">
        <f t="shared" ca="1" si="63"/>
        <v>0</v>
      </c>
      <c r="Y172" s="384">
        <f t="shared" ca="1" si="64"/>
        <v>137312.50368000002</v>
      </c>
      <c r="Z172" s="384">
        <f t="shared" ca="1" si="65"/>
        <v>4714395.9596800003</v>
      </c>
      <c r="AA172" s="384">
        <f t="shared" ca="1" si="66"/>
        <v>71871.558400000024</v>
      </c>
      <c r="AB172" s="384">
        <f t="shared" ca="1" si="67"/>
        <v>0</v>
      </c>
      <c r="AC172" s="384">
        <f t="shared" ca="1" si="68"/>
        <v>0</v>
      </c>
    </row>
    <row r="173" spans="2:29" s="149" customFormat="1" ht="30.75" customHeight="1">
      <c r="B173" s="301"/>
      <c r="C173" s="333">
        <v>3.43</v>
      </c>
      <c r="D173" s="455" t="s">
        <v>4999</v>
      </c>
      <c r="E173" s="456"/>
      <c r="F173" s="456"/>
      <c r="G173" s="456"/>
      <c r="H173" s="456"/>
      <c r="I173" s="457"/>
      <c r="J173" s="333" t="s">
        <v>4127</v>
      </c>
      <c r="K173" s="335"/>
      <c r="L173" s="305">
        <f t="shared" ca="1" si="58"/>
        <v>1708711.19936</v>
      </c>
      <c r="M173" s="306">
        <f t="shared" ca="1" si="59"/>
        <v>0</v>
      </c>
      <c r="N173" s="307"/>
      <c r="O173" s="162"/>
      <c r="P173" s="384">
        <f ca="1">IF(IFERROR(VLOOKUP(C173,APU!H:N,4,0),0),VLOOKUP(C173,APU!H:N,4,0),0)*500</f>
        <v>0</v>
      </c>
      <c r="Q173" s="384">
        <f ca="1">IF(IFERROR(VLOOKUP(C173,APU!H:N,5,0),0),VLOOKUP(C173,APU!H:N,5,0),0)*500</f>
        <v>1371027.2</v>
      </c>
      <c r="R173" s="384">
        <f ca="1">IF(IFERROR(VLOOKUP(C173,APU!H:N,6,0),0),VLOOKUP(C173,APU!H:N,6,0),0)*500</f>
        <v>0</v>
      </c>
      <c r="S173" s="384">
        <f ca="1">IF(IFERROR(VLOOKUP(C173,APU!H:N,7,0),0),VLOOKUP(C173,APU!H:N,7,0),0)*500</f>
        <v>0</v>
      </c>
      <c r="T173" s="160"/>
      <c r="U173" s="384">
        <f t="shared" ca="1" si="60"/>
        <v>137102.72</v>
      </c>
      <c r="V173" s="384">
        <f t="shared" ca="1" si="61"/>
        <v>137102.72</v>
      </c>
      <c r="W173" s="384">
        <f t="shared" ca="1" si="62"/>
        <v>13710.271999999999</v>
      </c>
      <c r="X173" s="384">
        <f t="shared" ca="1" si="63"/>
        <v>0</v>
      </c>
      <c r="Y173" s="384">
        <f t="shared" ca="1" si="64"/>
        <v>49768.287360000002</v>
      </c>
      <c r="Z173" s="384">
        <f t="shared" ca="1" si="65"/>
        <v>1708711.19936</v>
      </c>
      <c r="AA173" s="384">
        <f t="shared" ca="1" si="66"/>
        <v>26049.516800000001</v>
      </c>
      <c r="AB173" s="384">
        <f t="shared" ca="1" si="67"/>
        <v>0</v>
      </c>
      <c r="AC173" s="384">
        <f t="shared" ca="1" si="68"/>
        <v>0</v>
      </c>
    </row>
    <row r="174" spans="2:29" s="149" customFormat="1" ht="30.75" customHeight="1">
      <c r="B174" s="301"/>
      <c r="C174" s="333">
        <v>3.44</v>
      </c>
      <c r="D174" s="455" t="s">
        <v>5000</v>
      </c>
      <c r="E174" s="456"/>
      <c r="F174" s="456"/>
      <c r="G174" s="456"/>
      <c r="H174" s="456"/>
      <c r="I174" s="457"/>
      <c r="J174" s="333" t="s">
        <v>4127</v>
      </c>
      <c r="K174" s="335"/>
      <c r="L174" s="305">
        <f t="shared" ca="1" si="48"/>
        <v>4282071.4393599993</v>
      </c>
      <c r="M174" s="306">
        <f t="shared" ca="1" si="47"/>
        <v>0</v>
      </c>
      <c r="N174" s="307"/>
      <c r="O174" s="162"/>
      <c r="P174" s="384">
        <f ca="1">IF(IFERROR(VLOOKUP(C174,APU!H:N,4,0),0),VLOOKUP(C174,APU!H:N,4,0),0)*500</f>
        <v>0</v>
      </c>
      <c r="Q174" s="384">
        <f ca="1">IF(IFERROR(VLOOKUP(C174,APU!H:N,5,0),0),VLOOKUP(C174,APU!H:N,5,0),0)*500</f>
        <v>3435827.1999999997</v>
      </c>
      <c r="R174" s="384">
        <f ca="1">IF(IFERROR(VLOOKUP(C174,APU!H:N,6,0),0),VLOOKUP(C174,APU!H:N,6,0),0)*500</f>
        <v>0</v>
      </c>
      <c r="S174" s="384">
        <f ca="1">IF(IFERROR(VLOOKUP(C174,APU!H:N,7,0),0),VLOOKUP(C174,APU!H:N,7,0),0)*500</f>
        <v>0</v>
      </c>
      <c r="T174" s="160"/>
      <c r="U174" s="384">
        <f t="shared" ca="1" si="49"/>
        <v>343582.71999999997</v>
      </c>
      <c r="V174" s="384">
        <f t="shared" ca="1" si="50"/>
        <v>343582.71999999997</v>
      </c>
      <c r="W174" s="384">
        <f t="shared" ca="1" si="51"/>
        <v>34358.271999999997</v>
      </c>
      <c r="X174" s="384">
        <f t="shared" ca="1" si="52"/>
        <v>0</v>
      </c>
      <c r="Y174" s="384">
        <f t="shared" ca="1" si="53"/>
        <v>124720.52735999998</v>
      </c>
      <c r="Z174" s="384">
        <f t="shared" ca="1" si="54"/>
        <v>4282071.4393599993</v>
      </c>
      <c r="AA174" s="384">
        <f t="shared" ca="1" si="55"/>
        <v>65280.716799999995</v>
      </c>
      <c r="AB174" s="384">
        <f t="shared" ca="1" si="56"/>
        <v>0</v>
      </c>
      <c r="AC174" s="384">
        <f t="shared" ca="1" si="57"/>
        <v>0</v>
      </c>
    </row>
    <row r="175" spans="2:29" s="149" customFormat="1" ht="18">
      <c r="B175" s="301"/>
      <c r="C175" s="339">
        <v>4</v>
      </c>
      <c r="D175" s="464" t="s">
        <v>4643</v>
      </c>
      <c r="E175" s="465"/>
      <c r="F175" s="465"/>
      <c r="G175" s="465"/>
      <c r="H175" s="465"/>
      <c r="I175" s="466"/>
      <c r="J175" s="340"/>
      <c r="K175" s="341"/>
      <c r="L175" s="341"/>
      <c r="M175" s="341"/>
      <c r="N175" s="307"/>
      <c r="O175" s="162"/>
      <c r="P175" s="384">
        <f ca="1">IF(IFERROR(VLOOKUP(C175,APU!H:N,4,0),0),VLOOKUP(C175,APU!H:N,4,0),0)</f>
        <v>0</v>
      </c>
      <c r="Q175" s="384">
        <f ca="1">IF(IFERROR(VLOOKUP(C175,APU!H:N,5,0),0),VLOOKUP(C175,APU!H:N,5,0),0)</f>
        <v>0</v>
      </c>
      <c r="R175" s="384">
        <f ca="1">IF(IFERROR(VLOOKUP(C175,APU!H:N,6,0),0),VLOOKUP(C175,APU!H:N,6,0),0)</f>
        <v>0</v>
      </c>
      <c r="S175" s="384">
        <f ca="1">IF(IFERROR(VLOOKUP(C175,APU!H:N,7,0),0),VLOOKUP(C175,APU!H:N,7,0),0)</f>
        <v>0</v>
      </c>
      <c r="T175" s="160"/>
      <c r="U175" s="384">
        <f t="shared" ca="1" si="49"/>
        <v>0</v>
      </c>
      <c r="V175" s="384">
        <f t="shared" ca="1" si="50"/>
        <v>0</v>
      </c>
      <c r="W175" s="384">
        <f t="shared" ca="1" si="51"/>
        <v>0</v>
      </c>
      <c r="X175" s="384">
        <f t="shared" ca="1" si="52"/>
        <v>0</v>
      </c>
      <c r="Y175" s="384">
        <f t="shared" ca="1" si="53"/>
        <v>0</v>
      </c>
      <c r="Z175" s="384">
        <f t="shared" ca="1" si="54"/>
        <v>0</v>
      </c>
      <c r="AA175" s="384">
        <f t="shared" ca="1" si="55"/>
        <v>0</v>
      </c>
      <c r="AB175" s="384">
        <f t="shared" ca="1" si="56"/>
        <v>0</v>
      </c>
      <c r="AC175" s="384">
        <f t="shared" ca="1" si="57"/>
        <v>0</v>
      </c>
    </row>
    <row r="176" spans="2:29" s="149" customFormat="1" ht="24.75" customHeight="1">
      <c r="B176" s="301"/>
      <c r="C176" s="333">
        <v>4.0999999999999996</v>
      </c>
      <c r="D176" s="455" t="s">
        <v>4644</v>
      </c>
      <c r="E176" s="456"/>
      <c r="F176" s="456"/>
      <c r="G176" s="456"/>
      <c r="H176" s="456"/>
      <c r="I176" s="457"/>
      <c r="J176" s="303" t="s">
        <v>4127</v>
      </c>
      <c r="K176" s="304"/>
      <c r="L176" s="305">
        <f t="shared" ca="1" si="48"/>
        <v>197959.17624999999</v>
      </c>
      <c r="M176" s="306">
        <f t="shared" ca="1" si="47"/>
        <v>0</v>
      </c>
      <c r="N176" s="307"/>
      <c r="O176" s="162"/>
      <c r="P176" s="384">
        <f ca="1">IF(IFERROR(VLOOKUP(C176,APU!H:N,4,0),0),VLOOKUP(C176,APU!H:N,4,0),0)</f>
        <v>0</v>
      </c>
      <c r="Q176" s="384">
        <f ca="1">IF(IFERROR(VLOOKUP(C176,APU!H:N,5,0),0),VLOOKUP(C176,APU!H:N,5,0),0)</f>
        <v>158837.5</v>
      </c>
      <c r="R176" s="384">
        <f ca="1">IF(IFERROR(VLOOKUP(C176,APU!H:N,6,0),0),VLOOKUP(C176,APU!H:N,6,0),0)</f>
        <v>0</v>
      </c>
      <c r="S176" s="384">
        <f ca="1">IF(IFERROR(VLOOKUP(C176,APU!H:N,7,0),0),VLOOKUP(C176,APU!H:N,7,0),0)</f>
        <v>0</v>
      </c>
      <c r="T176" s="160"/>
      <c r="U176" s="384">
        <f t="shared" ca="1" si="49"/>
        <v>15883.75</v>
      </c>
      <c r="V176" s="384">
        <f t="shared" ca="1" si="50"/>
        <v>15883.75</v>
      </c>
      <c r="W176" s="384">
        <f t="shared" ca="1" si="51"/>
        <v>1588.375</v>
      </c>
      <c r="X176" s="384">
        <f t="shared" ca="1" si="52"/>
        <v>0</v>
      </c>
      <c r="Y176" s="384">
        <f t="shared" ca="1" si="53"/>
        <v>5765.8012499999995</v>
      </c>
      <c r="Z176" s="384">
        <f t="shared" ca="1" si="54"/>
        <v>197959.17624999999</v>
      </c>
      <c r="AA176" s="384">
        <f t="shared" ca="1" si="55"/>
        <v>3017.9124999999999</v>
      </c>
      <c r="AB176" s="384">
        <f t="shared" ca="1" si="56"/>
        <v>0</v>
      </c>
      <c r="AC176" s="384">
        <f t="shared" ca="1" si="57"/>
        <v>0</v>
      </c>
    </row>
    <row r="177" spans="2:29" s="149" customFormat="1" ht="18">
      <c r="B177" s="301"/>
      <c r="C177" s="333">
        <v>4.2</v>
      </c>
      <c r="D177" s="455" t="s">
        <v>5005</v>
      </c>
      <c r="E177" s="456" t="s">
        <v>4717</v>
      </c>
      <c r="F177" s="456" t="s">
        <v>4717</v>
      </c>
      <c r="G177" s="456" t="s">
        <v>4717</v>
      </c>
      <c r="H177" s="456" t="s">
        <v>4717</v>
      </c>
      <c r="I177" s="457" t="s">
        <v>4717</v>
      </c>
      <c r="J177" s="303" t="s">
        <v>4127</v>
      </c>
      <c r="K177" s="304"/>
      <c r="L177" s="305">
        <f t="shared" ca="1" si="48"/>
        <v>61971.021200000003</v>
      </c>
      <c r="M177" s="306">
        <f t="shared" ca="1" si="47"/>
        <v>0</v>
      </c>
      <c r="N177" s="307"/>
      <c r="O177" s="162"/>
      <c r="P177" s="384">
        <f ca="1">IF(IFERROR(VLOOKUP(C177,APU!H:N,4,0),0),VLOOKUP(C177,APU!H:N,4,0),0)</f>
        <v>0</v>
      </c>
      <c r="Q177" s="384">
        <f ca="1">IF(IFERROR(VLOOKUP(C177,APU!H:N,5,0),0),VLOOKUP(C177,APU!H:N,5,0),0)</f>
        <v>49724</v>
      </c>
      <c r="R177" s="384">
        <f ca="1">IF(IFERROR(VLOOKUP(C177,APU!H:N,6,0),0),VLOOKUP(C177,APU!H:N,6,0),0)</f>
        <v>0</v>
      </c>
      <c r="S177" s="384">
        <f ca="1">IF(IFERROR(VLOOKUP(C177,APU!H:N,7,0),0),VLOOKUP(C177,APU!H:N,7,0),0)</f>
        <v>0</v>
      </c>
      <c r="T177" s="160"/>
      <c r="U177" s="384">
        <f t="shared" ca="1" si="49"/>
        <v>4972.4000000000005</v>
      </c>
      <c r="V177" s="384">
        <f t="shared" ca="1" si="50"/>
        <v>4972.4000000000005</v>
      </c>
      <c r="W177" s="384">
        <f t="shared" ca="1" si="51"/>
        <v>497.24</v>
      </c>
      <c r="X177" s="384">
        <f t="shared" ca="1" si="52"/>
        <v>0</v>
      </c>
      <c r="Y177" s="384">
        <f t="shared" ca="1" si="53"/>
        <v>1804.9811999999999</v>
      </c>
      <c r="Z177" s="384">
        <f t="shared" ca="1" si="54"/>
        <v>61971.021200000003</v>
      </c>
      <c r="AA177" s="384">
        <f t="shared" ca="1" si="55"/>
        <v>944.75600000000009</v>
      </c>
      <c r="AB177" s="384">
        <f t="shared" ca="1" si="56"/>
        <v>0</v>
      </c>
      <c r="AC177" s="384">
        <f t="shared" ca="1" si="57"/>
        <v>0</v>
      </c>
    </row>
    <row r="178" spans="2:29" s="149" customFormat="1" ht="18">
      <c r="B178" s="301"/>
      <c r="C178" s="333">
        <v>4.3</v>
      </c>
      <c r="D178" s="455" t="s">
        <v>5006</v>
      </c>
      <c r="E178" s="456" t="s">
        <v>4718</v>
      </c>
      <c r="F178" s="456" t="s">
        <v>4718</v>
      </c>
      <c r="G178" s="456" t="s">
        <v>4718</v>
      </c>
      <c r="H178" s="456" t="s">
        <v>4718</v>
      </c>
      <c r="I178" s="457" t="s">
        <v>4718</v>
      </c>
      <c r="J178" s="303" t="s">
        <v>4127</v>
      </c>
      <c r="K178" s="304"/>
      <c r="L178" s="305">
        <f t="shared" ca="1" si="48"/>
        <v>61971.021200000003</v>
      </c>
      <c r="M178" s="306">
        <f t="shared" ca="1" si="47"/>
        <v>0</v>
      </c>
      <c r="N178" s="307"/>
      <c r="O178" s="162"/>
      <c r="P178" s="384">
        <f ca="1">IF(IFERROR(VLOOKUP(C178,APU!H:N,4,0),0),VLOOKUP(C178,APU!H:N,4,0),0)</f>
        <v>0</v>
      </c>
      <c r="Q178" s="384">
        <f ca="1">IF(IFERROR(VLOOKUP(C178,APU!H:N,5,0),0),VLOOKUP(C178,APU!H:N,5,0),0)</f>
        <v>49724</v>
      </c>
      <c r="R178" s="384">
        <f ca="1">IF(IFERROR(VLOOKUP(C178,APU!H:N,6,0),0),VLOOKUP(C178,APU!H:N,6,0),0)</f>
        <v>0</v>
      </c>
      <c r="S178" s="384">
        <f ca="1">IF(IFERROR(VLOOKUP(C178,APU!H:N,7,0),0),VLOOKUP(C178,APU!H:N,7,0),0)</f>
        <v>0</v>
      </c>
      <c r="T178" s="160"/>
      <c r="U178" s="384">
        <f t="shared" ca="1" si="49"/>
        <v>4972.4000000000005</v>
      </c>
      <c r="V178" s="384">
        <f t="shared" ca="1" si="50"/>
        <v>4972.4000000000005</v>
      </c>
      <c r="W178" s="384">
        <f t="shared" ca="1" si="51"/>
        <v>497.24</v>
      </c>
      <c r="X178" s="384">
        <f t="shared" ca="1" si="52"/>
        <v>0</v>
      </c>
      <c r="Y178" s="384">
        <f t="shared" ca="1" si="53"/>
        <v>1804.9811999999999</v>
      </c>
      <c r="Z178" s="384">
        <f t="shared" ca="1" si="54"/>
        <v>61971.021200000003</v>
      </c>
      <c r="AA178" s="384">
        <f t="shared" ca="1" si="55"/>
        <v>944.75600000000009</v>
      </c>
      <c r="AB178" s="384">
        <f t="shared" ca="1" si="56"/>
        <v>0</v>
      </c>
      <c r="AC178" s="384">
        <f t="shared" ca="1" si="57"/>
        <v>0</v>
      </c>
    </row>
    <row r="179" spans="2:29" s="149" customFormat="1" ht="26.25" customHeight="1">
      <c r="B179" s="301"/>
      <c r="C179" s="333">
        <v>4.4000000000000004</v>
      </c>
      <c r="D179" s="455" t="s">
        <v>4728</v>
      </c>
      <c r="E179" s="456"/>
      <c r="F179" s="456"/>
      <c r="G179" s="456"/>
      <c r="H179" s="456"/>
      <c r="I179" s="457"/>
      <c r="J179" s="303" t="s">
        <v>4127</v>
      </c>
      <c r="K179" s="304"/>
      <c r="L179" s="305">
        <f t="shared" ca="1" si="48"/>
        <v>197959.17624999999</v>
      </c>
      <c r="M179" s="306">
        <f t="shared" ca="1" si="47"/>
        <v>0</v>
      </c>
      <c r="N179" s="307"/>
      <c r="O179" s="162"/>
      <c r="P179" s="384">
        <f ca="1">IF(IFERROR(VLOOKUP(C179,APU!H:N,4,0),0),VLOOKUP(C179,APU!H:N,4,0),0)</f>
        <v>0</v>
      </c>
      <c r="Q179" s="384">
        <f ca="1">IF(IFERROR(VLOOKUP(C179,APU!H:N,5,0),0),VLOOKUP(C179,APU!H:N,5,0),0)</f>
        <v>158837.5</v>
      </c>
      <c r="R179" s="384">
        <f ca="1">IF(IFERROR(VLOOKUP(C179,APU!H:N,6,0),0),VLOOKUP(C179,APU!H:N,6,0),0)</f>
        <v>0</v>
      </c>
      <c r="S179" s="384">
        <f ca="1">IF(IFERROR(VLOOKUP(C179,APU!H:N,7,0),0),VLOOKUP(C179,APU!H:N,7,0),0)</f>
        <v>0</v>
      </c>
      <c r="T179" s="160"/>
      <c r="U179" s="384">
        <f t="shared" ca="1" si="49"/>
        <v>15883.75</v>
      </c>
      <c r="V179" s="384">
        <f t="shared" ca="1" si="50"/>
        <v>15883.75</v>
      </c>
      <c r="W179" s="384">
        <f t="shared" ca="1" si="51"/>
        <v>1588.375</v>
      </c>
      <c r="X179" s="384">
        <f t="shared" ca="1" si="52"/>
        <v>0</v>
      </c>
      <c r="Y179" s="384">
        <f t="shared" ca="1" si="53"/>
        <v>5765.8012499999995</v>
      </c>
      <c r="Z179" s="384">
        <f t="shared" ca="1" si="54"/>
        <v>197959.17624999999</v>
      </c>
      <c r="AA179" s="384">
        <f t="shared" ca="1" si="55"/>
        <v>3017.9124999999999</v>
      </c>
      <c r="AB179" s="384">
        <f t="shared" ca="1" si="56"/>
        <v>0</v>
      </c>
      <c r="AC179" s="384">
        <f t="shared" ca="1" si="57"/>
        <v>0</v>
      </c>
    </row>
    <row r="180" spans="2:29" s="149" customFormat="1" ht="24" customHeight="1">
      <c r="B180" s="301"/>
      <c r="C180" s="333">
        <v>4.5</v>
      </c>
      <c r="D180" s="455" t="s">
        <v>4729</v>
      </c>
      <c r="E180" s="456"/>
      <c r="F180" s="456"/>
      <c r="G180" s="456"/>
      <c r="H180" s="456"/>
      <c r="I180" s="457"/>
      <c r="J180" s="303" t="s">
        <v>4127</v>
      </c>
      <c r="K180" s="304"/>
      <c r="L180" s="305">
        <f t="shared" ca="1" si="48"/>
        <v>197959.17624999999</v>
      </c>
      <c r="M180" s="306">
        <f t="shared" ca="1" si="47"/>
        <v>0</v>
      </c>
      <c r="N180" s="307"/>
      <c r="O180" s="162"/>
      <c r="P180" s="384">
        <f ca="1">IF(IFERROR(VLOOKUP(C180,APU!H:N,4,0),0),VLOOKUP(C180,APU!H:N,4,0),0)</f>
        <v>0</v>
      </c>
      <c r="Q180" s="384">
        <f ca="1">IF(IFERROR(VLOOKUP(C180,APU!H:N,5,0),0),VLOOKUP(C180,APU!H:N,5,0),0)</f>
        <v>158837.5</v>
      </c>
      <c r="R180" s="384">
        <f ca="1">IF(IFERROR(VLOOKUP(C180,APU!H:N,6,0),0),VLOOKUP(C180,APU!H:N,6,0),0)</f>
        <v>0</v>
      </c>
      <c r="S180" s="384">
        <f ca="1">IF(IFERROR(VLOOKUP(C180,APU!H:N,7,0),0),VLOOKUP(C180,APU!H:N,7,0),0)</f>
        <v>0</v>
      </c>
      <c r="T180" s="160"/>
      <c r="U180" s="384">
        <f t="shared" ca="1" si="49"/>
        <v>15883.75</v>
      </c>
      <c r="V180" s="384">
        <f t="shared" ca="1" si="50"/>
        <v>15883.75</v>
      </c>
      <c r="W180" s="384">
        <f t="shared" ca="1" si="51"/>
        <v>1588.375</v>
      </c>
      <c r="X180" s="384">
        <f t="shared" ca="1" si="52"/>
        <v>0</v>
      </c>
      <c r="Y180" s="384">
        <f t="shared" ca="1" si="53"/>
        <v>5765.8012499999995</v>
      </c>
      <c r="Z180" s="384">
        <f t="shared" ca="1" si="54"/>
        <v>197959.17624999999</v>
      </c>
      <c r="AA180" s="384">
        <f t="shared" ca="1" si="55"/>
        <v>3017.9124999999999</v>
      </c>
      <c r="AB180" s="384">
        <f t="shared" ca="1" si="56"/>
        <v>0</v>
      </c>
      <c r="AC180" s="384">
        <f t="shared" ca="1" si="57"/>
        <v>0</v>
      </c>
    </row>
    <row r="181" spans="2:29" s="149" customFormat="1" ht="18">
      <c r="B181" s="301"/>
      <c r="C181" s="333">
        <v>4.5999999999999996</v>
      </c>
      <c r="D181" s="455" t="s">
        <v>4730</v>
      </c>
      <c r="E181" s="456"/>
      <c r="F181" s="456"/>
      <c r="G181" s="456"/>
      <c r="H181" s="456"/>
      <c r="I181" s="457"/>
      <c r="J181" s="303" t="s">
        <v>4127</v>
      </c>
      <c r="K181" s="304"/>
      <c r="L181" s="305">
        <f t="shared" ca="1" si="48"/>
        <v>105599.34297879998</v>
      </c>
      <c r="M181" s="306">
        <f t="shared" ca="1" si="47"/>
        <v>0</v>
      </c>
      <c r="N181" s="307"/>
      <c r="O181" s="162"/>
      <c r="P181" s="384">
        <f ca="1">IF(IFERROR(VLOOKUP(C181,APU!H:N,4,0),0),VLOOKUP(C181,APU!H:N,4,0),0)</f>
        <v>0</v>
      </c>
      <c r="Q181" s="384">
        <f ca="1">IF(IFERROR(VLOOKUP(C181,APU!H:N,5,0),0),VLOOKUP(C181,APU!H:N,5,0),0)</f>
        <v>84730.275999999983</v>
      </c>
      <c r="R181" s="384">
        <f ca="1">IF(IFERROR(VLOOKUP(C181,APU!H:N,6,0),0),VLOOKUP(C181,APU!H:N,6,0),0)</f>
        <v>0</v>
      </c>
      <c r="S181" s="384">
        <f ca="1">IF(IFERROR(VLOOKUP(C181,APU!H:N,7,0),0),VLOOKUP(C181,APU!H:N,7,0),0)</f>
        <v>0</v>
      </c>
      <c r="T181" s="160"/>
      <c r="U181" s="384">
        <f t="shared" ca="1" si="49"/>
        <v>8473.0275999999994</v>
      </c>
      <c r="V181" s="384">
        <f t="shared" ca="1" si="50"/>
        <v>8473.0275999999994</v>
      </c>
      <c r="W181" s="384">
        <f t="shared" ca="1" si="51"/>
        <v>847.30275999999981</v>
      </c>
      <c r="X181" s="384">
        <f t="shared" ca="1" si="52"/>
        <v>0</v>
      </c>
      <c r="Y181" s="384">
        <f t="shared" ca="1" si="53"/>
        <v>3075.7090187999997</v>
      </c>
      <c r="Z181" s="384">
        <f t="shared" ca="1" si="54"/>
        <v>105599.34297879998</v>
      </c>
      <c r="AA181" s="384">
        <f t="shared" ca="1" si="55"/>
        <v>1609.8752439999998</v>
      </c>
      <c r="AB181" s="384">
        <f t="shared" ca="1" si="56"/>
        <v>0</v>
      </c>
      <c r="AC181" s="384">
        <f t="shared" ca="1" si="57"/>
        <v>0</v>
      </c>
    </row>
    <row r="182" spans="2:29" s="149" customFormat="1" ht="27.75" customHeight="1">
      <c r="B182" s="301"/>
      <c r="C182" s="333">
        <v>4.7</v>
      </c>
      <c r="D182" s="455" t="s">
        <v>4779</v>
      </c>
      <c r="E182" s="456"/>
      <c r="F182" s="456"/>
      <c r="G182" s="456"/>
      <c r="H182" s="456"/>
      <c r="I182" s="457"/>
      <c r="J182" s="303" t="s">
        <v>4127</v>
      </c>
      <c r="K182" s="304"/>
      <c r="L182" s="305">
        <f t="shared" ca="1" si="48"/>
        <v>197959.17624999999</v>
      </c>
      <c r="M182" s="306">
        <f t="shared" ca="1" si="47"/>
        <v>0</v>
      </c>
      <c r="N182" s="307"/>
      <c r="O182" s="162"/>
      <c r="P182" s="384">
        <f ca="1">IF(IFERROR(VLOOKUP(C182,APU!H:N,4,0),0),VLOOKUP(C182,APU!H:N,4,0),0)</f>
        <v>0</v>
      </c>
      <c r="Q182" s="384">
        <f ca="1">IF(IFERROR(VLOOKUP(C182,APU!H:N,5,0),0),VLOOKUP(C182,APU!H:N,5,0),0)</f>
        <v>158837.5</v>
      </c>
      <c r="R182" s="384">
        <f ca="1">IF(IFERROR(VLOOKUP(C182,APU!H:N,6,0),0),VLOOKUP(C182,APU!H:N,6,0),0)</f>
        <v>0</v>
      </c>
      <c r="S182" s="384">
        <f ca="1">IF(IFERROR(VLOOKUP(C182,APU!H:N,7,0),0),VLOOKUP(C182,APU!H:N,7,0),0)</f>
        <v>0</v>
      </c>
      <c r="T182" s="160"/>
      <c r="U182" s="384">
        <f t="shared" ca="1" si="49"/>
        <v>15883.75</v>
      </c>
      <c r="V182" s="384">
        <f t="shared" ca="1" si="50"/>
        <v>15883.75</v>
      </c>
      <c r="W182" s="384">
        <f t="shared" ca="1" si="51"/>
        <v>1588.375</v>
      </c>
      <c r="X182" s="384">
        <f t="shared" ca="1" si="52"/>
        <v>0</v>
      </c>
      <c r="Y182" s="384">
        <f t="shared" ca="1" si="53"/>
        <v>5765.8012499999995</v>
      </c>
      <c r="Z182" s="384">
        <f t="shared" ca="1" si="54"/>
        <v>197959.17624999999</v>
      </c>
      <c r="AA182" s="384">
        <f t="shared" ca="1" si="55"/>
        <v>3017.9124999999999</v>
      </c>
      <c r="AB182" s="384">
        <f t="shared" ca="1" si="56"/>
        <v>0</v>
      </c>
      <c r="AC182" s="384">
        <f t="shared" ca="1" si="57"/>
        <v>0</v>
      </c>
    </row>
    <row r="183" spans="2:29" s="149" customFormat="1" ht="27" customHeight="1">
      <c r="B183" s="301"/>
      <c r="C183" s="333">
        <v>4.8</v>
      </c>
      <c r="D183" s="455" t="s">
        <v>4807</v>
      </c>
      <c r="E183" s="456"/>
      <c r="F183" s="456"/>
      <c r="G183" s="456"/>
      <c r="H183" s="456"/>
      <c r="I183" s="457"/>
      <c r="J183" s="303" t="s">
        <v>4127</v>
      </c>
      <c r="K183" s="304"/>
      <c r="L183" s="305">
        <f t="shared" ca="1" si="48"/>
        <v>197959.17624999999</v>
      </c>
      <c r="M183" s="306">
        <f t="shared" ca="1" si="47"/>
        <v>0</v>
      </c>
      <c r="N183" s="307"/>
      <c r="O183" s="162"/>
      <c r="P183" s="384">
        <f ca="1">IF(IFERROR(VLOOKUP(C183,APU!H:N,4,0),0),VLOOKUP(C183,APU!H:N,4,0),0)</f>
        <v>0</v>
      </c>
      <c r="Q183" s="384">
        <f ca="1">IF(IFERROR(VLOOKUP(C183,APU!H:N,5,0),0),VLOOKUP(C183,APU!H:N,5,0),0)</f>
        <v>158837.5</v>
      </c>
      <c r="R183" s="384">
        <f ca="1">IF(IFERROR(VLOOKUP(C183,APU!H:N,6,0),0),VLOOKUP(C183,APU!H:N,6,0),0)</f>
        <v>0</v>
      </c>
      <c r="S183" s="384">
        <f ca="1">IF(IFERROR(VLOOKUP(C183,APU!H:N,7,0),0),VLOOKUP(C183,APU!H:N,7,0),0)</f>
        <v>0</v>
      </c>
      <c r="T183" s="160"/>
      <c r="U183" s="384">
        <f t="shared" ca="1" si="49"/>
        <v>15883.75</v>
      </c>
      <c r="V183" s="384">
        <f t="shared" ca="1" si="50"/>
        <v>15883.75</v>
      </c>
      <c r="W183" s="384">
        <f t="shared" ca="1" si="51"/>
        <v>1588.375</v>
      </c>
      <c r="X183" s="384">
        <f t="shared" ca="1" si="52"/>
        <v>0</v>
      </c>
      <c r="Y183" s="384">
        <f t="shared" ca="1" si="53"/>
        <v>5765.8012499999995</v>
      </c>
      <c r="Z183" s="384">
        <f t="shared" ca="1" si="54"/>
        <v>197959.17624999999</v>
      </c>
      <c r="AA183" s="384">
        <f t="shared" ca="1" si="55"/>
        <v>3017.9124999999999</v>
      </c>
      <c r="AB183" s="384">
        <f t="shared" ca="1" si="56"/>
        <v>0</v>
      </c>
      <c r="AC183" s="384">
        <f t="shared" ca="1" si="57"/>
        <v>0</v>
      </c>
    </row>
    <row r="184" spans="2:29" s="149" customFormat="1" ht="24.75" customHeight="1">
      <c r="B184" s="301"/>
      <c r="C184" s="333">
        <v>4.9000000000000004</v>
      </c>
      <c r="D184" s="455" t="s">
        <v>4808</v>
      </c>
      <c r="E184" s="456"/>
      <c r="F184" s="456"/>
      <c r="G184" s="456"/>
      <c r="H184" s="456"/>
      <c r="I184" s="457"/>
      <c r="J184" s="303" t="s">
        <v>4127</v>
      </c>
      <c r="K184" s="304"/>
      <c r="L184" s="305">
        <f t="shared" ref="L184:L185" ca="1" si="91">Z184</f>
        <v>263966.68397880002</v>
      </c>
      <c r="M184" s="306">
        <f t="shared" ref="M184:M185" ca="1" si="92">L184*K184</f>
        <v>0</v>
      </c>
      <c r="N184" s="307"/>
      <c r="O184" s="162"/>
      <c r="P184" s="384">
        <f ca="1">IF(IFERROR(VLOOKUP(C184,APU!H:N,4,0),0),VLOOKUP(C184,APU!H:N,4,0),0)</f>
        <v>0</v>
      </c>
      <c r="Q184" s="384">
        <f ca="1">IF(IFERROR(VLOOKUP(C184,APU!H:N,5,0),0),VLOOKUP(C184,APU!H:N,5,0),0)</f>
        <v>211800.27600000001</v>
      </c>
      <c r="R184" s="384">
        <f ca="1">IF(IFERROR(VLOOKUP(C184,APU!H:N,6,0),0),VLOOKUP(C184,APU!H:N,6,0),0)</f>
        <v>0</v>
      </c>
      <c r="S184" s="384">
        <f ca="1">IF(IFERROR(VLOOKUP(C184,APU!H:N,7,0),0),VLOOKUP(C184,APU!H:N,7,0),0)</f>
        <v>0</v>
      </c>
      <c r="T184" s="160"/>
      <c r="U184" s="384">
        <f t="shared" ref="U184:U185" ca="1" si="93">(P184+Q184+R184+S184)*$U$14</f>
        <v>21180.027600000001</v>
      </c>
      <c r="V184" s="384">
        <f t="shared" ref="V184:V185" ca="1" si="94">(P184+Q184+R184+S184)*$V$14</f>
        <v>21180.027600000001</v>
      </c>
      <c r="W184" s="384">
        <f t="shared" ref="W184:W185" ca="1" si="95">(Q184+R184+S184)*$W$14</f>
        <v>2118.0027600000003</v>
      </c>
      <c r="X184" s="384">
        <f t="shared" ref="X184:X185" ca="1" si="96">(P184+Q184+R184+S184)*$X$14</f>
        <v>0</v>
      </c>
      <c r="Y184" s="384">
        <f t="shared" ref="Y184:Y185" ca="1" si="97">(P184+Q184+U184+V184+W184+X184+R184+S184)*$Y$14</f>
        <v>7688.3500187999998</v>
      </c>
      <c r="Z184" s="384">
        <f t="shared" ref="Z184:Z185" ca="1" si="98">R184+S184+U184+V184+W184+X184+Y184+Q184+P184</f>
        <v>263966.68397880002</v>
      </c>
      <c r="AA184" s="384">
        <f t="shared" ref="AA184:AA185" ca="1" si="99">V184*$AA$14</f>
        <v>4024.2052440000002</v>
      </c>
      <c r="AB184" s="384">
        <f t="shared" ref="AB184:AB185" ca="1" si="100">Z184*K184</f>
        <v>0</v>
      </c>
      <c r="AC184" s="384">
        <f t="shared" ref="AC184:AC185" ca="1" si="101">AA184*K184</f>
        <v>0</v>
      </c>
    </row>
    <row r="185" spans="2:29" s="149" customFormat="1" ht="24.75" customHeight="1">
      <c r="B185" s="301"/>
      <c r="C185" s="333" t="s">
        <v>5003</v>
      </c>
      <c r="D185" s="455" t="s">
        <v>5004</v>
      </c>
      <c r="E185" s="456"/>
      <c r="F185" s="456"/>
      <c r="G185" s="456"/>
      <c r="H185" s="456"/>
      <c r="I185" s="457"/>
      <c r="J185" s="303" t="s">
        <v>4127</v>
      </c>
      <c r="K185" s="304"/>
      <c r="L185" s="305">
        <f t="shared" ca="1" si="91"/>
        <v>263966.68397880002</v>
      </c>
      <c r="M185" s="306">
        <f t="shared" ca="1" si="92"/>
        <v>0</v>
      </c>
      <c r="N185" s="307"/>
      <c r="O185" s="162"/>
      <c r="P185" s="384">
        <f ca="1">IF(IFERROR(VLOOKUP(C185,APU!H:N,4,0),0),VLOOKUP(C185,APU!H:N,4,0),0)</f>
        <v>0</v>
      </c>
      <c r="Q185" s="384">
        <f ca="1">IF(IFERROR(VLOOKUP(C185,APU!H:N,5,0),0),VLOOKUP(C185,APU!H:N,5,0),0)</f>
        <v>211800.27600000001</v>
      </c>
      <c r="R185" s="384">
        <f ca="1">IF(IFERROR(VLOOKUP(C185,APU!H:N,6,0),0),VLOOKUP(C185,APU!H:N,6,0),0)</f>
        <v>0</v>
      </c>
      <c r="S185" s="384">
        <f ca="1">IF(IFERROR(VLOOKUP(C185,APU!H:N,7,0),0),VLOOKUP(C185,APU!H:N,7,0),0)</f>
        <v>0</v>
      </c>
      <c r="T185" s="160"/>
      <c r="U185" s="384">
        <f t="shared" ca="1" si="93"/>
        <v>21180.027600000001</v>
      </c>
      <c r="V185" s="384">
        <f t="shared" ca="1" si="94"/>
        <v>21180.027600000001</v>
      </c>
      <c r="W185" s="384">
        <f t="shared" ca="1" si="95"/>
        <v>2118.0027600000003</v>
      </c>
      <c r="X185" s="384">
        <f t="shared" ca="1" si="96"/>
        <v>0</v>
      </c>
      <c r="Y185" s="384">
        <f t="shared" ca="1" si="97"/>
        <v>7688.3500187999998</v>
      </c>
      <c r="Z185" s="384">
        <f t="shared" ca="1" si="98"/>
        <v>263966.68397880002</v>
      </c>
      <c r="AA185" s="384">
        <f t="shared" ca="1" si="99"/>
        <v>4024.2052440000002</v>
      </c>
      <c r="AB185" s="384">
        <f t="shared" ca="1" si="100"/>
        <v>0</v>
      </c>
      <c r="AC185" s="384">
        <f t="shared" ca="1" si="101"/>
        <v>0</v>
      </c>
    </row>
    <row r="186" spans="2:29" s="149" customFormat="1" ht="24.75" customHeight="1">
      <c r="B186" s="301"/>
      <c r="C186" s="333">
        <v>4.1100000000000003</v>
      </c>
      <c r="D186" s="455" t="s">
        <v>5007</v>
      </c>
      <c r="E186" s="456" t="s">
        <v>4718</v>
      </c>
      <c r="F186" s="456" t="s">
        <v>4718</v>
      </c>
      <c r="G186" s="456" t="s">
        <v>4718</v>
      </c>
      <c r="H186" s="456" t="s">
        <v>4718</v>
      </c>
      <c r="I186" s="457" t="s">
        <v>4718</v>
      </c>
      <c r="J186" s="303" t="s">
        <v>4127</v>
      </c>
      <c r="K186" s="304"/>
      <c r="L186" s="305">
        <f t="shared" ca="1" si="48"/>
        <v>61971.021200000003</v>
      </c>
      <c r="M186" s="306">
        <f t="shared" ca="1" si="47"/>
        <v>0</v>
      </c>
      <c r="N186" s="307"/>
      <c r="O186" s="162"/>
      <c r="P186" s="384">
        <f ca="1">IF(IFERROR(VLOOKUP(C186,APU!H:N,4,0),0),VLOOKUP(C186,APU!H:N,4,0),0)</f>
        <v>0</v>
      </c>
      <c r="Q186" s="384">
        <f ca="1">IF(IFERROR(VLOOKUP(C186,APU!H:N,5,0),0),VLOOKUP(C186,APU!H:N,5,0),0)</f>
        <v>49724</v>
      </c>
      <c r="R186" s="384">
        <f ca="1">IF(IFERROR(VLOOKUP(C186,APU!H:N,6,0),0),VLOOKUP(C186,APU!H:N,6,0),0)</f>
        <v>0</v>
      </c>
      <c r="S186" s="384">
        <f ca="1">IF(IFERROR(VLOOKUP(C186,APU!H:N,7,0),0),VLOOKUP(C186,APU!H:N,7,0),0)</f>
        <v>0</v>
      </c>
      <c r="T186" s="160"/>
      <c r="U186" s="384">
        <f t="shared" ca="1" si="49"/>
        <v>4972.4000000000005</v>
      </c>
      <c r="V186" s="384">
        <f t="shared" ca="1" si="50"/>
        <v>4972.4000000000005</v>
      </c>
      <c r="W186" s="384">
        <f t="shared" ca="1" si="51"/>
        <v>497.24</v>
      </c>
      <c r="X186" s="384">
        <f t="shared" ca="1" si="52"/>
        <v>0</v>
      </c>
      <c r="Y186" s="384">
        <f t="shared" ca="1" si="53"/>
        <v>1804.9811999999999</v>
      </c>
      <c r="Z186" s="384">
        <f t="shared" ca="1" si="54"/>
        <v>61971.021200000003</v>
      </c>
      <c r="AA186" s="384">
        <f t="shared" ca="1" si="55"/>
        <v>944.75600000000009</v>
      </c>
      <c r="AB186" s="384">
        <f t="shared" ca="1" si="56"/>
        <v>0</v>
      </c>
      <c r="AC186" s="384">
        <f t="shared" ca="1" si="57"/>
        <v>0</v>
      </c>
    </row>
    <row r="187" spans="2:29" s="149" customFormat="1" ht="30.75" customHeight="1">
      <c r="B187" s="301"/>
      <c r="C187" s="339">
        <v>5</v>
      </c>
      <c r="D187" s="464" t="s">
        <v>4645</v>
      </c>
      <c r="E187" s="465"/>
      <c r="F187" s="465"/>
      <c r="G187" s="465"/>
      <c r="H187" s="465"/>
      <c r="I187" s="466"/>
      <c r="J187" s="340"/>
      <c r="K187" s="341"/>
      <c r="L187" s="341"/>
      <c r="M187" s="341"/>
      <c r="N187" s="307"/>
      <c r="O187" s="162"/>
      <c r="P187" s="384">
        <f ca="1">IF(IFERROR(VLOOKUP(C187,APU!H:N,4,0),0),VLOOKUP(C187,APU!H:N,4,0),0)</f>
        <v>0</v>
      </c>
      <c r="Q187" s="384">
        <f ca="1">IF(IFERROR(VLOOKUP(C187,APU!H:N,5,0),0),VLOOKUP(C187,APU!H:N,5,0),0)</f>
        <v>0</v>
      </c>
      <c r="R187" s="384">
        <f ca="1">IF(IFERROR(VLOOKUP(C187,APU!H:N,6,0),0),VLOOKUP(C187,APU!H:N,6,0),0)</f>
        <v>0</v>
      </c>
      <c r="S187" s="384">
        <f ca="1">IF(IFERROR(VLOOKUP(C187,APU!H:N,7,0),0),VLOOKUP(C187,APU!H:N,7,0),0)</f>
        <v>0</v>
      </c>
      <c r="T187" s="160"/>
      <c r="U187" s="384">
        <f t="shared" ca="1" si="49"/>
        <v>0</v>
      </c>
      <c r="V187" s="384">
        <f t="shared" ca="1" si="50"/>
        <v>0</v>
      </c>
      <c r="W187" s="384">
        <f t="shared" ca="1" si="51"/>
        <v>0</v>
      </c>
      <c r="X187" s="384">
        <f t="shared" ca="1" si="52"/>
        <v>0</v>
      </c>
      <c r="Y187" s="384">
        <f t="shared" ca="1" si="53"/>
        <v>0</v>
      </c>
      <c r="Z187" s="384">
        <f t="shared" ca="1" si="54"/>
        <v>0</v>
      </c>
      <c r="AA187" s="384">
        <f t="shared" ca="1" si="55"/>
        <v>0</v>
      </c>
      <c r="AB187" s="384">
        <f t="shared" ca="1" si="56"/>
        <v>0</v>
      </c>
      <c r="AC187" s="384">
        <f t="shared" ca="1" si="57"/>
        <v>0</v>
      </c>
    </row>
    <row r="188" spans="2:29" s="149" customFormat="1" ht="30.75" customHeight="1">
      <c r="B188" s="301"/>
      <c r="C188" s="333">
        <v>5.0999999999999996</v>
      </c>
      <c r="D188" s="461" t="s">
        <v>4812</v>
      </c>
      <c r="E188" s="462"/>
      <c r="F188" s="462"/>
      <c r="G188" s="462"/>
      <c r="H188" s="462"/>
      <c r="I188" s="463"/>
      <c r="J188" s="303" t="s">
        <v>4127</v>
      </c>
      <c r="K188" s="304"/>
      <c r="L188" s="305">
        <f t="shared" ca="1" si="48"/>
        <v>68636.664321279997</v>
      </c>
      <c r="M188" s="306">
        <f t="shared" ref="M188:M190" ca="1" si="102">L188*K188</f>
        <v>0</v>
      </c>
      <c r="N188" s="307"/>
      <c r="O188" s="162"/>
      <c r="P188" s="384">
        <f ca="1">IF(IFERROR(VLOOKUP(C188,APU!H:N,4,0),0),VLOOKUP(C188,APU!H:N,4,0),0)</f>
        <v>0</v>
      </c>
      <c r="Q188" s="384">
        <f ca="1">IF(IFERROR(VLOOKUP(C188,APU!H:N,5,0),0),VLOOKUP(C188,APU!H:N,5,0),0)</f>
        <v>55072.345600000001</v>
      </c>
      <c r="R188" s="384">
        <f ca="1">IF(IFERROR(VLOOKUP(C188,APU!H:N,6,0),0),VLOOKUP(C188,APU!H:N,6,0),0)</f>
        <v>0</v>
      </c>
      <c r="S188" s="384">
        <f ca="1">IF(IFERROR(VLOOKUP(C188,APU!H:N,7,0),0),VLOOKUP(C188,APU!H:N,7,0),0)</f>
        <v>0</v>
      </c>
      <c r="T188" s="160"/>
      <c r="U188" s="384">
        <f t="shared" ca="1" si="49"/>
        <v>5507.2345600000008</v>
      </c>
      <c r="V188" s="384">
        <f t="shared" ca="1" si="50"/>
        <v>5507.2345600000008</v>
      </c>
      <c r="W188" s="384">
        <f t="shared" ca="1" si="51"/>
        <v>550.72345600000006</v>
      </c>
      <c r="X188" s="384">
        <f t="shared" ca="1" si="52"/>
        <v>0</v>
      </c>
      <c r="Y188" s="384">
        <f t="shared" ca="1" si="53"/>
        <v>1999.1261452799999</v>
      </c>
      <c r="Z188" s="384">
        <f t="shared" ca="1" si="54"/>
        <v>68636.664321279997</v>
      </c>
      <c r="AA188" s="384">
        <f t="shared" ca="1" si="55"/>
        <v>1046.3745664</v>
      </c>
      <c r="AB188" s="384">
        <f t="shared" ca="1" si="56"/>
        <v>0</v>
      </c>
      <c r="AC188" s="384">
        <f t="shared" ca="1" si="57"/>
        <v>0</v>
      </c>
    </row>
    <row r="189" spans="2:29" s="149" customFormat="1" ht="30.75" customHeight="1">
      <c r="B189" s="301"/>
      <c r="C189" s="333">
        <v>5.2</v>
      </c>
      <c r="D189" s="461" t="s">
        <v>4656</v>
      </c>
      <c r="E189" s="462"/>
      <c r="F189" s="462"/>
      <c r="G189" s="462"/>
      <c r="H189" s="462"/>
      <c r="I189" s="463"/>
      <c r="J189" s="303" t="s">
        <v>4127</v>
      </c>
      <c r="K189" s="304"/>
      <c r="L189" s="305">
        <f t="shared" ca="1" si="48"/>
        <v>154401.61439999999</v>
      </c>
      <c r="M189" s="306">
        <f t="shared" ca="1" si="102"/>
        <v>0</v>
      </c>
      <c r="N189" s="307"/>
      <c r="O189" s="162"/>
      <c r="P189" s="384">
        <f ca="1">IF(IFERROR(VLOOKUP(C189,APU!H:N,4,0),0),VLOOKUP(C189,APU!H:N,4,0),0)</f>
        <v>0</v>
      </c>
      <c r="Q189" s="384">
        <f ca="1">IF(IFERROR(VLOOKUP(C189,APU!H:N,5,0),0),VLOOKUP(C189,APU!H:N,5,0),0)</f>
        <v>123888</v>
      </c>
      <c r="R189" s="384">
        <f ca="1">IF(IFERROR(VLOOKUP(C189,APU!H:N,6,0),0),VLOOKUP(C189,APU!H:N,6,0),0)</f>
        <v>0</v>
      </c>
      <c r="S189" s="384">
        <f ca="1">IF(IFERROR(VLOOKUP(C189,APU!H:N,7,0),0),VLOOKUP(C189,APU!H:N,7,0),0)</f>
        <v>0</v>
      </c>
      <c r="T189" s="160"/>
      <c r="U189" s="384">
        <f t="shared" ca="1" si="49"/>
        <v>12388.800000000001</v>
      </c>
      <c r="V189" s="384">
        <f t="shared" ca="1" si="50"/>
        <v>12388.800000000001</v>
      </c>
      <c r="W189" s="384">
        <f t="shared" ca="1" si="51"/>
        <v>1238.8800000000001</v>
      </c>
      <c r="X189" s="384">
        <f t="shared" ca="1" si="52"/>
        <v>0</v>
      </c>
      <c r="Y189" s="384">
        <f t="shared" ca="1" si="53"/>
        <v>4497.134399999999</v>
      </c>
      <c r="Z189" s="384">
        <f t="shared" ca="1" si="54"/>
        <v>154401.61439999999</v>
      </c>
      <c r="AA189" s="384">
        <f t="shared" ca="1" si="55"/>
        <v>2353.8720000000003</v>
      </c>
      <c r="AB189" s="384">
        <f t="shared" ca="1" si="56"/>
        <v>0</v>
      </c>
      <c r="AC189" s="384">
        <f t="shared" ca="1" si="57"/>
        <v>0</v>
      </c>
    </row>
    <row r="190" spans="2:29" s="149" customFormat="1" ht="30.75" customHeight="1">
      <c r="B190" s="301"/>
      <c r="C190" s="333">
        <v>5.3</v>
      </c>
      <c r="D190" s="461" t="s">
        <v>4813</v>
      </c>
      <c r="E190" s="462"/>
      <c r="F190" s="462"/>
      <c r="G190" s="462"/>
      <c r="H190" s="462"/>
      <c r="I190" s="463"/>
      <c r="J190" s="303" t="s">
        <v>4127</v>
      </c>
      <c r="K190" s="304"/>
      <c r="L190" s="305">
        <f t="shared" ca="1" si="48"/>
        <v>120103.86912128</v>
      </c>
      <c r="M190" s="306">
        <f t="shared" ca="1" si="102"/>
        <v>0</v>
      </c>
      <c r="N190" s="307"/>
      <c r="O190" s="162"/>
      <c r="P190" s="384">
        <f ca="1">IF(IFERROR(VLOOKUP(C190,APU!H:N,4,0),0),VLOOKUP(C190,APU!H:N,4,0),0)</f>
        <v>0</v>
      </c>
      <c r="Q190" s="384">
        <f ca="1">IF(IFERROR(VLOOKUP(C190,APU!H:N,5,0),0),VLOOKUP(C190,APU!H:N,5,0),0)</f>
        <v>96368.345600000001</v>
      </c>
      <c r="R190" s="384">
        <f ca="1">IF(IFERROR(VLOOKUP(C190,APU!H:N,6,0),0),VLOOKUP(C190,APU!H:N,6,0),0)</f>
        <v>0</v>
      </c>
      <c r="S190" s="384">
        <f ca="1">IF(IFERROR(VLOOKUP(C190,APU!H:N,7,0),0),VLOOKUP(C190,APU!H:N,7,0),0)</f>
        <v>0</v>
      </c>
      <c r="T190" s="160"/>
      <c r="U190" s="384">
        <f t="shared" ca="1" si="49"/>
        <v>9636.8345600000011</v>
      </c>
      <c r="V190" s="384">
        <f t="shared" ca="1" si="50"/>
        <v>9636.8345600000011</v>
      </c>
      <c r="W190" s="384">
        <f t="shared" ca="1" si="51"/>
        <v>963.68345599999998</v>
      </c>
      <c r="X190" s="384">
        <f t="shared" ca="1" si="52"/>
        <v>0</v>
      </c>
      <c r="Y190" s="384">
        <f t="shared" ca="1" si="53"/>
        <v>3498.1709452800001</v>
      </c>
      <c r="Z190" s="384">
        <f t="shared" ca="1" si="54"/>
        <v>120103.86912128</v>
      </c>
      <c r="AA190" s="384">
        <f t="shared" ca="1" si="55"/>
        <v>1830.9985664000003</v>
      </c>
      <c r="AB190" s="384">
        <f t="shared" ca="1" si="56"/>
        <v>0</v>
      </c>
      <c r="AC190" s="384">
        <f t="shared" ca="1" si="57"/>
        <v>0</v>
      </c>
    </row>
    <row r="191" spans="2:29" s="149" customFormat="1" ht="18">
      <c r="B191" s="301"/>
      <c r="C191" s="339">
        <v>6</v>
      </c>
      <c r="D191" s="464" t="s">
        <v>4646</v>
      </c>
      <c r="E191" s="465"/>
      <c r="F191" s="465"/>
      <c r="G191" s="465"/>
      <c r="H191" s="465"/>
      <c r="I191" s="466"/>
      <c r="J191" s="340"/>
      <c r="K191" s="341"/>
      <c r="L191" s="341"/>
      <c r="M191" s="341"/>
      <c r="N191" s="307"/>
      <c r="O191" s="162"/>
      <c r="P191" s="384">
        <f ca="1">IF(IFERROR(VLOOKUP(C191,APU!H:N,4,0),0),VLOOKUP(C191,APU!H:N,4,0),0)</f>
        <v>0</v>
      </c>
      <c r="Q191" s="384">
        <f ca="1">IF(IFERROR(VLOOKUP(C191,APU!H:N,5,0),0),VLOOKUP(C191,APU!H:N,5,0),0)</f>
        <v>0</v>
      </c>
      <c r="R191" s="384">
        <f ca="1">IF(IFERROR(VLOOKUP(C191,APU!H:N,6,0),0),VLOOKUP(C191,APU!H:N,6,0),0)</f>
        <v>0</v>
      </c>
      <c r="S191" s="384">
        <f ca="1">IF(IFERROR(VLOOKUP(C191,APU!H:N,7,0),0),VLOOKUP(C191,APU!H:N,7,0),0)</f>
        <v>0</v>
      </c>
      <c r="T191" s="160"/>
      <c r="U191" s="384">
        <f t="shared" ca="1" si="49"/>
        <v>0</v>
      </c>
      <c r="V191" s="384">
        <f t="shared" ca="1" si="50"/>
        <v>0</v>
      </c>
      <c r="W191" s="384">
        <f t="shared" ca="1" si="51"/>
        <v>0</v>
      </c>
      <c r="X191" s="384">
        <f t="shared" ca="1" si="52"/>
        <v>0</v>
      </c>
      <c r="Y191" s="384">
        <f t="shared" ca="1" si="53"/>
        <v>0</v>
      </c>
      <c r="Z191" s="384">
        <f t="shared" ca="1" si="54"/>
        <v>0</v>
      </c>
      <c r="AA191" s="384">
        <f t="shared" ca="1" si="55"/>
        <v>0</v>
      </c>
      <c r="AB191" s="384">
        <f t="shared" ca="1" si="56"/>
        <v>0</v>
      </c>
      <c r="AC191" s="384">
        <f t="shared" ca="1" si="57"/>
        <v>0</v>
      </c>
    </row>
    <row r="192" spans="2:29" s="149" customFormat="1" ht="18">
      <c r="B192" s="301"/>
      <c r="C192" s="333">
        <v>6.1</v>
      </c>
      <c r="D192" s="461" t="s">
        <v>4647</v>
      </c>
      <c r="E192" s="462"/>
      <c r="F192" s="462"/>
      <c r="G192" s="462"/>
      <c r="H192" s="462"/>
      <c r="I192" s="463"/>
      <c r="J192" s="303" t="s">
        <v>4127</v>
      </c>
      <c r="K192" s="304"/>
      <c r="L192" s="305">
        <f t="shared" ca="1" si="48"/>
        <v>214432.96207872004</v>
      </c>
      <c r="M192" s="306">
        <f t="shared" ref="M192:M207" ca="1" si="103">L192*K192</f>
        <v>0</v>
      </c>
      <c r="N192" s="307"/>
      <c r="O192" s="162"/>
      <c r="P192" s="384">
        <f ca="1">IF(IFERROR(VLOOKUP(C192,APU!H:N,4,0),0),VLOOKUP(C192,APU!H:N,4,0),0)</f>
        <v>0</v>
      </c>
      <c r="Q192" s="384">
        <f ca="1">IF(IFERROR(VLOOKUP(C192,APU!H:N,5,0),0),VLOOKUP(C192,APU!H:N,5,0),0)</f>
        <v>172055.65440000003</v>
      </c>
      <c r="R192" s="384">
        <f ca="1">IF(IFERROR(VLOOKUP(C192,APU!H:N,6,0),0),VLOOKUP(C192,APU!H:N,6,0),0)</f>
        <v>0</v>
      </c>
      <c r="S192" s="384">
        <f ca="1">IF(IFERROR(VLOOKUP(C192,APU!H:N,7,0),0),VLOOKUP(C192,APU!H:N,7,0),0)</f>
        <v>0</v>
      </c>
      <c r="T192" s="160"/>
      <c r="U192" s="384">
        <f t="shared" ca="1" si="49"/>
        <v>17205.565440000002</v>
      </c>
      <c r="V192" s="384">
        <f t="shared" ca="1" si="50"/>
        <v>17205.565440000002</v>
      </c>
      <c r="W192" s="384">
        <f t="shared" ca="1" si="51"/>
        <v>1720.5565440000003</v>
      </c>
      <c r="X192" s="384">
        <f t="shared" ca="1" si="52"/>
        <v>0</v>
      </c>
      <c r="Y192" s="384">
        <f t="shared" ca="1" si="53"/>
        <v>6245.620254720001</v>
      </c>
      <c r="Z192" s="384">
        <f t="shared" ca="1" si="54"/>
        <v>214432.96207872004</v>
      </c>
      <c r="AA192" s="384">
        <f t="shared" ca="1" si="55"/>
        <v>3269.0574336000004</v>
      </c>
      <c r="AB192" s="384">
        <f t="shared" ca="1" si="56"/>
        <v>0</v>
      </c>
      <c r="AC192" s="384">
        <f t="shared" ca="1" si="57"/>
        <v>0</v>
      </c>
    </row>
    <row r="193" spans="2:29" s="149" customFormat="1" ht="38.25" customHeight="1">
      <c r="B193" s="301"/>
      <c r="C193" s="333">
        <v>6.2</v>
      </c>
      <c r="D193" s="455" t="s">
        <v>4648</v>
      </c>
      <c r="E193" s="456"/>
      <c r="F193" s="456"/>
      <c r="G193" s="456"/>
      <c r="H193" s="456"/>
      <c r="I193" s="457"/>
      <c r="J193" s="303" t="s">
        <v>4127</v>
      </c>
      <c r="K193" s="304"/>
      <c r="L193" s="305">
        <f t="shared" ca="1" si="48"/>
        <v>549438.83279999997</v>
      </c>
      <c r="M193" s="306">
        <f t="shared" ca="1" si="103"/>
        <v>0</v>
      </c>
      <c r="N193" s="307"/>
      <c r="O193" s="162"/>
      <c r="P193" s="384">
        <f ca="1">IF(IFERROR(VLOOKUP(C193,APU!H:N,4,0),0),VLOOKUP(C193,APU!H:N,4,0),0)</f>
        <v>0</v>
      </c>
      <c r="Q193" s="384">
        <f ca="1">IF(IFERROR(VLOOKUP(C193,APU!H:N,5,0),0),VLOOKUP(C193,APU!H:N,5,0),0)</f>
        <v>440856</v>
      </c>
      <c r="R193" s="384">
        <f ca="1">IF(IFERROR(VLOOKUP(C193,APU!H:N,6,0),0),VLOOKUP(C193,APU!H:N,6,0),0)</f>
        <v>0</v>
      </c>
      <c r="S193" s="384">
        <f ca="1">IF(IFERROR(VLOOKUP(C193,APU!H:N,7,0),0),VLOOKUP(C193,APU!H:N,7,0),0)</f>
        <v>0</v>
      </c>
      <c r="T193" s="160"/>
      <c r="U193" s="384">
        <f t="shared" ca="1" si="49"/>
        <v>44085.600000000006</v>
      </c>
      <c r="V193" s="384">
        <f t="shared" ca="1" si="50"/>
        <v>44085.600000000006</v>
      </c>
      <c r="W193" s="384">
        <f t="shared" ca="1" si="51"/>
        <v>4408.5600000000004</v>
      </c>
      <c r="X193" s="384">
        <f t="shared" ca="1" si="52"/>
        <v>0</v>
      </c>
      <c r="Y193" s="384">
        <f t="shared" ca="1" si="53"/>
        <v>16003.0728</v>
      </c>
      <c r="Z193" s="384">
        <f t="shared" ca="1" si="54"/>
        <v>549438.83279999997</v>
      </c>
      <c r="AA193" s="384">
        <f t="shared" ca="1" si="55"/>
        <v>8376.264000000001</v>
      </c>
      <c r="AB193" s="384">
        <f t="shared" ca="1" si="56"/>
        <v>0</v>
      </c>
      <c r="AC193" s="384">
        <f t="shared" ca="1" si="57"/>
        <v>0</v>
      </c>
    </row>
    <row r="194" spans="2:29" s="149" customFormat="1" ht="18">
      <c r="B194" s="301"/>
      <c r="C194" s="333">
        <v>6.3</v>
      </c>
      <c r="D194" s="455" t="s">
        <v>4716</v>
      </c>
      <c r="E194" s="456"/>
      <c r="F194" s="456"/>
      <c r="G194" s="456"/>
      <c r="H194" s="456"/>
      <c r="I194" s="457"/>
      <c r="J194" s="303" t="s">
        <v>4127</v>
      </c>
      <c r="K194" s="304"/>
      <c r="L194" s="305">
        <f t="shared" ca="1" si="48"/>
        <v>549438.83279999997</v>
      </c>
      <c r="M194" s="306">
        <f t="shared" ca="1" si="103"/>
        <v>0</v>
      </c>
      <c r="N194" s="307"/>
      <c r="O194" s="162"/>
      <c r="P194" s="384">
        <f ca="1">IF(IFERROR(VLOOKUP(C194,APU!H:N,4,0),0),VLOOKUP(C194,APU!H:N,4,0),0)</f>
        <v>0</v>
      </c>
      <c r="Q194" s="384">
        <f ca="1">IF(IFERROR(VLOOKUP(C194,APU!H:N,5,0),0),VLOOKUP(C194,APU!H:N,5,0),0)</f>
        <v>440856</v>
      </c>
      <c r="R194" s="384">
        <f ca="1">IF(IFERROR(VLOOKUP(C194,APU!H:N,6,0),0),VLOOKUP(C194,APU!H:N,6,0),0)</f>
        <v>0</v>
      </c>
      <c r="S194" s="384">
        <f ca="1">IF(IFERROR(VLOOKUP(C194,APU!H:N,7,0),0),VLOOKUP(C194,APU!H:N,7,0),0)</f>
        <v>0</v>
      </c>
      <c r="T194" s="160"/>
      <c r="U194" s="384">
        <f t="shared" ca="1" si="49"/>
        <v>44085.600000000006</v>
      </c>
      <c r="V194" s="384">
        <f t="shared" ca="1" si="50"/>
        <v>44085.600000000006</v>
      </c>
      <c r="W194" s="384">
        <f t="shared" ca="1" si="51"/>
        <v>4408.5600000000004</v>
      </c>
      <c r="X194" s="384">
        <f t="shared" ca="1" si="52"/>
        <v>0</v>
      </c>
      <c r="Y194" s="384">
        <f t="shared" ca="1" si="53"/>
        <v>16003.0728</v>
      </c>
      <c r="Z194" s="384">
        <f t="shared" ca="1" si="54"/>
        <v>549438.83279999997</v>
      </c>
      <c r="AA194" s="384">
        <f t="shared" ca="1" si="55"/>
        <v>8376.264000000001</v>
      </c>
      <c r="AB194" s="384">
        <f t="shared" ca="1" si="56"/>
        <v>0</v>
      </c>
      <c r="AC194" s="384">
        <f t="shared" ca="1" si="57"/>
        <v>0</v>
      </c>
    </row>
    <row r="195" spans="2:29" s="149" customFormat="1" ht="41.25" customHeight="1">
      <c r="B195" s="301"/>
      <c r="C195" s="339">
        <v>7</v>
      </c>
      <c r="D195" s="464" t="s">
        <v>4688</v>
      </c>
      <c r="E195" s="465"/>
      <c r="F195" s="465"/>
      <c r="G195" s="465"/>
      <c r="H195" s="465"/>
      <c r="I195" s="466"/>
      <c r="J195" s="340"/>
      <c r="K195" s="341"/>
      <c r="L195" s="341"/>
      <c r="M195" s="341"/>
      <c r="N195" s="307"/>
      <c r="O195" s="162"/>
      <c r="P195" s="384">
        <f ca="1">IF(IFERROR(VLOOKUP(C195,APU!H:N,4,0),0),VLOOKUP(C195,APU!H:N,4,0),0)</f>
        <v>0</v>
      </c>
      <c r="Q195" s="384">
        <f ca="1">IF(IFERROR(VLOOKUP(C195,APU!H:N,5,0),0),VLOOKUP(C195,APU!H:N,5,0),0)</f>
        <v>0</v>
      </c>
      <c r="R195" s="384">
        <f ca="1">IF(IFERROR(VLOOKUP(C195,APU!H:N,6,0),0),VLOOKUP(C195,APU!H:N,6,0),0)</f>
        <v>0</v>
      </c>
      <c r="S195" s="384">
        <f ca="1">IF(IFERROR(VLOOKUP(C195,APU!H:N,7,0),0),VLOOKUP(C195,APU!H:N,7,0),0)</f>
        <v>0</v>
      </c>
      <c r="T195" s="160"/>
      <c r="U195" s="384">
        <f t="shared" ca="1" si="49"/>
        <v>0</v>
      </c>
      <c r="V195" s="384">
        <f t="shared" ca="1" si="50"/>
        <v>0</v>
      </c>
      <c r="W195" s="384">
        <f t="shared" ca="1" si="51"/>
        <v>0</v>
      </c>
      <c r="X195" s="384">
        <f t="shared" ca="1" si="52"/>
        <v>0</v>
      </c>
      <c r="Y195" s="384">
        <f t="shared" ca="1" si="53"/>
        <v>0</v>
      </c>
      <c r="Z195" s="384">
        <f t="shared" ca="1" si="54"/>
        <v>0</v>
      </c>
      <c r="AA195" s="384">
        <f t="shared" ca="1" si="55"/>
        <v>0</v>
      </c>
      <c r="AB195" s="384">
        <f t="shared" ca="1" si="56"/>
        <v>0</v>
      </c>
      <c r="AC195" s="384">
        <f t="shared" ca="1" si="57"/>
        <v>0</v>
      </c>
    </row>
    <row r="196" spans="2:29" s="149" customFormat="1" ht="41.25" customHeight="1">
      <c r="B196" s="301"/>
      <c r="C196" s="333">
        <v>7.1</v>
      </c>
      <c r="D196" s="455" t="s">
        <v>4689</v>
      </c>
      <c r="E196" s="456" t="s">
        <v>4689</v>
      </c>
      <c r="F196" s="456" t="s">
        <v>4689</v>
      </c>
      <c r="G196" s="456" t="s">
        <v>4689</v>
      </c>
      <c r="H196" s="456" t="s">
        <v>4689</v>
      </c>
      <c r="I196" s="457" t="s">
        <v>4689</v>
      </c>
      <c r="J196" s="303" t="s">
        <v>170</v>
      </c>
      <c r="K196" s="304"/>
      <c r="L196" s="305">
        <f t="shared" ca="1" si="48"/>
        <v>8021.8069588800008</v>
      </c>
      <c r="M196" s="306">
        <f t="shared" ca="1" si="103"/>
        <v>0</v>
      </c>
      <c r="N196" s="307"/>
      <c r="O196" s="162"/>
      <c r="P196" s="384">
        <f ca="1">IF(IFERROR(VLOOKUP(C196,APU!H:N,4,0),0),VLOOKUP(C196,APU!H:N,4,0),0)</f>
        <v>0</v>
      </c>
      <c r="Q196" s="384">
        <f ca="1">IF(IFERROR(VLOOKUP(C196,APU!H:N,5,0),0),VLOOKUP(C196,APU!H:N,5,0),0)</f>
        <v>6436.4976000000006</v>
      </c>
      <c r="R196" s="384">
        <f ca="1">IF(IFERROR(VLOOKUP(C196,APU!H:N,6,0),0),VLOOKUP(C196,APU!H:N,6,0),0)</f>
        <v>0</v>
      </c>
      <c r="S196" s="384">
        <f ca="1">IF(IFERROR(VLOOKUP(C196,APU!H:N,7,0),0),VLOOKUP(C196,APU!H:N,7,0),0)</f>
        <v>0</v>
      </c>
      <c r="T196" s="160"/>
      <c r="U196" s="384">
        <f t="shared" ca="1" si="49"/>
        <v>643.64976000000013</v>
      </c>
      <c r="V196" s="384">
        <f t="shared" ca="1" si="50"/>
        <v>643.64976000000013</v>
      </c>
      <c r="W196" s="384">
        <f t="shared" ca="1" si="51"/>
        <v>64.364976000000013</v>
      </c>
      <c r="X196" s="384">
        <f t="shared" ca="1" si="52"/>
        <v>0</v>
      </c>
      <c r="Y196" s="384">
        <f t="shared" ca="1" si="53"/>
        <v>233.64486288000001</v>
      </c>
      <c r="Z196" s="384">
        <f t="shared" ca="1" si="54"/>
        <v>8021.8069588800008</v>
      </c>
      <c r="AA196" s="384">
        <f t="shared" ca="1" si="55"/>
        <v>122.29345440000003</v>
      </c>
      <c r="AB196" s="384">
        <f t="shared" ca="1" si="56"/>
        <v>0</v>
      </c>
      <c r="AC196" s="384">
        <f t="shared" ca="1" si="57"/>
        <v>0</v>
      </c>
    </row>
    <row r="197" spans="2:29" s="149" customFormat="1" ht="41.25" customHeight="1">
      <c r="B197" s="301"/>
      <c r="C197" s="333">
        <v>7.2</v>
      </c>
      <c r="D197" s="455" t="s">
        <v>4690</v>
      </c>
      <c r="E197" s="456" t="s">
        <v>4690</v>
      </c>
      <c r="F197" s="456" t="s">
        <v>4690</v>
      </c>
      <c r="G197" s="456" t="s">
        <v>4690</v>
      </c>
      <c r="H197" s="456" t="s">
        <v>4690</v>
      </c>
      <c r="I197" s="457" t="s">
        <v>4690</v>
      </c>
      <c r="J197" s="303" t="s">
        <v>170</v>
      </c>
      <c r="K197" s="304"/>
      <c r="L197" s="305">
        <f t="shared" ca="1" si="48"/>
        <v>11428.327722239999</v>
      </c>
      <c r="M197" s="306">
        <f t="shared" ca="1" si="103"/>
        <v>0</v>
      </c>
      <c r="N197" s="307"/>
      <c r="O197" s="162"/>
      <c r="P197" s="384">
        <f ca="1">IF(IFERROR(VLOOKUP(C197,APU!H:N,4,0),0),VLOOKUP(C197,APU!H:N,4,0),0)</f>
        <v>0</v>
      </c>
      <c r="Q197" s="384">
        <f ca="1">IF(IFERROR(VLOOKUP(C197,APU!H:N,5,0),0),VLOOKUP(C197,APU!H:N,5,0),0)</f>
        <v>9169.8047999999999</v>
      </c>
      <c r="R197" s="384">
        <f ca="1">IF(IFERROR(VLOOKUP(C197,APU!H:N,6,0),0),VLOOKUP(C197,APU!H:N,6,0),0)</f>
        <v>0</v>
      </c>
      <c r="S197" s="384">
        <f ca="1">IF(IFERROR(VLOOKUP(C197,APU!H:N,7,0),0),VLOOKUP(C197,APU!H:N,7,0),0)</f>
        <v>0</v>
      </c>
      <c r="T197" s="160"/>
      <c r="U197" s="384">
        <f t="shared" ca="1" si="49"/>
        <v>916.98048000000006</v>
      </c>
      <c r="V197" s="384">
        <f t="shared" ca="1" si="50"/>
        <v>916.98048000000006</v>
      </c>
      <c r="W197" s="384">
        <f t="shared" ca="1" si="51"/>
        <v>91.698048</v>
      </c>
      <c r="X197" s="384">
        <f t="shared" ca="1" si="52"/>
        <v>0</v>
      </c>
      <c r="Y197" s="384">
        <f t="shared" ca="1" si="53"/>
        <v>332.86391423999999</v>
      </c>
      <c r="Z197" s="384">
        <f t="shared" ca="1" si="54"/>
        <v>11428.327722239999</v>
      </c>
      <c r="AA197" s="384">
        <f t="shared" ca="1" si="55"/>
        <v>174.22629120000002</v>
      </c>
      <c r="AB197" s="384">
        <f t="shared" ca="1" si="56"/>
        <v>0</v>
      </c>
      <c r="AC197" s="384">
        <f t="shared" ca="1" si="57"/>
        <v>0</v>
      </c>
    </row>
    <row r="198" spans="2:29" s="149" customFormat="1" ht="18">
      <c r="B198" s="301"/>
      <c r="C198" s="333">
        <v>7.3</v>
      </c>
      <c r="D198" s="455" t="s">
        <v>4691</v>
      </c>
      <c r="E198" s="456" t="s">
        <v>4691</v>
      </c>
      <c r="F198" s="456" t="s">
        <v>4691</v>
      </c>
      <c r="G198" s="456" t="s">
        <v>4691</v>
      </c>
      <c r="H198" s="456" t="s">
        <v>4691</v>
      </c>
      <c r="I198" s="457" t="s">
        <v>4691</v>
      </c>
      <c r="J198" s="303" t="s">
        <v>170</v>
      </c>
      <c r="K198" s="304"/>
      <c r="L198" s="305">
        <f t="shared" ca="1" si="48"/>
        <v>17197.435466640003</v>
      </c>
      <c r="M198" s="306">
        <f t="shared" ca="1" si="103"/>
        <v>0</v>
      </c>
      <c r="N198" s="307"/>
      <c r="O198" s="162"/>
      <c r="P198" s="384">
        <f ca="1">IF(IFERROR(VLOOKUP(C198,APU!H:N,4,0),0),VLOOKUP(C198,APU!H:N,4,0),0)</f>
        <v>0</v>
      </c>
      <c r="Q198" s="384">
        <f ca="1">IF(IFERROR(VLOOKUP(C198,APU!H:N,5,0),0),VLOOKUP(C198,APU!H:N,5,0),0)</f>
        <v>13798.792800000001</v>
      </c>
      <c r="R198" s="384">
        <f ca="1">IF(IFERROR(VLOOKUP(C198,APU!H:N,6,0),0),VLOOKUP(C198,APU!H:N,6,0),0)</f>
        <v>0</v>
      </c>
      <c r="S198" s="384">
        <f ca="1">IF(IFERROR(VLOOKUP(C198,APU!H:N,7,0),0),VLOOKUP(C198,APU!H:N,7,0),0)</f>
        <v>0</v>
      </c>
      <c r="T198" s="160"/>
      <c r="U198" s="384">
        <f t="shared" ca="1" si="49"/>
        <v>1379.8792800000001</v>
      </c>
      <c r="V198" s="384">
        <f t="shared" ca="1" si="50"/>
        <v>1379.8792800000001</v>
      </c>
      <c r="W198" s="384">
        <f t="shared" ca="1" si="51"/>
        <v>137.98792800000001</v>
      </c>
      <c r="X198" s="384">
        <f t="shared" ca="1" si="52"/>
        <v>0</v>
      </c>
      <c r="Y198" s="384">
        <f t="shared" ca="1" si="53"/>
        <v>500.89617863999996</v>
      </c>
      <c r="Z198" s="384">
        <f t="shared" ca="1" si="54"/>
        <v>17197.435466640003</v>
      </c>
      <c r="AA198" s="384">
        <f t="shared" ca="1" si="55"/>
        <v>262.17706320000002</v>
      </c>
      <c r="AB198" s="384">
        <f t="shared" ca="1" si="56"/>
        <v>0</v>
      </c>
      <c r="AC198" s="384">
        <f t="shared" ca="1" si="57"/>
        <v>0</v>
      </c>
    </row>
    <row r="199" spans="2:29" s="149" customFormat="1" ht="18">
      <c r="B199" s="301"/>
      <c r="C199" s="333">
        <v>7.4</v>
      </c>
      <c r="D199" s="455" t="s">
        <v>4692</v>
      </c>
      <c r="E199" s="456" t="s">
        <v>4692</v>
      </c>
      <c r="F199" s="456" t="s">
        <v>4692</v>
      </c>
      <c r="G199" s="456" t="s">
        <v>4692</v>
      </c>
      <c r="H199" s="456" t="s">
        <v>4692</v>
      </c>
      <c r="I199" s="457" t="s">
        <v>4692</v>
      </c>
      <c r="J199" s="303" t="s">
        <v>170</v>
      </c>
      <c r="K199" s="304"/>
      <c r="L199" s="305">
        <f t="shared" ca="1" si="48"/>
        <v>6867.9854100000011</v>
      </c>
      <c r="M199" s="306">
        <f t="shared" ca="1" si="103"/>
        <v>0</v>
      </c>
      <c r="N199" s="307"/>
      <c r="O199" s="162"/>
      <c r="P199" s="384">
        <f ca="1">IF(IFERROR(VLOOKUP(C199,APU!H:N,4,0),0),VLOOKUP(C199,APU!H:N,4,0),0)</f>
        <v>0</v>
      </c>
      <c r="Q199" s="384">
        <f ca="1">IF(IFERROR(VLOOKUP(C199,APU!H:N,5,0),0),VLOOKUP(C199,APU!H:N,5,0),0)</f>
        <v>5510.7000000000007</v>
      </c>
      <c r="R199" s="384">
        <f ca="1">IF(IFERROR(VLOOKUP(C199,APU!H:N,6,0),0),VLOOKUP(C199,APU!H:N,6,0),0)</f>
        <v>0</v>
      </c>
      <c r="S199" s="384">
        <f ca="1">IF(IFERROR(VLOOKUP(C199,APU!H:N,7,0),0),VLOOKUP(C199,APU!H:N,7,0),0)</f>
        <v>0</v>
      </c>
      <c r="T199" s="160"/>
      <c r="U199" s="384">
        <f t="shared" ca="1" si="49"/>
        <v>551.07000000000005</v>
      </c>
      <c r="V199" s="384">
        <f t="shared" ca="1" si="50"/>
        <v>551.07000000000005</v>
      </c>
      <c r="W199" s="384">
        <f t="shared" ca="1" si="51"/>
        <v>55.107000000000006</v>
      </c>
      <c r="X199" s="384">
        <f t="shared" ca="1" si="52"/>
        <v>0</v>
      </c>
      <c r="Y199" s="384">
        <f t="shared" ca="1" si="53"/>
        <v>200.03841</v>
      </c>
      <c r="Z199" s="384">
        <f t="shared" ca="1" si="54"/>
        <v>6867.9854100000011</v>
      </c>
      <c r="AA199" s="384">
        <f t="shared" ca="1" si="55"/>
        <v>104.70330000000001</v>
      </c>
      <c r="AB199" s="384">
        <f t="shared" ca="1" si="56"/>
        <v>0</v>
      </c>
      <c r="AC199" s="384">
        <f t="shared" ca="1" si="57"/>
        <v>0</v>
      </c>
    </row>
    <row r="200" spans="2:29" s="149" customFormat="1" ht="18">
      <c r="B200" s="301"/>
      <c r="C200" s="333">
        <v>7.5</v>
      </c>
      <c r="D200" s="455" t="s">
        <v>4693</v>
      </c>
      <c r="E200" s="456" t="s">
        <v>4693</v>
      </c>
      <c r="F200" s="456" t="s">
        <v>4693</v>
      </c>
      <c r="G200" s="456" t="s">
        <v>4693</v>
      </c>
      <c r="H200" s="456" t="s">
        <v>4693</v>
      </c>
      <c r="I200" s="457" t="s">
        <v>4693</v>
      </c>
      <c r="J200" s="303" t="s">
        <v>170</v>
      </c>
      <c r="K200" s="304"/>
      <c r="L200" s="305">
        <f t="shared" ca="1" si="48"/>
        <v>4560.34231224</v>
      </c>
      <c r="M200" s="306">
        <f t="shared" ca="1" si="103"/>
        <v>0</v>
      </c>
      <c r="N200" s="307"/>
      <c r="O200" s="162"/>
      <c r="P200" s="384">
        <f ca="1">IF(IFERROR(VLOOKUP(C200,APU!H:N,4,0),0),VLOOKUP(C200,APU!H:N,4,0),0)</f>
        <v>0</v>
      </c>
      <c r="Q200" s="384">
        <f ca="1">IF(IFERROR(VLOOKUP(C200,APU!H:N,5,0),0),VLOOKUP(C200,APU!H:N,5,0),0)</f>
        <v>3659.1048000000001</v>
      </c>
      <c r="R200" s="384">
        <f ca="1">IF(IFERROR(VLOOKUP(C200,APU!H:N,6,0),0),VLOOKUP(C200,APU!H:N,6,0),0)</f>
        <v>0</v>
      </c>
      <c r="S200" s="384">
        <f ca="1">IF(IFERROR(VLOOKUP(C200,APU!H:N,7,0),0),VLOOKUP(C200,APU!H:N,7,0),0)</f>
        <v>0</v>
      </c>
      <c r="T200" s="160"/>
      <c r="U200" s="384">
        <f t="shared" ca="1" si="49"/>
        <v>365.91048000000001</v>
      </c>
      <c r="V200" s="384">
        <f t="shared" ca="1" si="50"/>
        <v>365.91048000000001</v>
      </c>
      <c r="W200" s="384">
        <f t="shared" ca="1" si="51"/>
        <v>36.591048000000001</v>
      </c>
      <c r="X200" s="384">
        <f t="shared" ca="1" si="52"/>
        <v>0</v>
      </c>
      <c r="Y200" s="384">
        <f t="shared" ca="1" si="53"/>
        <v>132.82550424000001</v>
      </c>
      <c r="Z200" s="384">
        <f t="shared" ca="1" si="54"/>
        <v>4560.34231224</v>
      </c>
      <c r="AA200" s="384">
        <f t="shared" ca="1" si="55"/>
        <v>69.522991200000007</v>
      </c>
      <c r="AB200" s="384">
        <f t="shared" ca="1" si="56"/>
        <v>0</v>
      </c>
      <c r="AC200" s="384">
        <f t="shared" ca="1" si="57"/>
        <v>0</v>
      </c>
    </row>
    <row r="201" spans="2:29" s="149" customFormat="1" ht="18">
      <c r="B201" s="301"/>
      <c r="C201" s="333">
        <v>7.6</v>
      </c>
      <c r="D201" s="455" t="s">
        <v>4694</v>
      </c>
      <c r="E201" s="456" t="s">
        <v>4694</v>
      </c>
      <c r="F201" s="456" t="s">
        <v>4694</v>
      </c>
      <c r="G201" s="456" t="s">
        <v>4694</v>
      </c>
      <c r="H201" s="456" t="s">
        <v>4694</v>
      </c>
      <c r="I201" s="457" t="s">
        <v>4694</v>
      </c>
      <c r="J201" s="303" t="s">
        <v>170</v>
      </c>
      <c r="K201" s="304"/>
      <c r="L201" s="305">
        <f t="shared" ca="1" si="48"/>
        <v>4560.34231224</v>
      </c>
      <c r="M201" s="306">
        <f t="shared" ca="1" si="103"/>
        <v>0</v>
      </c>
      <c r="N201" s="307"/>
      <c r="O201" s="162"/>
      <c r="P201" s="384">
        <f ca="1">IF(IFERROR(VLOOKUP(C201,APU!H:N,4,0),0),VLOOKUP(C201,APU!H:N,4,0),0)</f>
        <v>0</v>
      </c>
      <c r="Q201" s="384">
        <f ca="1">IF(IFERROR(VLOOKUP(C201,APU!H:N,5,0),0),VLOOKUP(C201,APU!H:N,5,0),0)</f>
        <v>3659.1048000000001</v>
      </c>
      <c r="R201" s="384">
        <f ca="1">IF(IFERROR(VLOOKUP(C201,APU!H:N,6,0),0),VLOOKUP(C201,APU!H:N,6,0),0)</f>
        <v>0</v>
      </c>
      <c r="S201" s="384">
        <f ca="1">IF(IFERROR(VLOOKUP(C201,APU!H:N,7,0),0),VLOOKUP(C201,APU!H:N,7,0),0)</f>
        <v>0</v>
      </c>
      <c r="T201" s="160"/>
      <c r="U201" s="384">
        <f t="shared" ca="1" si="49"/>
        <v>365.91048000000001</v>
      </c>
      <c r="V201" s="384">
        <f t="shared" ca="1" si="50"/>
        <v>365.91048000000001</v>
      </c>
      <c r="W201" s="384">
        <f t="shared" ca="1" si="51"/>
        <v>36.591048000000001</v>
      </c>
      <c r="X201" s="384">
        <f t="shared" ca="1" si="52"/>
        <v>0</v>
      </c>
      <c r="Y201" s="384">
        <f t="shared" ca="1" si="53"/>
        <v>132.82550424000001</v>
      </c>
      <c r="Z201" s="384">
        <f t="shared" ca="1" si="54"/>
        <v>4560.34231224</v>
      </c>
      <c r="AA201" s="384">
        <f t="shared" ca="1" si="55"/>
        <v>69.522991200000007</v>
      </c>
      <c r="AB201" s="384">
        <f t="shared" ca="1" si="56"/>
        <v>0</v>
      </c>
      <c r="AC201" s="384">
        <f t="shared" ca="1" si="57"/>
        <v>0</v>
      </c>
    </row>
    <row r="202" spans="2:29" s="149" customFormat="1" ht="18">
      <c r="B202" s="301"/>
      <c r="C202" s="333">
        <v>7.7</v>
      </c>
      <c r="D202" s="455" t="s">
        <v>4799</v>
      </c>
      <c r="E202" s="456" t="s">
        <v>4694</v>
      </c>
      <c r="F202" s="456" t="s">
        <v>4694</v>
      </c>
      <c r="G202" s="456" t="s">
        <v>4694</v>
      </c>
      <c r="H202" s="456" t="s">
        <v>4694</v>
      </c>
      <c r="I202" s="457" t="s">
        <v>4694</v>
      </c>
      <c r="J202" s="303" t="s">
        <v>170</v>
      </c>
      <c r="K202" s="304"/>
      <c r="L202" s="305">
        <f t="shared" ref="L202" ca="1" si="104">Z202</f>
        <v>6867.9854100000011</v>
      </c>
      <c r="M202" s="306">
        <f t="shared" ref="M202" ca="1" si="105">L202*K202</f>
        <v>0</v>
      </c>
      <c r="N202" s="307"/>
      <c r="O202" s="162"/>
      <c r="P202" s="384">
        <f ca="1">IF(IFERROR(VLOOKUP(C202,APU!H:N,4,0),0),VLOOKUP(C202,APU!H:N,4,0),0)</f>
        <v>0</v>
      </c>
      <c r="Q202" s="384">
        <f ca="1">IF(IFERROR(VLOOKUP(C202,APU!H:N,5,0),0),VLOOKUP(C202,APU!H:N,5,0),0)</f>
        <v>5510.7000000000007</v>
      </c>
      <c r="R202" s="384">
        <f ca="1">IF(IFERROR(VLOOKUP(C202,APU!H:N,6,0),0),VLOOKUP(C202,APU!H:N,6,0),0)</f>
        <v>0</v>
      </c>
      <c r="S202" s="384">
        <f ca="1">IF(IFERROR(VLOOKUP(C202,APU!H:N,7,0),0),VLOOKUP(C202,APU!H:N,7,0),0)</f>
        <v>0</v>
      </c>
      <c r="T202" s="160"/>
      <c r="U202" s="384">
        <f t="shared" ref="U202" ca="1" si="106">(P202+Q202+R202+S202)*$U$14</f>
        <v>551.07000000000005</v>
      </c>
      <c r="V202" s="384">
        <f t="shared" ref="V202" ca="1" si="107">(P202+Q202+R202+S202)*$V$14</f>
        <v>551.07000000000005</v>
      </c>
      <c r="W202" s="384">
        <f t="shared" ref="W202" ca="1" si="108">(Q202+R202+S202)*$W$14</f>
        <v>55.107000000000006</v>
      </c>
      <c r="X202" s="384">
        <f t="shared" ref="X202" ca="1" si="109">(P202+Q202+R202+S202)*$X$14</f>
        <v>0</v>
      </c>
      <c r="Y202" s="384">
        <f t="shared" ref="Y202" ca="1" si="110">(P202+Q202+U202+V202+W202+X202+R202+S202)*$Y$14</f>
        <v>200.03841</v>
      </c>
      <c r="Z202" s="384">
        <f t="shared" ref="Z202" ca="1" si="111">R202+S202+U202+V202+W202+X202+Y202+Q202+P202</f>
        <v>6867.9854100000011</v>
      </c>
      <c r="AA202" s="384">
        <f t="shared" ref="AA202" ca="1" si="112">V202*$AA$14</f>
        <v>104.70330000000001</v>
      </c>
      <c r="AB202" s="384">
        <f t="shared" ref="AB202" ca="1" si="113">Z202*K202</f>
        <v>0</v>
      </c>
      <c r="AC202" s="384">
        <f t="shared" ref="AC202" ca="1" si="114">AA202*K202</f>
        <v>0</v>
      </c>
    </row>
    <row r="203" spans="2:29" s="149" customFormat="1" ht="18.75" customHeight="1">
      <c r="B203" s="301"/>
      <c r="C203" s="333">
        <v>7.8</v>
      </c>
      <c r="D203" s="455" t="s">
        <v>4955</v>
      </c>
      <c r="E203" s="456" t="s">
        <v>4689</v>
      </c>
      <c r="F203" s="456" t="s">
        <v>4689</v>
      </c>
      <c r="G203" s="456" t="s">
        <v>4689</v>
      </c>
      <c r="H203" s="456" t="s">
        <v>4689</v>
      </c>
      <c r="I203" s="457" t="s">
        <v>4689</v>
      </c>
      <c r="J203" s="303" t="s">
        <v>170</v>
      </c>
      <c r="K203" s="304"/>
      <c r="L203" s="305">
        <f t="shared" ca="1" si="48"/>
        <v>9175.6285077600005</v>
      </c>
      <c r="M203" s="306">
        <f t="shared" ca="1" si="103"/>
        <v>0</v>
      </c>
      <c r="N203" s="307"/>
      <c r="O203" s="162"/>
      <c r="P203" s="384">
        <f ca="1">IF(IFERROR(VLOOKUP(C203,APU!H:N,4,0),0),VLOOKUP(C203,APU!H:N,4,0),0)</f>
        <v>0</v>
      </c>
      <c r="Q203" s="384">
        <f ca="1">IF(IFERROR(VLOOKUP(C203,APU!H:N,5,0),0),VLOOKUP(C203,APU!H:N,5,0),0)</f>
        <v>7362.2951999999996</v>
      </c>
      <c r="R203" s="384">
        <f ca="1">IF(IFERROR(VLOOKUP(C203,APU!H:N,6,0),0),VLOOKUP(C203,APU!H:N,6,0),0)</f>
        <v>0</v>
      </c>
      <c r="S203" s="384">
        <f ca="1">IF(IFERROR(VLOOKUP(C203,APU!H:N,7,0),0),VLOOKUP(C203,APU!H:N,7,0),0)</f>
        <v>0</v>
      </c>
      <c r="T203" s="160"/>
      <c r="U203" s="384">
        <f t="shared" ca="1" si="49"/>
        <v>736.22951999999998</v>
      </c>
      <c r="V203" s="384">
        <f t="shared" ca="1" si="50"/>
        <v>736.22951999999998</v>
      </c>
      <c r="W203" s="384">
        <f t="shared" ca="1" si="51"/>
        <v>73.622951999999998</v>
      </c>
      <c r="X203" s="384">
        <f t="shared" ca="1" si="52"/>
        <v>0</v>
      </c>
      <c r="Y203" s="384">
        <f t="shared" ca="1" si="53"/>
        <v>267.25131576000001</v>
      </c>
      <c r="Z203" s="384">
        <f t="shared" ca="1" si="54"/>
        <v>9175.6285077600005</v>
      </c>
      <c r="AA203" s="384">
        <f t="shared" ca="1" si="55"/>
        <v>139.88360879999999</v>
      </c>
      <c r="AB203" s="384">
        <f t="shared" ca="1" si="56"/>
        <v>0</v>
      </c>
      <c r="AC203" s="384">
        <f t="shared" ca="1" si="57"/>
        <v>0</v>
      </c>
    </row>
    <row r="204" spans="2:29" s="149" customFormat="1" ht="18.75" customHeight="1">
      <c r="B204" s="301"/>
      <c r="C204" s="333">
        <v>7.9</v>
      </c>
      <c r="D204" s="455" t="s">
        <v>4956</v>
      </c>
      <c r="E204" s="456" t="s">
        <v>4689</v>
      </c>
      <c r="F204" s="456" t="s">
        <v>4689</v>
      </c>
      <c r="G204" s="456" t="s">
        <v>4689</v>
      </c>
      <c r="H204" s="456" t="s">
        <v>4689</v>
      </c>
      <c r="I204" s="457" t="s">
        <v>4689</v>
      </c>
      <c r="J204" s="303" t="s">
        <v>170</v>
      </c>
      <c r="K204" s="304"/>
      <c r="L204" s="305">
        <f t="shared" ref="L204:L206" ca="1" si="115">Z204</f>
        <v>18296.31313224</v>
      </c>
      <c r="M204" s="306">
        <f t="shared" ref="M204:M206" ca="1" si="116">L204*K204</f>
        <v>0</v>
      </c>
      <c r="N204" s="307"/>
      <c r="O204" s="162"/>
      <c r="P204" s="384">
        <f ca="1">IF(IFERROR(VLOOKUP(C204,APU!H:N,4,0),0),VLOOKUP(C204,APU!H:N,4,0),0)</f>
        <v>0</v>
      </c>
      <c r="Q204" s="384">
        <f ca="1">IF(IFERROR(VLOOKUP(C204,APU!H:N,5,0),0),VLOOKUP(C204,APU!H:N,5,0),0)</f>
        <v>14680.504800000001</v>
      </c>
      <c r="R204" s="384">
        <f ca="1">IF(IFERROR(VLOOKUP(C204,APU!H:N,6,0),0),VLOOKUP(C204,APU!H:N,6,0),0)</f>
        <v>0</v>
      </c>
      <c r="S204" s="384">
        <f ca="1">IF(IFERROR(VLOOKUP(C204,APU!H:N,7,0),0),VLOOKUP(C204,APU!H:N,7,0),0)</f>
        <v>0</v>
      </c>
      <c r="T204" s="160"/>
      <c r="U204" s="384">
        <f t="shared" ref="U204:U206" ca="1" si="117">(P204+Q204+R204+S204)*$U$14</f>
        <v>1468.0504800000001</v>
      </c>
      <c r="V204" s="384">
        <f t="shared" ref="V204:V206" ca="1" si="118">(P204+Q204+R204+S204)*$V$14</f>
        <v>1468.0504800000001</v>
      </c>
      <c r="W204" s="384">
        <f t="shared" ref="W204:W206" ca="1" si="119">(Q204+R204+S204)*$W$14</f>
        <v>146.805048</v>
      </c>
      <c r="X204" s="384">
        <f t="shared" ref="X204:X206" ca="1" si="120">(P204+Q204+R204+S204)*$X$14</f>
        <v>0</v>
      </c>
      <c r="Y204" s="384">
        <f t="shared" ref="Y204:Y206" ca="1" si="121">(P204+Q204+U204+V204+W204+X204+R204+S204)*$Y$14</f>
        <v>532.90232423999998</v>
      </c>
      <c r="Z204" s="384">
        <f t="shared" ref="Z204:Z206" ca="1" si="122">R204+S204+U204+V204+W204+X204+Y204+Q204+P204</f>
        <v>18296.31313224</v>
      </c>
      <c r="AA204" s="384">
        <f t="shared" ref="AA204:AA206" ca="1" si="123">V204*$AA$14</f>
        <v>278.9295912</v>
      </c>
      <c r="AB204" s="384">
        <f t="shared" ref="AB204:AB206" ca="1" si="124">Z204*K204</f>
        <v>0</v>
      </c>
      <c r="AC204" s="384">
        <f t="shared" ref="AC204:AC206" ca="1" si="125">AA204*K204</f>
        <v>0</v>
      </c>
    </row>
    <row r="205" spans="2:29" s="149" customFormat="1" ht="18.75" customHeight="1">
      <c r="B205" s="301"/>
      <c r="C205" s="333" t="s">
        <v>4954</v>
      </c>
      <c r="D205" s="458" t="s">
        <v>4957</v>
      </c>
      <c r="E205" s="459"/>
      <c r="F205" s="459"/>
      <c r="G205" s="459"/>
      <c r="H205" s="459"/>
      <c r="I205" s="460"/>
      <c r="J205" s="303" t="s">
        <v>170</v>
      </c>
      <c r="K205" s="304"/>
      <c r="L205" s="305">
        <f t="shared" ca="1" si="115"/>
        <v>6867.9854100000011</v>
      </c>
      <c r="M205" s="306">
        <f t="shared" ca="1" si="116"/>
        <v>0</v>
      </c>
      <c r="N205" s="307"/>
      <c r="O205" s="162"/>
      <c r="P205" s="384">
        <f ca="1">IF(IFERROR(VLOOKUP(C205,APU!H:N,4,0),0),VLOOKUP(C205,APU!H:N,4,0),0)</f>
        <v>0</v>
      </c>
      <c r="Q205" s="384">
        <f ca="1">IF(IFERROR(VLOOKUP(C205,APU!H:N,5,0),0),VLOOKUP(C205,APU!H:N,5,0),0)</f>
        <v>5510.7000000000007</v>
      </c>
      <c r="R205" s="384">
        <f ca="1">IF(IFERROR(VLOOKUP(C205,APU!H:N,6,0),0),VLOOKUP(C205,APU!H:N,6,0),0)</f>
        <v>0</v>
      </c>
      <c r="S205" s="384">
        <f ca="1">IF(IFERROR(VLOOKUP(C205,APU!H:N,7,0),0),VLOOKUP(C205,APU!H:N,7,0),0)</f>
        <v>0</v>
      </c>
      <c r="T205" s="160"/>
      <c r="U205" s="384">
        <f t="shared" ca="1" si="117"/>
        <v>551.07000000000005</v>
      </c>
      <c r="V205" s="384">
        <f t="shared" ca="1" si="118"/>
        <v>551.07000000000005</v>
      </c>
      <c r="W205" s="384">
        <f t="shared" ca="1" si="119"/>
        <v>55.107000000000006</v>
      </c>
      <c r="X205" s="384">
        <f t="shared" ca="1" si="120"/>
        <v>0</v>
      </c>
      <c r="Y205" s="384">
        <f t="shared" ca="1" si="121"/>
        <v>200.03841</v>
      </c>
      <c r="Z205" s="384">
        <f t="shared" ca="1" si="122"/>
        <v>6867.9854100000011</v>
      </c>
      <c r="AA205" s="384">
        <f t="shared" ca="1" si="123"/>
        <v>104.70330000000001</v>
      </c>
      <c r="AB205" s="384">
        <f t="shared" ca="1" si="124"/>
        <v>0</v>
      </c>
      <c r="AC205" s="384">
        <f t="shared" ca="1" si="125"/>
        <v>0</v>
      </c>
    </row>
    <row r="206" spans="2:29" s="149" customFormat="1" ht="18.75" customHeight="1">
      <c r="B206" s="301"/>
      <c r="C206" s="333">
        <v>7.11</v>
      </c>
      <c r="D206" s="455" t="s">
        <v>4958</v>
      </c>
      <c r="E206" s="456" t="s">
        <v>4694</v>
      </c>
      <c r="F206" s="456" t="s">
        <v>4694</v>
      </c>
      <c r="G206" s="456" t="s">
        <v>4694</v>
      </c>
      <c r="H206" s="456" t="s">
        <v>4694</v>
      </c>
      <c r="I206" s="457" t="s">
        <v>4694</v>
      </c>
      <c r="J206" s="303" t="s">
        <v>170</v>
      </c>
      <c r="K206" s="304"/>
      <c r="L206" s="305">
        <f t="shared" ca="1" si="115"/>
        <v>6867.9854100000011</v>
      </c>
      <c r="M206" s="306">
        <f t="shared" ca="1" si="116"/>
        <v>0</v>
      </c>
      <c r="N206" s="307"/>
      <c r="O206" s="162"/>
      <c r="P206" s="384">
        <f ca="1">IF(IFERROR(VLOOKUP(C206,APU!H:N,4,0),0),VLOOKUP(C206,APU!H:N,4,0),0)</f>
        <v>0</v>
      </c>
      <c r="Q206" s="384">
        <f ca="1">IF(IFERROR(VLOOKUP(C206,APU!H:N,5,0),0),VLOOKUP(C206,APU!H:N,5,0),0)</f>
        <v>5510.7000000000007</v>
      </c>
      <c r="R206" s="384">
        <f ca="1">IF(IFERROR(VLOOKUP(C206,APU!H:N,6,0),0),VLOOKUP(C206,APU!H:N,6,0),0)</f>
        <v>0</v>
      </c>
      <c r="S206" s="384">
        <f ca="1">IF(IFERROR(VLOOKUP(C206,APU!H:N,7,0),0),VLOOKUP(C206,APU!H:N,7,0),0)</f>
        <v>0</v>
      </c>
      <c r="T206" s="160"/>
      <c r="U206" s="384">
        <f t="shared" ca="1" si="117"/>
        <v>551.07000000000005</v>
      </c>
      <c r="V206" s="384">
        <f t="shared" ca="1" si="118"/>
        <v>551.07000000000005</v>
      </c>
      <c r="W206" s="384">
        <f t="shared" ca="1" si="119"/>
        <v>55.107000000000006</v>
      </c>
      <c r="X206" s="384">
        <f t="shared" ca="1" si="120"/>
        <v>0</v>
      </c>
      <c r="Y206" s="384">
        <f t="shared" ca="1" si="121"/>
        <v>200.03841</v>
      </c>
      <c r="Z206" s="384">
        <f t="shared" ca="1" si="122"/>
        <v>6867.9854100000011</v>
      </c>
      <c r="AA206" s="384">
        <f t="shared" ca="1" si="123"/>
        <v>104.70330000000001</v>
      </c>
      <c r="AB206" s="384">
        <f t="shared" ca="1" si="124"/>
        <v>0</v>
      </c>
      <c r="AC206" s="384">
        <f t="shared" ca="1" si="125"/>
        <v>0</v>
      </c>
    </row>
    <row r="207" spans="2:29" s="149" customFormat="1" ht="18">
      <c r="B207" s="301"/>
      <c r="C207" s="333">
        <v>7.12</v>
      </c>
      <c r="D207" s="455" t="s">
        <v>5001</v>
      </c>
      <c r="E207" s="456" t="s">
        <v>4689</v>
      </c>
      <c r="F207" s="456" t="s">
        <v>4689</v>
      </c>
      <c r="G207" s="456" t="s">
        <v>4689</v>
      </c>
      <c r="H207" s="456" t="s">
        <v>4689</v>
      </c>
      <c r="I207" s="457" t="s">
        <v>4689</v>
      </c>
      <c r="J207" s="303" t="s">
        <v>170</v>
      </c>
      <c r="K207" s="304"/>
      <c r="L207" s="305">
        <f t="shared" ca="1" si="48"/>
        <v>21757.777778880001</v>
      </c>
      <c r="M207" s="306">
        <f t="shared" ca="1" si="103"/>
        <v>0</v>
      </c>
      <c r="N207" s="307"/>
      <c r="O207" s="162"/>
      <c r="P207" s="384">
        <f ca="1">IF(IFERROR(VLOOKUP(C207,APU!H:N,4,0),0),VLOOKUP(C207,APU!H:N,4,0),0)</f>
        <v>0</v>
      </c>
      <c r="Q207" s="384">
        <f ca="1">IF(IFERROR(VLOOKUP(C207,APU!H:N,5,0),0),VLOOKUP(C207,APU!H:N,5,0),0)</f>
        <v>17457.8976</v>
      </c>
      <c r="R207" s="384">
        <f ca="1">IF(IFERROR(VLOOKUP(C207,APU!H:N,6,0),0),VLOOKUP(C207,APU!H:N,6,0),0)</f>
        <v>0</v>
      </c>
      <c r="S207" s="384">
        <f ca="1">IF(IFERROR(VLOOKUP(C207,APU!H:N,7,0),0),VLOOKUP(C207,APU!H:N,7,0),0)</f>
        <v>0</v>
      </c>
      <c r="T207" s="160"/>
      <c r="U207" s="384">
        <f t="shared" ca="1" si="49"/>
        <v>1745.7897600000001</v>
      </c>
      <c r="V207" s="384">
        <f t="shared" ca="1" si="50"/>
        <v>1745.7897600000001</v>
      </c>
      <c r="W207" s="384">
        <f t="shared" ca="1" si="51"/>
        <v>174.57897600000001</v>
      </c>
      <c r="X207" s="384">
        <f t="shared" ca="1" si="52"/>
        <v>0</v>
      </c>
      <c r="Y207" s="384">
        <f t="shared" ca="1" si="53"/>
        <v>633.72168288</v>
      </c>
      <c r="Z207" s="384">
        <f t="shared" ca="1" si="54"/>
        <v>21757.777778880001</v>
      </c>
      <c r="AA207" s="384">
        <f t="shared" ca="1" si="55"/>
        <v>331.7000544</v>
      </c>
      <c r="AB207" s="384">
        <f t="shared" ca="1" si="56"/>
        <v>0</v>
      </c>
      <c r="AC207" s="384">
        <f t="shared" ca="1" si="57"/>
        <v>0</v>
      </c>
    </row>
    <row r="208" spans="2:29" s="149" customFormat="1" ht="18" customHeight="1">
      <c r="B208" s="301"/>
      <c r="C208" s="472" t="s">
        <v>4841</v>
      </c>
      <c r="D208" s="472"/>
      <c r="E208" s="472"/>
      <c r="F208" s="472"/>
      <c r="G208" s="472"/>
      <c r="H208" s="472"/>
      <c r="I208" s="472"/>
      <c r="J208" s="472"/>
      <c r="K208" s="472"/>
      <c r="L208" s="472"/>
      <c r="M208" s="308">
        <f ca="1">SUM(M17:M207)</f>
        <v>0</v>
      </c>
      <c r="N208" s="309"/>
      <c r="O208" s="156"/>
      <c r="P208" s="381"/>
      <c r="Q208" s="381"/>
      <c r="R208" s="382"/>
      <c r="S208" s="383"/>
      <c r="T208" s="160"/>
      <c r="U208" s="161"/>
      <c r="V208" s="161"/>
      <c r="W208" s="153"/>
    </row>
    <row r="209" spans="2:23" s="149" customFormat="1" ht="18" customHeight="1">
      <c r="B209" s="301"/>
      <c r="C209" s="472" t="s">
        <v>4</v>
      </c>
      <c r="D209" s="472"/>
      <c r="E209" s="472"/>
      <c r="F209" s="472"/>
      <c r="G209" s="472"/>
      <c r="H209" s="472"/>
      <c r="I209" s="472"/>
      <c r="J209" s="472"/>
      <c r="K209" s="472"/>
      <c r="L209" s="472"/>
      <c r="M209" s="308">
        <f ca="1">M210/0.19</f>
        <v>0</v>
      </c>
      <c r="N209" s="309"/>
      <c r="O209" s="156"/>
      <c r="P209" s="159"/>
      <c r="Q209" s="159"/>
      <c r="R209" s="166"/>
      <c r="S209" s="167"/>
      <c r="T209" s="160"/>
      <c r="U209" s="161"/>
      <c r="V209" s="161"/>
      <c r="W209" s="153"/>
    </row>
    <row r="210" spans="2:23" s="149" customFormat="1" ht="18" customHeight="1">
      <c r="B210" s="301"/>
      <c r="C210" s="472" t="s">
        <v>4199</v>
      </c>
      <c r="D210" s="472"/>
      <c r="E210" s="472"/>
      <c r="F210" s="472"/>
      <c r="G210" s="472"/>
      <c r="H210" s="472"/>
      <c r="I210" s="472"/>
      <c r="J210" s="472"/>
      <c r="K210" s="472"/>
      <c r="L210" s="472"/>
      <c r="M210" s="308">
        <f ca="1">SUM(AC17:AC207)</f>
        <v>0</v>
      </c>
      <c r="N210" s="309"/>
      <c r="O210" s="156"/>
      <c r="P210" s="159"/>
      <c r="Q210" s="159"/>
      <c r="R210" s="166"/>
      <c r="S210" s="167"/>
      <c r="T210" s="160"/>
      <c r="U210" s="161"/>
      <c r="V210" s="161"/>
      <c r="W210" s="153"/>
    </row>
    <row r="211" spans="2:23" s="149" customFormat="1" ht="19.5" customHeight="1">
      <c r="B211" s="301"/>
      <c r="C211" s="473" t="s">
        <v>4236</v>
      </c>
      <c r="D211" s="473"/>
      <c r="E211" s="473"/>
      <c r="F211" s="473"/>
      <c r="G211" s="473"/>
      <c r="H211" s="473"/>
      <c r="I211" s="473"/>
      <c r="J211" s="473"/>
      <c r="K211" s="473"/>
      <c r="L211" s="473"/>
      <c r="M211" s="308">
        <f ca="1">SUM(M208:M210)</f>
        <v>0</v>
      </c>
      <c r="N211" s="309"/>
      <c r="O211" s="156"/>
      <c r="P211" s="159"/>
      <c r="Q211" s="159"/>
      <c r="R211" s="166"/>
      <c r="S211" s="167"/>
      <c r="T211" s="160"/>
      <c r="U211" s="161"/>
      <c r="V211" s="161"/>
      <c r="W211" s="153"/>
    </row>
    <row r="212" spans="2:23" s="149" customFormat="1" ht="18" customHeight="1">
      <c r="B212" s="301"/>
      <c r="C212" s="324"/>
      <c r="D212" s="324"/>
      <c r="E212" s="324"/>
      <c r="F212" s="324"/>
      <c r="G212" s="324"/>
      <c r="H212" s="324"/>
      <c r="I212" s="324"/>
      <c r="J212" s="310"/>
      <c r="K212" s="310"/>
      <c r="L212" s="310"/>
      <c r="M212" s="310"/>
      <c r="N212" s="311"/>
      <c r="O212" s="156"/>
      <c r="P212" s="159"/>
      <c r="Q212" s="159"/>
      <c r="R212" s="166"/>
      <c r="S212" s="167"/>
      <c r="T212" s="160"/>
      <c r="U212" s="161"/>
      <c r="V212" s="161"/>
      <c r="W212" s="153"/>
    </row>
    <row r="213" spans="2:23" s="149" customFormat="1" ht="18.75" customHeight="1">
      <c r="B213" s="301"/>
      <c r="C213" s="492" t="s">
        <v>4238</v>
      </c>
      <c r="D213" s="492"/>
      <c r="E213" s="492"/>
      <c r="F213" s="492"/>
      <c r="G213" s="492"/>
      <c r="H213" s="492"/>
      <c r="I213" s="492"/>
      <c r="J213" s="492"/>
      <c r="K213" s="492"/>
      <c r="L213" s="492"/>
      <c r="M213" s="492"/>
      <c r="N213" s="312"/>
      <c r="O213" s="156"/>
      <c r="P213" s="159"/>
      <c r="Q213" s="159"/>
      <c r="R213" s="166"/>
      <c r="S213" s="167"/>
      <c r="T213" s="160"/>
      <c r="U213" s="161"/>
      <c r="V213" s="161"/>
      <c r="W213" s="153"/>
    </row>
    <row r="214" spans="2:23" s="149" customFormat="1" ht="18">
      <c r="B214" s="301"/>
      <c r="C214" s="481"/>
      <c r="D214" s="481"/>
      <c r="E214" s="481"/>
      <c r="F214" s="481"/>
      <c r="G214" s="481"/>
      <c r="H214" s="481"/>
      <c r="I214" s="481"/>
      <c r="J214" s="481"/>
      <c r="K214" s="481"/>
      <c r="L214" s="481"/>
      <c r="M214" s="481"/>
      <c r="N214" s="313"/>
      <c r="O214" s="156"/>
      <c r="P214" s="159"/>
      <c r="Q214" s="159"/>
      <c r="R214" s="166"/>
      <c r="S214" s="167"/>
      <c r="T214" s="160"/>
      <c r="U214" s="161"/>
      <c r="V214" s="161"/>
      <c r="W214" s="153"/>
    </row>
    <row r="215" spans="2:23" s="149" customFormat="1" ht="18">
      <c r="B215" s="150"/>
      <c r="C215" s="314" t="s">
        <v>4208</v>
      </c>
      <c r="D215" s="314"/>
      <c r="E215" s="314"/>
      <c r="F215" s="314"/>
      <c r="G215" s="314"/>
      <c r="H215" s="314"/>
      <c r="I215" s="314"/>
      <c r="J215" s="314"/>
      <c r="K215" s="314"/>
      <c r="L215" s="314"/>
      <c r="M215" s="314"/>
      <c r="N215" s="315"/>
      <c r="O215" s="156"/>
      <c r="P215" s="159"/>
      <c r="Q215" s="159"/>
      <c r="R215" s="166"/>
      <c r="S215" s="167"/>
      <c r="T215" s="160"/>
      <c r="U215" s="161"/>
      <c r="V215" s="161"/>
      <c r="W215" s="153"/>
    </row>
    <row r="216" spans="2:23" s="149" customFormat="1" ht="18">
      <c r="B216" s="150"/>
      <c r="C216" s="314"/>
      <c r="D216" s="314"/>
      <c r="E216" s="314"/>
      <c r="F216" s="314"/>
      <c r="G216" s="314"/>
      <c r="H216" s="314"/>
      <c r="I216" s="314"/>
      <c r="J216" s="314"/>
      <c r="K216" s="314"/>
      <c r="L216" s="314"/>
      <c r="M216" s="314"/>
      <c r="N216" s="315"/>
      <c r="O216" s="156"/>
      <c r="P216" s="159"/>
      <c r="Q216" s="159"/>
      <c r="R216" s="166"/>
      <c r="S216" s="167"/>
      <c r="T216" s="160"/>
      <c r="U216" s="161"/>
      <c r="V216" s="161"/>
      <c r="W216" s="153"/>
    </row>
    <row r="217" spans="2:23" s="149" customFormat="1" ht="18">
      <c r="B217" s="150"/>
      <c r="C217" s="314"/>
      <c r="D217" s="314"/>
      <c r="E217" s="314"/>
      <c r="F217" s="314"/>
      <c r="G217" s="314"/>
      <c r="H217" s="314"/>
      <c r="I217" s="314"/>
      <c r="J217" s="314"/>
      <c r="K217" s="314"/>
      <c r="L217" s="314"/>
      <c r="M217" s="314"/>
      <c r="N217" s="315"/>
      <c r="O217" s="156"/>
      <c r="P217" s="159"/>
      <c r="Q217" s="159"/>
      <c r="R217" s="166"/>
      <c r="S217" s="167"/>
      <c r="T217" s="160"/>
      <c r="U217" s="161"/>
      <c r="V217" s="161"/>
      <c r="W217" s="153"/>
    </row>
    <row r="218" spans="2:23" s="149" customFormat="1" ht="18">
      <c r="B218" s="150"/>
      <c r="C218" s="314"/>
      <c r="D218" s="314"/>
      <c r="E218" s="314"/>
      <c r="F218" s="314"/>
      <c r="G218" s="314"/>
      <c r="H218" s="314"/>
      <c r="I218" s="314"/>
      <c r="J218" s="314"/>
      <c r="K218" s="314"/>
      <c r="L218" s="314"/>
      <c r="M218" s="314"/>
      <c r="N218" s="315"/>
      <c r="O218" s="156"/>
      <c r="P218" s="159"/>
      <c r="Q218" s="159"/>
      <c r="R218" s="166"/>
      <c r="S218" s="167"/>
      <c r="T218" s="160"/>
      <c r="U218" s="161"/>
      <c r="V218" s="161"/>
      <c r="W218" s="153"/>
    </row>
    <row r="219" spans="2:23" s="149" customFormat="1" ht="18">
      <c r="B219" s="150"/>
      <c r="C219" s="292"/>
      <c r="D219" s="314"/>
      <c r="E219" s="314"/>
      <c r="F219" s="314"/>
      <c r="G219" s="314"/>
      <c r="H219" s="314"/>
      <c r="I219" s="314"/>
      <c r="J219" s="314"/>
      <c r="K219" s="314"/>
      <c r="L219" s="314"/>
      <c r="M219" s="314"/>
      <c r="N219" s="315"/>
      <c r="O219" s="156"/>
      <c r="P219" s="159"/>
      <c r="Q219" s="159"/>
      <c r="R219" s="166"/>
      <c r="S219" s="167"/>
      <c r="T219" s="160"/>
      <c r="U219" s="161"/>
      <c r="V219" s="161"/>
      <c r="W219" s="153"/>
    </row>
    <row r="220" spans="2:23" s="149" customFormat="1" ht="18">
      <c r="B220" s="150"/>
      <c r="C220" s="292" t="s">
        <v>4237</v>
      </c>
      <c r="D220" s="314"/>
      <c r="E220" s="314"/>
      <c r="F220" s="314"/>
      <c r="G220" s="314"/>
      <c r="H220" s="314"/>
      <c r="I220" s="314"/>
      <c r="J220" s="314"/>
      <c r="K220" s="314"/>
      <c r="L220" s="314"/>
      <c r="M220" s="314"/>
      <c r="N220" s="315"/>
      <c r="O220" s="156"/>
      <c r="P220" s="159"/>
      <c r="Q220" s="159"/>
      <c r="R220" s="166"/>
      <c r="S220" s="167"/>
      <c r="T220" s="160"/>
      <c r="U220" s="161"/>
      <c r="V220" s="161"/>
      <c r="W220" s="153"/>
    </row>
    <row r="221" spans="2:23" s="149" customFormat="1" ht="18">
      <c r="B221" s="150"/>
      <c r="C221" s="316" t="s">
        <v>4657</v>
      </c>
      <c r="D221" s="316"/>
      <c r="E221" s="316"/>
      <c r="F221" s="316"/>
      <c r="G221" s="316"/>
      <c r="H221" s="316"/>
      <c r="I221" s="316"/>
      <c r="J221" s="316"/>
      <c r="K221" s="316"/>
      <c r="L221" s="316"/>
      <c r="M221" s="316"/>
      <c r="N221" s="317"/>
      <c r="O221" s="156"/>
      <c r="P221" s="159"/>
      <c r="Q221" s="159"/>
      <c r="R221" s="166"/>
      <c r="S221" s="167"/>
      <c r="T221" s="160"/>
      <c r="U221" s="161"/>
      <c r="V221" s="161"/>
      <c r="W221" s="153"/>
    </row>
    <row r="222" spans="2:23" s="149" customFormat="1" ht="18">
      <c r="B222" s="150"/>
      <c r="C222" s="316"/>
      <c r="D222" s="316"/>
      <c r="E222" s="316"/>
      <c r="F222" s="316"/>
      <c r="G222" s="316"/>
      <c r="H222" s="316"/>
      <c r="I222" s="316"/>
      <c r="J222" s="316"/>
      <c r="K222" s="316"/>
      <c r="L222" s="316"/>
      <c r="M222" s="316"/>
      <c r="N222" s="317"/>
      <c r="O222" s="156"/>
      <c r="P222" s="159"/>
      <c r="Q222" s="159"/>
      <c r="R222" s="166"/>
      <c r="S222" s="167"/>
      <c r="T222" s="160"/>
      <c r="U222" s="161"/>
      <c r="V222" s="161"/>
      <c r="W222" s="153"/>
    </row>
    <row r="223" spans="2:23" s="149" customFormat="1" ht="18">
      <c r="B223" s="124"/>
      <c r="C223" s="316"/>
      <c r="D223" s="316"/>
      <c r="E223" s="316"/>
      <c r="F223" s="316"/>
      <c r="G223" s="316"/>
      <c r="H223" s="316"/>
      <c r="I223" s="316"/>
      <c r="J223" s="316"/>
      <c r="K223" s="316"/>
      <c r="L223" s="316"/>
      <c r="M223" s="316"/>
      <c r="N223" s="318"/>
      <c r="O223" s="168"/>
      <c r="P223" s="168"/>
      <c r="Q223" s="159"/>
      <c r="R223" s="166"/>
      <c r="S223" s="167"/>
      <c r="T223" s="160"/>
      <c r="U223" s="161"/>
      <c r="V223" s="161"/>
      <c r="W223" s="153"/>
    </row>
    <row r="224" spans="2:23" s="149" customFormat="1" ht="18">
      <c r="B224" s="124"/>
      <c r="C224" s="316"/>
      <c r="D224" s="316"/>
      <c r="E224" s="316"/>
      <c r="F224" s="316"/>
      <c r="G224" s="316"/>
      <c r="H224" s="316"/>
      <c r="I224" s="316"/>
      <c r="J224" s="316"/>
      <c r="K224" s="316"/>
      <c r="L224" s="316"/>
      <c r="M224" s="316"/>
      <c r="N224" s="318"/>
      <c r="O224" s="168"/>
      <c r="P224" s="168"/>
      <c r="Q224" s="159"/>
      <c r="R224" s="166"/>
      <c r="S224" s="167"/>
      <c r="T224" s="160"/>
      <c r="U224" s="161"/>
      <c r="V224" s="161"/>
      <c r="W224" s="153"/>
    </row>
    <row r="225" spans="2:23" s="149" customFormat="1" ht="18">
      <c r="B225" s="124"/>
      <c r="C225" s="316"/>
      <c r="D225" s="316"/>
      <c r="E225" s="316"/>
      <c r="F225" s="316"/>
      <c r="G225" s="316"/>
      <c r="H225" s="316"/>
      <c r="I225" s="316"/>
      <c r="J225" s="316"/>
      <c r="K225" s="316"/>
      <c r="L225" s="316"/>
      <c r="M225" s="316"/>
      <c r="N225" s="318"/>
      <c r="O225" s="156"/>
      <c r="P225" s="159"/>
      <c r="Q225" s="159"/>
      <c r="R225" s="166"/>
      <c r="S225" s="167"/>
      <c r="T225" s="160"/>
      <c r="U225" s="161"/>
      <c r="V225" s="161"/>
      <c r="W225" s="153"/>
    </row>
    <row r="226" spans="2:23" ht="16.5" customHeight="1">
      <c r="B226" s="124"/>
      <c r="C226" s="316"/>
      <c r="D226" s="316"/>
      <c r="E226" s="316"/>
      <c r="F226" s="316"/>
      <c r="G226" s="316"/>
      <c r="H226" s="316"/>
      <c r="I226" s="316"/>
      <c r="J226" s="316"/>
      <c r="K226" s="316"/>
      <c r="L226" s="316"/>
      <c r="M226" s="316"/>
      <c r="N226" s="318"/>
      <c r="P226" s="170"/>
      <c r="Q226" s="170"/>
      <c r="R226" s="171"/>
      <c r="S226" s="172"/>
      <c r="T226" s="173"/>
      <c r="U226" s="174"/>
      <c r="V226" s="175"/>
      <c r="W226" s="176"/>
    </row>
    <row r="227" spans="2:23" ht="15.6">
      <c r="B227" s="347"/>
      <c r="C227" s="345"/>
      <c r="D227" s="345"/>
      <c r="E227" s="345"/>
      <c r="F227" s="345"/>
      <c r="G227" s="345"/>
      <c r="H227" s="345"/>
      <c r="I227" s="345"/>
      <c r="J227" s="345"/>
      <c r="K227" s="345"/>
      <c r="L227" s="345"/>
      <c r="M227" s="346"/>
      <c r="N227" s="348"/>
      <c r="P227" s="170"/>
      <c r="Q227" s="170"/>
      <c r="R227" s="177"/>
      <c r="S227" s="172"/>
      <c r="T227" s="173"/>
      <c r="U227" s="174"/>
      <c r="V227" s="467"/>
      <c r="W227" s="176"/>
    </row>
    <row r="228" spans="2:23" ht="15.75" customHeight="1">
      <c r="B228" s="319"/>
      <c r="C228" s="320"/>
      <c r="D228" s="320"/>
      <c r="E228" s="320"/>
      <c r="F228" s="320"/>
      <c r="G228" s="320"/>
      <c r="H228" s="320"/>
      <c r="I228" s="320"/>
      <c r="J228" s="320"/>
      <c r="K228" s="320"/>
      <c r="L228" s="320"/>
      <c r="M228" s="321"/>
      <c r="N228" s="322"/>
      <c r="P228" s="170"/>
      <c r="Q228" s="170"/>
      <c r="R228" s="177"/>
      <c r="S228" s="172"/>
      <c r="T228" s="173"/>
      <c r="U228" s="174"/>
      <c r="V228" s="467"/>
      <c r="W228" s="176"/>
    </row>
    <row r="229" spans="2:23" ht="15.75" customHeight="1">
      <c r="B229" s="351"/>
      <c r="C229" s="349"/>
      <c r="D229" s="349"/>
      <c r="E229" s="349"/>
      <c r="F229" s="349"/>
      <c r="G229" s="349"/>
      <c r="H229" s="349"/>
      <c r="I229" s="349"/>
      <c r="J229" s="349"/>
      <c r="K229" s="349"/>
      <c r="L229" s="349"/>
      <c r="M229" s="349"/>
      <c r="N229" s="350"/>
      <c r="P229" s="170"/>
      <c r="Q229" s="170"/>
      <c r="R229" s="177"/>
      <c r="S229" s="172"/>
      <c r="T229" s="173"/>
      <c r="U229" s="174"/>
      <c r="V229" s="175"/>
      <c r="W229" s="176"/>
    </row>
    <row r="230" spans="2:23" ht="15.75" customHeight="1">
      <c r="C230" s="169"/>
      <c r="D230" s="169"/>
      <c r="E230" s="169"/>
      <c r="F230" s="169"/>
      <c r="G230" s="169"/>
      <c r="H230" s="169"/>
      <c r="I230" s="169"/>
      <c r="J230" s="169"/>
      <c r="K230" s="169"/>
      <c r="L230" s="169"/>
      <c r="M230" s="169"/>
      <c r="N230" s="169"/>
      <c r="P230" s="170"/>
      <c r="Q230" s="170"/>
      <c r="R230" s="177"/>
      <c r="S230" s="172"/>
      <c r="T230" s="173"/>
      <c r="U230" s="174"/>
      <c r="V230" s="175"/>
      <c r="W230" s="176"/>
    </row>
    <row r="231" spans="2:23" ht="15.75" customHeight="1">
      <c r="C231" s="169"/>
      <c r="D231" s="169"/>
      <c r="E231" s="169"/>
      <c r="F231" s="169"/>
      <c r="G231" s="169"/>
      <c r="H231" s="169"/>
      <c r="I231" s="169"/>
      <c r="J231" s="169"/>
      <c r="K231" s="169"/>
      <c r="L231" s="169"/>
      <c r="M231" s="169"/>
      <c r="N231" s="169"/>
      <c r="P231" s="170"/>
      <c r="Q231" s="170"/>
      <c r="R231" s="177"/>
      <c r="S231" s="172"/>
      <c r="T231" s="173"/>
      <c r="U231" s="174"/>
      <c r="V231" s="467"/>
      <c r="W231" s="176"/>
    </row>
    <row r="232" spans="2:23" ht="15.75" customHeight="1">
      <c r="C232" s="169"/>
      <c r="D232" s="169"/>
      <c r="E232" s="169"/>
      <c r="F232" s="169"/>
      <c r="G232" s="169"/>
      <c r="H232" s="169"/>
      <c r="I232" s="169"/>
      <c r="J232" s="169"/>
      <c r="K232" s="169"/>
      <c r="L232" s="169"/>
      <c r="M232" s="169"/>
      <c r="N232" s="169"/>
      <c r="P232" s="170"/>
      <c r="Q232" s="170"/>
      <c r="R232" s="177"/>
      <c r="S232" s="172"/>
      <c r="T232" s="173"/>
      <c r="U232" s="174"/>
      <c r="V232" s="467"/>
      <c r="W232" s="176"/>
    </row>
    <row r="233" spans="2:23" ht="15.75" customHeight="1">
      <c r="P233" s="170"/>
      <c r="Q233" s="170"/>
      <c r="R233" s="177"/>
      <c r="S233" s="172"/>
      <c r="T233" s="173"/>
      <c r="U233" s="174"/>
      <c r="V233" s="467"/>
      <c r="W233" s="176"/>
    </row>
    <row r="234" spans="2:23">
      <c r="M234" s="178"/>
      <c r="N234" s="178"/>
      <c r="P234" s="170"/>
      <c r="Q234" s="170"/>
      <c r="R234" s="177"/>
      <c r="S234" s="172"/>
      <c r="T234" s="173"/>
      <c r="U234" s="174"/>
      <c r="V234" s="467"/>
      <c r="W234" s="176"/>
    </row>
    <row r="235" spans="2:23">
      <c r="M235" s="178"/>
      <c r="N235" s="178"/>
      <c r="P235" s="170"/>
      <c r="Q235" s="170"/>
      <c r="R235" s="177"/>
      <c r="S235" s="172"/>
      <c r="T235" s="173"/>
      <c r="U235" s="174"/>
      <c r="V235" s="467"/>
      <c r="W235" s="176"/>
    </row>
    <row r="236" spans="2:23">
      <c r="P236" s="170"/>
      <c r="Q236" s="170"/>
      <c r="R236" s="177"/>
      <c r="S236" s="172"/>
      <c r="T236" s="173"/>
      <c r="U236" s="174"/>
      <c r="V236" s="467"/>
    </row>
    <row r="237" spans="2:23" ht="15.75" customHeight="1">
      <c r="Q237" s="120"/>
      <c r="R237" s="176"/>
      <c r="S237" s="176"/>
      <c r="U237" s="176"/>
    </row>
    <row r="238" spans="2:23">
      <c r="Q238" s="120"/>
      <c r="R238" s="176"/>
      <c r="S238" s="176"/>
      <c r="U238" s="179"/>
    </row>
    <row r="239" spans="2:23">
      <c r="Q239" s="120"/>
      <c r="S239" s="176"/>
      <c r="U239" s="180"/>
    </row>
    <row r="240" spans="2:23">
      <c r="Q240" s="120"/>
      <c r="S240" s="176"/>
    </row>
    <row r="241" spans="17:19">
      <c r="Q241" s="120"/>
      <c r="S241" s="176"/>
    </row>
    <row r="242" spans="17:19">
      <c r="Q242" s="120"/>
      <c r="S242" s="176"/>
    </row>
  </sheetData>
  <mergeCells count="217">
    <mergeCell ref="D168:I168"/>
    <mergeCell ref="D172:I172"/>
    <mergeCell ref="D173:I173"/>
    <mergeCell ref="D184:I184"/>
    <mergeCell ref="D185:I185"/>
    <mergeCell ref="M2:M5"/>
    <mergeCell ref="C209:L209"/>
    <mergeCell ref="D183:I183"/>
    <mergeCell ref="D182:I182"/>
    <mergeCell ref="D189:I189"/>
    <mergeCell ref="D153:I153"/>
    <mergeCell ref="D157:I157"/>
    <mergeCell ref="D156:I156"/>
    <mergeCell ref="D155:I155"/>
    <mergeCell ref="D154:I154"/>
    <mergeCell ref="D161:I161"/>
    <mergeCell ref="D160:I160"/>
    <mergeCell ref="D159:I159"/>
    <mergeCell ref="D162:I162"/>
    <mergeCell ref="D187:I187"/>
    <mergeCell ref="D179:I179"/>
    <mergeCell ref="D177:I177"/>
    <mergeCell ref="D176:I176"/>
    <mergeCell ref="D207:I207"/>
    <mergeCell ref="D192:I192"/>
    <mergeCell ref="D191:I191"/>
    <mergeCell ref="D188:I188"/>
    <mergeCell ref="D200:I200"/>
    <mergeCell ref="D195:I195"/>
    <mergeCell ref="D59:I59"/>
    <mergeCell ref="D62:I62"/>
    <mergeCell ref="D61:I61"/>
    <mergeCell ref="D60:I60"/>
    <mergeCell ref="D118:I118"/>
    <mergeCell ref="D79:I79"/>
    <mergeCell ref="D78:I78"/>
    <mergeCell ref="D69:I69"/>
    <mergeCell ref="D70:I70"/>
    <mergeCell ref="D77:I77"/>
    <mergeCell ref="D82:I82"/>
    <mergeCell ref="D67:I67"/>
    <mergeCell ref="D71:I71"/>
    <mergeCell ref="D72:I72"/>
    <mergeCell ref="D81:I81"/>
    <mergeCell ref="D80:I80"/>
    <mergeCell ref="D66:I66"/>
    <mergeCell ref="D63:I63"/>
    <mergeCell ref="D64:I64"/>
    <mergeCell ref="D65:I65"/>
    <mergeCell ref="D68:I68"/>
    <mergeCell ref="D74:I74"/>
    <mergeCell ref="D75:I75"/>
    <mergeCell ref="D76:I76"/>
    <mergeCell ref="D58:I58"/>
    <mergeCell ref="D50:I50"/>
    <mergeCell ref="D57:I57"/>
    <mergeCell ref="D55:I55"/>
    <mergeCell ref="D56:I56"/>
    <mergeCell ref="D51:I51"/>
    <mergeCell ref="D52:I52"/>
    <mergeCell ref="D53:I53"/>
    <mergeCell ref="D54:I54"/>
    <mergeCell ref="D21:I21"/>
    <mergeCell ref="D20:I20"/>
    <mergeCell ref="C9:D9"/>
    <mergeCell ref="C10:D10"/>
    <mergeCell ref="D31:I31"/>
    <mergeCell ref="D48:I48"/>
    <mergeCell ref="D45:I45"/>
    <mergeCell ref="D46:I46"/>
    <mergeCell ref="D47:I47"/>
    <mergeCell ref="D32:I32"/>
    <mergeCell ref="D33:I33"/>
    <mergeCell ref="D34:I34"/>
    <mergeCell ref="D35:I35"/>
    <mergeCell ref="D36:I36"/>
    <mergeCell ref="D44:I44"/>
    <mergeCell ref="D37:I37"/>
    <mergeCell ref="D38:I38"/>
    <mergeCell ref="D39:I39"/>
    <mergeCell ref="D40:I40"/>
    <mergeCell ref="D41:I41"/>
    <mergeCell ref="D42:I42"/>
    <mergeCell ref="D43:I43"/>
    <mergeCell ref="E8:M8"/>
    <mergeCell ref="E9:M9"/>
    <mergeCell ref="E10:M10"/>
    <mergeCell ref="E11:M11"/>
    <mergeCell ref="E12:M12"/>
    <mergeCell ref="G2:K5"/>
    <mergeCell ref="C11:D11"/>
    <mergeCell ref="C213:M213"/>
    <mergeCell ref="C214:M214"/>
    <mergeCell ref="C208:L208"/>
    <mergeCell ref="C6:M6"/>
    <mergeCell ref="C8:D8"/>
    <mergeCell ref="D130:I130"/>
    <mergeCell ref="D135:I135"/>
    <mergeCell ref="D98:I98"/>
    <mergeCell ref="D24:I24"/>
    <mergeCell ref="D100:I100"/>
    <mergeCell ref="D134:I134"/>
    <mergeCell ref="D22:I22"/>
    <mergeCell ref="D104:I104"/>
    <mergeCell ref="D30:I30"/>
    <mergeCell ref="D49:I49"/>
    <mergeCell ref="D186:I186"/>
    <mergeCell ref="D199:I199"/>
    <mergeCell ref="V235:V236"/>
    <mergeCell ref="V227:V228"/>
    <mergeCell ref="P11:Q11"/>
    <mergeCell ref="V231:V234"/>
    <mergeCell ref="C14:M14"/>
    <mergeCell ref="C210:L210"/>
    <mergeCell ref="C211:L211"/>
    <mergeCell ref="D15:I15"/>
    <mergeCell ref="D19:I19"/>
    <mergeCell ref="D174:I174"/>
    <mergeCell ref="C12:D12"/>
    <mergeCell ref="D16:I16"/>
    <mergeCell ref="D17:I17"/>
    <mergeCell ref="D18:I18"/>
    <mergeCell ref="D23:I23"/>
    <mergeCell ref="D99:I99"/>
    <mergeCell ref="D27:I27"/>
    <mergeCell ref="D26:I26"/>
    <mergeCell ref="D25:I25"/>
    <mergeCell ref="D29:I29"/>
    <mergeCell ref="D28:I28"/>
    <mergeCell ref="D103:I103"/>
    <mergeCell ref="D102:I102"/>
    <mergeCell ref="D101:I101"/>
    <mergeCell ref="D85:I85"/>
    <mergeCell ref="D86:I86"/>
    <mergeCell ref="D87:I87"/>
    <mergeCell ref="D88:I88"/>
    <mergeCell ref="D106:I106"/>
    <mergeCell ref="D105:I105"/>
    <mergeCell ref="D107:I107"/>
    <mergeCell ref="D114:I114"/>
    <mergeCell ref="D109:I109"/>
    <mergeCell ref="D108:I108"/>
    <mergeCell ref="D113:I113"/>
    <mergeCell ref="D112:I112"/>
    <mergeCell ref="D111:I111"/>
    <mergeCell ref="D90:I90"/>
    <mergeCell ref="D89:I89"/>
    <mergeCell ref="D91:I91"/>
    <mergeCell ref="D93:I93"/>
    <mergeCell ref="D92:I92"/>
    <mergeCell ref="D95:I95"/>
    <mergeCell ref="D94:I94"/>
    <mergeCell ref="D96:I96"/>
    <mergeCell ref="D97:I97"/>
    <mergeCell ref="D146:I146"/>
    <mergeCell ref="D119:I119"/>
    <mergeCell ref="D120:I120"/>
    <mergeCell ref="D110:I110"/>
    <mergeCell ref="D144:I144"/>
    <mergeCell ref="D143:I143"/>
    <mergeCell ref="D141:I141"/>
    <mergeCell ref="D140:I140"/>
    <mergeCell ref="D142:I142"/>
    <mergeCell ref="D117:I117"/>
    <mergeCell ref="D116:I116"/>
    <mergeCell ref="D115:I115"/>
    <mergeCell ref="D125:I125"/>
    <mergeCell ref="D122:I122"/>
    <mergeCell ref="D121:I121"/>
    <mergeCell ref="D83:I83"/>
    <mergeCell ref="D84:I84"/>
    <mergeCell ref="D178:I178"/>
    <mergeCell ref="D73:I73"/>
    <mergeCell ref="D123:I123"/>
    <mergeCell ref="D150:I150"/>
    <mergeCell ref="D151:I151"/>
    <mergeCell ref="D152:I152"/>
    <mergeCell ref="D158:I158"/>
    <mergeCell ref="D124:I124"/>
    <mergeCell ref="D138:I138"/>
    <mergeCell ref="D132:I132"/>
    <mergeCell ref="D133:I133"/>
    <mergeCell ref="D137:I137"/>
    <mergeCell ref="D136:I136"/>
    <mergeCell ref="D131:I131"/>
    <mergeCell ref="D175:I175"/>
    <mergeCell ref="D145:I145"/>
    <mergeCell ref="D129:I129"/>
    <mergeCell ref="D139:I139"/>
    <mergeCell ref="D126:I126"/>
    <mergeCell ref="D127:I127"/>
    <mergeCell ref="D128:I128"/>
    <mergeCell ref="D147:I147"/>
    <mergeCell ref="D204:I204"/>
    <mergeCell ref="D203:I203"/>
    <mergeCell ref="D202:I202"/>
    <mergeCell ref="D205:I205"/>
    <mergeCell ref="D206:I206"/>
    <mergeCell ref="D197:I197"/>
    <mergeCell ref="D196:I196"/>
    <mergeCell ref="D148:I148"/>
    <mergeCell ref="D149:I149"/>
    <mergeCell ref="D201:I201"/>
    <mergeCell ref="D181:I181"/>
    <mergeCell ref="D180:I180"/>
    <mergeCell ref="D198:I198"/>
    <mergeCell ref="D194:I194"/>
    <mergeCell ref="D193:I193"/>
    <mergeCell ref="D190:I190"/>
    <mergeCell ref="D163:I163"/>
    <mergeCell ref="D164:I164"/>
    <mergeCell ref="D165:I165"/>
    <mergeCell ref="D166:I166"/>
    <mergeCell ref="D167:I167"/>
    <mergeCell ref="D171:I171"/>
    <mergeCell ref="D170:I170"/>
    <mergeCell ref="D169:I169"/>
  </mergeCells>
  <pageMargins left="0.7" right="0.7" top="0.75" bottom="0.75" header="0.3" footer="0.3"/>
  <pageSetup scale="11" orientation="portrait" horizontalDpi="4294967295" verticalDpi="4294967295"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971A3-C97A-4757-933C-1CDEBCB88E39}">
          <x14:formula1>
            <xm:f>Listas!$A:$A</xm:f>
          </x14:formula1>
          <xm:sqref>E8:M8</xm:sqref>
        </x14:dataValidation>
        <x14:dataValidation type="list" allowBlank="1" showInputMessage="1" showErrorMessage="1" xr:uid="{410E0F89-040C-4B2C-A4D5-FE4C10A44DAF}">
          <x14:formula1>
            <xm:f>Directorio!$C$3:$C$6</xm:f>
          </x14:formula1>
          <xm:sqref>E9:M9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3B579-E697-4AF7-AEE1-2C985B1E8037}">
  <dimension ref="A1:S21"/>
  <sheetViews>
    <sheetView showGridLines="0" workbookViewId="0">
      <selection activeCell="A6" sqref="A6"/>
    </sheetView>
  </sheetViews>
  <sheetFormatPr baseColWidth="10" defaultColWidth="11.44140625" defaultRowHeight="13.8"/>
  <cols>
    <col min="1" max="1" width="36.33203125" style="387" customWidth="1"/>
    <col min="2" max="2" width="17.33203125" style="387" customWidth="1"/>
    <col min="3" max="3" width="12.6640625" style="387" customWidth="1"/>
    <col min="4" max="4" width="13.88671875" style="387" bestFit="1" customWidth="1"/>
    <col min="5" max="5" width="16.44140625" style="387" customWidth="1"/>
    <col min="6" max="6" width="11.5546875" style="387" bestFit="1" customWidth="1"/>
    <col min="7" max="7" width="13.5546875" style="387" customWidth="1"/>
    <col min="8" max="8" width="12" style="387" bestFit="1" customWidth="1"/>
    <col min="9" max="9" width="13.109375" style="387" customWidth="1"/>
    <col min="10" max="16384" width="11.44140625" style="387"/>
  </cols>
  <sheetData>
    <row r="1" spans="1:19" ht="18" customHeight="1">
      <c r="A1" s="445" t="s">
        <v>4906</v>
      </c>
      <c r="B1" s="445"/>
      <c r="C1" s="445"/>
      <c r="D1" s="445"/>
      <c r="E1" s="445"/>
      <c r="F1" s="445"/>
    </row>
    <row r="2" spans="1:19" ht="18" customHeight="1">
      <c r="A2" s="445"/>
      <c r="B2" s="445"/>
      <c r="C2" s="445"/>
      <c r="D2" s="445"/>
      <c r="E2" s="445"/>
      <c r="F2" s="445"/>
    </row>
    <row r="3" spans="1:19" ht="17.25" customHeight="1">
      <c r="A3" s="505"/>
      <c r="B3" s="505"/>
      <c r="C3" s="505"/>
      <c r="D3" s="505"/>
      <c r="E3" s="505"/>
      <c r="F3" s="505"/>
    </row>
    <row r="4" spans="1:19" ht="18.600000000000001">
      <c r="A4" s="424" t="str">
        <f>COSTOS!E8</f>
        <v>AGUACHICA</v>
      </c>
      <c r="B4" s="425" t="s">
        <v>4968</v>
      </c>
      <c r="C4" s="425">
        <v>2015</v>
      </c>
      <c r="D4" s="425">
        <v>2016</v>
      </c>
      <c r="E4" s="425">
        <v>2017</v>
      </c>
      <c r="F4" s="425">
        <v>2018</v>
      </c>
      <c r="G4" s="425">
        <v>2019</v>
      </c>
      <c r="H4" s="425">
        <v>2020</v>
      </c>
      <c r="I4" s="425">
        <v>2021</v>
      </c>
      <c r="K4" s="420"/>
      <c r="L4" s="420"/>
      <c r="M4" s="420"/>
      <c r="N4" s="420"/>
      <c r="O4" s="420"/>
      <c r="P4" s="420"/>
      <c r="Q4" s="420"/>
      <c r="R4" s="420"/>
      <c r="S4" s="420"/>
    </row>
    <row r="5" spans="1:19" ht="27.75" customHeight="1">
      <c r="A5" s="426" t="s">
        <v>4901</v>
      </c>
      <c r="B5" s="426"/>
      <c r="C5" s="427">
        <v>3.6600000000000001E-2</v>
      </c>
      <c r="D5" s="428">
        <v>6.7699999999999996E-2</v>
      </c>
      <c r="E5" s="428">
        <v>5.7500000000000002E-2</v>
      </c>
      <c r="F5" s="428">
        <v>4.0899999999999999E-2</v>
      </c>
      <c r="G5" s="428">
        <v>3.1800000000000002E-2</v>
      </c>
      <c r="H5" s="428">
        <v>3.7999999999999999E-2</v>
      </c>
      <c r="I5" s="428">
        <v>1.61E-2</v>
      </c>
      <c r="K5" s="420"/>
      <c r="L5" s="420"/>
      <c r="M5" s="420"/>
      <c r="N5" s="421"/>
      <c r="O5" s="421"/>
      <c r="P5" s="422"/>
      <c r="Q5" s="421"/>
      <c r="R5" s="390"/>
      <c r="S5" s="420"/>
    </row>
    <row r="6" spans="1:19" ht="16.5" customHeight="1">
      <c r="A6" s="429"/>
      <c r="B6" s="438"/>
      <c r="C6" s="430">
        <f>+B6*(1+C5)</f>
        <v>0</v>
      </c>
      <c r="D6" s="430">
        <f>+C6*(1+D5)</f>
        <v>0</v>
      </c>
      <c r="E6" s="430">
        <f t="shared" ref="E6:I6" si="0">+D6*(1+E5)</f>
        <v>0</v>
      </c>
      <c r="F6" s="430">
        <f t="shared" si="0"/>
        <v>0</v>
      </c>
      <c r="G6" s="430">
        <f t="shared" si="0"/>
        <v>0</v>
      </c>
      <c r="H6" s="430">
        <f t="shared" si="0"/>
        <v>0</v>
      </c>
      <c r="I6" s="430">
        <f t="shared" si="0"/>
        <v>0</v>
      </c>
      <c r="K6" s="423"/>
      <c r="L6" s="423"/>
      <c r="M6" s="423"/>
      <c r="N6" s="423"/>
      <c r="O6" s="423"/>
      <c r="P6" s="423"/>
      <c r="Q6" s="423"/>
      <c r="R6" s="423"/>
      <c r="S6" s="423"/>
    </row>
    <row r="7" spans="1:19">
      <c r="A7" s="429"/>
      <c r="B7" s="429"/>
      <c r="C7" s="430"/>
      <c r="D7" s="430">
        <f t="shared" ref="D7:I7" si="1">+C7*(1+D5)</f>
        <v>0</v>
      </c>
      <c r="E7" s="430">
        <f t="shared" si="1"/>
        <v>0</v>
      </c>
      <c r="F7" s="430">
        <f t="shared" si="1"/>
        <v>0</v>
      </c>
      <c r="G7" s="430">
        <f t="shared" si="1"/>
        <v>0</v>
      </c>
      <c r="H7" s="430">
        <f t="shared" si="1"/>
        <v>0</v>
      </c>
      <c r="I7" s="430">
        <f t="shared" si="1"/>
        <v>0</v>
      </c>
    </row>
    <row r="8" spans="1:19" ht="15.75" customHeight="1">
      <c r="A8" s="431"/>
      <c r="B8" s="432"/>
      <c r="C8" s="433"/>
      <c r="D8" s="433"/>
      <c r="E8" s="434"/>
      <c r="F8" s="434"/>
      <c r="G8" s="434"/>
      <c r="H8" s="434"/>
      <c r="I8" s="434"/>
    </row>
    <row r="9" spans="1:19" ht="15.75" customHeight="1">
      <c r="A9" s="426" t="s">
        <v>4967</v>
      </c>
      <c r="B9" s="426"/>
      <c r="C9" s="427">
        <v>3.6600000000000001E-2</v>
      </c>
      <c r="D9" s="428">
        <v>6.7699999999999996E-2</v>
      </c>
      <c r="E9" s="428">
        <v>5.7500000000000002E-2</v>
      </c>
      <c r="F9" s="428">
        <v>4.0899999999999999E-2</v>
      </c>
      <c r="G9" s="428">
        <v>3.1800000000000002E-2</v>
      </c>
      <c r="H9" s="428">
        <v>3.7999999999999999E-2</v>
      </c>
      <c r="I9" s="428">
        <v>1.61E-2</v>
      </c>
    </row>
    <row r="10" spans="1:19" ht="15.75" customHeight="1">
      <c r="A10" s="429"/>
      <c r="B10" s="438"/>
      <c r="C10" s="430">
        <f>+B10*(1+C9)</f>
        <v>0</v>
      </c>
      <c r="D10" s="430">
        <f>+C10*(1+D9)</f>
        <v>0</v>
      </c>
      <c r="E10" s="430">
        <f t="shared" ref="E10" si="2">+D10*(1+E9)</f>
        <v>0</v>
      </c>
      <c r="F10" s="430">
        <f t="shared" ref="F10" si="3">+E10*(1+F9)</f>
        <v>0</v>
      </c>
      <c r="G10" s="430">
        <f t="shared" ref="G10" si="4">+F10*(1+G9)</f>
        <v>0</v>
      </c>
      <c r="H10" s="430">
        <f t="shared" ref="H10" si="5">+G10*(1+H9)</f>
        <v>0</v>
      </c>
      <c r="I10" s="430">
        <f t="shared" ref="I10" si="6">+H10*(1+I9)</f>
        <v>0</v>
      </c>
    </row>
    <row r="11" spans="1:19" ht="15.75" customHeight="1">
      <c r="A11" s="429"/>
      <c r="B11" s="429"/>
      <c r="C11" s="430"/>
      <c r="D11" s="430">
        <f t="shared" ref="D11" si="7">+C11*(1+D9)</f>
        <v>0</v>
      </c>
      <c r="E11" s="430">
        <f t="shared" ref="E11" si="8">+D11*(1+E9)</f>
        <v>0</v>
      </c>
      <c r="F11" s="430">
        <f t="shared" ref="F11" si="9">+E11*(1+F9)</f>
        <v>0</v>
      </c>
      <c r="G11" s="430">
        <f t="shared" ref="G11" si="10">+F11*(1+G9)</f>
        <v>0</v>
      </c>
      <c r="H11" s="430">
        <f t="shared" ref="H11" si="11">+G11*(1+H9)</f>
        <v>0</v>
      </c>
      <c r="I11" s="430">
        <f t="shared" ref="I11" si="12">+H11*(1+I9)</f>
        <v>0</v>
      </c>
    </row>
    <row r="12" spans="1:19">
      <c r="A12" s="429"/>
      <c r="B12" s="429"/>
      <c r="C12" s="430"/>
      <c r="D12" s="430">
        <f t="shared" ref="D12" si="13">+C12*(1+D9)</f>
        <v>0</v>
      </c>
      <c r="E12" s="430">
        <f t="shared" ref="E12" si="14">+D12*(1+E9)</f>
        <v>0</v>
      </c>
      <c r="F12" s="430">
        <f t="shared" ref="F12" si="15">+E12*(1+F9)</f>
        <v>0</v>
      </c>
      <c r="G12" s="430">
        <f t="shared" ref="G12" si="16">+F12*(1+G9)</f>
        <v>0</v>
      </c>
      <c r="H12" s="430">
        <f t="shared" ref="H12" si="17">+G12*(1+H9)</f>
        <v>0</v>
      </c>
      <c r="I12" s="430">
        <f t="shared" ref="I12" si="18">+H12*(1+I9)</f>
        <v>0</v>
      </c>
    </row>
    <row r="13" spans="1:19" ht="15.75" customHeight="1">
      <c r="A13" s="426" t="s">
        <v>4965</v>
      </c>
      <c r="B13" s="426"/>
      <c r="C13" s="427">
        <v>3.6600000000000001E-2</v>
      </c>
      <c r="D13" s="428">
        <v>6.7699999999999996E-2</v>
      </c>
      <c r="E13" s="428">
        <v>5.7500000000000002E-2</v>
      </c>
      <c r="F13" s="428">
        <v>4.0899999999999999E-2</v>
      </c>
      <c r="G13" s="428">
        <v>3.1800000000000002E-2</v>
      </c>
      <c r="H13" s="428">
        <v>3.7999999999999999E-2</v>
      </c>
      <c r="I13" s="428">
        <v>1.61E-2</v>
      </c>
    </row>
    <row r="14" spans="1:19" ht="15.75" customHeight="1">
      <c r="A14" s="429"/>
      <c r="B14" s="438"/>
      <c r="C14" s="430">
        <f>+B14*(1+C13)</f>
        <v>0</v>
      </c>
      <c r="D14" s="430">
        <f>+C14*(1+D13)</f>
        <v>0</v>
      </c>
      <c r="E14" s="430">
        <f t="shared" ref="E14" si="19">+D14*(1+E13)</f>
        <v>0</v>
      </c>
      <c r="F14" s="430">
        <f t="shared" ref="F14" si="20">+E14*(1+F13)</f>
        <v>0</v>
      </c>
      <c r="G14" s="430">
        <f t="shared" ref="G14" si="21">+F14*(1+G13)</f>
        <v>0</v>
      </c>
      <c r="H14" s="430">
        <f t="shared" ref="H14" si="22">+G14*(1+H13)</f>
        <v>0</v>
      </c>
      <c r="I14" s="430">
        <f t="shared" ref="I14" si="23">+H14*(1+I13)</f>
        <v>0</v>
      </c>
    </row>
    <row r="15" spans="1:19" ht="15.75" customHeight="1">
      <c r="A15" s="429"/>
      <c r="B15" s="429"/>
      <c r="C15" s="430"/>
      <c r="D15" s="430">
        <f t="shared" ref="D15" si="24">+C15*(1+D13)</f>
        <v>0</v>
      </c>
      <c r="E15" s="430">
        <f t="shared" ref="E15" si="25">+D15*(1+E13)</f>
        <v>0</v>
      </c>
      <c r="F15" s="430">
        <f t="shared" ref="F15" si="26">+E15*(1+F13)</f>
        <v>0</v>
      </c>
      <c r="G15" s="430">
        <f t="shared" ref="G15" si="27">+F15*(1+G13)</f>
        <v>0</v>
      </c>
      <c r="H15" s="430">
        <f t="shared" ref="H15" si="28">+G15*(1+H13)</f>
        <v>0</v>
      </c>
      <c r="I15" s="430">
        <f t="shared" ref="I15" si="29">+H15*(1+I13)</f>
        <v>0</v>
      </c>
    </row>
    <row r="16" spans="1:19" ht="15.75" customHeight="1">
      <c r="A16" s="503"/>
      <c r="B16" s="503"/>
      <c r="C16" s="503"/>
      <c r="D16" s="503"/>
      <c r="E16" s="503"/>
      <c r="F16" s="435"/>
      <c r="G16" s="429"/>
      <c r="H16" s="429"/>
      <c r="I16" s="429"/>
    </row>
    <row r="17" spans="1:11" ht="15.75" customHeight="1">
      <c r="A17" s="504"/>
      <c r="B17" s="504"/>
      <c r="C17" s="504"/>
      <c r="D17" s="504"/>
      <c r="E17" s="504"/>
      <c r="F17" s="436"/>
      <c r="G17" s="437"/>
      <c r="H17" s="437"/>
      <c r="I17" s="437"/>
    </row>
    <row r="18" spans="1:11" ht="18">
      <c r="D18" s="394">
        <f>VLOOKUP($A$4,Listas!$A:$F,2,0)</f>
        <v>0.1</v>
      </c>
      <c r="E18" s="394">
        <f>VLOOKUP($A$4,Listas!$A:$F,3,0)</f>
        <v>0.1</v>
      </c>
      <c r="F18" s="394">
        <f>VLOOKUP($A$4,Listas!$A:$F,4,0)</f>
        <v>0.01</v>
      </c>
      <c r="G18" s="394">
        <f>VLOOKUP($A$4,Listas!$A:$F,5,0)</f>
        <v>0</v>
      </c>
      <c r="H18" s="394">
        <f>VLOOKUP($A$4,Listas!$A:$F,6,0)</f>
        <v>0.03</v>
      </c>
      <c r="I18" s="395"/>
      <c r="J18" s="396">
        <v>0.19</v>
      </c>
    </row>
    <row r="19" spans="1:11" ht="39.6">
      <c r="A19" s="419" t="s">
        <v>4963</v>
      </c>
      <c r="B19" s="419" t="s">
        <v>4964</v>
      </c>
      <c r="C19" s="419" t="s">
        <v>4965</v>
      </c>
      <c r="D19" s="419" t="s">
        <v>4836</v>
      </c>
      <c r="E19" s="419" t="s">
        <v>4837</v>
      </c>
      <c r="F19" s="419" t="s">
        <v>4838</v>
      </c>
      <c r="G19" s="419" t="s">
        <v>4839</v>
      </c>
      <c r="H19" s="419" t="s">
        <v>4840</v>
      </c>
      <c r="I19" s="419" t="s">
        <v>4966</v>
      </c>
      <c r="J19" s="419" t="s">
        <v>4199</v>
      </c>
      <c r="K19" s="419"/>
    </row>
    <row r="20" spans="1:11">
      <c r="A20" s="414"/>
      <c r="B20" s="414"/>
      <c r="C20" s="414"/>
      <c r="D20" s="415"/>
      <c r="E20" s="415"/>
      <c r="F20" s="416"/>
      <c r="G20" s="415"/>
      <c r="H20" s="417"/>
      <c r="I20" s="414"/>
      <c r="J20" s="414"/>
      <c r="K20" s="414"/>
    </row>
    <row r="21" spans="1:11">
      <c r="A21" s="418">
        <f>I6</f>
        <v>0</v>
      </c>
      <c r="B21" s="418">
        <f>I10</f>
        <v>0</v>
      </c>
      <c r="C21" s="418">
        <f>I14</f>
        <v>0</v>
      </c>
      <c r="D21" s="418">
        <f>+PRODUCT($D$18,SUM(A21,B21,C21))</f>
        <v>0</v>
      </c>
      <c r="E21" s="418">
        <f>+PRODUCT($E$18,SUM(A21,B21,C21))</f>
        <v>0</v>
      </c>
      <c r="F21" s="418">
        <f>+PRODUCT($F$18,SUM(A21,B21,C21))</f>
        <v>0</v>
      </c>
      <c r="G21" s="418">
        <f>+PRODUCT($G$18,SUM(A21,B21,C21))</f>
        <v>0</v>
      </c>
      <c r="H21" s="418">
        <f>(A21+B21+C21+D21+E21+F21+G21)*$H$18</f>
        <v>0</v>
      </c>
      <c r="I21" s="418">
        <f>+SUM(A21:H21)</f>
        <v>0</v>
      </c>
      <c r="J21" s="418">
        <f>E21*J18</f>
        <v>0</v>
      </c>
      <c r="K21" s="418"/>
    </row>
  </sheetData>
  <mergeCells count="3">
    <mergeCell ref="A16:E16"/>
    <mergeCell ref="A17:E17"/>
    <mergeCell ref="A1:F3"/>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O9559"/>
  <sheetViews>
    <sheetView view="pageBreakPreview" topLeftCell="A9514" zoomScaleNormal="100" zoomScaleSheetLayoutView="100" workbookViewId="0">
      <selection activeCell="E8573" sqref="E8573"/>
    </sheetView>
  </sheetViews>
  <sheetFormatPr baseColWidth="10" defaultRowHeight="14.4"/>
  <cols>
    <col min="1" max="1" width="30" customWidth="1"/>
    <col min="2" max="2" width="15.44140625" customWidth="1"/>
    <col min="3" max="4" width="12.33203125" customWidth="1"/>
    <col min="5" max="5" width="13" customWidth="1"/>
    <col min="7" max="7" width="14" bestFit="1" customWidth="1"/>
    <col min="10" max="10" width="17.33203125" customWidth="1"/>
    <col min="11" max="11" width="13" bestFit="1" customWidth="1"/>
    <col min="12" max="12" width="13.44140625" customWidth="1"/>
    <col min="13" max="15" width="12" bestFit="1" customWidth="1"/>
  </cols>
  <sheetData>
    <row r="1" spans="1:14">
      <c r="A1" s="80"/>
      <c r="B1" s="80"/>
      <c r="C1" s="80"/>
      <c r="D1" s="80"/>
      <c r="E1" s="80"/>
      <c r="F1" s="80"/>
      <c r="G1" s="80"/>
      <c r="H1" s="80"/>
    </row>
    <row r="2" spans="1:14">
      <c r="A2" s="191"/>
      <c r="B2" s="191"/>
      <c r="C2" s="191"/>
      <c r="D2" s="191"/>
      <c r="E2" s="191"/>
      <c r="F2" s="191"/>
      <c r="G2" s="191"/>
      <c r="H2" s="191"/>
    </row>
    <row r="3" spans="1:14">
      <c r="A3" s="80"/>
      <c r="B3" s="80"/>
      <c r="C3" s="80"/>
      <c r="D3" s="80"/>
      <c r="E3" s="80"/>
      <c r="F3" s="80"/>
      <c r="G3" s="80"/>
      <c r="H3" s="353"/>
    </row>
    <row r="4" spans="1:14">
      <c r="A4" s="537" t="s">
        <v>4214</v>
      </c>
      <c r="B4" s="538"/>
      <c r="C4" s="538"/>
      <c r="D4" s="538"/>
      <c r="E4" s="538"/>
      <c r="F4" s="538"/>
      <c r="G4" s="538"/>
      <c r="H4" s="539"/>
    </row>
    <row r="5" spans="1:14">
      <c r="A5" s="81"/>
      <c r="B5" s="82"/>
      <c r="C5" s="82"/>
      <c r="D5" s="82"/>
      <c r="E5" s="82"/>
      <c r="F5" s="83"/>
      <c r="G5" s="84"/>
      <c r="H5" s="352">
        <f>ROUND((25/60)/8,4)</f>
        <v>5.21E-2</v>
      </c>
      <c r="I5" s="105"/>
    </row>
    <row r="6" spans="1:14">
      <c r="A6" s="540" t="s">
        <v>4209</v>
      </c>
      <c r="B6" s="542" t="str">
        <f>COSTOS!$C$14</f>
        <v>MODERNIZACION A TECNOLOGIA LED</v>
      </c>
      <c r="C6" s="542"/>
      <c r="D6" s="542"/>
      <c r="E6" s="542"/>
      <c r="F6" s="542"/>
      <c r="G6" s="542"/>
      <c r="H6" s="543" t="s">
        <v>4210</v>
      </c>
    </row>
    <row r="7" spans="1:14">
      <c r="A7" s="541"/>
      <c r="B7" s="542"/>
      <c r="C7" s="542"/>
      <c r="D7" s="542"/>
      <c r="E7" s="542"/>
      <c r="F7" s="542"/>
      <c r="G7" s="542"/>
      <c r="H7" s="543"/>
    </row>
    <row r="8" spans="1:14">
      <c r="A8" s="541"/>
      <c r="B8" s="542"/>
      <c r="C8" s="542"/>
      <c r="D8" s="542"/>
      <c r="E8" s="542"/>
      <c r="F8" s="542"/>
      <c r="G8" s="542"/>
      <c r="H8" s="543"/>
    </row>
    <row r="9" spans="1:14" ht="15" customHeight="1">
      <c r="A9" s="541"/>
      <c r="B9" s="542"/>
      <c r="C9" s="542"/>
      <c r="D9" s="542"/>
      <c r="E9" s="542"/>
      <c r="F9" s="542"/>
      <c r="G9" s="542"/>
      <c r="H9" s="197">
        <f ca="1">TODAY()</f>
        <v>44889</v>
      </c>
      <c r="K9" t="s">
        <v>4380</v>
      </c>
      <c r="L9" t="s">
        <v>4381</v>
      </c>
      <c r="M9" t="s">
        <v>4382</v>
      </c>
      <c r="N9" t="s">
        <v>4383</v>
      </c>
    </row>
    <row r="10" spans="1:14" ht="60.75" customHeight="1">
      <c r="A10" s="209" t="s">
        <v>4211</v>
      </c>
      <c r="B10" s="544" t="str">
        <f>COSTOS!$D$16</f>
        <v>Luminarias</v>
      </c>
      <c r="C10" s="544"/>
      <c r="D10" s="544"/>
      <c r="E10" s="544"/>
      <c r="F10" s="544"/>
      <c r="G10" s="60" t="s">
        <v>4212</v>
      </c>
      <c r="H10" s="359">
        <v>1.1000000000000001</v>
      </c>
      <c r="K10" s="55" t="e">
        <f>H35</f>
        <v>#VALUE!</v>
      </c>
      <c r="L10" s="55">
        <f>H45</f>
        <v>17212.1728</v>
      </c>
      <c r="M10" s="55" t="e">
        <f>H18</f>
        <v>#VALUE!</v>
      </c>
      <c r="N10" s="55" t="e">
        <f>H39</f>
        <v>#VALUE!</v>
      </c>
    </row>
    <row r="11" spans="1:14" ht="43.2" customHeight="1">
      <c r="A11" s="210" t="s">
        <v>4213</v>
      </c>
      <c r="B11" s="545" t="str">
        <f>VLOOKUP(H10,COSTOS!C:M,2,0)</f>
        <v>Luminaria LED 35w</v>
      </c>
      <c r="C11" s="546"/>
      <c r="D11" s="546"/>
      <c r="E11" s="547"/>
      <c r="F11" s="61" t="s">
        <v>0</v>
      </c>
      <c r="G11" s="328" t="str">
        <f>VLOOKUP(H10,COSTOS!C:M,8,0)</f>
        <v>Und</v>
      </c>
      <c r="H11" s="248"/>
      <c r="I11" s="278"/>
      <c r="J11" s="280"/>
      <c r="K11" s="280"/>
      <c r="L11" s="280"/>
    </row>
    <row r="12" spans="1:14">
      <c r="A12" s="211"/>
      <c r="B12" s="102"/>
      <c r="C12" s="102"/>
      <c r="D12" s="102"/>
      <c r="E12" s="103"/>
      <c r="F12" s="104" t="s">
        <v>1</v>
      </c>
      <c r="G12" s="328">
        <f>VLOOKUP(H10,COSTOS!C:M,9,0)</f>
        <v>0</v>
      </c>
      <c r="H12" s="329"/>
      <c r="I12" s="279"/>
    </row>
    <row r="13" spans="1:14">
      <c r="A13" s="212" t="s">
        <v>4215</v>
      </c>
      <c r="B13" s="65"/>
      <c r="C13" s="65"/>
      <c r="D13" s="66"/>
      <c r="E13" s="190"/>
      <c r="F13" s="191"/>
      <c r="G13" s="192" t="s">
        <v>4216</v>
      </c>
      <c r="H13" s="198" t="e">
        <f>H18+H35+H39+H45</f>
        <v>#VALUE!</v>
      </c>
    </row>
    <row r="14" spans="1:14" ht="41.4">
      <c r="A14" s="548" t="s">
        <v>4213</v>
      </c>
      <c r="B14" s="548"/>
      <c r="C14" s="548"/>
      <c r="D14" s="67" t="s">
        <v>0</v>
      </c>
      <c r="E14" s="188" t="s">
        <v>4217</v>
      </c>
      <c r="F14" s="189" t="s">
        <v>4204</v>
      </c>
      <c r="G14" s="64" t="s">
        <v>2</v>
      </c>
      <c r="H14" s="199" t="s">
        <v>4218</v>
      </c>
      <c r="K14" s="281"/>
    </row>
    <row r="15" spans="1:14">
      <c r="A15" s="517" t="s">
        <v>3946</v>
      </c>
      <c r="B15" s="549">
        <f>VLOOKUP(A15,'Equip, Herr y Transp'!$B$2:$E$738,2,0)</f>
        <v>2</v>
      </c>
      <c r="C15" s="549"/>
      <c r="D15" s="85">
        <f>VLOOKUP(A15,'Equip, Herr y Transp'!$B$2:$E$217,2,0)</f>
        <v>2</v>
      </c>
      <c r="E15" s="85" t="str">
        <f>VLOOKUP(A15,'Equip, Herr y Transp'!$B$2:$E$217,3,0)</f>
        <v>EQU</v>
      </c>
      <c r="F15" s="86">
        <f>H5</f>
        <v>5.21E-2</v>
      </c>
      <c r="G15" s="112" t="e">
        <f>F15*E15</f>
        <v>#VALUE!</v>
      </c>
      <c r="H15" s="108"/>
    </row>
    <row r="16" spans="1:14">
      <c r="A16" s="517" t="s">
        <v>3904</v>
      </c>
      <c r="B16" s="549">
        <f>VLOOKUP(A16,'Equip, Herr y Transp'!$B$2:$E$738,2,0)</f>
        <v>2</v>
      </c>
      <c r="C16" s="549"/>
      <c r="D16" s="85">
        <f>VLOOKUP(A16,'Equip, Herr y Transp'!$B$2:$E$217,2,0)</f>
        <v>2</v>
      </c>
      <c r="E16" s="85" t="str">
        <f>VLOOKUP(A16,'Equip, Herr y Transp'!$B$2:$E$217,3,0)</f>
        <v>EQU</v>
      </c>
      <c r="F16" s="86">
        <f>H5</f>
        <v>5.21E-2</v>
      </c>
      <c r="G16" s="112" t="e">
        <f>F16*E16</f>
        <v>#VALUE!</v>
      </c>
      <c r="H16" s="107"/>
    </row>
    <row r="17" spans="1:15">
      <c r="A17" s="517" t="s">
        <v>3937</v>
      </c>
      <c r="B17" s="549">
        <f>VLOOKUP(A17,'Equip, Herr y Transp'!$B$2:$E$738,2,0)</f>
        <v>2</v>
      </c>
      <c r="C17" s="549"/>
      <c r="D17" s="85">
        <f>VLOOKUP(A17,'Equip, Herr y Transp'!$B$2:$E$217,2,0)</f>
        <v>2</v>
      </c>
      <c r="E17" s="85" t="str">
        <f>VLOOKUP(A17,'Equip, Herr y Transp'!$B$2:$E$217,3,0)</f>
        <v>EQU</v>
      </c>
      <c r="F17" s="86">
        <f>H5</f>
        <v>5.21E-2</v>
      </c>
      <c r="G17" s="112" t="e">
        <f>F17*E17</f>
        <v>#VALUE!</v>
      </c>
      <c r="H17" s="107"/>
    </row>
    <row r="18" spans="1:15">
      <c r="A18" s="520" t="s">
        <v>4099</v>
      </c>
      <c r="B18" s="521"/>
      <c r="C18" s="521"/>
      <c r="D18" s="521"/>
      <c r="E18" s="521"/>
      <c r="F18" s="521"/>
      <c r="G18" s="521"/>
      <c r="H18" s="87" t="e">
        <f>SUM(G15:G17)</f>
        <v>#VALUE!</v>
      </c>
    </row>
    <row r="19" spans="1:15">
      <c r="A19" s="550" t="s">
        <v>4219</v>
      </c>
      <c r="B19" s="551"/>
      <c r="C19" s="551"/>
      <c r="D19" s="551"/>
      <c r="E19" s="551"/>
      <c r="F19" s="551"/>
      <c r="G19" s="551"/>
      <c r="H19" s="552"/>
      <c r="K19" s="50"/>
      <c r="L19" s="50"/>
      <c r="M19" s="50"/>
      <c r="N19" s="50"/>
      <c r="O19" s="50"/>
    </row>
    <row r="20" spans="1:15" ht="30" customHeight="1">
      <c r="A20" s="553" t="s">
        <v>7</v>
      </c>
      <c r="B20" s="554"/>
      <c r="C20" s="99" t="s">
        <v>0</v>
      </c>
      <c r="D20" s="100" t="s">
        <v>4097</v>
      </c>
      <c r="E20" s="101" t="s">
        <v>1</v>
      </c>
      <c r="F20" s="555" t="s">
        <v>4207</v>
      </c>
      <c r="G20" s="555"/>
      <c r="H20" s="196"/>
      <c r="K20" s="50"/>
      <c r="L20" s="50"/>
      <c r="M20" s="50"/>
      <c r="N20" s="50"/>
      <c r="O20" s="50"/>
    </row>
    <row r="21" spans="1:15">
      <c r="A21" s="535" t="s">
        <v>4598</v>
      </c>
      <c r="B21" s="536"/>
      <c r="C21" s="88">
        <f>VLOOKUP(A21,'Materiales '!$C$2:$G$396,3,0)</f>
        <v>4</v>
      </c>
      <c r="D21" s="89" t="str">
        <f>VLOOKUP(A21,'Materiales '!$C$2:$G$396,4,0)</f>
        <v>Und</v>
      </c>
      <c r="E21" s="90">
        <v>1</v>
      </c>
      <c r="F21" s="508" t="e">
        <f>E21*D21</f>
        <v>#VALUE!</v>
      </c>
      <c r="G21" s="519"/>
      <c r="H21" s="111"/>
      <c r="I21">
        <f>E21*G12</f>
        <v>0</v>
      </c>
      <c r="J21" s="57"/>
      <c r="K21" s="50"/>
      <c r="L21" s="50"/>
      <c r="M21" s="50"/>
      <c r="N21" s="50"/>
      <c r="O21" s="50"/>
    </row>
    <row r="22" spans="1:15">
      <c r="A22" s="535" t="s">
        <v>4203</v>
      </c>
      <c r="B22" s="536"/>
      <c r="C22" s="88">
        <f>VLOOKUP(A22,'Materiales '!$C$2:$G$396,3,0)</f>
        <v>4</v>
      </c>
      <c r="D22" s="89" t="str">
        <f>VLOOKUP(A22,'Materiales '!$C$2:$G$396,4,0)</f>
        <v>Und</v>
      </c>
      <c r="E22" s="90">
        <v>1</v>
      </c>
      <c r="F22" s="508" t="e">
        <f t="shared" ref="F22:F33" si="0">E22*D22</f>
        <v>#VALUE!</v>
      </c>
      <c r="G22" s="519"/>
      <c r="H22" s="111"/>
      <c r="I22">
        <f>E22*G12</f>
        <v>0</v>
      </c>
      <c r="J22" s="57"/>
      <c r="K22" s="50"/>
      <c r="L22" s="50"/>
      <c r="M22" s="50"/>
      <c r="N22" s="50"/>
      <c r="O22" s="50"/>
    </row>
    <row r="23" spans="1:15">
      <c r="A23" s="517" t="s">
        <v>4466</v>
      </c>
      <c r="B23" s="518">
        <f>VLOOKUP(A23,'Materiales '!$C$2:$G$396,3,0)</f>
        <v>4</v>
      </c>
      <c r="C23" s="88">
        <f>VLOOKUP(A23,'Materiales '!$C$2:$G$396,3,0)</f>
        <v>4</v>
      </c>
      <c r="D23" s="89" t="str">
        <f>VLOOKUP(A23,'Materiales '!$C$2:$G$396,4,0)</f>
        <v>Und</v>
      </c>
      <c r="E23" s="90">
        <v>2</v>
      </c>
      <c r="F23" s="508" t="e">
        <f t="shared" ref="F23:F28" si="1">E23*D23</f>
        <v>#VALUE!</v>
      </c>
      <c r="G23" s="519"/>
      <c r="H23" s="111"/>
      <c r="I23">
        <f>E23*G12</f>
        <v>0</v>
      </c>
      <c r="J23" s="58"/>
      <c r="K23" s="50"/>
      <c r="L23" s="50"/>
      <c r="M23" s="50"/>
      <c r="N23" s="50"/>
      <c r="O23" s="50"/>
    </row>
    <row r="24" spans="1:15">
      <c r="A24" s="517" t="s">
        <v>4478</v>
      </c>
      <c r="B24" s="518">
        <f>VLOOKUP(A24,'Materiales '!$C$2:$G$396,3,0)</f>
        <v>4</v>
      </c>
      <c r="C24" s="88">
        <f>VLOOKUP(A24,'Materiales '!$C$2:$G$396,3,0)</f>
        <v>4</v>
      </c>
      <c r="D24" s="89" t="str">
        <f>VLOOKUP(A24,'Materiales '!$C$2:$G$396,4,0)</f>
        <v>Und</v>
      </c>
      <c r="E24" s="90">
        <v>3</v>
      </c>
      <c r="F24" s="508" t="e">
        <f t="shared" ref="F24:F25" si="2">E24*D24</f>
        <v>#VALUE!</v>
      </c>
      <c r="G24" s="519"/>
      <c r="H24" s="111"/>
      <c r="I24">
        <f>E24*G12</f>
        <v>0</v>
      </c>
      <c r="J24" s="58"/>
      <c r="K24" s="50"/>
      <c r="L24" s="50"/>
      <c r="M24" s="50"/>
      <c r="N24" s="50"/>
      <c r="O24" s="50"/>
    </row>
    <row r="25" spans="1:15">
      <c r="A25" s="517" t="s">
        <v>4543</v>
      </c>
      <c r="B25" s="518">
        <f>VLOOKUP(A25,'Materiales '!$C$2:$G$396,3,0)</f>
        <v>4</v>
      </c>
      <c r="C25" s="88">
        <f>VLOOKUP(A25,'Materiales '!$C$2:$G$396,3,0)</f>
        <v>4</v>
      </c>
      <c r="D25" s="89" t="str">
        <f>VLOOKUP(A25,'Materiales '!$C$2:$G$396,4,0)</f>
        <v>Und</v>
      </c>
      <c r="E25" s="90">
        <v>2</v>
      </c>
      <c r="F25" s="508" t="e">
        <f t="shared" si="2"/>
        <v>#VALUE!</v>
      </c>
      <c r="G25" s="519"/>
      <c r="H25" s="111"/>
      <c r="I25">
        <f>E25*G12</f>
        <v>0</v>
      </c>
      <c r="J25" s="58"/>
      <c r="K25" s="50"/>
      <c r="L25" s="50"/>
      <c r="M25" s="50"/>
      <c r="N25" s="50"/>
      <c r="O25" s="50"/>
    </row>
    <row r="26" spans="1:15">
      <c r="A26" s="517" t="s">
        <v>4439</v>
      </c>
      <c r="B26" s="518">
        <f>VLOOKUP(A26,'Materiales '!$C$2:$G$396,3,0)</f>
        <v>2</v>
      </c>
      <c r="C26" s="88">
        <f>VLOOKUP(A26,'Materiales '!$C$2:$G$396,3,0)</f>
        <v>2</v>
      </c>
      <c r="D26" s="89" t="str">
        <f>VLOOKUP(A26,'Materiales '!$C$2:$G$396,4,0)</f>
        <v>Ml</v>
      </c>
      <c r="E26" s="90">
        <v>1</v>
      </c>
      <c r="F26" s="508" t="e">
        <f t="shared" si="1"/>
        <v>#VALUE!</v>
      </c>
      <c r="G26" s="519"/>
      <c r="H26" s="111"/>
      <c r="I26">
        <f>E26*G12</f>
        <v>0</v>
      </c>
      <c r="J26" s="58"/>
      <c r="K26" s="50"/>
      <c r="L26" s="50"/>
      <c r="M26" s="50"/>
      <c r="N26" s="50"/>
      <c r="O26" s="50"/>
    </row>
    <row r="27" spans="1:15">
      <c r="A27" s="517" t="s">
        <v>4482</v>
      </c>
      <c r="B27" s="518">
        <f>VLOOKUP(A27,'Materiales '!$C$2:$G$396,3,0)</f>
        <v>4</v>
      </c>
      <c r="C27" s="88">
        <f>VLOOKUP(A27,'Materiales '!$C$2:$G$396,3,0)</f>
        <v>4</v>
      </c>
      <c r="D27" s="89" t="str">
        <f>VLOOKUP(A27,'Materiales '!$C$2:$G$396,4,0)</f>
        <v>Und</v>
      </c>
      <c r="E27" s="90">
        <v>3</v>
      </c>
      <c r="F27" s="508" t="e">
        <f t="shared" si="1"/>
        <v>#VALUE!</v>
      </c>
      <c r="G27" s="519"/>
      <c r="H27" s="111"/>
      <c r="I27">
        <f>E27*G12</f>
        <v>0</v>
      </c>
      <c r="J27" s="58"/>
      <c r="K27" s="50"/>
      <c r="L27" s="50"/>
      <c r="M27" s="50"/>
      <c r="N27" s="50"/>
      <c r="O27" s="50"/>
    </row>
    <row r="28" spans="1:15" ht="21.75" customHeight="1">
      <c r="A28" s="517" t="s">
        <v>4425</v>
      </c>
      <c r="B28" s="518">
        <f>VLOOKUP(A28,'Materiales '!$C$2:$G$396,3,0)</f>
        <v>4</v>
      </c>
      <c r="C28" s="88">
        <f>VLOOKUP(A28,'Materiales '!$C$2:$G$396,3,0)</f>
        <v>4</v>
      </c>
      <c r="D28" s="89" t="str">
        <f>VLOOKUP(A28,'Materiales '!$C$2:$G$396,4,0)</f>
        <v>Und</v>
      </c>
      <c r="E28" s="90">
        <v>1</v>
      </c>
      <c r="F28" s="508" t="e">
        <f t="shared" si="1"/>
        <v>#VALUE!</v>
      </c>
      <c r="G28" s="519"/>
      <c r="H28" s="111"/>
      <c r="I28">
        <f>E28*G12</f>
        <v>0</v>
      </c>
      <c r="J28" s="58"/>
      <c r="K28" s="50"/>
      <c r="L28" s="50"/>
      <c r="M28" s="50"/>
      <c r="N28" s="50"/>
      <c r="O28" s="50"/>
    </row>
    <row r="29" spans="1:15">
      <c r="A29" s="517" t="s">
        <v>8</v>
      </c>
      <c r="B29" s="518">
        <f>VLOOKUP(A29,'Materiales '!$C$2:$G$396,3,0)</f>
        <v>0</v>
      </c>
      <c r="C29" s="88">
        <f>VLOOKUP(A29,'Materiales '!$C$2:$G$396,3,0)</f>
        <v>0</v>
      </c>
      <c r="D29" s="89" t="str">
        <f>VLOOKUP(A29,'Materiales '!$C$2:$G$396,4,0)</f>
        <v>-</v>
      </c>
      <c r="E29" s="90"/>
      <c r="F29" s="508" t="e">
        <f>E29*D29</f>
        <v>#VALUE!</v>
      </c>
      <c r="G29" s="519"/>
      <c r="H29" s="110"/>
      <c r="I29">
        <f>E29*G12</f>
        <v>0</v>
      </c>
      <c r="J29" s="58"/>
      <c r="K29" s="50"/>
      <c r="L29" s="50"/>
      <c r="M29" s="50"/>
      <c r="N29" s="50"/>
      <c r="O29" s="50"/>
    </row>
    <row r="30" spans="1:15">
      <c r="A30" s="517" t="s">
        <v>8</v>
      </c>
      <c r="B30" s="518">
        <f>VLOOKUP(A30,'Materiales '!$C$2:$G$396,3,0)</f>
        <v>0</v>
      </c>
      <c r="C30" s="88">
        <f>VLOOKUP(A30,'Materiales '!$C$2:$G$396,3,0)</f>
        <v>0</v>
      </c>
      <c r="D30" s="89" t="str">
        <f>VLOOKUP(A30,'Materiales '!$C$2:$G$396,4,0)</f>
        <v>-</v>
      </c>
      <c r="E30" s="90"/>
      <c r="F30" s="508" t="e">
        <f t="shared" si="0"/>
        <v>#VALUE!</v>
      </c>
      <c r="G30" s="519"/>
      <c r="H30" s="111"/>
      <c r="I30">
        <f>E30*G12</f>
        <v>0</v>
      </c>
      <c r="J30" s="58"/>
      <c r="K30" s="50"/>
      <c r="L30" s="50"/>
      <c r="M30" s="50"/>
      <c r="N30" s="50"/>
      <c r="O30" s="50"/>
    </row>
    <row r="31" spans="1:15">
      <c r="A31" s="517" t="s">
        <v>8</v>
      </c>
      <c r="B31" s="518">
        <f>VLOOKUP(A31,'Materiales '!$C$2:$G$396,3,0)</f>
        <v>0</v>
      </c>
      <c r="C31" s="88">
        <f>VLOOKUP(A31,'Materiales '!$C$2:$G$396,3,0)</f>
        <v>0</v>
      </c>
      <c r="D31" s="89" t="str">
        <f>VLOOKUP(A31,'Materiales '!$C$2:$G$396,4,0)</f>
        <v>-</v>
      </c>
      <c r="E31" s="90"/>
      <c r="F31" s="508" t="e">
        <f t="shared" si="0"/>
        <v>#VALUE!</v>
      </c>
      <c r="G31" s="519"/>
      <c r="H31" s="111"/>
      <c r="I31">
        <f>E31*G12</f>
        <v>0</v>
      </c>
      <c r="J31" s="58"/>
      <c r="K31" s="50"/>
      <c r="L31" s="50"/>
      <c r="M31" s="50"/>
      <c r="N31" s="50"/>
      <c r="O31" s="50"/>
    </row>
    <row r="32" spans="1:15">
      <c r="A32" s="517" t="s">
        <v>8</v>
      </c>
      <c r="B32" s="518">
        <f>VLOOKUP(A32,'Materiales '!$C$2:$G$396,3,0)</f>
        <v>0</v>
      </c>
      <c r="C32" s="88">
        <f>VLOOKUP(A32,'Materiales '!$C$2:$G$396,3,0)</f>
        <v>0</v>
      </c>
      <c r="D32" s="89" t="str">
        <f>VLOOKUP(A32,'Materiales '!$C$2:$G$396,4,0)</f>
        <v>-</v>
      </c>
      <c r="E32" s="90"/>
      <c r="F32" s="508" t="e">
        <f t="shared" si="0"/>
        <v>#VALUE!</v>
      </c>
      <c r="G32" s="519"/>
      <c r="H32" s="111"/>
      <c r="I32">
        <f>E32*G12</f>
        <v>0</v>
      </c>
      <c r="J32" s="58"/>
      <c r="K32" s="50"/>
      <c r="L32" s="50"/>
      <c r="M32" s="50"/>
      <c r="N32" s="50"/>
      <c r="O32" s="50"/>
    </row>
    <row r="33" spans="1:15">
      <c r="A33" s="517" t="s">
        <v>8</v>
      </c>
      <c r="B33" s="518">
        <f>VLOOKUP(A33,'Materiales '!$C$2:$G$396,3,0)</f>
        <v>0</v>
      </c>
      <c r="C33" s="88">
        <f>VLOOKUP(A33,'Materiales '!$C$2:$G$396,3,0)</f>
        <v>0</v>
      </c>
      <c r="D33" s="89" t="str">
        <f>VLOOKUP(A33,'Materiales '!$C$2:$G$396,4,0)</f>
        <v>-</v>
      </c>
      <c r="E33" s="90"/>
      <c r="F33" s="508" t="e">
        <f t="shared" si="0"/>
        <v>#VALUE!</v>
      </c>
      <c r="G33" s="519"/>
      <c r="H33" s="111"/>
      <c r="I33">
        <f>E33*G12</f>
        <v>0</v>
      </c>
      <c r="J33" s="58"/>
      <c r="K33" s="50"/>
      <c r="L33" s="50"/>
      <c r="M33" s="50"/>
      <c r="N33" s="50"/>
      <c r="O33" s="50"/>
    </row>
    <row r="34" spans="1:15">
      <c r="A34" s="517" t="s">
        <v>8</v>
      </c>
      <c r="B34" s="518">
        <f>VLOOKUP(A34,'Materiales '!$C$2:$G$396,3,0)</f>
        <v>0</v>
      </c>
      <c r="C34" s="88">
        <f>VLOOKUP(A34,'Materiales '!$C$2:$G$396,3,0)</f>
        <v>0</v>
      </c>
      <c r="D34" s="89" t="str">
        <f>VLOOKUP(A34,'Materiales '!$C$2:$G$396,4,0)</f>
        <v>-</v>
      </c>
      <c r="E34" s="90"/>
      <c r="F34" s="508" t="e">
        <f>E34*D34</f>
        <v>#VALUE!</v>
      </c>
      <c r="G34" s="519"/>
      <c r="H34" s="110"/>
      <c r="I34">
        <f>E34*G12</f>
        <v>0</v>
      </c>
      <c r="J34" s="58"/>
      <c r="K34" s="50"/>
      <c r="L34" s="50"/>
      <c r="M34" s="50"/>
      <c r="N34" s="50"/>
      <c r="O34" s="50"/>
    </row>
    <row r="35" spans="1:15">
      <c r="A35" s="520" t="s">
        <v>4098</v>
      </c>
      <c r="B35" s="521"/>
      <c r="C35" s="521"/>
      <c r="D35" s="521"/>
      <c r="E35" s="521"/>
      <c r="F35" s="521"/>
      <c r="G35" s="522"/>
      <c r="H35" s="106" t="e">
        <f>SUM(F21:F34)</f>
        <v>#VALUE!</v>
      </c>
      <c r="J35" s="58"/>
      <c r="K35" s="50"/>
      <c r="L35" s="50"/>
      <c r="M35" s="50"/>
      <c r="N35" s="50"/>
      <c r="O35" s="50"/>
    </row>
    <row r="36" spans="1:15">
      <c r="A36" s="523" t="s">
        <v>4220</v>
      </c>
      <c r="B36" s="524"/>
      <c r="C36" s="524"/>
      <c r="D36" s="524"/>
      <c r="E36" s="525"/>
      <c r="F36" s="524"/>
      <c r="G36" s="524"/>
      <c r="H36" s="526"/>
      <c r="J36" s="58"/>
      <c r="K36" s="50"/>
      <c r="L36" s="50"/>
      <c r="M36" s="50"/>
      <c r="N36" s="50"/>
      <c r="O36" s="50"/>
    </row>
    <row r="37" spans="1:15">
      <c r="A37" s="527" t="s">
        <v>7</v>
      </c>
      <c r="B37" s="528"/>
      <c r="C37" s="98" t="s">
        <v>4221</v>
      </c>
      <c r="D37" s="97" t="s">
        <v>4222</v>
      </c>
      <c r="E37" s="187" t="s">
        <v>4223</v>
      </c>
      <c r="F37" s="529" t="s">
        <v>4207</v>
      </c>
      <c r="G37" s="529"/>
      <c r="H37" s="109"/>
      <c r="K37" s="50"/>
      <c r="L37" s="50"/>
      <c r="M37" s="50"/>
      <c r="N37" s="50"/>
      <c r="O37" s="50"/>
    </row>
    <row r="38" spans="1:15">
      <c r="A38" s="506" t="s">
        <v>3928</v>
      </c>
      <c r="B38" s="507"/>
      <c r="C38" s="213">
        <v>1</v>
      </c>
      <c r="D38" s="92">
        <v>0.03</v>
      </c>
      <c r="E38" s="93" t="str">
        <f>VLOOKUP(A38,'Equip, Herr y Transp'!$B$2:$E$217,3,0)</f>
        <v>TR</v>
      </c>
      <c r="F38" s="530" t="e">
        <f>E38*D38*C38</f>
        <v>#VALUE!</v>
      </c>
      <c r="G38" s="531"/>
      <c r="H38" s="107"/>
      <c r="M38" s="50"/>
    </row>
    <row r="39" spans="1:15">
      <c r="A39" s="532" t="s">
        <v>4205</v>
      </c>
      <c r="B39" s="533"/>
      <c r="C39" s="533"/>
      <c r="D39" s="533"/>
      <c r="E39" s="533"/>
      <c r="F39" s="533"/>
      <c r="G39" s="533"/>
      <c r="H39" s="95" t="e">
        <f>F38</f>
        <v>#VALUE!</v>
      </c>
    </row>
    <row r="40" spans="1:15">
      <c r="A40" s="523" t="s">
        <v>4224</v>
      </c>
      <c r="B40" s="524"/>
      <c r="C40" s="524"/>
      <c r="D40" s="524"/>
      <c r="E40" s="524"/>
      <c r="F40" s="524"/>
      <c r="G40" s="524"/>
      <c r="H40" s="526"/>
    </row>
    <row r="41" spans="1:15">
      <c r="A41" s="527" t="s">
        <v>7</v>
      </c>
      <c r="B41" s="528"/>
      <c r="C41" s="96" t="s">
        <v>1</v>
      </c>
      <c r="D41" s="97" t="s">
        <v>4225</v>
      </c>
      <c r="E41" s="98" t="s">
        <v>4204</v>
      </c>
      <c r="F41" s="527" t="s">
        <v>5</v>
      </c>
      <c r="G41" s="534"/>
      <c r="H41" s="109"/>
    </row>
    <row r="42" spans="1:15">
      <c r="A42" s="506" t="s">
        <v>4191</v>
      </c>
      <c r="B42" s="507"/>
      <c r="C42" s="91">
        <v>1</v>
      </c>
      <c r="D42" s="94">
        <f>VLOOKUP(A42,'Mano Obra'!$B$2:$T$117,19,0)</f>
        <v>152456</v>
      </c>
      <c r="E42" s="218">
        <f>H5</f>
        <v>5.21E-2</v>
      </c>
      <c r="F42" s="508">
        <f>E42*D42*C42</f>
        <v>7942.9575999999997</v>
      </c>
      <c r="G42" s="509"/>
      <c r="H42" s="111"/>
      <c r="I42" s="59"/>
      <c r="J42" s="117">
        <f>((('Mano Obra'!$M$4/30)*F42)/D42)*G12</f>
        <v>0</v>
      </c>
    </row>
    <row r="43" spans="1:15">
      <c r="A43" s="510" t="s">
        <v>4192</v>
      </c>
      <c r="B43" s="511">
        <f>VLOOKUP(A43,'Mano Obra'!$B$3:$D$290,2,0)</f>
        <v>1900000</v>
      </c>
      <c r="C43" s="91">
        <v>1</v>
      </c>
      <c r="D43" s="94">
        <f>VLOOKUP(A43,'Mano Obra'!$B$2:$T$117,19,0)</f>
        <v>110488</v>
      </c>
      <c r="E43" s="218">
        <f>H5</f>
        <v>5.21E-2</v>
      </c>
      <c r="F43" s="508">
        <f t="shared" ref="F43:F44" si="3">E43*D43*C43</f>
        <v>5756.4247999999998</v>
      </c>
      <c r="G43" s="509"/>
      <c r="H43" s="111"/>
      <c r="J43" s="117">
        <f>((('Mano Obra'!$M$5/30)*F43)/D43)*G12</f>
        <v>0</v>
      </c>
    </row>
    <row r="44" spans="1:15">
      <c r="A44" s="510" t="s">
        <v>4181</v>
      </c>
      <c r="B44" s="511">
        <f>VLOOKUP(A44,'Mano Obra'!$B$3:$D$290,2,0)</f>
        <v>1000000</v>
      </c>
      <c r="C44" s="91">
        <v>1</v>
      </c>
      <c r="D44" s="94">
        <f>VLOOKUP(A44,'Mano Obra'!$B$2:$T$117,19,0)</f>
        <v>67424</v>
      </c>
      <c r="E44" s="218">
        <f>H5</f>
        <v>5.21E-2</v>
      </c>
      <c r="F44" s="508">
        <f t="shared" si="3"/>
        <v>3512.7903999999999</v>
      </c>
      <c r="G44" s="509"/>
      <c r="H44" s="110"/>
      <c r="J44" s="117">
        <f>((('Mano Obra'!$M$6/30)*F44)/D44)*G12</f>
        <v>0</v>
      </c>
    </row>
    <row r="45" spans="1:15">
      <c r="A45" s="512" t="s">
        <v>4100</v>
      </c>
      <c r="B45" s="512"/>
      <c r="C45" s="512"/>
      <c r="D45" s="512"/>
      <c r="E45" s="512"/>
      <c r="F45" s="512"/>
      <c r="G45" s="512"/>
      <c r="H45" s="95">
        <f>SUM(F42:F44)</f>
        <v>17212.1728</v>
      </c>
      <c r="J45" s="117"/>
    </row>
    <row r="46" spans="1:15">
      <c r="A46" s="208" t="s">
        <v>4226</v>
      </c>
      <c r="B46" s="186"/>
      <c r="C46" s="186"/>
      <c r="D46" s="183"/>
      <c r="E46" s="184"/>
      <c r="F46" s="185"/>
      <c r="G46" s="184"/>
      <c r="H46" s="193"/>
    </row>
    <row r="47" spans="1:15">
      <c r="A47" s="513" t="s">
        <v>4213</v>
      </c>
      <c r="B47" s="514"/>
      <c r="C47" s="514"/>
      <c r="D47" s="514"/>
      <c r="E47" s="181"/>
      <c r="F47" s="182" t="s">
        <v>4227</v>
      </c>
      <c r="G47" s="181" t="s">
        <v>4228</v>
      </c>
      <c r="H47" s="194"/>
    </row>
    <row r="48" spans="1:15">
      <c r="A48" s="204" t="s">
        <v>4096</v>
      </c>
      <c r="B48" s="62"/>
      <c r="C48" s="62"/>
      <c r="D48" s="63"/>
      <c r="E48" s="68"/>
      <c r="F48" s="69">
        <v>0</v>
      </c>
      <c r="G48" s="70" t="e">
        <f>F48*H13</f>
        <v>#VALUE!</v>
      </c>
      <c r="H48" s="193"/>
    </row>
    <row r="49" spans="1:14">
      <c r="A49" s="205" t="s">
        <v>4229</v>
      </c>
      <c r="B49" s="71"/>
      <c r="C49" s="71"/>
      <c r="D49" s="72"/>
      <c r="E49" s="68"/>
      <c r="F49" s="69">
        <v>0</v>
      </c>
      <c r="G49" s="70" t="e">
        <f>F49*H13</f>
        <v>#VALUE!</v>
      </c>
      <c r="H49" s="193"/>
    </row>
    <row r="50" spans="1:14">
      <c r="A50" s="205" t="s">
        <v>4</v>
      </c>
      <c r="B50" s="71"/>
      <c r="C50" s="71"/>
      <c r="D50" s="72"/>
      <c r="E50" s="68"/>
      <c r="F50" s="69">
        <v>0</v>
      </c>
      <c r="G50" s="70" t="e">
        <f>F50*H13</f>
        <v>#VALUE!</v>
      </c>
      <c r="H50" s="193"/>
    </row>
    <row r="51" spans="1:14">
      <c r="A51" s="206"/>
      <c r="B51" s="73"/>
      <c r="C51" s="65"/>
      <c r="D51" s="74"/>
      <c r="E51" s="75"/>
      <c r="F51" s="76"/>
      <c r="G51" s="77"/>
      <c r="H51" s="195"/>
    </row>
    <row r="52" spans="1:14">
      <c r="A52" s="207"/>
      <c r="B52" s="73"/>
      <c r="C52" s="73"/>
      <c r="D52" s="74"/>
      <c r="E52" s="78"/>
      <c r="F52" s="515" t="s">
        <v>4230</v>
      </c>
      <c r="G52" s="516"/>
      <c r="H52" s="214" t="e">
        <f>H13+G48+G49+G50</f>
        <v>#VALUE!</v>
      </c>
    </row>
    <row r="53" spans="1:14">
      <c r="A53" s="201"/>
      <c r="B53" s="202"/>
      <c r="C53" s="202"/>
      <c r="D53" s="203"/>
      <c r="E53" s="200"/>
      <c r="F53" s="200"/>
      <c r="G53" s="79"/>
      <c r="H53" s="200"/>
    </row>
    <row r="55" spans="1:14">
      <c r="A55" s="80"/>
      <c r="B55" s="80"/>
      <c r="C55" s="80"/>
      <c r="D55" s="80"/>
      <c r="E55" s="80"/>
      <c r="F55" s="80"/>
      <c r="G55" s="80"/>
      <c r="H55" s="353"/>
    </row>
    <row r="56" spans="1:14">
      <c r="A56" s="537" t="s">
        <v>4214</v>
      </c>
      <c r="B56" s="538"/>
      <c r="C56" s="538"/>
      <c r="D56" s="538"/>
      <c r="E56" s="538"/>
      <c r="F56" s="538"/>
      <c r="G56" s="538"/>
      <c r="H56" s="539"/>
    </row>
    <row r="57" spans="1:14">
      <c r="A57" s="81"/>
      <c r="B57" s="82"/>
      <c r="C57" s="82"/>
      <c r="D57" s="82"/>
      <c r="E57" s="82"/>
      <c r="F57" s="83"/>
      <c r="G57" s="84"/>
      <c r="H57" s="352">
        <f>ROUND((25/60)/8,4)</f>
        <v>5.21E-2</v>
      </c>
      <c r="I57" s="105"/>
    </row>
    <row r="58" spans="1:14">
      <c r="A58" s="540" t="s">
        <v>4209</v>
      </c>
      <c r="B58" s="542" t="str">
        <f>COSTOS!$C$14</f>
        <v>MODERNIZACION A TECNOLOGIA LED</v>
      </c>
      <c r="C58" s="542"/>
      <c r="D58" s="542"/>
      <c r="E58" s="542"/>
      <c r="F58" s="542"/>
      <c r="G58" s="542"/>
      <c r="H58" s="543" t="s">
        <v>4210</v>
      </c>
    </row>
    <row r="59" spans="1:14">
      <c r="A59" s="541"/>
      <c r="B59" s="542"/>
      <c r="C59" s="542"/>
      <c r="D59" s="542"/>
      <c r="E59" s="542"/>
      <c r="F59" s="542"/>
      <c r="G59" s="542"/>
      <c r="H59" s="543"/>
    </row>
    <row r="60" spans="1:14">
      <c r="A60" s="541"/>
      <c r="B60" s="542"/>
      <c r="C60" s="542"/>
      <c r="D60" s="542"/>
      <c r="E60" s="542"/>
      <c r="F60" s="542"/>
      <c r="G60" s="542"/>
      <c r="H60" s="543"/>
    </row>
    <row r="61" spans="1:14" ht="15" customHeight="1">
      <c r="A61" s="541"/>
      <c r="B61" s="542"/>
      <c r="C61" s="542"/>
      <c r="D61" s="542"/>
      <c r="E61" s="542"/>
      <c r="F61" s="542"/>
      <c r="G61" s="542"/>
      <c r="H61" s="197">
        <f ca="1">TODAY()</f>
        <v>44889</v>
      </c>
      <c r="K61" t="s">
        <v>4380</v>
      </c>
      <c r="L61" t="s">
        <v>4381</v>
      </c>
      <c r="M61" t="s">
        <v>4382</v>
      </c>
      <c r="N61" t="s">
        <v>4383</v>
      </c>
    </row>
    <row r="62" spans="1:14" ht="60.75" customHeight="1">
      <c r="A62" s="209" t="s">
        <v>4211</v>
      </c>
      <c r="B62" s="544" t="str">
        <f>COSTOS!$D$16</f>
        <v>Luminarias</v>
      </c>
      <c r="C62" s="544"/>
      <c r="D62" s="544"/>
      <c r="E62" s="544"/>
      <c r="F62" s="544"/>
      <c r="G62" s="60" t="s">
        <v>4212</v>
      </c>
      <c r="H62" s="359">
        <v>1.2</v>
      </c>
      <c r="K62" s="55" t="e">
        <f>H87</f>
        <v>#VALUE!</v>
      </c>
      <c r="L62" s="55">
        <f>H97</f>
        <v>17212.1728</v>
      </c>
      <c r="M62" s="55" t="e">
        <f>H70</f>
        <v>#VALUE!</v>
      </c>
      <c r="N62" s="55" t="e">
        <f>H91</f>
        <v>#VALUE!</v>
      </c>
    </row>
    <row r="63" spans="1:14" ht="43.2" customHeight="1">
      <c r="A63" s="210" t="s">
        <v>4213</v>
      </c>
      <c r="B63" s="545" t="str">
        <f>VLOOKUP(H62,COSTOS!C:M,2,0)</f>
        <v>Luminaria LED 52w</v>
      </c>
      <c r="C63" s="546"/>
      <c r="D63" s="546"/>
      <c r="E63" s="547"/>
      <c r="F63" s="61" t="s">
        <v>0</v>
      </c>
      <c r="G63" s="328" t="str">
        <f>VLOOKUP(H62,COSTOS!C:M,8,0)</f>
        <v>Und</v>
      </c>
      <c r="H63" s="248"/>
      <c r="I63" s="278"/>
      <c r="J63" s="280"/>
      <c r="K63" s="280"/>
      <c r="L63" s="280"/>
    </row>
    <row r="64" spans="1:14">
      <c r="A64" s="211"/>
      <c r="B64" s="102"/>
      <c r="C64" s="102"/>
      <c r="D64" s="102"/>
      <c r="E64" s="103"/>
      <c r="F64" s="104" t="s">
        <v>1</v>
      </c>
      <c r="G64" s="328">
        <f>VLOOKUP(H62,COSTOS!C:M,9,0)</f>
        <v>0</v>
      </c>
      <c r="H64" s="329"/>
      <c r="I64" s="279"/>
    </row>
    <row r="65" spans="1:15">
      <c r="A65" s="212" t="s">
        <v>4215</v>
      </c>
      <c r="B65" s="65"/>
      <c r="C65" s="65"/>
      <c r="D65" s="66"/>
      <c r="E65" s="190"/>
      <c r="F65" s="191"/>
      <c r="G65" s="192" t="s">
        <v>4216</v>
      </c>
      <c r="H65" s="198" t="e">
        <f>H70+H87+H91+H97</f>
        <v>#VALUE!</v>
      </c>
    </row>
    <row r="66" spans="1:15" ht="41.4">
      <c r="A66" s="548" t="s">
        <v>4213</v>
      </c>
      <c r="B66" s="548"/>
      <c r="C66" s="548"/>
      <c r="D66" s="67" t="s">
        <v>0</v>
      </c>
      <c r="E66" s="188" t="s">
        <v>4217</v>
      </c>
      <c r="F66" s="189" t="s">
        <v>4204</v>
      </c>
      <c r="G66" s="64" t="s">
        <v>2</v>
      </c>
      <c r="H66" s="199" t="s">
        <v>4218</v>
      </c>
      <c r="K66" s="281"/>
    </row>
    <row r="67" spans="1:15">
      <c r="A67" s="517" t="s">
        <v>3946</v>
      </c>
      <c r="B67" s="549">
        <f>VLOOKUP(A67,'Equip, Herr y Transp'!$B$2:$E$738,2,0)</f>
        <v>2</v>
      </c>
      <c r="C67" s="549"/>
      <c r="D67" s="85">
        <f>VLOOKUP(A67,'Equip, Herr y Transp'!$B$2:$E$217,2,0)</f>
        <v>2</v>
      </c>
      <c r="E67" s="85" t="str">
        <f>VLOOKUP(A67,'Equip, Herr y Transp'!$B$2:$E$217,3,0)</f>
        <v>EQU</v>
      </c>
      <c r="F67" s="86">
        <f>H57</f>
        <v>5.21E-2</v>
      </c>
      <c r="G67" s="112" t="e">
        <f>F67*E67</f>
        <v>#VALUE!</v>
      </c>
      <c r="H67" s="108"/>
    </row>
    <row r="68" spans="1:15">
      <c r="A68" s="517" t="s">
        <v>3904</v>
      </c>
      <c r="B68" s="549">
        <f>VLOOKUP(A68,'Equip, Herr y Transp'!$B$2:$E$738,2,0)</f>
        <v>2</v>
      </c>
      <c r="C68" s="549"/>
      <c r="D68" s="85">
        <f>VLOOKUP(A68,'Equip, Herr y Transp'!$B$2:$E$217,2,0)</f>
        <v>2</v>
      </c>
      <c r="E68" s="85" t="str">
        <f>VLOOKUP(A68,'Equip, Herr y Transp'!$B$2:$E$217,3,0)</f>
        <v>EQU</v>
      </c>
      <c r="F68" s="86">
        <f>H57</f>
        <v>5.21E-2</v>
      </c>
      <c r="G68" s="112" t="e">
        <f>F68*E68</f>
        <v>#VALUE!</v>
      </c>
      <c r="H68" s="107"/>
    </row>
    <row r="69" spans="1:15">
      <c r="A69" s="517" t="s">
        <v>3937</v>
      </c>
      <c r="B69" s="549">
        <f>VLOOKUP(A69,'Equip, Herr y Transp'!$B$2:$E$738,2,0)</f>
        <v>2</v>
      </c>
      <c r="C69" s="549"/>
      <c r="D69" s="85">
        <f>VLOOKUP(A69,'Equip, Herr y Transp'!$B$2:$E$217,2,0)</f>
        <v>2</v>
      </c>
      <c r="E69" s="85" t="str">
        <f>VLOOKUP(A69,'Equip, Herr y Transp'!$B$2:$E$217,3,0)</f>
        <v>EQU</v>
      </c>
      <c r="F69" s="86">
        <f>H57</f>
        <v>5.21E-2</v>
      </c>
      <c r="G69" s="112" t="e">
        <f>F69*E69</f>
        <v>#VALUE!</v>
      </c>
      <c r="H69" s="107"/>
    </row>
    <row r="70" spans="1:15">
      <c r="A70" s="520" t="s">
        <v>4099</v>
      </c>
      <c r="B70" s="521"/>
      <c r="C70" s="521"/>
      <c r="D70" s="521"/>
      <c r="E70" s="521"/>
      <c r="F70" s="521"/>
      <c r="G70" s="521"/>
      <c r="H70" s="87" t="e">
        <f>SUM(G67:G69)</f>
        <v>#VALUE!</v>
      </c>
    </row>
    <row r="71" spans="1:15">
      <c r="A71" s="550" t="s">
        <v>4219</v>
      </c>
      <c r="B71" s="551"/>
      <c r="C71" s="551"/>
      <c r="D71" s="551"/>
      <c r="E71" s="551"/>
      <c r="F71" s="551"/>
      <c r="G71" s="551"/>
      <c r="H71" s="552"/>
      <c r="K71" s="50"/>
      <c r="L71" s="50"/>
      <c r="M71" s="50"/>
      <c r="N71" s="50"/>
      <c r="O71" s="50"/>
    </row>
    <row r="72" spans="1:15" ht="30" customHeight="1">
      <c r="A72" s="553" t="s">
        <v>7</v>
      </c>
      <c r="B72" s="554"/>
      <c r="C72" s="99" t="s">
        <v>0</v>
      </c>
      <c r="D72" s="100" t="s">
        <v>4097</v>
      </c>
      <c r="E72" s="101" t="s">
        <v>1</v>
      </c>
      <c r="F72" s="555" t="s">
        <v>4207</v>
      </c>
      <c r="G72" s="555"/>
      <c r="H72" s="196"/>
      <c r="K72" s="50"/>
      <c r="L72" s="50"/>
      <c r="M72" s="50"/>
      <c r="N72" s="50"/>
      <c r="O72" s="50"/>
    </row>
    <row r="73" spans="1:15">
      <c r="A73" s="535" t="s">
        <v>4599</v>
      </c>
      <c r="B73" s="536"/>
      <c r="C73" s="88">
        <f>VLOOKUP(A73,'Materiales '!$C$2:$G$396,3,0)</f>
        <v>4</v>
      </c>
      <c r="D73" s="89" t="str">
        <f>VLOOKUP(A73,'Materiales '!$C$2:$G$396,4,0)</f>
        <v>Und</v>
      </c>
      <c r="E73" s="90">
        <v>1</v>
      </c>
      <c r="F73" s="508" t="e">
        <f>E73*D73</f>
        <v>#VALUE!</v>
      </c>
      <c r="G73" s="519"/>
      <c r="H73" s="111"/>
      <c r="I73">
        <f>E73*G64</f>
        <v>0</v>
      </c>
      <c r="J73" s="57"/>
      <c r="K73" s="50"/>
      <c r="L73" s="50"/>
      <c r="M73" s="50"/>
      <c r="N73" s="50"/>
      <c r="O73" s="50"/>
    </row>
    <row r="74" spans="1:15">
      <c r="A74" s="535" t="s">
        <v>4203</v>
      </c>
      <c r="B74" s="536"/>
      <c r="C74" s="88">
        <f>VLOOKUP(A74,'Materiales '!$C$2:$G$396,3,0)</f>
        <v>4</v>
      </c>
      <c r="D74" s="89" t="str">
        <f>VLOOKUP(A74,'Materiales '!$C$2:$G$396,4,0)</f>
        <v>Und</v>
      </c>
      <c r="E74" s="90">
        <v>1</v>
      </c>
      <c r="F74" s="508" t="e">
        <f t="shared" ref="F74:F80" si="4">E74*D74</f>
        <v>#VALUE!</v>
      </c>
      <c r="G74" s="519"/>
      <c r="H74" s="111"/>
      <c r="I74">
        <f>E74*G64</f>
        <v>0</v>
      </c>
      <c r="J74" s="57"/>
      <c r="K74" s="50"/>
      <c r="L74" s="50"/>
      <c r="M74" s="50"/>
      <c r="N74" s="50"/>
      <c r="O74" s="50"/>
    </row>
    <row r="75" spans="1:15">
      <c r="A75" s="517" t="s">
        <v>4466</v>
      </c>
      <c r="B75" s="518">
        <f>VLOOKUP(A75,'Materiales '!$C$2:$G$396,3,0)</f>
        <v>4</v>
      </c>
      <c r="C75" s="88">
        <f>VLOOKUP(A75,'Materiales '!$C$2:$G$396,3,0)</f>
        <v>4</v>
      </c>
      <c r="D75" s="89" t="str">
        <f>VLOOKUP(A75,'Materiales '!$C$2:$G$396,4,0)</f>
        <v>Und</v>
      </c>
      <c r="E75" s="90">
        <v>2</v>
      </c>
      <c r="F75" s="508" t="e">
        <f t="shared" si="4"/>
        <v>#VALUE!</v>
      </c>
      <c r="G75" s="519"/>
      <c r="H75" s="111"/>
      <c r="I75">
        <f>E75*G64</f>
        <v>0</v>
      </c>
      <c r="J75" s="58"/>
      <c r="K75" s="50"/>
      <c r="L75" s="50"/>
      <c r="M75" s="50"/>
      <c r="N75" s="50"/>
      <c r="O75" s="50"/>
    </row>
    <row r="76" spans="1:15">
      <c r="A76" s="517" t="s">
        <v>4478</v>
      </c>
      <c r="B76" s="518">
        <f>VLOOKUP(A76,'Materiales '!$C$2:$G$396,3,0)</f>
        <v>4</v>
      </c>
      <c r="C76" s="88">
        <f>VLOOKUP(A76,'Materiales '!$C$2:$G$396,3,0)</f>
        <v>4</v>
      </c>
      <c r="D76" s="89" t="str">
        <f>VLOOKUP(A76,'Materiales '!$C$2:$G$396,4,0)</f>
        <v>Und</v>
      </c>
      <c r="E76" s="90">
        <v>3</v>
      </c>
      <c r="F76" s="508" t="e">
        <f t="shared" si="4"/>
        <v>#VALUE!</v>
      </c>
      <c r="G76" s="519"/>
      <c r="H76" s="111"/>
      <c r="I76">
        <f>E76*G64</f>
        <v>0</v>
      </c>
      <c r="J76" s="58"/>
      <c r="K76" s="50"/>
      <c r="L76" s="50"/>
      <c r="M76" s="50"/>
      <c r="N76" s="50"/>
      <c r="O76" s="50"/>
    </row>
    <row r="77" spans="1:15">
      <c r="A77" s="517" t="s">
        <v>4543</v>
      </c>
      <c r="B77" s="518">
        <f>VLOOKUP(A77,'Materiales '!$C$2:$G$396,3,0)</f>
        <v>4</v>
      </c>
      <c r="C77" s="88">
        <f>VLOOKUP(A77,'Materiales '!$C$2:$G$396,3,0)</f>
        <v>4</v>
      </c>
      <c r="D77" s="89" t="str">
        <f>VLOOKUP(A77,'Materiales '!$C$2:$G$396,4,0)</f>
        <v>Und</v>
      </c>
      <c r="E77" s="90">
        <v>2</v>
      </c>
      <c r="F77" s="508" t="e">
        <f t="shared" si="4"/>
        <v>#VALUE!</v>
      </c>
      <c r="G77" s="519"/>
      <c r="H77" s="111"/>
      <c r="I77">
        <f>E77*G64</f>
        <v>0</v>
      </c>
      <c r="J77" s="58"/>
      <c r="K77" s="50"/>
      <c r="L77" s="50"/>
      <c r="M77" s="50"/>
      <c r="N77" s="50"/>
      <c r="O77" s="50"/>
    </row>
    <row r="78" spans="1:15">
      <c r="A78" s="517" t="s">
        <v>4439</v>
      </c>
      <c r="B78" s="518">
        <f>VLOOKUP(A78,'Materiales '!$C$2:$G$396,3,0)</f>
        <v>2</v>
      </c>
      <c r="C78" s="88">
        <f>VLOOKUP(A78,'Materiales '!$C$2:$G$396,3,0)</f>
        <v>2</v>
      </c>
      <c r="D78" s="89" t="str">
        <f>VLOOKUP(A78,'Materiales '!$C$2:$G$396,4,0)</f>
        <v>Ml</v>
      </c>
      <c r="E78" s="90">
        <v>1</v>
      </c>
      <c r="F78" s="508" t="e">
        <f t="shared" si="4"/>
        <v>#VALUE!</v>
      </c>
      <c r="G78" s="519"/>
      <c r="H78" s="111"/>
      <c r="I78">
        <f>E78*G64</f>
        <v>0</v>
      </c>
      <c r="J78" s="58"/>
      <c r="K78" s="50"/>
      <c r="L78" s="50"/>
      <c r="M78" s="50"/>
      <c r="N78" s="50"/>
      <c r="O78" s="50"/>
    </row>
    <row r="79" spans="1:15">
      <c r="A79" s="517" t="s">
        <v>4482</v>
      </c>
      <c r="B79" s="518">
        <f>VLOOKUP(A79,'Materiales '!$C$2:$G$396,3,0)</f>
        <v>4</v>
      </c>
      <c r="C79" s="88">
        <f>VLOOKUP(A79,'Materiales '!$C$2:$G$396,3,0)</f>
        <v>4</v>
      </c>
      <c r="D79" s="89" t="str">
        <f>VLOOKUP(A79,'Materiales '!$C$2:$G$396,4,0)</f>
        <v>Und</v>
      </c>
      <c r="E79" s="90">
        <v>3</v>
      </c>
      <c r="F79" s="508" t="e">
        <f t="shared" si="4"/>
        <v>#VALUE!</v>
      </c>
      <c r="G79" s="519"/>
      <c r="H79" s="111"/>
      <c r="I79">
        <f>E79*G64</f>
        <v>0</v>
      </c>
      <c r="J79" s="58"/>
      <c r="K79" s="50"/>
      <c r="L79" s="50"/>
      <c r="M79" s="50"/>
      <c r="N79" s="50"/>
      <c r="O79" s="50"/>
    </row>
    <row r="80" spans="1:15" ht="21.75" customHeight="1">
      <c r="A80" s="517" t="s">
        <v>4425</v>
      </c>
      <c r="B80" s="518">
        <f>VLOOKUP(A80,'Materiales '!$C$2:$G$396,3,0)</f>
        <v>4</v>
      </c>
      <c r="C80" s="88">
        <f>VLOOKUP(A80,'Materiales '!$C$2:$G$396,3,0)</f>
        <v>4</v>
      </c>
      <c r="D80" s="89" t="str">
        <f>VLOOKUP(A80,'Materiales '!$C$2:$G$396,4,0)</f>
        <v>Und</v>
      </c>
      <c r="E80" s="90">
        <v>1</v>
      </c>
      <c r="F80" s="508" t="e">
        <f t="shared" si="4"/>
        <v>#VALUE!</v>
      </c>
      <c r="G80" s="519"/>
      <c r="H80" s="111"/>
      <c r="I80">
        <f>E80*G64</f>
        <v>0</v>
      </c>
      <c r="J80" s="58"/>
      <c r="K80" s="50"/>
      <c r="L80" s="50"/>
      <c r="M80" s="50"/>
      <c r="N80" s="50"/>
      <c r="O80" s="50"/>
    </row>
    <row r="81" spans="1:15">
      <c r="A81" s="517" t="s">
        <v>8</v>
      </c>
      <c r="B81" s="518">
        <f>VLOOKUP(A81,'Materiales '!$C$2:$G$396,3,0)</f>
        <v>0</v>
      </c>
      <c r="C81" s="88">
        <f>VLOOKUP(A81,'Materiales '!$C$2:$G$396,3,0)</f>
        <v>0</v>
      </c>
      <c r="D81" s="89" t="str">
        <f>VLOOKUP(A81,'Materiales '!$C$2:$G$396,4,0)</f>
        <v>-</v>
      </c>
      <c r="E81" s="90"/>
      <c r="F81" s="508" t="e">
        <f>E81*D81</f>
        <v>#VALUE!</v>
      </c>
      <c r="G81" s="519"/>
      <c r="H81" s="110"/>
      <c r="I81">
        <f>E81*G64</f>
        <v>0</v>
      </c>
      <c r="J81" s="58"/>
      <c r="K81" s="50"/>
      <c r="L81" s="50"/>
      <c r="M81" s="50"/>
      <c r="N81" s="50"/>
      <c r="O81" s="50"/>
    </row>
    <row r="82" spans="1:15">
      <c r="A82" s="517" t="s">
        <v>8</v>
      </c>
      <c r="B82" s="518">
        <f>VLOOKUP(A82,'Materiales '!$C$2:$G$396,3,0)</f>
        <v>0</v>
      </c>
      <c r="C82" s="88">
        <f>VLOOKUP(A82,'Materiales '!$C$2:$G$396,3,0)</f>
        <v>0</v>
      </c>
      <c r="D82" s="89" t="str">
        <f>VLOOKUP(A82,'Materiales '!$C$2:$G$396,4,0)</f>
        <v>-</v>
      </c>
      <c r="E82" s="90"/>
      <c r="F82" s="508" t="e">
        <f t="shared" ref="F82:F85" si="5">E82*D82</f>
        <v>#VALUE!</v>
      </c>
      <c r="G82" s="519"/>
      <c r="H82" s="111"/>
      <c r="I82">
        <f>E82*G64</f>
        <v>0</v>
      </c>
      <c r="J82" s="58"/>
      <c r="K82" s="50"/>
      <c r="L82" s="50"/>
      <c r="M82" s="50"/>
      <c r="N82" s="50"/>
      <c r="O82" s="50"/>
    </row>
    <row r="83" spans="1:15">
      <c r="A83" s="517" t="s">
        <v>8</v>
      </c>
      <c r="B83" s="518">
        <f>VLOOKUP(A83,'Materiales '!$C$2:$G$396,3,0)</f>
        <v>0</v>
      </c>
      <c r="C83" s="88">
        <f>VLOOKUP(A83,'Materiales '!$C$2:$G$396,3,0)</f>
        <v>0</v>
      </c>
      <c r="D83" s="89" t="str">
        <f>VLOOKUP(A83,'Materiales '!$C$2:$G$396,4,0)</f>
        <v>-</v>
      </c>
      <c r="E83" s="90"/>
      <c r="F83" s="508" t="e">
        <f t="shared" si="5"/>
        <v>#VALUE!</v>
      </c>
      <c r="G83" s="519"/>
      <c r="H83" s="111"/>
      <c r="I83">
        <f>E83*G64</f>
        <v>0</v>
      </c>
      <c r="J83" s="58"/>
      <c r="K83" s="50"/>
      <c r="L83" s="50"/>
      <c r="M83" s="50"/>
      <c r="N83" s="50"/>
      <c r="O83" s="50"/>
    </row>
    <row r="84" spans="1:15">
      <c r="A84" s="517" t="s">
        <v>8</v>
      </c>
      <c r="B84" s="518">
        <f>VLOOKUP(A84,'Materiales '!$C$2:$G$396,3,0)</f>
        <v>0</v>
      </c>
      <c r="C84" s="88">
        <f>VLOOKUP(A84,'Materiales '!$C$2:$G$396,3,0)</f>
        <v>0</v>
      </c>
      <c r="D84" s="89" t="str">
        <f>VLOOKUP(A84,'Materiales '!$C$2:$G$396,4,0)</f>
        <v>-</v>
      </c>
      <c r="E84" s="90"/>
      <c r="F84" s="508" t="e">
        <f t="shared" si="5"/>
        <v>#VALUE!</v>
      </c>
      <c r="G84" s="519"/>
      <c r="H84" s="111"/>
      <c r="I84">
        <f>E84*G64</f>
        <v>0</v>
      </c>
      <c r="J84" s="58"/>
      <c r="K84" s="50"/>
      <c r="L84" s="50"/>
      <c r="M84" s="50"/>
      <c r="N84" s="50"/>
      <c r="O84" s="50"/>
    </row>
    <row r="85" spans="1:15">
      <c r="A85" s="517" t="s">
        <v>8</v>
      </c>
      <c r="B85" s="518">
        <f>VLOOKUP(A85,'Materiales '!$C$2:$G$396,3,0)</f>
        <v>0</v>
      </c>
      <c r="C85" s="88">
        <f>VLOOKUP(A85,'Materiales '!$C$2:$G$396,3,0)</f>
        <v>0</v>
      </c>
      <c r="D85" s="89" t="str">
        <f>VLOOKUP(A85,'Materiales '!$C$2:$G$396,4,0)</f>
        <v>-</v>
      </c>
      <c r="E85" s="90"/>
      <c r="F85" s="508" t="e">
        <f t="shared" si="5"/>
        <v>#VALUE!</v>
      </c>
      <c r="G85" s="519"/>
      <c r="H85" s="111"/>
      <c r="I85">
        <f>E85*G64</f>
        <v>0</v>
      </c>
      <c r="J85" s="58"/>
      <c r="K85" s="50"/>
      <c r="L85" s="50"/>
      <c r="M85" s="50"/>
      <c r="N85" s="50"/>
      <c r="O85" s="50"/>
    </row>
    <row r="86" spans="1:15">
      <c r="A86" s="517" t="s">
        <v>8</v>
      </c>
      <c r="B86" s="518">
        <f>VLOOKUP(A86,'Materiales '!$C$2:$G$396,3,0)</f>
        <v>0</v>
      </c>
      <c r="C86" s="88">
        <f>VLOOKUP(A86,'Materiales '!$C$2:$G$396,3,0)</f>
        <v>0</v>
      </c>
      <c r="D86" s="89" t="str">
        <f>VLOOKUP(A86,'Materiales '!$C$2:$G$396,4,0)</f>
        <v>-</v>
      </c>
      <c r="E86" s="90"/>
      <c r="F86" s="508" t="e">
        <f>E86*D86</f>
        <v>#VALUE!</v>
      </c>
      <c r="G86" s="519"/>
      <c r="H86" s="110"/>
      <c r="I86">
        <f>E86*G64</f>
        <v>0</v>
      </c>
      <c r="J86" s="58"/>
      <c r="K86" s="50"/>
      <c r="L86" s="50"/>
      <c r="M86" s="50"/>
      <c r="N86" s="50"/>
      <c r="O86" s="50"/>
    </row>
    <row r="87" spans="1:15">
      <c r="A87" s="520" t="s">
        <v>4098</v>
      </c>
      <c r="B87" s="521"/>
      <c r="C87" s="521"/>
      <c r="D87" s="521"/>
      <c r="E87" s="521"/>
      <c r="F87" s="521"/>
      <c r="G87" s="522"/>
      <c r="H87" s="106" t="e">
        <f>SUM(F73:F86)</f>
        <v>#VALUE!</v>
      </c>
      <c r="J87" s="58"/>
      <c r="K87" s="50"/>
      <c r="L87" s="50"/>
      <c r="M87" s="50"/>
      <c r="N87" s="50"/>
      <c r="O87" s="50"/>
    </row>
    <row r="88" spans="1:15">
      <c r="A88" s="523" t="s">
        <v>4220</v>
      </c>
      <c r="B88" s="524"/>
      <c r="C88" s="524"/>
      <c r="D88" s="524"/>
      <c r="E88" s="525"/>
      <c r="F88" s="524"/>
      <c r="G88" s="524"/>
      <c r="H88" s="526"/>
      <c r="J88" s="58"/>
      <c r="K88" s="50"/>
      <c r="L88" s="50"/>
      <c r="M88" s="50"/>
      <c r="N88" s="50"/>
      <c r="O88" s="50"/>
    </row>
    <row r="89" spans="1:15">
      <c r="A89" s="527" t="s">
        <v>7</v>
      </c>
      <c r="B89" s="528"/>
      <c r="C89" s="98" t="s">
        <v>4221</v>
      </c>
      <c r="D89" s="97" t="s">
        <v>4222</v>
      </c>
      <c r="E89" s="187" t="s">
        <v>4223</v>
      </c>
      <c r="F89" s="529" t="s">
        <v>4207</v>
      </c>
      <c r="G89" s="529"/>
      <c r="H89" s="109"/>
      <c r="K89" s="50"/>
      <c r="L89" s="50"/>
      <c r="M89" s="50"/>
      <c r="N89" s="50"/>
      <c r="O89" s="50"/>
    </row>
    <row r="90" spans="1:15">
      <c r="A90" s="506" t="s">
        <v>3928</v>
      </c>
      <c r="B90" s="507"/>
      <c r="C90" s="213">
        <v>1</v>
      </c>
      <c r="D90" s="92">
        <v>0.03</v>
      </c>
      <c r="E90" s="93" t="str">
        <f>VLOOKUP(A90,'Equip, Herr y Transp'!$B$2:$E$217,3,0)</f>
        <v>TR</v>
      </c>
      <c r="F90" s="530" t="e">
        <f>E90*D90*C90</f>
        <v>#VALUE!</v>
      </c>
      <c r="G90" s="531"/>
      <c r="H90" s="107"/>
      <c r="M90" s="50"/>
    </row>
    <row r="91" spans="1:15">
      <c r="A91" s="532" t="s">
        <v>4205</v>
      </c>
      <c r="B91" s="533"/>
      <c r="C91" s="533"/>
      <c r="D91" s="533"/>
      <c r="E91" s="533"/>
      <c r="F91" s="533"/>
      <c r="G91" s="533"/>
      <c r="H91" s="95" t="e">
        <f>F90</f>
        <v>#VALUE!</v>
      </c>
    </row>
    <row r="92" spans="1:15">
      <c r="A92" s="523" t="s">
        <v>4224</v>
      </c>
      <c r="B92" s="524"/>
      <c r="C92" s="524"/>
      <c r="D92" s="524"/>
      <c r="E92" s="524"/>
      <c r="F92" s="524"/>
      <c r="G92" s="524"/>
      <c r="H92" s="526"/>
    </row>
    <row r="93" spans="1:15">
      <c r="A93" s="527" t="s">
        <v>7</v>
      </c>
      <c r="B93" s="528"/>
      <c r="C93" s="96" t="s">
        <v>1</v>
      </c>
      <c r="D93" s="97" t="s">
        <v>4225</v>
      </c>
      <c r="E93" s="98" t="s">
        <v>4204</v>
      </c>
      <c r="F93" s="527" t="s">
        <v>5</v>
      </c>
      <c r="G93" s="534"/>
      <c r="H93" s="109"/>
    </row>
    <row r="94" spans="1:15">
      <c r="A94" s="506" t="s">
        <v>4191</v>
      </c>
      <c r="B94" s="507"/>
      <c r="C94" s="91">
        <v>1</v>
      </c>
      <c r="D94" s="94">
        <f>VLOOKUP(A94,'Mano Obra'!$B$2:$T$117,19,0)</f>
        <v>152456</v>
      </c>
      <c r="E94" s="218">
        <f>H57</f>
        <v>5.21E-2</v>
      </c>
      <c r="F94" s="508">
        <f>E94*D94*C94</f>
        <v>7942.9575999999997</v>
      </c>
      <c r="G94" s="509"/>
      <c r="H94" s="111"/>
      <c r="I94" s="59"/>
      <c r="J94" s="117">
        <f>((('Mano Obra'!$M$4/30)*F94)/D94)*G64</f>
        <v>0</v>
      </c>
    </row>
    <row r="95" spans="1:15">
      <c r="A95" s="510" t="s">
        <v>4192</v>
      </c>
      <c r="B95" s="511">
        <f>VLOOKUP(A95,'Mano Obra'!$B$3:$D$290,2,0)</f>
        <v>1900000</v>
      </c>
      <c r="C95" s="91">
        <v>1</v>
      </c>
      <c r="D95" s="94">
        <f>VLOOKUP(A95,'Mano Obra'!$B$2:$T$117,19,0)</f>
        <v>110488</v>
      </c>
      <c r="E95" s="218">
        <f>H57</f>
        <v>5.21E-2</v>
      </c>
      <c r="F95" s="508">
        <f t="shared" ref="F95:F96" si="6">E95*D95*C95</f>
        <v>5756.4247999999998</v>
      </c>
      <c r="G95" s="509"/>
      <c r="H95" s="111"/>
      <c r="J95" s="117">
        <f>((('Mano Obra'!$M$5/30)*F95)/D95)*G64</f>
        <v>0</v>
      </c>
    </row>
    <row r="96" spans="1:15">
      <c r="A96" s="510" t="s">
        <v>4181</v>
      </c>
      <c r="B96" s="511">
        <f>VLOOKUP(A96,'Mano Obra'!$B$3:$D$290,2,0)</f>
        <v>1000000</v>
      </c>
      <c r="C96" s="91">
        <v>1</v>
      </c>
      <c r="D96" s="94">
        <f>VLOOKUP(A96,'Mano Obra'!$B$2:$T$117,19,0)</f>
        <v>67424</v>
      </c>
      <c r="E96" s="218">
        <f>H57</f>
        <v>5.21E-2</v>
      </c>
      <c r="F96" s="508">
        <f t="shared" si="6"/>
        <v>3512.7903999999999</v>
      </c>
      <c r="G96" s="509"/>
      <c r="H96" s="110"/>
      <c r="J96" s="117">
        <f>((('Mano Obra'!$M$6/30)*F96)/D96)*G64</f>
        <v>0</v>
      </c>
    </row>
    <row r="97" spans="1:14">
      <c r="A97" s="512" t="s">
        <v>4100</v>
      </c>
      <c r="B97" s="512"/>
      <c r="C97" s="512"/>
      <c r="D97" s="512"/>
      <c r="E97" s="512"/>
      <c r="F97" s="512"/>
      <c r="G97" s="512"/>
      <c r="H97" s="95">
        <f>SUM(F94:F96)</f>
        <v>17212.1728</v>
      </c>
      <c r="J97" s="117"/>
    </row>
    <row r="98" spans="1:14">
      <c r="A98" s="208" t="s">
        <v>4226</v>
      </c>
      <c r="B98" s="186"/>
      <c r="C98" s="186"/>
      <c r="D98" s="183"/>
      <c r="E98" s="184"/>
      <c r="F98" s="185"/>
      <c r="G98" s="184"/>
      <c r="H98" s="193"/>
    </row>
    <row r="99" spans="1:14">
      <c r="A99" s="513" t="s">
        <v>4213</v>
      </c>
      <c r="B99" s="514"/>
      <c r="C99" s="514"/>
      <c r="D99" s="514"/>
      <c r="E99" s="181"/>
      <c r="F99" s="182" t="s">
        <v>4227</v>
      </c>
      <c r="G99" s="181" t="s">
        <v>4228</v>
      </c>
      <c r="H99" s="194"/>
    </row>
    <row r="100" spans="1:14">
      <c r="A100" s="204" t="s">
        <v>4096</v>
      </c>
      <c r="B100" s="62"/>
      <c r="C100" s="62"/>
      <c r="D100" s="63"/>
      <c r="E100" s="68"/>
      <c r="F100" s="69">
        <v>0</v>
      </c>
      <c r="G100" s="70" t="e">
        <f>F100*H65</f>
        <v>#VALUE!</v>
      </c>
      <c r="H100" s="193"/>
    </row>
    <row r="101" spans="1:14">
      <c r="A101" s="205" t="s">
        <v>4229</v>
      </c>
      <c r="B101" s="71"/>
      <c r="C101" s="71"/>
      <c r="D101" s="72"/>
      <c r="E101" s="68"/>
      <c r="F101" s="69">
        <v>0</v>
      </c>
      <c r="G101" s="70" t="e">
        <f>F101*H65</f>
        <v>#VALUE!</v>
      </c>
      <c r="H101" s="193"/>
    </row>
    <row r="102" spans="1:14">
      <c r="A102" s="205" t="s">
        <v>4</v>
      </c>
      <c r="B102" s="71"/>
      <c r="C102" s="71"/>
      <c r="D102" s="72"/>
      <c r="E102" s="68"/>
      <c r="F102" s="69">
        <v>0</v>
      </c>
      <c r="G102" s="70" t="e">
        <f>F102*H65</f>
        <v>#VALUE!</v>
      </c>
      <c r="H102" s="193"/>
    </row>
    <row r="103" spans="1:14">
      <c r="A103" s="206"/>
      <c r="B103" s="73"/>
      <c r="C103" s="65"/>
      <c r="D103" s="74"/>
      <c r="E103" s="75"/>
      <c r="F103" s="76"/>
      <c r="G103" s="77"/>
      <c r="H103" s="195"/>
    </row>
    <row r="104" spans="1:14">
      <c r="A104" s="207"/>
      <c r="B104" s="73"/>
      <c r="C104" s="73"/>
      <c r="D104" s="74"/>
      <c r="E104" s="78"/>
      <c r="F104" s="515" t="s">
        <v>4230</v>
      </c>
      <c r="G104" s="516"/>
      <c r="H104" s="214" t="e">
        <f>H65+G100+G101+G102</f>
        <v>#VALUE!</v>
      </c>
    </row>
    <row r="106" spans="1:14">
      <c r="A106" s="80"/>
      <c r="B106" s="80"/>
      <c r="C106" s="80"/>
      <c r="D106" s="80"/>
      <c r="E106" s="80"/>
      <c r="F106" s="80"/>
      <c r="G106" s="80"/>
      <c r="H106" s="353"/>
    </row>
    <row r="107" spans="1:14">
      <c r="A107" s="537" t="s">
        <v>4214</v>
      </c>
      <c r="B107" s="538"/>
      <c r="C107" s="538"/>
      <c r="D107" s="538"/>
      <c r="E107" s="538"/>
      <c r="F107" s="538"/>
      <c r="G107" s="538"/>
      <c r="H107" s="539"/>
    </row>
    <row r="108" spans="1:14">
      <c r="A108" s="81"/>
      <c r="B108" s="82"/>
      <c r="C108" s="82"/>
      <c r="D108" s="82"/>
      <c r="E108" s="82"/>
      <c r="F108" s="83"/>
      <c r="G108" s="84"/>
      <c r="H108" s="352">
        <f>ROUND((25/60)/8,4)</f>
        <v>5.21E-2</v>
      </c>
      <c r="I108" s="105"/>
    </row>
    <row r="109" spans="1:14">
      <c r="A109" s="540" t="s">
        <v>4209</v>
      </c>
      <c r="B109" s="542" t="str">
        <f>COSTOS!$C$14</f>
        <v>MODERNIZACION A TECNOLOGIA LED</v>
      </c>
      <c r="C109" s="542"/>
      <c r="D109" s="542"/>
      <c r="E109" s="542"/>
      <c r="F109" s="542"/>
      <c r="G109" s="542"/>
      <c r="H109" s="543" t="s">
        <v>4210</v>
      </c>
    </row>
    <row r="110" spans="1:14">
      <c r="A110" s="541"/>
      <c r="B110" s="542"/>
      <c r="C110" s="542"/>
      <c r="D110" s="542"/>
      <c r="E110" s="542"/>
      <c r="F110" s="542"/>
      <c r="G110" s="542"/>
      <c r="H110" s="543"/>
    </row>
    <row r="111" spans="1:14">
      <c r="A111" s="541"/>
      <c r="B111" s="542"/>
      <c r="C111" s="542"/>
      <c r="D111" s="542"/>
      <c r="E111" s="542"/>
      <c r="F111" s="542"/>
      <c r="G111" s="542"/>
      <c r="H111" s="543"/>
    </row>
    <row r="112" spans="1:14" ht="15" customHeight="1">
      <c r="A112" s="541"/>
      <c r="B112" s="542"/>
      <c r="C112" s="542"/>
      <c r="D112" s="542"/>
      <c r="E112" s="542"/>
      <c r="F112" s="542"/>
      <c r="G112" s="542"/>
      <c r="H112" s="197">
        <f ca="1">TODAY()</f>
        <v>44889</v>
      </c>
      <c r="K112" t="s">
        <v>4380</v>
      </c>
      <c r="L112" t="s">
        <v>4381</v>
      </c>
      <c r="M112" t="s">
        <v>4382</v>
      </c>
      <c r="N112" t="s">
        <v>4383</v>
      </c>
    </row>
    <row r="113" spans="1:15" ht="60.75" customHeight="1">
      <c r="A113" s="209" t="s">
        <v>4211</v>
      </c>
      <c r="B113" s="544" t="str">
        <f>COSTOS!$D$16</f>
        <v>Luminarias</v>
      </c>
      <c r="C113" s="544"/>
      <c r="D113" s="544"/>
      <c r="E113" s="544"/>
      <c r="F113" s="544"/>
      <c r="G113" s="60" t="s">
        <v>4212</v>
      </c>
      <c r="H113" s="359">
        <v>1.3</v>
      </c>
      <c r="K113" s="55" t="e">
        <f>H138</f>
        <v>#VALUE!</v>
      </c>
      <c r="L113" s="55">
        <f>H148</f>
        <v>17212.1728</v>
      </c>
      <c r="M113" s="55" t="e">
        <f>H121</f>
        <v>#VALUE!</v>
      </c>
      <c r="N113" s="55" t="e">
        <f>H142</f>
        <v>#VALUE!</v>
      </c>
    </row>
    <row r="114" spans="1:15" ht="43.2" customHeight="1">
      <c r="A114" s="210" t="s">
        <v>4213</v>
      </c>
      <c r="B114" s="545" t="str">
        <f>VLOOKUP(H113,COSTOS!C:M,2,0)</f>
        <v>Luminaria LED 75w</v>
      </c>
      <c r="C114" s="546"/>
      <c r="D114" s="546"/>
      <c r="E114" s="547"/>
      <c r="F114" s="61" t="s">
        <v>0</v>
      </c>
      <c r="G114" s="328" t="str">
        <f>VLOOKUP(H113,COSTOS!C:M,8,0)</f>
        <v>Und</v>
      </c>
      <c r="H114" s="248"/>
      <c r="I114" s="278"/>
      <c r="J114" s="280"/>
      <c r="K114" s="280"/>
      <c r="L114" s="280"/>
    </row>
    <row r="115" spans="1:15">
      <c r="A115" s="211"/>
      <c r="B115" s="102"/>
      <c r="C115" s="102"/>
      <c r="D115" s="102"/>
      <c r="E115" s="103"/>
      <c r="F115" s="104" t="s">
        <v>1</v>
      </c>
      <c r="G115" s="328">
        <f>VLOOKUP(H113,COSTOS!C:M,9,0)</f>
        <v>0</v>
      </c>
      <c r="H115" s="329"/>
      <c r="I115" s="279"/>
    </row>
    <row r="116" spans="1:15">
      <c r="A116" s="212" t="s">
        <v>4215</v>
      </c>
      <c r="B116" s="65"/>
      <c r="C116" s="65"/>
      <c r="D116" s="66"/>
      <c r="E116" s="190"/>
      <c r="F116" s="191"/>
      <c r="G116" s="192" t="s">
        <v>4216</v>
      </c>
      <c r="H116" s="198" t="e">
        <f>H121+H138+H142+H148</f>
        <v>#VALUE!</v>
      </c>
    </row>
    <row r="117" spans="1:15" ht="41.4">
      <c r="A117" s="548" t="s">
        <v>4213</v>
      </c>
      <c r="B117" s="548"/>
      <c r="C117" s="548"/>
      <c r="D117" s="67" t="s">
        <v>0</v>
      </c>
      <c r="E117" s="188" t="s">
        <v>4217</v>
      </c>
      <c r="F117" s="189" t="s">
        <v>4204</v>
      </c>
      <c r="G117" s="64" t="s">
        <v>2</v>
      </c>
      <c r="H117" s="199" t="s">
        <v>4218</v>
      </c>
      <c r="K117" s="281"/>
    </row>
    <row r="118" spans="1:15">
      <c r="A118" s="517" t="s">
        <v>3946</v>
      </c>
      <c r="B118" s="549">
        <f>VLOOKUP(A118,'Equip, Herr y Transp'!$B$2:$E$738,2,0)</f>
        <v>2</v>
      </c>
      <c r="C118" s="549"/>
      <c r="D118" s="85">
        <f>VLOOKUP(A118,'Equip, Herr y Transp'!$B$2:$E$217,2,0)</f>
        <v>2</v>
      </c>
      <c r="E118" s="85" t="str">
        <f>VLOOKUP(A118,'Equip, Herr y Transp'!$B$2:$E$217,3,0)</f>
        <v>EQU</v>
      </c>
      <c r="F118" s="86">
        <f>H108</f>
        <v>5.21E-2</v>
      </c>
      <c r="G118" s="112" t="e">
        <f>F118*E118</f>
        <v>#VALUE!</v>
      </c>
      <c r="H118" s="108"/>
    </row>
    <row r="119" spans="1:15">
      <c r="A119" s="517" t="s">
        <v>3904</v>
      </c>
      <c r="B119" s="549">
        <f>VLOOKUP(A119,'Equip, Herr y Transp'!$B$2:$E$738,2,0)</f>
        <v>2</v>
      </c>
      <c r="C119" s="549"/>
      <c r="D119" s="85">
        <f>VLOOKUP(A119,'Equip, Herr y Transp'!$B$2:$E$217,2,0)</f>
        <v>2</v>
      </c>
      <c r="E119" s="85" t="str">
        <f>VLOOKUP(A119,'Equip, Herr y Transp'!$B$2:$E$217,3,0)</f>
        <v>EQU</v>
      </c>
      <c r="F119" s="86">
        <f>H108</f>
        <v>5.21E-2</v>
      </c>
      <c r="G119" s="112" t="e">
        <f>F119*E119</f>
        <v>#VALUE!</v>
      </c>
      <c r="H119" s="107"/>
    </row>
    <row r="120" spans="1:15">
      <c r="A120" s="517" t="s">
        <v>3937</v>
      </c>
      <c r="B120" s="549">
        <f>VLOOKUP(A120,'Equip, Herr y Transp'!$B$2:$E$738,2,0)</f>
        <v>2</v>
      </c>
      <c r="C120" s="549"/>
      <c r="D120" s="85">
        <f>VLOOKUP(A120,'Equip, Herr y Transp'!$B$2:$E$217,2,0)</f>
        <v>2</v>
      </c>
      <c r="E120" s="85" t="str">
        <f>VLOOKUP(A120,'Equip, Herr y Transp'!$B$2:$E$217,3,0)</f>
        <v>EQU</v>
      </c>
      <c r="F120" s="86">
        <f>H108</f>
        <v>5.21E-2</v>
      </c>
      <c r="G120" s="112" t="e">
        <f>F120*E120</f>
        <v>#VALUE!</v>
      </c>
      <c r="H120" s="107"/>
    </row>
    <row r="121" spans="1:15">
      <c r="A121" s="520" t="s">
        <v>4099</v>
      </c>
      <c r="B121" s="521"/>
      <c r="C121" s="521"/>
      <c r="D121" s="521"/>
      <c r="E121" s="521"/>
      <c r="F121" s="521"/>
      <c r="G121" s="521"/>
      <c r="H121" s="87" t="e">
        <f>SUM(G118:G120)</f>
        <v>#VALUE!</v>
      </c>
    </row>
    <row r="122" spans="1:15">
      <c r="A122" s="550" t="s">
        <v>4219</v>
      </c>
      <c r="B122" s="551"/>
      <c r="C122" s="551"/>
      <c r="D122" s="551"/>
      <c r="E122" s="551"/>
      <c r="F122" s="551"/>
      <c r="G122" s="551"/>
      <c r="H122" s="552"/>
      <c r="K122" s="50"/>
      <c r="L122" s="50"/>
      <c r="M122" s="50"/>
      <c r="N122" s="50"/>
      <c r="O122" s="50"/>
    </row>
    <row r="123" spans="1:15" ht="30" customHeight="1">
      <c r="A123" s="553" t="s">
        <v>7</v>
      </c>
      <c r="B123" s="554"/>
      <c r="C123" s="99" t="s">
        <v>0</v>
      </c>
      <c r="D123" s="100" t="s">
        <v>4097</v>
      </c>
      <c r="E123" s="101" t="s">
        <v>1</v>
      </c>
      <c r="F123" s="555" t="s">
        <v>4207</v>
      </c>
      <c r="G123" s="555"/>
      <c r="H123" s="196"/>
      <c r="K123" s="50"/>
      <c r="L123" s="50"/>
      <c r="M123" s="50"/>
      <c r="N123" s="50"/>
      <c r="O123" s="50"/>
    </row>
    <row r="124" spans="1:15">
      <c r="A124" s="535" t="s">
        <v>4600</v>
      </c>
      <c r="B124" s="536"/>
      <c r="C124" s="88">
        <f>VLOOKUP(A124,'Materiales '!$C$2:$G$396,3,0)</f>
        <v>4</v>
      </c>
      <c r="D124" s="89" t="str">
        <f>VLOOKUP(A124,'Materiales '!$C$2:$G$396,4,0)</f>
        <v>Und</v>
      </c>
      <c r="E124" s="90">
        <v>1</v>
      </c>
      <c r="F124" s="508" t="e">
        <f>E124*D124</f>
        <v>#VALUE!</v>
      </c>
      <c r="G124" s="519"/>
      <c r="H124" s="111"/>
      <c r="I124">
        <f>E124*G115</f>
        <v>0</v>
      </c>
      <c r="J124" s="57"/>
      <c r="K124" s="50"/>
      <c r="L124" s="50"/>
      <c r="M124" s="50"/>
      <c r="N124" s="50"/>
      <c r="O124" s="50"/>
    </row>
    <row r="125" spans="1:15">
      <c r="A125" s="535" t="s">
        <v>4203</v>
      </c>
      <c r="B125" s="536"/>
      <c r="C125" s="88">
        <f>VLOOKUP(A125,'Materiales '!$C$2:$G$396,3,0)</f>
        <v>4</v>
      </c>
      <c r="D125" s="89" t="str">
        <f>VLOOKUP(A125,'Materiales '!$C$2:$G$396,4,0)</f>
        <v>Und</v>
      </c>
      <c r="E125" s="90">
        <v>1</v>
      </c>
      <c r="F125" s="508" t="e">
        <f t="shared" ref="F125:F131" si="7">E125*D125</f>
        <v>#VALUE!</v>
      </c>
      <c r="G125" s="519"/>
      <c r="H125" s="111"/>
      <c r="I125">
        <f>E125*G115</f>
        <v>0</v>
      </c>
      <c r="J125" s="57"/>
      <c r="K125" s="50"/>
      <c r="L125" s="50"/>
      <c r="M125" s="50"/>
      <c r="N125" s="50"/>
      <c r="O125" s="50"/>
    </row>
    <row r="126" spans="1:15">
      <c r="A126" s="517" t="s">
        <v>4467</v>
      </c>
      <c r="B126" s="518">
        <f>VLOOKUP(A126,'Materiales '!$C$2:$G$396,3,0)</f>
        <v>4</v>
      </c>
      <c r="C126" s="88">
        <f>VLOOKUP(A126,'Materiales '!$C$2:$G$396,3,0)</f>
        <v>4</v>
      </c>
      <c r="D126" s="89" t="str">
        <f>VLOOKUP(A126,'Materiales '!$C$2:$G$396,4,0)</f>
        <v>Und</v>
      </c>
      <c r="E126" s="90">
        <v>2</v>
      </c>
      <c r="F126" s="508" t="e">
        <f t="shared" si="7"/>
        <v>#VALUE!</v>
      </c>
      <c r="G126" s="519"/>
      <c r="H126" s="111"/>
      <c r="I126">
        <f>E126*G115</f>
        <v>0</v>
      </c>
      <c r="J126" s="58"/>
      <c r="K126" s="50"/>
      <c r="L126" s="50"/>
      <c r="M126" s="50"/>
      <c r="N126" s="50"/>
      <c r="O126" s="50"/>
    </row>
    <row r="127" spans="1:15">
      <c r="A127" s="517" t="s">
        <v>4478</v>
      </c>
      <c r="B127" s="518">
        <f>VLOOKUP(A127,'Materiales '!$C$2:$G$396,3,0)</f>
        <v>4</v>
      </c>
      <c r="C127" s="88">
        <f>VLOOKUP(A127,'Materiales '!$C$2:$G$396,3,0)</f>
        <v>4</v>
      </c>
      <c r="D127" s="89" t="str">
        <f>VLOOKUP(A127,'Materiales '!$C$2:$G$396,4,0)</f>
        <v>Und</v>
      </c>
      <c r="E127" s="90">
        <v>3</v>
      </c>
      <c r="F127" s="508" t="e">
        <f t="shared" si="7"/>
        <v>#VALUE!</v>
      </c>
      <c r="G127" s="519"/>
      <c r="H127" s="111"/>
      <c r="I127">
        <f>E127*G115</f>
        <v>0</v>
      </c>
      <c r="J127" s="58"/>
      <c r="K127" s="50"/>
      <c r="L127" s="50"/>
      <c r="M127" s="50"/>
      <c r="N127" s="50"/>
      <c r="O127" s="50"/>
    </row>
    <row r="128" spans="1:15">
      <c r="A128" s="517" t="s">
        <v>4543</v>
      </c>
      <c r="B128" s="518">
        <f>VLOOKUP(A128,'Materiales '!$C$2:$G$396,3,0)</f>
        <v>4</v>
      </c>
      <c r="C128" s="88">
        <f>VLOOKUP(A128,'Materiales '!$C$2:$G$396,3,0)</f>
        <v>4</v>
      </c>
      <c r="D128" s="89" t="str">
        <f>VLOOKUP(A128,'Materiales '!$C$2:$G$396,4,0)</f>
        <v>Und</v>
      </c>
      <c r="E128" s="90">
        <v>2</v>
      </c>
      <c r="F128" s="508" t="e">
        <f t="shared" si="7"/>
        <v>#VALUE!</v>
      </c>
      <c r="G128" s="519"/>
      <c r="H128" s="111"/>
      <c r="I128">
        <f>E128*G115</f>
        <v>0</v>
      </c>
      <c r="J128" s="58"/>
      <c r="K128" s="50"/>
      <c r="L128" s="50"/>
      <c r="M128" s="50"/>
      <c r="N128" s="50"/>
      <c r="O128" s="50"/>
    </row>
    <row r="129" spans="1:15">
      <c r="A129" s="517" t="s">
        <v>4439</v>
      </c>
      <c r="B129" s="518">
        <f>VLOOKUP(A129,'Materiales '!$C$2:$G$396,3,0)</f>
        <v>2</v>
      </c>
      <c r="C129" s="88">
        <f>VLOOKUP(A129,'Materiales '!$C$2:$G$396,3,0)</f>
        <v>2</v>
      </c>
      <c r="D129" s="89" t="str">
        <f>VLOOKUP(A129,'Materiales '!$C$2:$G$396,4,0)</f>
        <v>Ml</v>
      </c>
      <c r="E129" s="90">
        <v>1</v>
      </c>
      <c r="F129" s="508" t="e">
        <f t="shared" si="7"/>
        <v>#VALUE!</v>
      </c>
      <c r="G129" s="519"/>
      <c r="H129" s="111"/>
      <c r="I129">
        <f>E129*G115</f>
        <v>0</v>
      </c>
      <c r="J129" s="58"/>
      <c r="K129" s="50"/>
      <c r="L129" s="50"/>
      <c r="M129" s="50"/>
      <c r="N129" s="50"/>
      <c r="O129" s="50"/>
    </row>
    <row r="130" spans="1:15">
      <c r="A130" s="517" t="s">
        <v>4482</v>
      </c>
      <c r="B130" s="518">
        <f>VLOOKUP(A130,'Materiales '!$C$2:$G$396,3,0)</f>
        <v>4</v>
      </c>
      <c r="C130" s="88">
        <f>VLOOKUP(A130,'Materiales '!$C$2:$G$396,3,0)</f>
        <v>4</v>
      </c>
      <c r="D130" s="89" t="str">
        <f>VLOOKUP(A130,'Materiales '!$C$2:$G$396,4,0)</f>
        <v>Und</v>
      </c>
      <c r="E130" s="90">
        <v>3</v>
      </c>
      <c r="F130" s="508" t="e">
        <f t="shared" si="7"/>
        <v>#VALUE!</v>
      </c>
      <c r="G130" s="519"/>
      <c r="H130" s="111"/>
      <c r="I130">
        <f>E130*G115</f>
        <v>0</v>
      </c>
      <c r="J130" s="58"/>
      <c r="K130" s="50"/>
      <c r="L130" s="50"/>
      <c r="M130" s="50"/>
      <c r="N130" s="50"/>
      <c r="O130" s="50"/>
    </row>
    <row r="131" spans="1:15" ht="21.75" customHeight="1">
      <c r="A131" s="517" t="s">
        <v>4424</v>
      </c>
      <c r="B131" s="518">
        <f>VLOOKUP(A131,'Materiales '!$C$2:$G$396,3,0)</f>
        <v>4</v>
      </c>
      <c r="C131" s="88">
        <f>VLOOKUP(A131,'Materiales '!$C$2:$G$396,3,0)</f>
        <v>4</v>
      </c>
      <c r="D131" s="89" t="str">
        <f>VLOOKUP(A131,'Materiales '!$C$2:$G$396,4,0)</f>
        <v>Und</v>
      </c>
      <c r="E131" s="90">
        <v>1</v>
      </c>
      <c r="F131" s="508" t="e">
        <f t="shared" si="7"/>
        <v>#VALUE!</v>
      </c>
      <c r="G131" s="519"/>
      <c r="H131" s="111"/>
      <c r="I131">
        <f>E131*G115</f>
        <v>0</v>
      </c>
      <c r="J131" s="58"/>
      <c r="K131" s="50"/>
      <c r="L131" s="50"/>
      <c r="M131" s="50"/>
      <c r="N131" s="50"/>
      <c r="O131" s="50"/>
    </row>
    <row r="132" spans="1:15">
      <c r="A132" s="517" t="s">
        <v>8</v>
      </c>
      <c r="B132" s="518">
        <f>VLOOKUP(A132,'Materiales '!$C$2:$G$396,3,0)</f>
        <v>0</v>
      </c>
      <c r="C132" s="88">
        <f>VLOOKUP(A132,'Materiales '!$C$2:$G$396,3,0)</f>
        <v>0</v>
      </c>
      <c r="D132" s="89" t="str">
        <f>VLOOKUP(A132,'Materiales '!$C$2:$G$396,4,0)</f>
        <v>-</v>
      </c>
      <c r="E132" s="90"/>
      <c r="F132" s="508" t="e">
        <f>E132*D132</f>
        <v>#VALUE!</v>
      </c>
      <c r="G132" s="519"/>
      <c r="H132" s="110"/>
      <c r="I132">
        <f>E132*G115</f>
        <v>0</v>
      </c>
      <c r="J132" s="58"/>
      <c r="K132" s="50"/>
      <c r="L132" s="50"/>
      <c r="M132" s="50"/>
      <c r="N132" s="50"/>
      <c r="O132" s="50"/>
    </row>
    <row r="133" spans="1:15">
      <c r="A133" s="517" t="s">
        <v>8</v>
      </c>
      <c r="B133" s="518">
        <f>VLOOKUP(A133,'Materiales '!$C$2:$G$396,3,0)</f>
        <v>0</v>
      </c>
      <c r="C133" s="88">
        <f>VLOOKUP(A133,'Materiales '!$C$2:$G$396,3,0)</f>
        <v>0</v>
      </c>
      <c r="D133" s="89" t="str">
        <f>VLOOKUP(A133,'Materiales '!$C$2:$G$396,4,0)</f>
        <v>-</v>
      </c>
      <c r="E133" s="90"/>
      <c r="F133" s="508" t="e">
        <f t="shared" ref="F133:F136" si="8">E133*D133</f>
        <v>#VALUE!</v>
      </c>
      <c r="G133" s="519"/>
      <c r="H133" s="111"/>
      <c r="I133">
        <f>E133*G115</f>
        <v>0</v>
      </c>
      <c r="J133" s="58"/>
      <c r="K133" s="50"/>
      <c r="L133" s="50"/>
      <c r="M133" s="50"/>
      <c r="N133" s="50"/>
      <c r="O133" s="50"/>
    </row>
    <row r="134" spans="1:15">
      <c r="A134" s="517" t="s">
        <v>8</v>
      </c>
      <c r="B134" s="518">
        <f>VLOOKUP(A134,'Materiales '!$C$2:$G$396,3,0)</f>
        <v>0</v>
      </c>
      <c r="C134" s="88">
        <f>VLOOKUP(A134,'Materiales '!$C$2:$G$396,3,0)</f>
        <v>0</v>
      </c>
      <c r="D134" s="89" t="str">
        <f>VLOOKUP(A134,'Materiales '!$C$2:$G$396,4,0)</f>
        <v>-</v>
      </c>
      <c r="E134" s="90"/>
      <c r="F134" s="508" t="e">
        <f t="shared" si="8"/>
        <v>#VALUE!</v>
      </c>
      <c r="G134" s="519"/>
      <c r="H134" s="111"/>
      <c r="I134">
        <f>E134*G115</f>
        <v>0</v>
      </c>
      <c r="J134" s="58"/>
      <c r="K134" s="50"/>
      <c r="L134" s="50"/>
      <c r="M134" s="50"/>
      <c r="N134" s="50"/>
      <c r="O134" s="50"/>
    </row>
    <row r="135" spans="1:15">
      <c r="A135" s="517" t="s">
        <v>8</v>
      </c>
      <c r="B135" s="518">
        <f>VLOOKUP(A135,'Materiales '!$C$2:$G$396,3,0)</f>
        <v>0</v>
      </c>
      <c r="C135" s="88">
        <f>VLOOKUP(A135,'Materiales '!$C$2:$G$396,3,0)</f>
        <v>0</v>
      </c>
      <c r="D135" s="89" t="str">
        <f>VLOOKUP(A135,'Materiales '!$C$2:$G$396,4,0)</f>
        <v>-</v>
      </c>
      <c r="E135" s="90"/>
      <c r="F135" s="508" t="e">
        <f t="shared" si="8"/>
        <v>#VALUE!</v>
      </c>
      <c r="G135" s="519"/>
      <c r="H135" s="111"/>
      <c r="I135">
        <f>E135*G115</f>
        <v>0</v>
      </c>
      <c r="J135" s="58"/>
      <c r="K135" s="50"/>
      <c r="L135" s="50"/>
      <c r="M135" s="50"/>
      <c r="N135" s="50"/>
      <c r="O135" s="50"/>
    </row>
    <row r="136" spans="1:15">
      <c r="A136" s="517" t="s">
        <v>8</v>
      </c>
      <c r="B136" s="518">
        <f>VLOOKUP(A136,'Materiales '!$C$2:$G$396,3,0)</f>
        <v>0</v>
      </c>
      <c r="C136" s="88">
        <f>VLOOKUP(A136,'Materiales '!$C$2:$G$396,3,0)</f>
        <v>0</v>
      </c>
      <c r="D136" s="89" t="str">
        <f>VLOOKUP(A136,'Materiales '!$C$2:$G$396,4,0)</f>
        <v>-</v>
      </c>
      <c r="E136" s="90"/>
      <c r="F136" s="508" t="e">
        <f t="shared" si="8"/>
        <v>#VALUE!</v>
      </c>
      <c r="G136" s="519"/>
      <c r="H136" s="111"/>
      <c r="I136">
        <f>E136*G115</f>
        <v>0</v>
      </c>
      <c r="J136" s="58"/>
      <c r="K136" s="50"/>
      <c r="L136" s="50"/>
      <c r="M136" s="50"/>
      <c r="N136" s="50"/>
      <c r="O136" s="50"/>
    </row>
    <row r="137" spans="1:15">
      <c r="A137" s="517" t="s">
        <v>8</v>
      </c>
      <c r="B137" s="518">
        <f>VLOOKUP(A137,'Materiales '!$C$2:$G$396,3,0)</f>
        <v>0</v>
      </c>
      <c r="C137" s="88">
        <f>VLOOKUP(A137,'Materiales '!$C$2:$G$396,3,0)</f>
        <v>0</v>
      </c>
      <c r="D137" s="89" t="str">
        <f>VLOOKUP(A137,'Materiales '!$C$2:$G$396,4,0)</f>
        <v>-</v>
      </c>
      <c r="E137" s="90"/>
      <c r="F137" s="508" t="e">
        <f>E137*D137</f>
        <v>#VALUE!</v>
      </c>
      <c r="G137" s="519"/>
      <c r="H137" s="110"/>
      <c r="I137">
        <f>E137*G115</f>
        <v>0</v>
      </c>
      <c r="J137" s="58"/>
      <c r="K137" s="50"/>
      <c r="L137" s="50"/>
      <c r="M137" s="50"/>
      <c r="N137" s="50"/>
      <c r="O137" s="50"/>
    </row>
    <row r="138" spans="1:15">
      <c r="A138" s="520" t="s">
        <v>4098</v>
      </c>
      <c r="B138" s="521"/>
      <c r="C138" s="521"/>
      <c r="D138" s="521"/>
      <c r="E138" s="521"/>
      <c r="F138" s="521"/>
      <c r="G138" s="522"/>
      <c r="H138" s="106" t="e">
        <f>SUM(F124:F137)</f>
        <v>#VALUE!</v>
      </c>
      <c r="J138" s="58"/>
      <c r="K138" s="50"/>
      <c r="L138" s="50"/>
      <c r="M138" s="50"/>
      <c r="N138" s="50"/>
      <c r="O138" s="50"/>
    </row>
    <row r="139" spans="1:15">
      <c r="A139" s="523" t="s">
        <v>4220</v>
      </c>
      <c r="B139" s="524"/>
      <c r="C139" s="524"/>
      <c r="D139" s="524"/>
      <c r="E139" s="525"/>
      <c r="F139" s="524"/>
      <c r="G139" s="524"/>
      <c r="H139" s="526"/>
      <c r="J139" s="58"/>
      <c r="K139" s="50"/>
      <c r="L139" s="50"/>
      <c r="M139" s="50"/>
      <c r="N139" s="50"/>
      <c r="O139" s="50"/>
    </row>
    <row r="140" spans="1:15">
      <c r="A140" s="527" t="s">
        <v>7</v>
      </c>
      <c r="B140" s="528"/>
      <c r="C140" s="98" t="s">
        <v>4221</v>
      </c>
      <c r="D140" s="97" t="s">
        <v>4222</v>
      </c>
      <c r="E140" s="187" t="s">
        <v>4223</v>
      </c>
      <c r="F140" s="529" t="s">
        <v>4207</v>
      </c>
      <c r="G140" s="529"/>
      <c r="H140" s="109"/>
      <c r="K140" s="50"/>
      <c r="L140" s="50"/>
      <c r="M140" s="50"/>
      <c r="N140" s="50"/>
      <c r="O140" s="50"/>
    </row>
    <row r="141" spans="1:15">
      <c r="A141" s="506" t="s">
        <v>3928</v>
      </c>
      <c r="B141" s="507"/>
      <c r="C141" s="213">
        <v>1</v>
      </c>
      <c r="D141" s="92">
        <v>0.03</v>
      </c>
      <c r="E141" s="93" t="str">
        <f>VLOOKUP(A141,'Equip, Herr y Transp'!$B$2:$E$217,3,0)</f>
        <v>TR</v>
      </c>
      <c r="F141" s="530" t="e">
        <f>E141*D141*C141</f>
        <v>#VALUE!</v>
      </c>
      <c r="G141" s="531"/>
      <c r="H141" s="107"/>
      <c r="M141" s="50"/>
    </row>
    <row r="142" spans="1:15">
      <c r="A142" s="532" t="s">
        <v>4205</v>
      </c>
      <c r="B142" s="533"/>
      <c r="C142" s="533"/>
      <c r="D142" s="533"/>
      <c r="E142" s="533"/>
      <c r="F142" s="533"/>
      <c r="G142" s="533"/>
      <c r="H142" s="95" t="e">
        <f>F141</f>
        <v>#VALUE!</v>
      </c>
    </row>
    <row r="143" spans="1:15">
      <c r="A143" s="523" t="s">
        <v>4224</v>
      </c>
      <c r="B143" s="524"/>
      <c r="C143" s="524"/>
      <c r="D143" s="524"/>
      <c r="E143" s="524"/>
      <c r="F143" s="524"/>
      <c r="G143" s="524"/>
      <c r="H143" s="526"/>
    </row>
    <row r="144" spans="1:15">
      <c r="A144" s="527" t="s">
        <v>7</v>
      </c>
      <c r="B144" s="528"/>
      <c r="C144" s="96" t="s">
        <v>1</v>
      </c>
      <c r="D144" s="97" t="s">
        <v>4225</v>
      </c>
      <c r="E144" s="98" t="s">
        <v>4204</v>
      </c>
      <c r="F144" s="527" t="s">
        <v>5</v>
      </c>
      <c r="G144" s="534"/>
      <c r="H144" s="109"/>
    </row>
    <row r="145" spans="1:10">
      <c r="A145" s="506" t="s">
        <v>4191</v>
      </c>
      <c r="B145" s="507"/>
      <c r="C145" s="91">
        <v>1</v>
      </c>
      <c r="D145" s="94">
        <f>VLOOKUP(A145,'Mano Obra'!$B$2:$T$117,19,0)</f>
        <v>152456</v>
      </c>
      <c r="E145" s="218">
        <f>H108</f>
        <v>5.21E-2</v>
      </c>
      <c r="F145" s="508">
        <f>E145*D145*C145</f>
        <v>7942.9575999999997</v>
      </c>
      <c r="G145" s="509"/>
      <c r="H145" s="111"/>
      <c r="I145" s="59"/>
      <c r="J145" s="117">
        <f>((('Mano Obra'!$M$4/30)*F145)/D145)*G115</f>
        <v>0</v>
      </c>
    </row>
    <row r="146" spans="1:10">
      <c r="A146" s="510" t="s">
        <v>4192</v>
      </c>
      <c r="B146" s="511">
        <f>VLOOKUP(A146,'Mano Obra'!$B$3:$D$290,2,0)</f>
        <v>1900000</v>
      </c>
      <c r="C146" s="91">
        <v>1</v>
      </c>
      <c r="D146" s="94">
        <f>VLOOKUP(A146,'Mano Obra'!$B$2:$T$117,19,0)</f>
        <v>110488</v>
      </c>
      <c r="E146" s="218">
        <f>H108</f>
        <v>5.21E-2</v>
      </c>
      <c r="F146" s="508">
        <f t="shared" ref="F146:F147" si="9">E146*D146*C146</f>
        <v>5756.4247999999998</v>
      </c>
      <c r="G146" s="509"/>
      <c r="H146" s="111"/>
      <c r="J146" s="117">
        <f>((('Mano Obra'!$M$5/30)*F146)/D146)*G115</f>
        <v>0</v>
      </c>
    </row>
    <row r="147" spans="1:10">
      <c r="A147" s="510" t="s">
        <v>4181</v>
      </c>
      <c r="B147" s="511">
        <f>VLOOKUP(A147,'Mano Obra'!$B$3:$D$290,2,0)</f>
        <v>1000000</v>
      </c>
      <c r="C147" s="91">
        <v>1</v>
      </c>
      <c r="D147" s="94">
        <f>VLOOKUP(A147,'Mano Obra'!$B$2:$T$117,19,0)</f>
        <v>67424</v>
      </c>
      <c r="E147" s="218">
        <f>H108</f>
        <v>5.21E-2</v>
      </c>
      <c r="F147" s="508">
        <f t="shared" si="9"/>
        <v>3512.7903999999999</v>
      </c>
      <c r="G147" s="509"/>
      <c r="H147" s="110"/>
      <c r="J147" s="117">
        <f>((('Mano Obra'!$M$6/30)*F147)/D147)*G115</f>
        <v>0</v>
      </c>
    </row>
    <row r="148" spans="1:10">
      <c r="A148" s="512" t="s">
        <v>4100</v>
      </c>
      <c r="B148" s="512"/>
      <c r="C148" s="512"/>
      <c r="D148" s="512"/>
      <c r="E148" s="512"/>
      <c r="F148" s="512"/>
      <c r="G148" s="512"/>
      <c r="H148" s="95">
        <f>SUM(F145:F147)</f>
        <v>17212.1728</v>
      </c>
      <c r="J148" s="117"/>
    </row>
    <row r="149" spans="1:10">
      <c r="A149" s="208" t="s">
        <v>4226</v>
      </c>
      <c r="B149" s="186"/>
      <c r="C149" s="186"/>
      <c r="D149" s="183"/>
      <c r="E149" s="184"/>
      <c r="F149" s="185"/>
      <c r="G149" s="184"/>
      <c r="H149" s="193"/>
    </row>
    <row r="150" spans="1:10">
      <c r="A150" s="513" t="s">
        <v>4213</v>
      </c>
      <c r="B150" s="514"/>
      <c r="C150" s="514"/>
      <c r="D150" s="514"/>
      <c r="E150" s="181"/>
      <c r="F150" s="182" t="s">
        <v>4227</v>
      </c>
      <c r="G150" s="181" t="s">
        <v>4228</v>
      </c>
      <c r="H150" s="194"/>
    </row>
    <row r="151" spans="1:10">
      <c r="A151" s="204" t="s">
        <v>4096</v>
      </c>
      <c r="B151" s="62"/>
      <c r="C151" s="62"/>
      <c r="D151" s="63"/>
      <c r="E151" s="68"/>
      <c r="F151" s="69">
        <v>0</v>
      </c>
      <c r="G151" s="70" t="e">
        <f>F151*H116</f>
        <v>#VALUE!</v>
      </c>
      <c r="H151" s="193"/>
    </row>
    <row r="152" spans="1:10">
      <c r="A152" s="205" t="s">
        <v>4229</v>
      </c>
      <c r="B152" s="71"/>
      <c r="C152" s="71"/>
      <c r="D152" s="72"/>
      <c r="E152" s="68"/>
      <c r="F152" s="69">
        <v>0</v>
      </c>
      <c r="G152" s="70" t="e">
        <f>F152*H116</f>
        <v>#VALUE!</v>
      </c>
      <c r="H152" s="193"/>
    </row>
    <row r="153" spans="1:10">
      <c r="A153" s="205" t="s">
        <v>4</v>
      </c>
      <c r="B153" s="71"/>
      <c r="C153" s="71"/>
      <c r="D153" s="72"/>
      <c r="E153" s="68"/>
      <c r="F153" s="69">
        <v>0</v>
      </c>
      <c r="G153" s="70" t="e">
        <f>F153*H116</f>
        <v>#VALUE!</v>
      </c>
      <c r="H153" s="193"/>
    </row>
    <row r="154" spans="1:10">
      <c r="A154" s="206"/>
      <c r="B154" s="73"/>
      <c r="C154" s="65"/>
      <c r="D154" s="74"/>
      <c r="E154" s="75"/>
      <c r="F154" s="76"/>
      <c r="G154" s="77"/>
      <c r="H154" s="195"/>
    </row>
    <row r="155" spans="1:10">
      <c r="A155" s="207"/>
      <c r="B155" s="73"/>
      <c r="C155" s="73"/>
      <c r="D155" s="74"/>
      <c r="E155" s="78"/>
      <c r="F155" s="515" t="s">
        <v>4230</v>
      </c>
      <c r="G155" s="516"/>
      <c r="H155" s="214" t="e">
        <f>H116+G151+G152+G153</f>
        <v>#VALUE!</v>
      </c>
    </row>
    <row r="157" spans="1:10">
      <c r="A157" s="80"/>
      <c r="B157" s="80"/>
      <c r="C157" s="80"/>
      <c r="D157" s="80"/>
      <c r="E157" s="80"/>
      <c r="F157" s="80"/>
      <c r="G157" s="80"/>
      <c r="H157" s="353"/>
    </row>
    <row r="158" spans="1:10">
      <c r="A158" s="537" t="s">
        <v>4214</v>
      </c>
      <c r="B158" s="538"/>
      <c r="C158" s="538"/>
      <c r="D158" s="538"/>
      <c r="E158" s="538"/>
      <c r="F158" s="538"/>
      <c r="G158" s="538"/>
      <c r="H158" s="539"/>
    </row>
    <row r="159" spans="1:10">
      <c r="A159" s="81"/>
      <c r="B159" s="82"/>
      <c r="C159" s="82"/>
      <c r="D159" s="82"/>
      <c r="E159" s="82"/>
      <c r="F159" s="83"/>
      <c r="G159" s="84"/>
      <c r="H159" s="352">
        <f>ROUND((25/60)/8,4)</f>
        <v>5.21E-2</v>
      </c>
      <c r="I159" s="105"/>
    </row>
    <row r="160" spans="1:10">
      <c r="A160" s="540" t="s">
        <v>4209</v>
      </c>
      <c r="B160" s="542" t="str">
        <f>COSTOS!$C$14</f>
        <v>MODERNIZACION A TECNOLOGIA LED</v>
      </c>
      <c r="C160" s="542"/>
      <c r="D160" s="542"/>
      <c r="E160" s="542"/>
      <c r="F160" s="542"/>
      <c r="G160" s="542"/>
      <c r="H160" s="543" t="s">
        <v>4210</v>
      </c>
    </row>
    <row r="161" spans="1:15">
      <c r="A161" s="541"/>
      <c r="B161" s="542"/>
      <c r="C161" s="542"/>
      <c r="D161" s="542"/>
      <c r="E161" s="542"/>
      <c r="F161" s="542"/>
      <c r="G161" s="542"/>
      <c r="H161" s="543"/>
    </row>
    <row r="162" spans="1:15">
      <c r="A162" s="541"/>
      <c r="B162" s="542"/>
      <c r="C162" s="542"/>
      <c r="D162" s="542"/>
      <c r="E162" s="542"/>
      <c r="F162" s="542"/>
      <c r="G162" s="542"/>
      <c r="H162" s="543"/>
    </row>
    <row r="163" spans="1:15" ht="15" customHeight="1">
      <c r="A163" s="541"/>
      <c r="B163" s="542"/>
      <c r="C163" s="542"/>
      <c r="D163" s="542"/>
      <c r="E163" s="542"/>
      <c r="F163" s="542"/>
      <c r="G163" s="542"/>
      <c r="H163" s="197">
        <f ca="1">TODAY()</f>
        <v>44889</v>
      </c>
      <c r="K163" t="s">
        <v>4380</v>
      </c>
      <c r="L163" t="s">
        <v>4381</v>
      </c>
      <c r="M163" t="s">
        <v>4382</v>
      </c>
      <c r="N163" t="s">
        <v>4383</v>
      </c>
    </row>
    <row r="164" spans="1:15" ht="60.75" customHeight="1">
      <c r="A164" s="209" t="s">
        <v>4211</v>
      </c>
      <c r="B164" s="544" t="str">
        <f>COSTOS!$D$16</f>
        <v>Luminarias</v>
      </c>
      <c r="C164" s="544"/>
      <c r="D164" s="544"/>
      <c r="E164" s="544"/>
      <c r="F164" s="544"/>
      <c r="G164" s="60" t="s">
        <v>4212</v>
      </c>
      <c r="H164" s="359">
        <v>1.4</v>
      </c>
      <c r="K164" s="55" t="e">
        <f>H189</f>
        <v>#VALUE!</v>
      </c>
      <c r="L164" s="55">
        <f>H199</f>
        <v>17212.1728</v>
      </c>
      <c r="M164" s="55" t="e">
        <f>H172</f>
        <v>#VALUE!</v>
      </c>
      <c r="N164" s="55" t="e">
        <f>H193</f>
        <v>#VALUE!</v>
      </c>
    </row>
    <row r="165" spans="1:15" ht="43.2" customHeight="1">
      <c r="A165" s="210" t="s">
        <v>4213</v>
      </c>
      <c r="B165" s="545" t="str">
        <f>VLOOKUP(H164,COSTOS!C:M,2,0)</f>
        <v>Luminaria Led 110w</v>
      </c>
      <c r="C165" s="546"/>
      <c r="D165" s="546"/>
      <c r="E165" s="547"/>
      <c r="F165" s="61" t="s">
        <v>0</v>
      </c>
      <c r="G165" s="328" t="str">
        <f>VLOOKUP(H164,COSTOS!C:M,8,0)</f>
        <v>Und</v>
      </c>
      <c r="H165" s="248"/>
      <c r="I165" s="278"/>
      <c r="J165" s="280"/>
      <c r="K165" s="280"/>
      <c r="L165" s="280"/>
    </row>
    <row r="166" spans="1:15">
      <c r="A166" s="211"/>
      <c r="B166" s="102"/>
      <c r="C166" s="102"/>
      <c r="D166" s="102"/>
      <c r="E166" s="103"/>
      <c r="F166" s="104" t="s">
        <v>1</v>
      </c>
      <c r="G166" s="328">
        <f>VLOOKUP(H164,COSTOS!C:M,9,0)</f>
        <v>0</v>
      </c>
      <c r="H166" s="329"/>
      <c r="I166" s="279"/>
    </row>
    <row r="167" spans="1:15">
      <c r="A167" s="212" t="s">
        <v>4215</v>
      </c>
      <c r="B167" s="65"/>
      <c r="C167" s="65"/>
      <c r="D167" s="66"/>
      <c r="E167" s="190"/>
      <c r="F167" s="191"/>
      <c r="G167" s="192" t="s">
        <v>4216</v>
      </c>
      <c r="H167" s="198" t="e">
        <f>H172+H189+H193+H199</f>
        <v>#VALUE!</v>
      </c>
    </row>
    <row r="168" spans="1:15" ht="41.4">
      <c r="A168" s="548" t="s">
        <v>4213</v>
      </c>
      <c r="B168" s="548"/>
      <c r="C168" s="548"/>
      <c r="D168" s="67" t="s">
        <v>0</v>
      </c>
      <c r="E168" s="188" t="s">
        <v>4217</v>
      </c>
      <c r="F168" s="189" t="s">
        <v>4204</v>
      </c>
      <c r="G168" s="64" t="s">
        <v>2</v>
      </c>
      <c r="H168" s="199" t="s">
        <v>4218</v>
      </c>
      <c r="K168" s="281"/>
    </row>
    <row r="169" spans="1:15">
      <c r="A169" s="517" t="s">
        <v>3946</v>
      </c>
      <c r="B169" s="549">
        <f>VLOOKUP(A169,'Equip, Herr y Transp'!$B$2:$E$738,2,0)</f>
        <v>2</v>
      </c>
      <c r="C169" s="549"/>
      <c r="D169" s="85">
        <f>VLOOKUP(A169,'Equip, Herr y Transp'!$B$2:$E$217,2,0)</f>
        <v>2</v>
      </c>
      <c r="E169" s="85" t="str">
        <f>VLOOKUP(A169,'Equip, Herr y Transp'!$B$2:$E$217,3,0)</f>
        <v>EQU</v>
      </c>
      <c r="F169" s="86">
        <f>H159</f>
        <v>5.21E-2</v>
      </c>
      <c r="G169" s="112" t="e">
        <f>F169*E169</f>
        <v>#VALUE!</v>
      </c>
      <c r="H169" s="108"/>
    </row>
    <row r="170" spans="1:15">
      <c r="A170" s="517" t="s">
        <v>3904</v>
      </c>
      <c r="B170" s="549">
        <f>VLOOKUP(A170,'Equip, Herr y Transp'!$B$2:$E$738,2,0)</f>
        <v>2</v>
      </c>
      <c r="C170" s="549"/>
      <c r="D170" s="85">
        <f>VLOOKUP(A170,'Equip, Herr y Transp'!$B$2:$E$217,2,0)</f>
        <v>2</v>
      </c>
      <c r="E170" s="85" t="str">
        <f>VLOOKUP(A170,'Equip, Herr y Transp'!$B$2:$E$217,3,0)</f>
        <v>EQU</v>
      </c>
      <c r="F170" s="86">
        <f>H159</f>
        <v>5.21E-2</v>
      </c>
      <c r="G170" s="112" t="e">
        <f>F170*E170</f>
        <v>#VALUE!</v>
      </c>
      <c r="H170" s="107"/>
    </row>
    <row r="171" spans="1:15">
      <c r="A171" s="517" t="s">
        <v>3937</v>
      </c>
      <c r="B171" s="549">
        <f>VLOOKUP(A171,'Equip, Herr y Transp'!$B$2:$E$738,2,0)</f>
        <v>2</v>
      </c>
      <c r="C171" s="549"/>
      <c r="D171" s="85">
        <f>VLOOKUP(A171,'Equip, Herr y Transp'!$B$2:$E$217,2,0)</f>
        <v>2</v>
      </c>
      <c r="E171" s="85" t="str">
        <f>VLOOKUP(A171,'Equip, Herr y Transp'!$B$2:$E$217,3,0)</f>
        <v>EQU</v>
      </c>
      <c r="F171" s="86">
        <f>H159</f>
        <v>5.21E-2</v>
      </c>
      <c r="G171" s="112" t="e">
        <f>F171*E171</f>
        <v>#VALUE!</v>
      </c>
      <c r="H171" s="107"/>
    </row>
    <row r="172" spans="1:15">
      <c r="A172" s="520" t="s">
        <v>4099</v>
      </c>
      <c r="B172" s="521"/>
      <c r="C172" s="521"/>
      <c r="D172" s="521"/>
      <c r="E172" s="521"/>
      <c r="F172" s="521"/>
      <c r="G172" s="521"/>
      <c r="H172" s="87" t="e">
        <f>SUM(G169:G171)</f>
        <v>#VALUE!</v>
      </c>
    </row>
    <row r="173" spans="1:15">
      <c r="A173" s="550" t="s">
        <v>4219</v>
      </c>
      <c r="B173" s="551"/>
      <c r="C173" s="551"/>
      <c r="D173" s="551"/>
      <c r="E173" s="551"/>
      <c r="F173" s="551"/>
      <c r="G173" s="551"/>
      <c r="H173" s="552"/>
      <c r="K173" s="50"/>
      <c r="L173" s="50"/>
      <c r="M173" s="50"/>
      <c r="N173" s="50"/>
      <c r="O173" s="50"/>
    </row>
    <row r="174" spans="1:15" ht="30" customHeight="1">
      <c r="A174" s="553" t="s">
        <v>7</v>
      </c>
      <c r="B174" s="554"/>
      <c r="C174" s="99" t="s">
        <v>0</v>
      </c>
      <c r="D174" s="100" t="s">
        <v>4097</v>
      </c>
      <c r="E174" s="101" t="s">
        <v>1</v>
      </c>
      <c r="F174" s="555" t="s">
        <v>4207</v>
      </c>
      <c r="G174" s="555"/>
      <c r="H174" s="196"/>
      <c r="K174" s="50"/>
      <c r="L174" s="50"/>
      <c r="M174" s="50"/>
      <c r="N174" s="50"/>
      <c r="O174" s="50"/>
    </row>
    <row r="175" spans="1:15">
      <c r="A175" s="535" t="s">
        <v>4597</v>
      </c>
      <c r="B175" s="536"/>
      <c r="C175" s="88">
        <f>VLOOKUP(A175,'Materiales '!$C$2:$G$396,3,0)</f>
        <v>4</v>
      </c>
      <c r="D175" s="89" t="str">
        <f>VLOOKUP(A175,'Materiales '!$C$2:$G$396,4,0)</f>
        <v>Und</v>
      </c>
      <c r="E175" s="90">
        <v>1</v>
      </c>
      <c r="F175" s="508" t="e">
        <f>E175*D175</f>
        <v>#VALUE!</v>
      </c>
      <c r="G175" s="519"/>
      <c r="H175" s="111"/>
      <c r="I175">
        <f>E175*G166</f>
        <v>0</v>
      </c>
      <c r="J175" s="57"/>
      <c r="K175" s="50"/>
      <c r="L175" s="50"/>
      <c r="M175" s="50"/>
      <c r="N175" s="50"/>
      <c r="O175" s="50"/>
    </row>
    <row r="176" spans="1:15">
      <c r="A176" s="535" t="s">
        <v>4203</v>
      </c>
      <c r="B176" s="536"/>
      <c r="C176" s="88">
        <f>VLOOKUP(A176,'Materiales '!$C$2:$G$396,3,0)</f>
        <v>4</v>
      </c>
      <c r="D176" s="89" t="str">
        <f>VLOOKUP(A176,'Materiales '!$C$2:$G$396,4,0)</f>
        <v>Und</v>
      </c>
      <c r="E176" s="90">
        <v>1</v>
      </c>
      <c r="F176" s="508" t="e">
        <f t="shared" ref="F176:F182" si="10">E176*D176</f>
        <v>#VALUE!</v>
      </c>
      <c r="G176" s="519"/>
      <c r="H176" s="111"/>
      <c r="I176">
        <f>E176*G166</f>
        <v>0</v>
      </c>
      <c r="J176" s="57"/>
      <c r="K176" s="50"/>
      <c r="L176" s="50"/>
      <c r="M176" s="50"/>
      <c r="N176" s="50"/>
      <c r="O176" s="50"/>
    </row>
    <row r="177" spans="1:15">
      <c r="A177" s="517" t="s">
        <v>4473</v>
      </c>
      <c r="B177" s="518">
        <f>VLOOKUP(A177,'Materiales '!$C$2:$G$396,3,0)</f>
        <v>4</v>
      </c>
      <c r="C177" s="88">
        <f>VLOOKUP(A177,'Materiales '!$C$2:$G$396,3,0)</f>
        <v>4</v>
      </c>
      <c r="D177" s="89" t="str">
        <f>VLOOKUP(A177,'Materiales '!$C$2:$G$396,4,0)</f>
        <v>Und</v>
      </c>
      <c r="E177" s="90">
        <v>2</v>
      </c>
      <c r="F177" s="508" t="e">
        <f t="shared" si="10"/>
        <v>#VALUE!</v>
      </c>
      <c r="G177" s="519"/>
      <c r="H177" s="111"/>
      <c r="I177">
        <f>E177*G166</f>
        <v>0</v>
      </c>
      <c r="J177" s="58"/>
      <c r="K177" s="50"/>
      <c r="L177" s="50"/>
      <c r="M177" s="50"/>
      <c r="N177" s="50"/>
      <c r="O177" s="50"/>
    </row>
    <row r="178" spans="1:15">
      <c r="A178" s="517" t="s">
        <v>4478</v>
      </c>
      <c r="B178" s="518">
        <f>VLOOKUP(A178,'Materiales '!$C$2:$G$396,3,0)</f>
        <v>4</v>
      </c>
      <c r="C178" s="88">
        <f>VLOOKUP(A178,'Materiales '!$C$2:$G$396,3,0)</f>
        <v>4</v>
      </c>
      <c r="D178" s="89" t="str">
        <f>VLOOKUP(A178,'Materiales '!$C$2:$G$396,4,0)</f>
        <v>Und</v>
      </c>
      <c r="E178" s="90">
        <v>3</v>
      </c>
      <c r="F178" s="508" t="e">
        <f t="shared" si="10"/>
        <v>#VALUE!</v>
      </c>
      <c r="G178" s="519"/>
      <c r="H178" s="111"/>
      <c r="I178">
        <f>E178*G166</f>
        <v>0</v>
      </c>
      <c r="J178" s="58"/>
      <c r="K178" s="50"/>
      <c r="L178" s="50"/>
      <c r="M178" s="50"/>
      <c r="N178" s="50"/>
      <c r="O178" s="50"/>
    </row>
    <row r="179" spans="1:15">
      <c r="A179" s="517" t="s">
        <v>4543</v>
      </c>
      <c r="B179" s="518">
        <f>VLOOKUP(A179,'Materiales '!$C$2:$G$396,3,0)</f>
        <v>4</v>
      </c>
      <c r="C179" s="88">
        <f>VLOOKUP(A179,'Materiales '!$C$2:$G$396,3,0)</f>
        <v>4</v>
      </c>
      <c r="D179" s="89" t="str">
        <f>VLOOKUP(A179,'Materiales '!$C$2:$G$396,4,0)</f>
        <v>Und</v>
      </c>
      <c r="E179" s="90">
        <v>2</v>
      </c>
      <c r="F179" s="508" t="e">
        <f t="shared" si="10"/>
        <v>#VALUE!</v>
      </c>
      <c r="G179" s="519"/>
      <c r="H179" s="111"/>
      <c r="I179">
        <f>E179*G166</f>
        <v>0</v>
      </c>
      <c r="J179" s="58"/>
      <c r="K179" s="50"/>
      <c r="L179" s="50"/>
      <c r="M179" s="50"/>
      <c r="N179" s="50"/>
      <c r="O179" s="50"/>
    </row>
    <row r="180" spans="1:15">
      <c r="A180" s="517" t="s">
        <v>4439</v>
      </c>
      <c r="B180" s="518">
        <f>VLOOKUP(A180,'Materiales '!$C$2:$G$396,3,0)</f>
        <v>2</v>
      </c>
      <c r="C180" s="88">
        <f>VLOOKUP(A180,'Materiales '!$C$2:$G$396,3,0)</f>
        <v>2</v>
      </c>
      <c r="D180" s="89" t="str">
        <f>VLOOKUP(A180,'Materiales '!$C$2:$G$396,4,0)</f>
        <v>Ml</v>
      </c>
      <c r="E180" s="90">
        <v>1</v>
      </c>
      <c r="F180" s="508" t="e">
        <f t="shared" si="10"/>
        <v>#VALUE!</v>
      </c>
      <c r="G180" s="519"/>
      <c r="H180" s="111"/>
      <c r="I180">
        <f>E180*G166</f>
        <v>0</v>
      </c>
      <c r="J180" s="58"/>
      <c r="K180" s="50"/>
      <c r="L180" s="50"/>
      <c r="M180" s="50"/>
      <c r="N180" s="50"/>
      <c r="O180" s="50"/>
    </row>
    <row r="181" spans="1:15">
      <c r="A181" s="517" t="s">
        <v>4482</v>
      </c>
      <c r="B181" s="518">
        <f>VLOOKUP(A181,'Materiales '!$C$2:$G$396,3,0)</f>
        <v>4</v>
      </c>
      <c r="C181" s="88">
        <f>VLOOKUP(A181,'Materiales '!$C$2:$G$396,3,0)</f>
        <v>4</v>
      </c>
      <c r="D181" s="89" t="str">
        <f>VLOOKUP(A181,'Materiales '!$C$2:$G$396,4,0)</f>
        <v>Und</v>
      </c>
      <c r="E181" s="90">
        <v>3</v>
      </c>
      <c r="F181" s="508" t="e">
        <f t="shared" si="10"/>
        <v>#VALUE!</v>
      </c>
      <c r="G181" s="519"/>
      <c r="H181" s="111"/>
      <c r="I181">
        <f>E181*G166</f>
        <v>0</v>
      </c>
      <c r="J181" s="58"/>
      <c r="K181" s="50"/>
      <c r="L181" s="50"/>
      <c r="M181" s="50"/>
      <c r="N181" s="50"/>
      <c r="O181" s="50"/>
    </row>
    <row r="182" spans="1:15" ht="21.75" customHeight="1">
      <c r="A182" s="517" t="s">
        <v>4424</v>
      </c>
      <c r="B182" s="518">
        <f>VLOOKUP(A182,'Materiales '!$C$2:$G$396,3,0)</f>
        <v>4</v>
      </c>
      <c r="C182" s="88">
        <f>VLOOKUP(A182,'Materiales '!$C$2:$G$396,3,0)</f>
        <v>4</v>
      </c>
      <c r="D182" s="89" t="str">
        <f>VLOOKUP(A182,'Materiales '!$C$2:$G$396,4,0)</f>
        <v>Und</v>
      </c>
      <c r="E182" s="90">
        <v>1</v>
      </c>
      <c r="F182" s="508" t="e">
        <f t="shared" si="10"/>
        <v>#VALUE!</v>
      </c>
      <c r="G182" s="519"/>
      <c r="H182" s="111"/>
      <c r="I182">
        <f>E182*G166</f>
        <v>0</v>
      </c>
      <c r="J182" s="58"/>
      <c r="K182" s="50"/>
      <c r="L182" s="50"/>
      <c r="M182" s="50"/>
      <c r="N182" s="50"/>
      <c r="O182" s="50"/>
    </row>
    <row r="183" spans="1:15">
      <c r="A183" s="517" t="s">
        <v>8</v>
      </c>
      <c r="B183" s="518">
        <f>VLOOKUP(A183,'Materiales '!$C$2:$G$396,3,0)</f>
        <v>0</v>
      </c>
      <c r="C183" s="88">
        <f>VLOOKUP(A183,'Materiales '!$C$2:$G$396,3,0)</f>
        <v>0</v>
      </c>
      <c r="D183" s="89" t="str">
        <f>VLOOKUP(A183,'Materiales '!$C$2:$G$396,4,0)</f>
        <v>-</v>
      </c>
      <c r="E183" s="90"/>
      <c r="F183" s="508" t="e">
        <f>E183*D183</f>
        <v>#VALUE!</v>
      </c>
      <c r="G183" s="519"/>
      <c r="H183" s="110"/>
      <c r="I183">
        <f>E183*G166</f>
        <v>0</v>
      </c>
      <c r="J183" s="58"/>
      <c r="K183" s="50"/>
      <c r="L183" s="50"/>
      <c r="M183" s="50"/>
      <c r="N183" s="50"/>
      <c r="O183" s="50"/>
    </row>
    <row r="184" spans="1:15">
      <c r="A184" s="517" t="s">
        <v>8</v>
      </c>
      <c r="B184" s="518">
        <f>VLOOKUP(A184,'Materiales '!$C$2:$G$396,3,0)</f>
        <v>0</v>
      </c>
      <c r="C184" s="88">
        <f>VLOOKUP(A184,'Materiales '!$C$2:$G$396,3,0)</f>
        <v>0</v>
      </c>
      <c r="D184" s="89" t="str">
        <f>VLOOKUP(A184,'Materiales '!$C$2:$G$396,4,0)</f>
        <v>-</v>
      </c>
      <c r="E184" s="90"/>
      <c r="F184" s="508" t="e">
        <f t="shared" ref="F184:F187" si="11">E184*D184</f>
        <v>#VALUE!</v>
      </c>
      <c r="G184" s="519"/>
      <c r="H184" s="111"/>
      <c r="I184">
        <f>E184*G166</f>
        <v>0</v>
      </c>
      <c r="J184" s="58"/>
      <c r="K184" s="50"/>
      <c r="L184" s="50"/>
      <c r="M184" s="50"/>
      <c r="N184" s="50"/>
      <c r="O184" s="50"/>
    </row>
    <row r="185" spans="1:15">
      <c r="A185" s="517" t="s">
        <v>8</v>
      </c>
      <c r="B185" s="518">
        <f>VLOOKUP(A185,'Materiales '!$C$2:$G$396,3,0)</f>
        <v>0</v>
      </c>
      <c r="C185" s="88">
        <f>VLOOKUP(A185,'Materiales '!$C$2:$G$396,3,0)</f>
        <v>0</v>
      </c>
      <c r="D185" s="89" t="str">
        <f>VLOOKUP(A185,'Materiales '!$C$2:$G$396,4,0)</f>
        <v>-</v>
      </c>
      <c r="E185" s="90"/>
      <c r="F185" s="508" t="e">
        <f t="shared" si="11"/>
        <v>#VALUE!</v>
      </c>
      <c r="G185" s="519"/>
      <c r="H185" s="111"/>
      <c r="I185">
        <f>E185*G166</f>
        <v>0</v>
      </c>
      <c r="J185" s="58"/>
      <c r="K185" s="50"/>
      <c r="L185" s="50"/>
      <c r="M185" s="50"/>
      <c r="N185" s="50"/>
      <c r="O185" s="50"/>
    </row>
    <row r="186" spans="1:15">
      <c r="A186" s="517" t="s">
        <v>8</v>
      </c>
      <c r="B186" s="518">
        <f>VLOOKUP(A186,'Materiales '!$C$2:$G$396,3,0)</f>
        <v>0</v>
      </c>
      <c r="C186" s="88">
        <f>VLOOKUP(A186,'Materiales '!$C$2:$G$396,3,0)</f>
        <v>0</v>
      </c>
      <c r="D186" s="89" t="str">
        <f>VLOOKUP(A186,'Materiales '!$C$2:$G$396,4,0)</f>
        <v>-</v>
      </c>
      <c r="E186" s="90"/>
      <c r="F186" s="508" t="e">
        <f t="shared" si="11"/>
        <v>#VALUE!</v>
      </c>
      <c r="G186" s="519"/>
      <c r="H186" s="111"/>
      <c r="I186">
        <f>E186*G166</f>
        <v>0</v>
      </c>
      <c r="J186" s="58"/>
      <c r="K186" s="50"/>
      <c r="L186" s="50"/>
      <c r="M186" s="50"/>
      <c r="N186" s="50"/>
      <c r="O186" s="50"/>
    </row>
    <row r="187" spans="1:15">
      <c r="A187" s="517" t="s">
        <v>8</v>
      </c>
      <c r="B187" s="518">
        <f>VLOOKUP(A187,'Materiales '!$C$2:$G$396,3,0)</f>
        <v>0</v>
      </c>
      <c r="C187" s="88">
        <f>VLOOKUP(A187,'Materiales '!$C$2:$G$396,3,0)</f>
        <v>0</v>
      </c>
      <c r="D187" s="89" t="str">
        <f>VLOOKUP(A187,'Materiales '!$C$2:$G$396,4,0)</f>
        <v>-</v>
      </c>
      <c r="E187" s="90"/>
      <c r="F187" s="508" t="e">
        <f t="shared" si="11"/>
        <v>#VALUE!</v>
      </c>
      <c r="G187" s="519"/>
      <c r="H187" s="111"/>
      <c r="I187">
        <f>E187*G166</f>
        <v>0</v>
      </c>
      <c r="J187" s="58"/>
      <c r="K187" s="50"/>
      <c r="L187" s="50"/>
      <c r="M187" s="50"/>
      <c r="N187" s="50"/>
      <c r="O187" s="50"/>
    </row>
    <row r="188" spans="1:15">
      <c r="A188" s="517" t="s">
        <v>8</v>
      </c>
      <c r="B188" s="518">
        <f>VLOOKUP(A188,'Materiales '!$C$2:$G$396,3,0)</f>
        <v>0</v>
      </c>
      <c r="C188" s="88">
        <f>VLOOKUP(A188,'Materiales '!$C$2:$G$396,3,0)</f>
        <v>0</v>
      </c>
      <c r="D188" s="89" t="str">
        <f>VLOOKUP(A188,'Materiales '!$C$2:$G$396,4,0)</f>
        <v>-</v>
      </c>
      <c r="E188" s="90"/>
      <c r="F188" s="508" t="e">
        <f>E188*D188</f>
        <v>#VALUE!</v>
      </c>
      <c r="G188" s="519"/>
      <c r="H188" s="110"/>
      <c r="I188">
        <f>E188*G166</f>
        <v>0</v>
      </c>
      <c r="J188" s="58"/>
      <c r="K188" s="50"/>
      <c r="L188" s="50"/>
      <c r="M188" s="50"/>
      <c r="N188" s="50"/>
      <c r="O188" s="50"/>
    </row>
    <row r="189" spans="1:15">
      <c r="A189" s="520" t="s">
        <v>4098</v>
      </c>
      <c r="B189" s="521"/>
      <c r="C189" s="521"/>
      <c r="D189" s="521"/>
      <c r="E189" s="521"/>
      <c r="F189" s="521"/>
      <c r="G189" s="522"/>
      <c r="H189" s="106" t="e">
        <f>SUM(F175:F188)</f>
        <v>#VALUE!</v>
      </c>
      <c r="J189" s="58"/>
      <c r="K189" s="50"/>
      <c r="L189" s="50"/>
      <c r="M189" s="50"/>
      <c r="N189" s="50"/>
      <c r="O189" s="50"/>
    </row>
    <row r="190" spans="1:15">
      <c r="A190" s="523" t="s">
        <v>4220</v>
      </c>
      <c r="B190" s="524"/>
      <c r="C190" s="524"/>
      <c r="D190" s="524"/>
      <c r="E190" s="525"/>
      <c r="F190" s="524"/>
      <c r="G190" s="524"/>
      <c r="H190" s="526"/>
      <c r="J190" s="58"/>
      <c r="K190" s="50"/>
      <c r="L190" s="50"/>
      <c r="M190" s="50"/>
      <c r="N190" s="50"/>
      <c r="O190" s="50"/>
    </row>
    <row r="191" spans="1:15">
      <c r="A191" s="527" t="s">
        <v>7</v>
      </c>
      <c r="B191" s="528"/>
      <c r="C191" s="98" t="s">
        <v>4221</v>
      </c>
      <c r="D191" s="97" t="s">
        <v>4222</v>
      </c>
      <c r="E191" s="187" t="s">
        <v>4223</v>
      </c>
      <c r="F191" s="529" t="s">
        <v>4207</v>
      </c>
      <c r="G191" s="529"/>
      <c r="H191" s="109"/>
      <c r="K191" s="50"/>
      <c r="L191" s="50"/>
      <c r="M191" s="50"/>
      <c r="N191" s="50"/>
      <c r="O191" s="50"/>
    </row>
    <row r="192" spans="1:15">
      <c r="A192" s="506" t="s">
        <v>3928</v>
      </c>
      <c r="B192" s="507"/>
      <c r="C192" s="213">
        <v>1</v>
      </c>
      <c r="D192" s="92">
        <v>0.03</v>
      </c>
      <c r="E192" s="93" t="str">
        <f>VLOOKUP(A192,'Equip, Herr y Transp'!$B$2:$E$217,3,0)</f>
        <v>TR</v>
      </c>
      <c r="F192" s="530" t="e">
        <f>E192*D192*C192</f>
        <v>#VALUE!</v>
      </c>
      <c r="G192" s="531"/>
      <c r="H192" s="107"/>
      <c r="M192" s="50"/>
    </row>
    <row r="193" spans="1:10">
      <c r="A193" s="532" t="s">
        <v>4205</v>
      </c>
      <c r="B193" s="533"/>
      <c r="C193" s="533"/>
      <c r="D193" s="533"/>
      <c r="E193" s="533"/>
      <c r="F193" s="533"/>
      <c r="G193" s="533"/>
      <c r="H193" s="95" t="e">
        <f>F192</f>
        <v>#VALUE!</v>
      </c>
    </row>
    <row r="194" spans="1:10">
      <c r="A194" s="523" t="s">
        <v>4224</v>
      </c>
      <c r="B194" s="524"/>
      <c r="C194" s="524"/>
      <c r="D194" s="524"/>
      <c r="E194" s="524"/>
      <c r="F194" s="524"/>
      <c r="G194" s="524"/>
      <c r="H194" s="526"/>
    </row>
    <row r="195" spans="1:10">
      <c r="A195" s="527" t="s">
        <v>7</v>
      </c>
      <c r="B195" s="528"/>
      <c r="C195" s="96" t="s">
        <v>1</v>
      </c>
      <c r="D195" s="97" t="s">
        <v>4225</v>
      </c>
      <c r="E195" s="98" t="s">
        <v>4204</v>
      </c>
      <c r="F195" s="527" t="s">
        <v>5</v>
      </c>
      <c r="G195" s="534"/>
      <c r="H195" s="109"/>
    </row>
    <row r="196" spans="1:10">
      <c r="A196" s="506" t="s">
        <v>4191</v>
      </c>
      <c r="B196" s="507"/>
      <c r="C196" s="91">
        <v>1</v>
      </c>
      <c r="D196" s="94">
        <f>VLOOKUP(A196,'Mano Obra'!$B$2:$T$117,19,0)</f>
        <v>152456</v>
      </c>
      <c r="E196" s="218">
        <f>H159</f>
        <v>5.21E-2</v>
      </c>
      <c r="F196" s="508">
        <f>E196*D196*C196</f>
        <v>7942.9575999999997</v>
      </c>
      <c r="G196" s="509"/>
      <c r="H196" s="111"/>
      <c r="I196" s="59"/>
      <c r="J196" s="117">
        <f>((('Mano Obra'!$M$4/30)*F196)/D196)*G166</f>
        <v>0</v>
      </c>
    </row>
    <row r="197" spans="1:10">
      <c r="A197" s="510" t="s">
        <v>4192</v>
      </c>
      <c r="B197" s="511">
        <f>VLOOKUP(A197,'Mano Obra'!$B$3:$D$290,2,0)</f>
        <v>1900000</v>
      </c>
      <c r="C197" s="91">
        <v>1</v>
      </c>
      <c r="D197" s="94">
        <f>VLOOKUP(A197,'Mano Obra'!$B$2:$T$117,19,0)</f>
        <v>110488</v>
      </c>
      <c r="E197" s="218">
        <f>H159</f>
        <v>5.21E-2</v>
      </c>
      <c r="F197" s="508">
        <f t="shared" ref="F197:F198" si="12">E197*D197*C197</f>
        <v>5756.4247999999998</v>
      </c>
      <c r="G197" s="509"/>
      <c r="H197" s="111"/>
      <c r="J197" s="117">
        <f>((('Mano Obra'!$M$5/30)*F197)/D197)*G166</f>
        <v>0</v>
      </c>
    </row>
    <row r="198" spans="1:10">
      <c r="A198" s="510" t="s">
        <v>4181</v>
      </c>
      <c r="B198" s="511">
        <f>VLOOKUP(A198,'Mano Obra'!$B$3:$D$290,2,0)</f>
        <v>1000000</v>
      </c>
      <c r="C198" s="91">
        <v>1</v>
      </c>
      <c r="D198" s="94">
        <f>VLOOKUP(A198,'Mano Obra'!$B$2:$T$117,19,0)</f>
        <v>67424</v>
      </c>
      <c r="E198" s="218">
        <f>H159</f>
        <v>5.21E-2</v>
      </c>
      <c r="F198" s="508">
        <f t="shared" si="12"/>
        <v>3512.7903999999999</v>
      </c>
      <c r="G198" s="509"/>
      <c r="H198" s="110"/>
      <c r="J198" s="117">
        <f>((('Mano Obra'!$M$6/30)*F198)/D198)*G166</f>
        <v>0</v>
      </c>
    </row>
    <row r="199" spans="1:10">
      <c r="A199" s="512" t="s">
        <v>4100</v>
      </c>
      <c r="B199" s="512"/>
      <c r="C199" s="512"/>
      <c r="D199" s="512"/>
      <c r="E199" s="512"/>
      <c r="F199" s="512"/>
      <c r="G199" s="512"/>
      <c r="H199" s="95">
        <f>SUM(F196:F198)</f>
        <v>17212.1728</v>
      </c>
      <c r="J199" s="117"/>
    </row>
    <row r="200" spans="1:10">
      <c r="A200" s="208" t="s">
        <v>4226</v>
      </c>
      <c r="B200" s="186"/>
      <c r="C200" s="186"/>
      <c r="D200" s="183"/>
      <c r="E200" s="184"/>
      <c r="F200" s="185"/>
      <c r="G200" s="184"/>
      <c r="H200" s="193"/>
    </row>
    <row r="201" spans="1:10">
      <c r="A201" s="513" t="s">
        <v>4213</v>
      </c>
      <c r="B201" s="514"/>
      <c r="C201" s="514"/>
      <c r="D201" s="514"/>
      <c r="E201" s="181"/>
      <c r="F201" s="182" t="s">
        <v>4227</v>
      </c>
      <c r="G201" s="181" t="s">
        <v>4228</v>
      </c>
      <c r="H201" s="194"/>
    </row>
    <row r="202" spans="1:10">
      <c r="A202" s="204" t="s">
        <v>4096</v>
      </c>
      <c r="B202" s="62"/>
      <c r="C202" s="62"/>
      <c r="D202" s="63"/>
      <c r="E202" s="68"/>
      <c r="F202" s="69">
        <v>0</v>
      </c>
      <c r="G202" s="70" t="e">
        <f>F202*H167</f>
        <v>#VALUE!</v>
      </c>
      <c r="H202" s="193"/>
    </row>
    <row r="203" spans="1:10">
      <c r="A203" s="205" t="s">
        <v>4229</v>
      </c>
      <c r="B203" s="71"/>
      <c r="C203" s="71"/>
      <c r="D203" s="72"/>
      <c r="E203" s="68"/>
      <c r="F203" s="69">
        <v>0</v>
      </c>
      <c r="G203" s="70" t="e">
        <f>F203*H167</f>
        <v>#VALUE!</v>
      </c>
      <c r="H203" s="193"/>
    </row>
    <row r="204" spans="1:10">
      <c r="A204" s="205" t="s">
        <v>4</v>
      </c>
      <c r="B204" s="71"/>
      <c r="C204" s="71"/>
      <c r="D204" s="72"/>
      <c r="E204" s="68"/>
      <c r="F204" s="69">
        <v>0</v>
      </c>
      <c r="G204" s="70" t="e">
        <f>F204*H167</f>
        <v>#VALUE!</v>
      </c>
      <c r="H204" s="193"/>
    </row>
    <row r="205" spans="1:10">
      <c r="A205" s="206"/>
      <c r="B205" s="73"/>
      <c r="C205" s="65"/>
      <c r="D205" s="74"/>
      <c r="E205" s="75"/>
      <c r="F205" s="76"/>
      <c r="G205" s="77"/>
      <c r="H205" s="195"/>
    </row>
    <row r="206" spans="1:10">
      <c r="A206" s="207"/>
      <c r="B206" s="73"/>
      <c r="C206" s="73"/>
      <c r="D206" s="74"/>
      <c r="E206" s="78"/>
      <c r="F206" s="515" t="s">
        <v>4230</v>
      </c>
      <c r="G206" s="516"/>
      <c r="H206" s="214" t="e">
        <f>H167+G202+G203+G204</f>
        <v>#VALUE!</v>
      </c>
    </row>
    <row r="208" spans="1:10">
      <c r="A208" s="80"/>
      <c r="B208" s="80"/>
      <c r="C208" s="80"/>
      <c r="D208" s="80"/>
      <c r="E208" s="80"/>
      <c r="F208" s="80"/>
      <c r="G208" s="80"/>
      <c r="H208" s="353"/>
    </row>
    <row r="209" spans="1:15">
      <c r="A209" s="537" t="s">
        <v>4214</v>
      </c>
      <c r="B209" s="538"/>
      <c r="C209" s="538"/>
      <c r="D209" s="538"/>
      <c r="E209" s="538"/>
      <c r="F209" s="538"/>
      <c r="G209" s="538"/>
      <c r="H209" s="539"/>
    </row>
    <row r="210" spans="1:15">
      <c r="A210" s="81"/>
      <c r="B210" s="82"/>
      <c r="C210" s="82"/>
      <c r="D210" s="82"/>
      <c r="E210" s="82"/>
      <c r="F210" s="83"/>
      <c r="G210" s="84"/>
      <c r="H210" s="352">
        <f>ROUND((25/60)/8,4)</f>
        <v>5.21E-2</v>
      </c>
      <c r="I210" s="105"/>
    </row>
    <row r="211" spans="1:15">
      <c r="A211" s="540" t="s">
        <v>4209</v>
      </c>
      <c r="B211" s="542" t="str">
        <f>COSTOS!$C$14</f>
        <v>MODERNIZACION A TECNOLOGIA LED</v>
      </c>
      <c r="C211" s="542"/>
      <c r="D211" s="542"/>
      <c r="E211" s="542"/>
      <c r="F211" s="542"/>
      <c r="G211" s="542"/>
      <c r="H211" s="543" t="s">
        <v>4210</v>
      </c>
    </row>
    <row r="212" spans="1:15">
      <c r="A212" s="541"/>
      <c r="B212" s="542"/>
      <c r="C212" s="542"/>
      <c r="D212" s="542"/>
      <c r="E212" s="542"/>
      <c r="F212" s="542"/>
      <c r="G212" s="542"/>
      <c r="H212" s="543"/>
    </row>
    <row r="213" spans="1:15">
      <c r="A213" s="541"/>
      <c r="B213" s="542"/>
      <c r="C213" s="542"/>
      <c r="D213" s="542"/>
      <c r="E213" s="542"/>
      <c r="F213" s="542"/>
      <c r="G213" s="542"/>
      <c r="H213" s="543"/>
    </row>
    <row r="214" spans="1:15" ht="15" customHeight="1">
      <c r="A214" s="541"/>
      <c r="B214" s="542"/>
      <c r="C214" s="542"/>
      <c r="D214" s="542"/>
      <c r="E214" s="542"/>
      <c r="F214" s="542"/>
      <c r="G214" s="542"/>
      <c r="H214" s="197">
        <f ca="1">TODAY()</f>
        <v>44889</v>
      </c>
      <c r="K214" t="s">
        <v>4380</v>
      </c>
      <c r="L214" t="s">
        <v>4381</v>
      </c>
      <c r="M214" t="s">
        <v>4382</v>
      </c>
      <c r="N214" t="s">
        <v>4383</v>
      </c>
    </row>
    <row r="215" spans="1:15" ht="60.75" customHeight="1">
      <c r="A215" s="209" t="s">
        <v>4211</v>
      </c>
      <c r="B215" s="544" t="str">
        <f>COSTOS!$D$16</f>
        <v>Luminarias</v>
      </c>
      <c r="C215" s="544"/>
      <c r="D215" s="544"/>
      <c r="E215" s="544"/>
      <c r="F215" s="544"/>
      <c r="G215" s="60" t="s">
        <v>4212</v>
      </c>
      <c r="H215" s="359">
        <v>1.4</v>
      </c>
      <c r="K215" s="55" t="e">
        <f>H240</f>
        <v>#VALUE!</v>
      </c>
      <c r="L215" s="55">
        <f>H250</f>
        <v>17212.1728</v>
      </c>
      <c r="M215" s="55" t="e">
        <f>H223</f>
        <v>#VALUE!</v>
      </c>
      <c r="N215" s="55" t="e">
        <f>H244</f>
        <v>#VALUE!</v>
      </c>
    </row>
    <row r="216" spans="1:15" ht="43.2" customHeight="1">
      <c r="A216" s="210" t="s">
        <v>4213</v>
      </c>
      <c r="B216" s="545" t="str">
        <f>VLOOKUP(H215,COSTOS!C:M,2,0)</f>
        <v>Luminaria Led 110w</v>
      </c>
      <c r="C216" s="546"/>
      <c r="D216" s="546"/>
      <c r="E216" s="547"/>
      <c r="F216" s="61" t="s">
        <v>0</v>
      </c>
      <c r="G216" s="328" t="str">
        <f>VLOOKUP(H215,COSTOS!C:M,8,0)</f>
        <v>Und</v>
      </c>
      <c r="H216" s="248"/>
      <c r="I216" s="278"/>
      <c r="J216" s="280"/>
      <c r="K216" s="280"/>
      <c r="L216" s="280"/>
    </row>
    <row r="217" spans="1:15">
      <c r="A217" s="211"/>
      <c r="B217" s="102"/>
      <c r="C217" s="102"/>
      <c r="D217" s="102"/>
      <c r="E217" s="103"/>
      <c r="F217" s="104" t="s">
        <v>1</v>
      </c>
      <c r="G217" s="328">
        <f>VLOOKUP(H215,COSTOS!C:M,9,0)</f>
        <v>0</v>
      </c>
      <c r="H217" s="329"/>
      <c r="I217" s="279"/>
    </row>
    <row r="218" spans="1:15">
      <c r="A218" s="212" t="s">
        <v>4215</v>
      </c>
      <c r="B218" s="65"/>
      <c r="C218" s="65"/>
      <c r="D218" s="66"/>
      <c r="E218" s="190"/>
      <c r="F218" s="191"/>
      <c r="G218" s="192" t="s">
        <v>4216</v>
      </c>
      <c r="H218" s="198" t="e">
        <f>H223+H240+H244+H250</f>
        <v>#VALUE!</v>
      </c>
    </row>
    <row r="219" spans="1:15" ht="41.4">
      <c r="A219" s="548" t="s">
        <v>4213</v>
      </c>
      <c r="B219" s="548"/>
      <c r="C219" s="548"/>
      <c r="D219" s="67" t="s">
        <v>0</v>
      </c>
      <c r="E219" s="188" t="s">
        <v>4217</v>
      </c>
      <c r="F219" s="189" t="s">
        <v>4204</v>
      </c>
      <c r="G219" s="64" t="s">
        <v>2</v>
      </c>
      <c r="H219" s="199" t="s">
        <v>4218</v>
      </c>
      <c r="K219" s="281"/>
    </row>
    <row r="220" spans="1:15">
      <c r="A220" s="517" t="s">
        <v>3946</v>
      </c>
      <c r="B220" s="549">
        <f>VLOOKUP(A220,'Equip, Herr y Transp'!$B$2:$E$738,2,0)</f>
        <v>2</v>
      </c>
      <c r="C220" s="549"/>
      <c r="D220" s="85">
        <f>VLOOKUP(A220,'Equip, Herr y Transp'!$B$2:$E$217,2,0)</f>
        <v>2</v>
      </c>
      <c r="E220" s="85" t="str">
        <f>VLOOKUP(A220,'Equip, Herr y Transp'!$B$2:$E$217,3,0)</f>
        <v>EQU</v>
      </c>
      <c r="F220" s="86">
        <f>H210</f>
        <v>5.21E-2</v>
      </c>
      <c r="G220" s="112" t="e">
        <f>F220*E220</f>
        <v>#VALUE!</v>
      </c>
      <c r="H220" s="108"/>
    </row>
    <row r="221" spans="1:15">
      <c r="A221" s="517" t="s">
        <v>3904</v>
      </c>
      <c r="B221" s="549">
        <f>VLOOKUP(A221,'Equip, Herr y Transp'!$B$2:$E$738,2,0)</f>
        <v>2</v>
      </c>
      <c r="C221" s="549"/>
      <c r="D221" s="85">
        <f>VLOOKUP(A221,'Equip, Herr y Transp'!$B$2:$E$217,2,0)</f>
        <v>2</v>
      </c>
      <c r="E221" s="85" t="str">
        <f>VLOOKUP(A221,'Equip, Herr y Transp'!$B$2:$E$217,3,0)</f>
        <v>EQU</v>
      </c>
      <c r="F221" s="86">
        <f>H210</f>
        <v>5.21E-2</v>
      </c>
      <c r="G221" s="112" t="e">
        <f>F221*E221</f>
        <v>#VALUE!</v>
      </c>
      <c r="H221" s="107"/>
    </row>
    <row r="222" spans="1:15">
      <c r="A222" s="517" t="s">
        <v>3937</v>
      </c>
      <c r="B222" s="549">
        <f>VLOOKUP(A222,'Equip, Herr y Transp'!$B$2:$E$738,2,0)</f>
        <v>2</v>
      </c>
      <c r="C222" s="549"/>
      <c r="D222" s="85">
        <f>VLOOKUP(A222,'Equip, Herr y Transp'!$B$2:$E$217,2,0)</f>
        <v>2</v>
      </c>
      <c r="E222" s="85" t="str">
        <f>VLOOKUP(A222,'Equip, Herr y Transp'!$B$2:$E$217,3,0)</f>
        <v>EQU</v>
      </c>
      <c r="F222" s="86">
        <f>H210</f>
        <v>5.21E-2</v>
      </c>
      <c r="G222" s="112" t="e">
        <f>F222*E222</f>
        <v>#VALUE!</v>
      </c>
      <c r="H222" s="107"/>
    </row>
    <row r="223" spans="1:15">
      <c r="A223" s="520" t="s">
        <v>4099</v>
      </c>
      <c r="B223" s="521"/>
      <c r="C223" s="521"/>
      <c r="D223" s="521"/>
      <c r="E223" s="521"/>
      <c r="F223" s="521"/>
      <c r="G223" s="521"/>
      <c r="H223" s="87" t="e">
        <f>SUM(G220:G222)</f>
        <v>#VALUE!</v>
      </c>
    </row>
    <row r="224" spans="1:15">
      <c r="A224" s="550" t="s">
        <v>4219</v>
      </c>
      <c r="B224" s="551"/>
      <c r="C224" s="551"/>
      <c r="D224" s="551"/>
      <c r="E224" s="551"/>
      <c r="F224" s="551"/>
      <c r="G224" s="551"/>
      <c r="H224" s="552"/>
      <c r="K224" s="50"/>
      <c r="L224" s="50"/>
      <c r="M224" s="50"/>
      <c r="N224" s="50"/>
      <c r="O224" s="50"/>
    </row>
    <row r="225" spans="1:15" ht="30" customHeight="1">
      <c r="A225" s="553" t="s">
        <v>7</v>
      </c>
      <c r="B225" s="554"/>
      <c r="C225" s="99" t="s">
        <v>0</v>
      </c>
      <c r="D225" s="100" t="s">
        <v>4097</v>
      </c>
      <c r="E225" s="101" t="s">
        <v>1</v>
      </c>
      <c r="F225" s="555" t="s">
        <v>4207</v>
      </c>
      <c r="G225" s="555"/>
      <c r="H225" s="196"/>
      <c r="K225" s="50"/>
      <c r="L225" s="50"/>
      <c r="M225" s="50"/>
      <c r="N225" s="50"/>
      <c r="O225" s="50"/>
    </row>
    <row r="226" spans="1:15">
      <c r="A226" s="535" t="s">
        <v>4597</v>
      </c>
      <c r="B226" s="536"/>
      <c r="C226" s="88">
        <f>VLOOKUP(A226,'Materiales '!$C$2:$G$396,3,0)</f>
        <v>4</v>
      </c>
      <c r="D226" s="89" t="str">
        <f>VLOOKUP(A226,'Materiales '!$C$2:$G$396,4,0)</f>
        <v>Und</v>
      </c>
      <c r="E226" s="90">
        <v>1</v>
      </c>
      <c r="F226" s="508" t="e">
        <f>E226*D226</f>
        <v>#VALUE!</v>
      </c>
      <c r="G226" s="519"/>
      <c r="H226" s="111"/>
      <c r="I226">
        <f>E226*G217</f>
        <v>0</v>
      </c>
      <c r="J226" s="57"/>
      <c r="K226" s="50"/>
      <c r="L226" s="50"/>
      <c r="M226" s="50"/>
      <c r="N226" s="50"/>
      <c r="O226" s="50"/>
    </row>
    <row r="227" spans="1:15">
      <c r="A227" s="535" t="s">
        <v>4203</v>
      </c>
      <c r="B227" s="536"/>
      <c r="C227" s="88">
        <f>VLOOKUP(A227,'Materiales '!$C$2:$G$396,3,0)</f>
        <v>4</v>
      </c>
      <c r="D227" s="89" t="str">
        <f>VLOOKUP(A227,'Materiales '!$C$2:$G$396,4,0)</f>
        <v>Und</v>
      </c>
      <c r="E227" s="90">
        <v>1</v>
      </c>
      <c r="F227" s="508" t="e">
        <f t="shared" ref="F227:F233" si="13">E227*D227</f>
        <v>#VALUE!</v>
      </c>
      <c r="G227" s="519"/>
      <c r="H227" s="111"/>
      <c r="I227">
        <f>E227*G217</f>
        <v>0</v>
      </c>
      <c r="J227" s="57"/>
      <c r="K227" s="50"/>
      <c r="L227" s="50"/>
      <c r="M227" s="50"/>
      <c r="N227" s="50"/>
      <c r="O227" s="50"/>
    </row>
    <row r="228" spans="1:15">
      <c r="A228" s="517" t="s">
        <v>4473</v>
      </c>
      <c r="B228" s="518">
        <f>VLOOKUP(A228,'Materiales '!$C$2:$G$396,3,0)</f>
        <v>4</v>
      </c>
      <c r="C228" s="88">
        <f>VLOOKUP(A228,'Materiales '!$C$2:$G$396,3,0)</f>
        <v>4</v>
      </c>
      <c r="D228" s="89" t="str">
        <f>VLOOKUP(A228,'Materiales '!$C$2:$G$396,4,0)</f>
        <v>Und</v>
      </c>
      <c r="E228" s="90">
        <v>2</v>
      </c>
      <c r="F228" s="508" t="e">
        <f t="shared" si="13"/>
        <v>#VALUE!</v>
      </c>
      <c r="G228" s="519"/>
      <c r="H228" s="111"/>
      <c r="I228">
        <f>E228*G217</f>
        <v>0</v>
      </c>
      <c r="J228" s="58"/>
      <c r="K228" s="50"/>
      <c r="L228" s="50"/>
      <c r="M228" s="50"/>
      <c r="N228" s="50"/>
      <c r="O228" s="50"/>
    </row>
    <row r="229" spans="1:15">
      <c r="A229" s="517" t="s">
        <v>4478</v>
      </c>
      <c r="B229" s="518">
        <f>VLOOKUP(A229,'Materiales '!$C$2:$G$396,3,0)</f>
        <v>4</v>
      </c>
      <c r="C229" s="88">
        <f>VLOOKUP(A229,'Materiales '!$C$2:$G$396,3,0)</f>
        <v>4</v>
      </c>
      <c r="D229" s="89" t="str">
        <f>VLOOKUP(A229,'Materiales '!$C$2:$G$396,4,0)</f>
        <v>Und</v>
      </c>
      <c r="E229" s="90">
        <v>3</v>
      </c>
      <c r="F229" s="508" t="e">
        <f t="shared" si="13"/>
        <v>#VALUE!</v>
      </c>
      <c r="G229" s="519"/>
      <c r="H229" s="111"/>
      <c r="I229">
        <f>E229*G217</f>
        <v>0</v>
      </c>
      <c r="J229" s="58"/>
      <c r="K229" s="50"/>
      <c r="L229" s="50"/>
      <c r="M229" s="50"/>
      <c r="N229" s="50"/>
      <c r="O229" s="50"/>
    </row>
    <row r="230" spans="1:15">
      <c r="A230" s="517" t="s">
        <v>4543</v>
      </c>
      <c r="B230" s="518">
        <f>VLOOKUP(A230,'Materiales '!$C$2:$G$396,3,0)</f>
        <v>4</v>
      </c>
      <c r="C230" s="88">
        <f>VLOOKUP(A230,'Materiales '!$C$2:$G$396,3,0)</f>
        <v>4</v>
      </c>
      <c r="D230" s="89" t="str">
        <f>VLOOKUP(A230,'Materiales '!$C$2:$G$396,4,0)</f>
        <v>Und</v>
      </c>
      <c r="E230" s="90">
        <v>2</v>
      </c>
      <c r="F230" s="508" t="e">
        <f t="shared" si="13"/>
        <v>#VALUE!</v>
      </c>
      <c r="G230" s="519"/>
      <c r="H230" s="111"/>
      <c r="I230">
        <f>E230*G217</f>
        <v>0</v>
      </c>
      <c r="J230" s="58"/>
      <c r="K230" s="50"/>
      <c r="L230" s="50"/>
      <c r="M230" s="50"/>
      <c r="N230" s="50"/>
      <c r="O230" s="50"/>
    </row>
    <row r="231" spans="1:15">
      <c r="A231" s="517" t="s">
        <v>4439</v>
      </c>
      <c r="B231" s="518">
        <f>VLOOKUP(A231,'Materiales '!$C$2:$G$396,3,0)</f>
        <v>2</v>
      </c>
      <c r="C231" s="88">
        <f>VLOOKUP(A231,'Materiales '!$C$2:$G$396,3,0)</f>
        <v>2</v>
      </c>
      <c r="D231" s="89" t="str">
        <f>VLOOKUP(A231,'Materiales '!$C$2:$G$396,4,0)</f>
        <v>Ml</v>
      </c>
      <c r="E231" s="90">
        <v>1</v>
      </c>
      <c r="F231" s="508" t="e">
        <f t="shared" si="13"/>
        <v>#VALUE!</v>
      </c>
      <c r="G231" s="519"/>
      <c r="H231" s="111"/>
      <c r="I231">
        <f>E231*G217</f>
        <v>0</v>
      </c>
      <c r="J231" s="58"/>
      <c r="K231" s="50"/>
      <c r="L231" s="50"/>
      <c r="M231" s="50"/>
      <c r="N231" s="50"/>
      <c r="O231" s="50"/>
    </row>
    <row r="232" spans="1:15">
      <c r="A232" s="517" t="s">
        <v>4482</v>
      </c>
      <c r="B232" s="518">
        <f>VLOOKUP(A232,'Materiales '!$C$2:$G$396,3,0)</f>
        <v>4</v>
      </c>
      <c r="C232" s="88">
        <f>VLOOKUP(A232,'Materiales '!$C$2:$G$396,3,0)</f>
        <v>4</v>
      </c>
      <c r="D232" s="89" t="str">
        <f>VLOOKUP(A232,'Materiales '!$C$2:$G$396,4,0)</f>
        <v>Und</v>
      </c>
      <c r="E232" s="90">
        <v>3</v>
      </c>
      <c r="F232" s="508" t="e">
        <f t="shared" si="13"/>
        <v>#VALUE!</v>
      </c>
      <c r="G232" s="519"/>
      <c r="H232" s="111"/>
      <c r="I232">
        <f>E232*G217</f>
        <v>0</v>
      </c>
      <c r="J232" s="58"/>
      <c r="K232" s="50"/>
      <c r="L232" s="50"/>
      <c r="M232" s="50"/>
      <c r="N232" s="50"/>
      <c r="O232" s="50"/>
    </row>
    <row r="233" spans="1:15" ht="21.75" customHeight="1">
      <c r="A233" s="517" t="s">
        <v>4424</v>
      </c>
      <c r="B233" s="518">
        <f>VLOOKUP(A233,'Materiales '!$C$2:$G$396,3,0)</f>
        <v>4</v>
      </c>
      <c r="C233" s="88">
        <f>VLOOKUP(A233,'Materiales '!$C$2:$G$396,3,0)</f>
        <v>4</v>
      </c>
      <c r="D233" s="89" t="str">
        <f>VLOOKUP(A233,'Materiales '!$C$2:$G$396,4,0)</f>
        <v>Und</v>
      </c>
      <c r="E233" s="90">
        <v>1</v>
      </c>
      <c r="F233" s="508" t="e">
        <f t="shared" si="13"/>
        <v>#VALUE!</v>
      </c>
      <c r="G233" s="519"/>
      <c r="H233" s="111"/>
      <c r="I233">
        <f>E233*G217</f>
        <v>0</v>
      </c>
      <c r="J233" s="58"/>
      <c r="K233" s="50"/>
      <c r="L233" s="50"/>
      <c r="M233" s="50"/>
      <c r="N233" s="50"/>
      <c r="O233" s="50"/>
    </row>
    <row r="234" spans="1:15">
      <c r="A234" s="517" t="s">
        <v>8</v>
      </c>
      <c r="B234" s="518">
        <f>VLOOKUP(A234,'Materiales '!$C$2:$G$396,3,0)</f>
        <v>0</v>
      </c>
      <c r="C234" s="88">
        <f>VLOOKUP(A234,'Materiales '!$C$2:$G$396,3,0)</f>
        <v>0</v>
      </c>
      <c r="D234" s="89" t="str">
        <f>VLOOKUP(A234,'Materiales '!$C$2:$G$396,4,0)</f>
        <v>-</v>
      </c>
      <c r="E234" s="90"/>
      <c r="F234" s="508" t="e">
        <f>E234*D234</f>
        <v>#VALUE!</v>
      </c>
      <c r="G234" s="519"/>
      <c r="H234" s="110"/>
      <c r="I234">
        <f>E234*G217</f>
        <v>0</v>
      </c>
      <c r="J234" s="58"/>
      <c r="K234" s="50"/>
      <c r="L234" s="50"/>
      <c r="M234" s="50"/>
      <c r="N234" s="50"/>
      <c r="O234" s="50"/>
    </row>
    <row r="235" spans="1:15">
      <c r="A235" s="517" t="s">
        <v>8</v>
      </c>
      <c r="B235" s="518">
        <f>VLOOKUP(A235,'Materiales '!$C$2:$G$396,3,0)</f>
        <v>0</v>
      </c>
      <c r="C235" s="88">
        <f>VLOOKUP(A235,'Materiales '!$C$2:$G$396,3,0)</f>
        <v>0</v>
      </c>
      <c r="D235" s="89" t="str">
        <f>VLOOKUP(A235,'Materiales '!$C$2:$G$396,4,0)</f>
        <v>-</v>
      </c>
      <c r="E235" s="90"/>
      <c r="F235" s="508" t="e">
        <f t="shared" ref="F235:F238" si="14">E235*D235</f>
        <v>#VALUE!</v>
      </c>
      <c r="G235" s="519"/>
      <c r="H235" s="111"/>
      <c r="I235">
        <f>E235*G217</f>
        <v>0</v>
      </c>
      <c r="J235" s="58"/>
      <c r="K235" s="50"/>
      <c r="L235" s="50"/>
      <c r="M235" s="50"/>
      <c r="N235" s="50"/>
      <c r="O235" s="50"/>
    </row>
    <row r="236" spans="1:15">
      <c r="A236" s="517" t="s">
        <v>8</v>
      </c>
      <c r="B236" s="518">
        <f>VLOOKUP(A236,'Materiales '!$C$2:$G$396,3,0)</f>
        <v>0</v>
      </c>
      <c r="C236" s="88">
        <f>VLOOKUP(A236,'Materiales '!$C$2:$G$396,3,0)</f>
        <v>0</v>
      </c>
      <c r="D236" s="89" t="str">
        <f>VLOOKUP(A236,'Materiales '!$C$2:$G$396,4,0)</f>
        <v>-</v>
      </c>
      <c r="E236" s="90"/>
      <c r="F236" s="508" t="e">
        <f t="shared" si="14"/>
        <v>#VALUE!</v>
      </c>
      <c r="G236" s="519"/>
      <c r="H236" s="111"/>
      <c r="I236">
        <f>E236*G217</f>
        <v>0</v>
      </c>
      <c r="J236" s="58"/>
      <c r="K236" s="50"/>
      <c r="L236" s="50"/>
      <c r="M236" s="50"/>
      <c r="N236" s="50"/>
      <c r="O236" s="50"/>
    </row>
    <row r="237" spans="1:15">
      <c r="A237" s="517" t="s">
        <v>8</v>
      </c>
      <c r="B237" s="518">
        <f>VLOOKUP(A237,'Materiales '!$C$2:$G$396,3,0)</f>
        <v>0</v>
      </c>
      <c r="C237" s="88">
        <f>VLOOKUP(A237,'Materiales '!$C$2:$G$396,3,0)</f>
        <v>0</v>
      </c>
      <c r="D237" s="89" t="str">
        <f>VLOOKUP(A237,'Materiales '!$C$2:$G$396,4,0)</f>
        <v>-</v>
      </c>
      <c r="E237" s="90"/>
      <c r="F237" s="508" t="e">
        <f t="shared" si="14"/>
        <v>#VALUE!</v>
      </c>
      <c r="G237" s="519"/>
      <c r="H237" s="111"/>
      <c r="I237">
        <f>E237*G217</f>
        <v>0</v>
      </c>
      <c r="J237" s="58"/>
      <c r="K237" s="50"/>
      <c r="L237" s="50"/>
      <c r="M237" s="50"/>
      <c r="N237" s="50"/>
      <c r="O237" s="50"/>
    </row>
    <row r="238" spans="1:15">
      <c r="A238" s="517" t="s">
        <v>8</v>
      </c>
      <c r="B238" s="518">
        <f>VLOOKUP(A238,'Materiales '!$C$2:$G$396,3,0)</f>
        <v>0</v>
      </c>
      <c r="C238" s="88">
        <f>VLOOKUP(A238,'Materiales '!$C$2:$G$396,3,0)</f>
        <v>0</v>
      </c>
      <c r="D238" s="89" t="str">
        <f>VLOOKUP(A238,'Materiales '!$C$2:$G$396,4,0)</f>
        <v>-</v>
      </c>
      <c r="E238" s="90"/>
      <c r="F238" s="508" t="e">
        <f t="shared" si="14"/>
        <v>#VALUE!</v>
      </c>
      <c r="G238" s="519"/>
      <c r="H238" s="111"/>
      <c r="I238">
        <f>E238*G217</f>
        <v>0</v>
      </c>
      <c r="J238" s="58"/>
      <c r="K238" s="50"/>
      <c r="L238" s="50"/>
      <c r="M238" s="50"/>
      <c r="N238" s="50"/>
      <c r="O238" s="50"/>
    </row>
    <row r="239" spans="1:15">
      <c r="A239" s="517" t="s">
        <v>8</v>
      </c>
      <c r="B239" s="518">
        <f>VLOOKUP(A239,'Materiales '!$C$2:$G$396,3,0)</f>
        <v>0</v>
      </c>
      <c r="C239" s="88">
        <f>VLOOKUP(A239,'Materiales '!$C$2:$G$396,3,0)</f>
        <v>0</v>
      </c>
      <c r="D239" s="89" t="str">
        <f>VLOOKUP(A239,'Materiales '!$C$2:$G$396,4,0)</f>
        <v>-</v>
      </c>
      <c r="E239" s="90"/>
      <c r="F239" s="508" t="e">
        <f>E239*D239</f>
        <v>#VALUE!</v>
      </c>
      <c r="G239" s="519"/>
      <c r="H239" s="110"/>
      <c r="I239">
        <f>E239*G217</f>
        <v>0</v>
      </c>
      <c r="J239" s="58"/>
      <c r="K239" s="50"/>
      <c r="L239" s="50"/>
      <c r="M239" s="50"/>
      <c r="N239" s="50"/>
      <c r="O239" s="50"/>
    </row>
    <row r="240" spans="1:15">
      <c r="A240" s="520" t="s">
        <v>4098</v>
      </c>
      <c r="B240" s="521"/>
      <c r="C240" s="521"/>
      <c r="D240" s="521"/>
      <c r="E240" s="521"/>
      <c r="F240" s="521"/>
      <c r="G240" s="522"/>
      <c r="H240" s="106" t="e">
        <f>SUM(F226:F239)</f>
        <v>#VALUE!</v>
      </c>
      <c r="J240" s="58"/>
      <c r="K240" s="50"/>
      <c r="L240" s="50"/>
      <c r="M240" s="50"/>
      <c r="N240" s="50"/>
      <c r="O240" s="50"/>
    </row>
    <row r="241" spans="1:15">
      <c r="A241" s="523" t="s">
        <v>4220</v>
      </c>
      <c r="B241" s="524"/>
      <c r="C241" s="524"/>
      <c r="D241" s="524"/>
      <c r="E241" s="525"/>
      <c r="F241" s="524"/>
      <c r="G241" s="524"/>
      <c r="H241" s="526"/>
      <c r="J241" s="58"/>
      <c r="K241" s="50"/>
      <c r="L241" s="50"/>
      <c r="M241" s="50"/>
      <c r="N241" s="50"/>
      <c r="O241" s="50"/>
    </row>
    <row r="242" spans="1:15">
      <c r="A242" s="527" t="s">
        <v>7</v>
      </c>
      <c r="B242" s="528"/>
      <c r="C242" s="98" t="s">
        <v>4221</v>
      </c>
      <c r="D242" s="97" t="s">
        <v>4222</v>
      </c>
      <c r="E242" s="187" t="s">
        <v>4223</v>
      </c>
      <c r="F242" s="529" t="s">
        <v>4207</v>
      </c>
      <c r="G242" s="529"/>
      <c r="H242" s="109"/>
      <c r="K242" s="50"/>
      <c r="L242" s="50"/>
      <c r="M242" s="50"/>
      <c r="N242" s="50"/>
      <c r="O242" s="50"/>
    </row>
    <row r="243" spans="1:15">
      <c r="A243" s="506" t="s">
        <v>3928</v>
      </c>
      <c r="B243" s="507"/>
      <c r="C243" s="213">
        <v>1</v>
      </c>
      <c r="D243" s="92">
        <v>0.03</v>
      </c>
      <c r="E243" s="93" t="str">
        <f>VLOOKUP(A243,'Equip, Herr y Transp'!$B$2:$E$217,3,0)</f>
        <v>TR</v>
      </c>
      <c r="F243" s="530" t="e">
        <f>E243*D243*C243</f>
        <v>#VALUE!</v>
      </c>
      <c r="G243" s="531"/>
      <c r="H243" s="107"/>
      <c r="M243" s="50"/>
    </row>
    <row r="244" spans="1:15">
      <c r="A244" s="532" t="s">
        <v>4205</v>
      </c>
      <c r="B244" s="533"/>
      <c r="C244" s="533"/>
      <c r="D244" s="533"/>
      <c r="E244" s="533"/>
      <c r="F244" s="533"/>
      <c r="G244" s="533"/>
      <c r="H244" s="95" t="e">
        <f>F243</f>
        <v>#VALUE!</v>
      </c>
    </row>
    <row r="245" spans="1:15">
      <c r="A245" s="523" t="s">
        <v>4224</v>
      </c>
      <c r="B245" s="524"/>
      <c r="C245" s="524"/>
      <c r="D245" s="524"/>
      <c r="E245" s="524"/>
      <c r="F245" s="524"/>
      <c r="G245" s="524"/>
      <c r="H245" s="526"/>
    </row>
    <row r="246" spans="1:15">
      <c r="A246" s="527" t="s">
        <v>7</v>
      </c>
      <c r="B246" s="528"/>
      <c r="C246" s="96" t="s">
        <v>1</v>
      </c>
      <c r="D246" s="97" t="s">
        <v>4225</v>
      </c>
      <c r="E246" s="98" t="s">
        <v>4204</v>
      </c>
      <c r="F246" s="527" t="s">
        <v>5</v>
      </c>
      <c r="G246" s="534"/>
      <c r="H246" s="109"/>
    </row>
    <row r="247" spans="1:15">
      <c r="A247" s="506" t="s">
        <v>4191</v>
      </c>
      <c r="B247" s="507"/>
      <c r="C247" s="91">
        <v>1</v>
      </c>
      <c r="D247" s="94">
        <f>VLOOKUP(A247,'Mano Obra'!$B$2:$T$117,19,0)</f>
        <v>152456</v>
      </c>
      <c r="E247" s="218">
        <f>H210</f>
        <v>5.21E-2</v>
      </c>
      <c r="F247" s="508">
        <f>E247*D247*C247</f>
        <v>7942.9575999999997</v>
      </c>
      <c r="G247" s="509"/>
      <c r="H247" s="111"/>
      <c r="I247" s="59"/>
      <c r="J247" s="117">
        <f>((('Mano Obra'!$M$4/30)*F247)/D247)*G217</f>
        <v>0</v>
      </c>
    </row>
    <row r="248" spans="1:15">
      <c r="A248" s="510" t="s">
        <v>4192</v>
      </c>
      <c r="B248" s="511">
        <f>VLOOKUP(A248,'Mano Obra'!$B$3:$D$290,2,0)</f>
        <v>1900000</v>
      </c>
      <c r="C248" s="91">
        <v>1</v>
      </c>
      <c r="D248" s="94">
        <f>VLOOKUP(A248,'Mano Obra'!$B$2:$T$117,19,0)</f>
        <v>110488</v>
      </c>
      <c r="E248" s="218">
        <f>H210</f>
        <v>5.21E-2</v>
      </c>
      <c r="F248" s="508">
        <f t="shared" ref="F248:F249" si="15">E248*D248*C248</f>
        <v>5756.4247999999998</v>
      </c>
      <c r="G248" s="509"/>
      <c r="H248" s="111"/>
      <c r="J248" s="117">
        <f>((('Mano Obra'!$M$5/30)*F248)/D248)*G217</f>
        <v>0</v>
      </c>
    </row>
    <row r="249" spans="1:15">
      <c r="A249" s="510" t="s">
        <v>4181</v>
      </c>
      <c r="B249" s="511">
        <f>VLOOKUP(A249,'Mano Obra'!$B$3:$D$290,2,0)</f>
        <v>1000000</v>
      </c>
      <c r="C249" s="91">
        <v>1</v>
      </c>
      <c r="D249" s="94">
        <f>VLOOKUP(A249,'Mano Obra'!$B$2:$T$117,19,0)</f>
        <v>67424</v>
      </c>
      <c r="E249" s="218">
        <f>H210</f>
        <v>5.21E-2</v>
      </c>
      <c r="F249" s="508">
        <f t="shared" si="15"/>
        <v>3512.7903999999999</v>
      </c>
      <c r="G249" s="509"/>
      <c r="H249" s="110"/>
      <c r="J249" s="117">
        <f>((('Mano Obra'!$M$6/30)*F249)/D249)*G217</f>
        <v>0</v>
      </c>
    </row>
    <row r="250" spans="1:15">
      <c r="A250" s="512" t="s">
        <v>4100</v>
      </c>
      <c r="B250" s="512"/>
      <c r="C250" s="512"/>
      <c r="D250" s="512"/>
      <c r="E250" s="512"/>
      <c r="F250" s="512"/>
      <c r="G250" s="512"/>
      <c r="H250" s="95">
        <f>SUM(F247:F249)</f>
        <v>17212.1728</v>
      </c>
      <c r="J250" s="117"/>
    </row>
    <row r="251" spans="1:15">
      <c r="A251" s="208" t="s">
        <v>4226</v>
      </c>
      <c r="B251" s="186"/>
      <c r="C251" s="186"/>
      <c r="D251" s="183"/>
      <c r="E251" s="184"/>
      <c r="F251" s="185"/>
      <c r="G251" s="184"/>
      <c r="H251" s="193"/>
    </row>
    <row r="252" spans="1:15">
      <c r="A252" s="513" t="s">
        <v>4213</v>
      </c>
      <c r="B252" s="514"/>
      <c r="C252" s="514"/>
      <c r="D252" s="514"/>
      <c r="E252" s="181"/>
      <c r="F252" s="182" t="s">
        <v>4227</v>
      </c>
      <c r="G252" s="181" t="s">
        <v>4228</v>
      </c>
      <c r="H252" s="194"/>
    </row>
    <row r="253" spans="1:15">
      <c r="A253" s="204" t="s">
        <v>4096</v>
      </c>
      <c r="B253" s="62"/>
      <c r="C253" s="62"/>
      <c r="D253" s="63"/>
      <c r="E253" s="68"/>
      <c r="F253" s="69">
        <v>0</v>
      </c>
      <c r="G253" s="70" t="e">
        <f>F253*H218</f>
        <v>#VALUE!</v>
      </c>
      <c r="H253" s="193"/>
    </row>
    <row r="254" spans="1:15">
      <c r="A254" s="205" t="s">
        <v>4229</v>
      </c>
      <c r="B254" s="71"/>
      <c r="C254" s="71"/>
      <c r="D254" s="72"/>
      <c r="E254" s="68"/>
      <c r="F254" s="69">
        <v>0</v>
      </c>
      <c r="G254" s="70" t="e">
        <f>F254*H218</f>
        <v>#VALUE!</v>
      </c>
      <c r="H254" s="193"/>
    </row>
    <row r="255" spans="1:15">
      <c r="A255" s="205" t="s">
        <v>4</v>
      </c>
      <c r="B255" s="71"/>
      <c r="C255" s="71"/>
      <c r="D255" s="72"/>
      <c r="E255" s="68"/>
      <c r="F255" s="69">
        <v>0</v>
      </c>
      <c r="G255" s="70" t="e">
        <f>F255*H218</f>
        <v>#VALUE!</v>
      </c>
      <c r="H255" s="193"/>
    </row>
    <row r="256" spans="1:15">
      <c r="A256" s="206"/>
      <c r="B256" s="73"/>
      <c r="C256" s="65"/>
      <c r="D256" s="74"/>
      <c r="E256" s="75"/>
      <c r="F256" s="76"/>
      <c r="G256" s="77"/>
      <c r="H256" s="195"/>
    </row>
    <row r="257" spans="1:14">
      <c r="A257" s="207"/>
      <c r="B257" s="73"/>
      <c r="C257" s="73"/>
      <c r="D257" s="74"/>
      <c r="E257" s="78"/>
      <c r="F257" s="515" t="s">
        <v>4230</v>
      </c>
      <c r="G257" s="516"/>
      <c r="H257" s="214" t="e">
        <f>H218+G253+G254+G255</f>
        <v>#VALUE!</v>
      </c>
    </row>
    <row r="259" spans="1:14">
      <c r="A259" s="80"/>
      <c r="B259" s="80"/>
      <c r="C259" s="80"/>
      <c r="D259" s="80"/>
      <c r="E259" s="80"/>
      <c r="F259" s="80"/>
      <c r="G259" s="80"/>
      <c r="H259" s="353"/>
    </row>
    <row r="260" spans="1:14">
      <c r="A260" s="537" t="s">
        <v>4214</v>
      </c>
      <c r="B260" s="538"/>
      <c r="C260" s="538"/>
      <c r="D260" s="538"/>
      <c r="E260" s="538"/>
      <c r="F260" s="538"/>
      <c r="G260" s="538"/>
      <c r="H260" s="539"/>
    </row>
    <row r="261" spans="1:14">
      <c r="A261" s="81"/>
      <c r="B261" s="82"/>
      <c r="C261" s="82"/>
      <c r="D261" s="82"/>
      <c r="E261" s="82"/>
      <c r="F261" s="83"/>
      <c r="G261" s="84"/>
      <c r="H261" s="352">
        <f>ROUND((30/60)/8,4)</f>
        <v>6.25E-2</v>
      </c>
      <c r="I261" s="105"/>
    </row>
    <row r="262" spans="1:14">
      <c r="A262" s="540" t="s">
        <v>4209</v>
      </c>
      <c r="B262" s="542" t="str">
        <f>COSTOS!$C$14</f>
        <v>MODERNIZACION A TECNOLOGIA LED</v>
      </c>
      <c r="C262" s="542"/>
      <c r="D262" s="542"/>
      <c r="E262" s="542"/>
      <c r="F262" s="542"/>
      <c r="G262" s="542"/>
      <c r="H262" s="543" t="s">
        <v>4210</v>
      </c>
    </row>
    <row r="263" spans="1:14">
      <c r="A263" s="541"/>
      <c r="B263" s="542"/>
      <c r="C263" s="542"/>
      <c r="D263" s="542"/>
      <c r="E263" s="542"/>
      <c r="F263" s="542"/>
      <c r="G263" s="542"/>
      <c r="H263" s="543"/>
    </row>
    <row r="264" spans="1:14">
      <c r="A264" s="541"/>
      <c r="B264" s="542"/>
      <c r="C264" s="542"/>
      <c r="D264" s="542"/>
      <c r="E264" s="542"/>
      <c r="F264" s="542"/>
      <c r="G264" s="542"/>
      <c r="H264" s="543"/>
    </row>
    <row r="265" spans="1:14" ht="15" customHeight="1">
      <c r="A265" s="541"/>
      <c r="B265" s="542"/>
      <c r="C265" s="542"/>
      <c r="D265" s="542"/>
      <c r="E265" s="542"/>
      <c r="F265" s="542"/>
      <c r="G265" s="542"/>
      <c r="H265" s="197">
        <f ca="1">TODAY()</f>
        <v>44889</v>
      </c>
      <c r="K265" t="s">
        <v>4380</v>
      </c>
      <c r="L265" t="s">
        <v>4381</v>
      </c>
      <c r="M265" t="s">
        <v>4382</v>
      </c>
      <c r="N265" t="s">
        <v>4383</v>
      </c>
    </row>
    <row r="266" spans="1:14" ht="60.75" customHeight="1">
      <c r="A266" s="209" t="s">
        <v>4211</v>
      </c>
      <c r="B266" s="544" t="str">
        <f>COSTOS!$D$16</f>
        <v>Luminarias</v>
      </c>
      <c r="C266" s="544"/>
      <c r="D266" s="544"/>
      <c r="E266" s="544"/>
      <c r="F266" s="544"/>
      <c r="G266" s="60" t="s">
        <v>4212</v>
      </c>
      <c r="H266" s="359">
        <v>1.5</v>
      </c>
      <c r="K266" s="55" t="e">
        <f>H291</f>
        <v>#VALUE!</v>
      </c>
      <c r="L266" s="55">
        <f>H301</f>
        <v>20648</v>
      </c>
      <c r="M266" s="55" t="e">
        <f>H274</f>
        <v>#VALUE!</v>
      </c>
      <c r="N266" s="55" t="e">
        <f>H295</f>
        <v>#VALUE!</v>
      </c>
    </row>
    <row r="267" spans="1:14" ht="43.2" customHeight="1">
      <c r="A267" s="210" t="s">
        <v>4213</v>
      </c>
      <c r="B267" s="545" t="str">
        <f>VLOOKUP(H266,COSTOS!C:M,2,0)</f>
        <v>Reflector LED 110w</v>
      </c>
      <c r="C267" s="546"/>
      <c r="D267" s="546"/>
      <c r="E267" s="547"/>
      <c r="F267" s="61" t="s">
        <v>0</v>
      </c>
      <c r="G267" s="328" t="str">
        <f>VLOOKUP(H266,COSTOS!C:M,8,0)</f>
        <v>Und</v>
      </c>
      <c r="H267" s="248"/>
      <c r="I267" s="278"/>
      <c r="J267" s="280"/>
      <c r="K267" s="280"/>
      <c r="L267" s="280"/>
    </row>
    <row r="268" spans="1:14">
      <c r="A268" s="211"/>
      <c r="B268" s="102"/>
      <c r="C268" s="102"/>
      <c r="D268" s="102"/>
      <c r="E268" s="103"/>
      <c r="F268" s="104" t="s">
        <v>1</v>
      </c>
      <c r="G268" s="328">
        <f>VLOOKUP(H266,COSTOS!C:M,9,0)</f>
        <v>0</v>
      </c>
      <c r="H268" s="329"/>
      <c r="I268" s="279"/>
    </row>
    <row r="269" spans="1:14">
      <c r="A269" s="212" t="s">
        <v>4215</v>
      </c>
      <c r="B269" s="65"/>
      <c r="C269" s="65"/>
      <c r="D269" s="66"/>
      <c r="E269" s="190"/>
      <c r="F269" s="191"/>
      <c r="G269" s="192" t="s">
        <v>4216</v>
      </c>
      <c r="H269" s="198" t="e">
        <f>H274+H291+H295+H301</f>
        <v>#VALUE!</v>
      </c>
    </row>
    <row r="270" spans="1:14" ht="41.4">
      <c r="A270" s="548" t="s">
        <v>4213</v>
      </c>
      <c r="B270" s="548"/>
      <c r="C270" s="548"/>
      <c r="D270" s="67" t="s">
        <v>0</v>
      </c>
      <c r="E270" s="188" t="s">
        <v>4217</v>
      </c>
      <c r="F270" s="189" t="s">
        <v>4204</v>
      </c>
      <c r="G270" s="64" t="s">
        <v>2</v>
      </c>
      <c r="H270" s="199" t="s">
        <v>4218</v>
      </c>
      <c r="K270" s="281"/>
    </row>
    <row r="271" spans="1:14">
      <c r="A271" s="517" t="s">
        <v>3946</v>
      </c>
      <c r="B271" s="549">
        <f>VLOOKUP(A271,'Equip, Herr y Transp'!$B$2:$E$738,2,0)</f>
        <v>2</v>
      </c>
      <c r="C271" s="549"/>
      <c r="D271" s="85">
        <f>VLOOKUP(A271,'Equip, Herr y Transp'!$B$2:$E$217,2,0)</f>
        <v>2</v>
      </c>
      <c r="E271" s="85" t="str">
        <f>VLOOKUP(A271,'Equip, Herr y Transp'!$B$2:$E$217,3,0)</f>
        <v>EQU</v>
      </c>
      <c r="F271" s="86">
        <f>H261</f>
        <v>6.25E-2</v>
      </c>
      <c r="G271" s="112" t="e">
        <f>F271*E271</f>
        <v>#VALUE!</v>
      </c>
      <c r="H271" s="108"/>
    </row>
    <row r="272" spans="1:14">
      <c r="A272" s="517" t="s">
        <v>3904</v>
      </c>
      <c r="B272" s="549">
        <f>VLOOKUP(A272,'Equip, Herr y Transp'!$B$2:$E$738,2,0)</f>
        <v>2</v>
      </c>
      <c r="C272" s="549"/>
      <c r="D272" s="85">
        <f>VLOOKUP(A272,'Equip, Herr y Transp'!$B$2:$E$217,2,0)</f>
        <v>2</v>
      </c>
      <c r="E272" s="85" t="str">
        <f>VLOOKUP(A272,'Equip, Herr y Transp'!$B$2:$E$217,3,0)</f>
        <v>EQU</v>
      </c>
      <c r="F272" s="86">
        <f>H261</f>
        <v>6.25E-2</v>
      </c>
      <c r="G272" s="112" t="e">
        <f>F272*E272</f>
        <v>#VALUE!</v>
      </c>
      <c r="H272" s="107"/>
    </row>
    <row r="273" spans="1:15">
      <c r="A273" s="517" t="s">
        <v>3937</v>
      </c>
      <c r="B273" s="549">
        <f>VLOOKUP(A273,'Equip, Herr y Transp'!$B$2:$E$738,2,0)</f>
        <v>2</v>
      </c>
      <c r="C273" s="549"/>
      <c r="D273" s="85">
        <f>VLOOKUP(A273,'Equip, Herr y Transp'!$B$2:$E$217,2,0)</f>
        <v>2</v>
      </c>
      <c r="E273" s="85" t="str">
        <f>VLOOKUP(A273,'Equip, Herr y Transp'!$B$2:$E$217,3,0)</f>
        <v>EQU</v>
      </c>
      <c r="F273" s="86">
        <f>H261</f>
        <v>6.25E-2</v>
      </c>
      <c r="G273" s="112" t="e">
        <f>F273*E273</f>
        <v>#VALUE!</v>
      </c>
      <c r="H273" s="107"/>
    </row>
    <row r="274" spans="1:15">
      <c r="A274" s="520" t="s">
        <v>4099</v>
      </c>
      <c r="B274" s="521"/>
      <c r="C274" s="521"/>
      <c r="D274" s="521"/>
      <c r="E274" s="521"/>
      <c r="F274" s="521"/>
      <c r="G274" s="521"/>
      <c r="H274" s="87" t="e">
        <f>SUM(G271:G273)</f>
        <v>#VALUE!</v>
      </c>
    </row>
    <row r="275" spans="1:15">
      <c r="A275" s="550" t="s">
        <v>4219</v>
      </c>
      <c r="B275" s="551"/>
      <c r="C275" s="551"/>
      <c r="D275" s="551"/>
      <c r="E275" s="551"/>
      <c r="F275" s="551"/>
      <c r="G275" s="551"/>
      <c r="H275" s="552"/>
      <c r="K275" s="50"/>
      <c r="L275" s="50"/>
      <c r="M275" s="50"/>
      <c r="N275" s="50"/>
      <c r="O275" s="50"/>
    </row>
    <row r="276" spans="1:15" ht="30" customHeight="1">
      <c r="A276" s="553" t="s">
        <v>7</v>
      </c>
      <c r="B276" s="554"/>
      <c r="C276" s="99" t="s">
        <v>0</v>
      </c>
      <c r="D276" s="100" t="s">
        <v>4097</v>
      </c>
      <c r="E276" s="101" t="s">
        <v>1</v>
      </c>
      <c r="F276" s="555" t="s">
        <v>4207</v>
      </c>
      <c r="G276" s="555"/>
      <c r="H276" s="196"/>
      <c r="K276" s="50"/>
      <c r="L276" s="50"/>
      <c r="M276" s="50"/>
      <c r="N276" s="50"/>
      <c r="O276" s="50"/>
    </row>
    <row r="277" spans="1:15">
      <c r="A277" s="535" t="s">
        <v>4565</v>
      </c>
      <c r="B277" s="536"/>
      <c r="C277" s="88">
        <f>VLOOKUP(A277,'Materiales '!$C$2:$G$396,3,0)</f>
        <v>4</v>
      </c>
      <c r="D277" s="89" t="str">
        <f>VLOOKUP(A277,'Materiales '!$C$2:$G$396,4,0)</f>
        <v>Und</v>
      </c>
      <c r="E277" s="90">
        <v>1</v>
      </c>
      <c r="F277" s="508" t="e">
        <f>E277*D277</f>
        <v>#VALUE!</v>
      </c>
      <c r="G277" s="519"/>
      <c r="H277" s="111"/>
      <c r="I277">
        <f>E277*G268</f>
        <v>0</v>
      </c>
      <c r="J277" s="57"/>
      <c r="K277" s="50"/>
      <c r="L277" s="50"/>
      <c r="M277" s="50"/>
      <c r="N277" s="50"/>
      <c r="O277" s="50"/>
    </row>
    <row r="278" spans="1:15">
      <c r="A278" s="535" t="s">
        <v>4203</v>
      </c>
      <c r="B278" s="536"/>
      <c r="C278" s="88">
        <f>VLOOKUP(A278,'Materiales '!$C$2:$G$396,3,0)</f>
        <v>4</v>
      </c>
      <c r="D278" s="89" t="str">
        <f>VLOOKUP(A278,'Materiales '!$C$2:$G$396,4,0)</f>
        <v>Und</v>
      </c>
      <c r="E278" s="90">
        <v>1</v>
      </c>
      <c r="F278" s="508" t="e">
        <f t="shared" ref="F278:F284" si="16">E278*D278</f>
        <v>#VALUE!</v>
      </c>
      <c r="G278" s="519"/>
      <c r="H278" s="111"/>
      <c r="I278">
        <f>E278*G268</f>
        <v>0</v>
      </c>
      <c r="J278" s="57"/>
      <c r="K278" s="50"/>
      <c r="L278" s="50"/>
      <c r="M278" s="50"/>
      <c r="N278" s="50"/>
      <c r="O278" s="50"/>
    </row>
    <row r="279" spans="1:15">
      <c r="A279" s="517" t="s">
        <v>4473</v>
      </c>
      <c r="B279" s="518">
        <f>VLOOKUP(A279,'Materiales '!$C$2:$G$396,3,0)</f>
        <v>4</v>
      </c>
      <c r="C279" s="88">
        <f>VLOOKUP(A279,'Materiales '!$C$2:$G$396,3,0)</f>
        <v>4</v>
      </c>
      <c r="D279" s="89" t="str">
        <f>VLOOKUP(A279,'Materiales '!$C$2:$G$396,4,0)</f>
        <v>Und</v>
      </c>
      <c r="E279" s="90">
        <v>2</v>
      </c>
      <c r="F279" s="508" t="e">
        <f t="shared" si="16"/>
        <v>#VALUE!</v>
      </c>
      <c r="G279" s="519"/>
      <c r="H279" s="111"/>
      <c r="I279">
        <f>E279*G268</f>
        <v>0</v>
      </c>
      <c r="J279" s="58"/>
      <c r="K279" s="50"/>
      <c r="L279" s="50"/>
      <c r="M279" s="50"/>
      <c r="N279" s="50"/>
      <c r="O279" s="50"/>
    </row>
    <row r="280" spans="1:15">
      <c r="A280" s="517" t="s">
        <v>4478</v>
      </c>
      <c r="B280" s="518">
        <f>VLOOKUP(A280,'Materiales '!$C$2:$G$396,3,0)</f>
        <v>4</v>
      </c>
      <c r="C280" s="88">
        <f>VLOOKUP(A280,'Materiales '!$C$2:$G$396,3,0)</f>
        <v>4</v>
      </c>
      <c r="D280" s="89" t="str">
        <f>VLOOKUP(A280,'Materiales '!$C$2:$G$396,4,0)</f>
        <v>Und</v>
      </c>
      <c r="E280" s="90">
        <v>3</v>
      </c>
      <c r="F280" s="508" t="e">
        <f t="shared" si="16"/>
        <v>#VALUE!</v>
      </c>
      <c r="G280" s="519"/>
      <c r="H280" s="111"/>
      <c r="I280">
        <f>E280*G268</f>
        <v>0</v>
      </c>
      <c r="J280" s="58"/>
      <c r="K280" s="50"/>
      <c r="L280" s="50"/>
      <c r="M280" s="50"/>
      <c r="N280" s="50"/>
      <c r="O280" s="50"/>
    </row>
    <row r="281" spans="1:15">
      <c r="A281" s="517" t="s">
        <v>4543</v>
      </c>
      <c r="B281" s="518">
        <f>VLOOKUP(A281,'Materiales '!$C$2:$G$396,3,0)</f>
        <v>4</v>
      </c>
      <c r="C281" s="88">
        <f>VLOOKUP(A281,'Materiales '!$C$2:$G$396,3,0)</f>
        <v>4</v>
      </c>
      <c r="D281" s="89" t="str">
        <f>VLOOKUP(A281,'Materiales '!$C$2:$G$396,4,0)</f>
        <v>Und</v>
      </c>
      <c r="E281" s="90">
        <v>2</v>
      </c>
      <c r="F281" s="508" t="e">
        <f t="shared" si="16"/>
        <v>#VALUE!</v>
      </c>
      <c r="G281" s="519"/>
      <c r="H281" s="111"/>
      <c r="I281">
        <f>E281*G268</f>
        <v>0</v>
      </c>
      <c r="J281" s="58"/>
      <c r="K281" s="50"/>
      <c r="L281" s="50"/>
      <c r="M281" s="50"/>
      <c r="N281" s="50"/>
      <c r="O281" s="50"/>
    </row>
    <row r="282" spans="1:15">
      <c r="A282" s="517" t="s">
        <v>4439</v>
      </c>
      <c r="B282" s="518">
        <f>VLOOKUP(A282,'Materiales '!$C$2:$G$396,3,0)</f>
        <v>2</v>
      </c>
      <c r="C282" s="88">
        <f>VLOOKUP(A282,'Materiales '!$C$2:$G$396,3,0)</f>
        <v>2</v>
      </c>
      <c r="D282" s="89" t="str">
        <f>VLOOKUP(A282,'Materiales '!$C$2:$G$396,4,0)</f>
        <v>Ml</v>
      </c>
      <c r="E282" s="90">
        <v>1</v>
      </c>
      <c r="F282" s="508" t="e">
        <f t="shared" si="16"/>
        <v>#VALUE!</v>
      </c>
      <c r="G282" s="519"/>
      <c r="H282" s="111"/>
      <c r="I282">
        <f>E282*G268</f>
        <v>0</v>
      </c>
      <c r="J282" s="58"/>
      <c r="K282" s="50"/>
      <c r="L282" s="50"/>
      <c r="M282" s="50"/>
      <c r="N282" s="50"/>
      <c r="O282" s="50"/>
    </row>
    <row r="283" spans="1:15">
      <c r="A283" s="517" t="s">
        <v>4482</v>
      </c>
      <c r="B283" s="518">
        <f>VLOOKUP(A283,'Materiales '!$C$2:$G$396,3,0)</f>
        <v>4</v>
      </c>
      <c r="C283" s="88">
        <f>VLOOKUP(A283,'Materiales '!$C$2:$G$396,3,0)</f>
        <v>4</v>
      </c>
      <c r="D283" s="89" t="str">
        <f>VLOOKUP(A283,'Materiales '!$C$2:$G$396,4,0)</f>
        <v>Und</v>
      </c>
      <c r="E283" s="90">
        <v>3</v>
      </c>
      <c r="F283" s="508" t="e">
        <f t="shared" si="16"/>
        <v>#VALUE!</v>
      </c>
      <c r="G283" s="519"/>
      <c r="H283" s="111"/>
      <c r="I283">
        <f>E283*G268</f>
        <v>0</v>
      </c>
      <c r="J283" s="58"/>
      <c r="K283" s="50"/>
      <c r="L283" s="50"/>
      <c r="M283" s="50"/>
      <c r="N283" s="50"/>
      <c r="O283" s="50"/>
    </row>
    <row r="284" spans="1:15" ht="21.75" customHeight="1">
      <c r="A284" s="517" t="s">
        <v>4487</v>
      </c>
      <c r="B284" s="518">
        <f>VLOOKUP(A284,'Materiales '!$C$2:$G$396,3,0)</f>
        <v>4</v>
      </c>
      <c r="C284" s="88">
        <f>VLOOKUP(A284,'Materiales '!$C$2:$G$396,3,0)</f>
        <v>4</v>
      </c>
      <c r="D284" s="89" t="str">
        <f>VLOOKUP(A284,'Materiales '!$C$2:$G$396,4,0)</f>
        <v>Und</v>
      </c>
      <c r="E284" s="90">
        <v>0.5</v>
      </c>
      <c r="F284" s="508" t="e">
        <f t="shared" si="16"/>
        <v>#VALUE!</v>
      </c>
      <c r="G284" s="519"/>
      <c r="H284" s="111"/>
      <c r="I284">
        <f>E284*G268</f>
        <v>0</v>
      </c>
      <c r="J284" s="58"/>
      <c r="K284" s="50"/>
      <c r="L284" s="50"/>
      <c r="M284" s="50"/>
      <c r="N284" s="50"/>
      <c r="O284" s="50"/>
    </row>
    <row r="285" spans="1:15">
      <c r="A285" s="517" t="s">
        <v>8</v>
      </c>
      <c r="B285" s="518">
        <f>VLOOKUP(A285,'Materiales '!$C$2:$G$396,3,0)</f>
        <v>0</v>
      </c>
      <c r="C285" s="88">
        <f>VLOOKUP(A285,'Materiales '!$C$2:$G$396,3,0)</f>
        <v>0</v>
      </c>
      <c r="D285" s="89" t="str">
        <f>VLOOKUP(A285,'Materiales '!$C$2:$G$396,4,0)</f>
        <v>-</v>
      </c>
      <c r="E285" s="90"/>
      <c r="F285" s="508" t="e">
        <f>E285*D285</f>
        <v>#VALUE!</v>
      </c>
      <c r="G285" s="519"/>
      <c r="H285" s="110"/>
      <c r="I285">
        <f>E285*G268</f>
        <v>0</v>
      </c>
      <c r="J285" s="58"/>
      <c r="K285" s="50"/>
      <c r="L285" s="50"/>
      <c r="M285" s="50"/>
      <c r="N285" s="50"/>
      <c r="O285" s="50"/>
    </row>
    <row r="286" spans="1:15">
      <c r="A286" s="517" t="s">
        <v>8</v>
      </c>
      <c r="B286" s="518">
        <f>VLOOKUP(A286,'Materiales '!$C$2:$G$396,3,0)</f>
        <v>0</v>
      </c>
      <c r="C286" s="88">
        <f>VLOOKUP(A286,'Materiales '!$C$2:$G$396,3,0)</f>
        <v>0</v>
      </c>
      <c r="D286" s="89" t="str">
        <f>VLOOKUP(A286,'Materiales '!$C$2:$G$396,4,0)</f>
        <v>-</v>
      </c>
      <c r="E286" s="90"/>
      <c r="F286" s="508" t="e">
        <f t="shared" ref="F286:F289" si="17">E286*D286</f>
        <v>#VALUE!</v>
      </c>
      <c r="G286" s="519"/>
      <c r="H286" s="111"/>
      <c r="I286">
        <f>E286*G268</f>
        <v>0</v>
      </c>
      <c r="J286" s="58"/>
      <c r="K286" s="50"/>
      <c r="L286" s="50"/>
      <c r="M286" s="50"/>
      <c r="N286" s="50"/>
      <c r="O286" s="50"/>
    </row>
    <row r="287" spans="1:15">
      <c r="A287" s="517" t="s">
        <v>8</v>
      </c>
      <c r="B287" s="518">
        <f>VLOOKUP(A287,'Materiales '!$C$2:$G$396,3,0)</f>
        <v>0</v>
      </c>
      <c r="C287" s="88">
        <f>VLOOKUP(A287,'Materiales '!$C$2:$G$396,3,0)</f>
        <v>0</v>
      </c>
      <c r="D287" s="89" t="str">
        <f>VLOOKUP(A287,'Materiales '!$C$2:$G$396,4,0)</f>
        <v>-</v>
      </c>
      <c r="E287" s="90"/>
      <c r="F287" s="508" t="e">
        <f t="shared" si="17"/>
        <v>#VALUE!</v>
      </c>
      <c r="G287" s="519"/>
      <c r="H287" s="111"/>
      <c r="I287">
        <f>E287*G268</f>
        <v>0</v>
      </c>
      <c r="J287" s="58"/>
      <c r="K287" s="50"/>
      <c r="L287" s="50"/>
      <c r="M287" s="50"/>
      <c r="N287" s="50"/>
      <c r="O287" s="50"/>
    </row>
    <row r="288" spans="1:15">
      <c r="A288" s="517" t="s">
        <v>8</v>
      </c>
      <c r="B288" s="518">
        <f>VLOOKUP(A288,'Materiales '!$C$2:$G$396,3,0)</f>
        <v>0</v>
      </c>
      <c r="C288" s="88">
        <f>VLOOKUP(A288,'Materiales '!$C$2:$G$396,3,0)</f>
        <v>0</v>
      </c>
      <c r="D288" s="89" t="str">
        <f>VLOOKUP(A288,'Materiales '!$C$2:$G$396,4,0)</f>
        <v>-</v>
      </c>
      <c r="E288" s="90"/>
      <c r="F288" s="508" t="e">
        <f t="shared" si="17"/>
        <v>#VALUE!</v>
      </c>
      <c r="G288" s="519"/>
      <c r="H288" s="111"/>
      <c r="I288">
        <f>E288*G268</f>
        <v>0</v>
      </c>
      <c r="J288" s="58"/>
      <c r="K288" s="50"/>
      <c r="L288" s="50"/>
      <c r="M288" s="50"/>
      <c r="N288" s="50"/>
      <c r="O288" s="50"/>
    </row>
    <row r="289" spans="1:15">
      <c r="A289" s="517" t="s">
        <v>8</v>
      </c>
      <c r="B289" s="518">
        <f>VLOOKUP(A289,'Materiales '!$C$2:$G$396,3,0)</f>
        <v>0</v>
      </c>
      <c r="C289" s="88">
        <f>VLOOKUP(A289,'Materiales '!$C$2:$G$396,3,0)</f>
        <v>0</v>
      </c>
      <c r="D289" s="89" t="str">
        <f>VLOOKUP(A289,'Materiales '!$C$2:$G$396,4,0)</f>
        <v>-</v>
      </c>
      <c r="E289" s="90"/>
      <c r="F289" s="508" t="e">
        <f t="shared" si="17"/>
        <v>#VALUE!</v>
      </c>
      <c r="G289" s="519"/>
      <c r="H289" s="111"/>
      <c r="I289">
        <f>E289*G268</f>
        <v>0</v>
      </c>
      <c r="J289" s="58"/>
      <c r="K289" s="50"/>
      <c r="L289" s="50"/>
      <c r="M289" s="50"/>
      <c r="N289" s="50"/>
      <c r="O289" s="50"/>
    </row>
    <row r="290" spans="1:15">
      <c r="A290" s="517" t="s">
        <v>8</v>
      </c>
      <c r="B290" s="518">
        <f>VLOOKUP(A290,'Materiales '!$C$2:$G$396,3,0)</f>
        <v>0</v>
      </c>
      <c r="C290" s="88">
        <f>VLOOKUP(A290,'Materiales '!$C$2:$G$396,3,0)</f>
        <v>0</v>
      </c>
      <c r="D290" s="89" t="str">
        <f>VLOOKUP(A290,'Materiales '!$C$2:$G$396,4,0)</f>
        <v>-</v>
      </c>
      <c r="E290" s="90"/>
      <c r="F290" s="508" t="e">
        <f>E290*D290</f>
        <v>#VALUE!</v>
      </c>
      <c r="G290" s="519"/>
      <c r="H290" s="110"/>
      <c r="I290">
        <f>E290*G268</f>
        <v>0</v>
      </c>
      <c r="J290" s="58"/>
      <c r="K290" s="50"/>
      <c r="L290" s="50"/>
      <c r="M290" s="50"/>
      <c r="N290" s="50"/>
      <c r="O290" s="50"/>
    </row>
    <row r="291" spans="1:15">
      <c r="A291" s="520" t="s">
        <v>4098</v>
      </c>
      <c r="B291" s="521"/>
      <c r="C291" s="521"/>
      <c r="D291" s="521"/>
      <c r="E291" s="521"/>
      <c r="F291" s="521"/>
      <c r="G291" s="522"/>
      <c r="H291" s="106" t="e">
        <f>SUM(F277:F290)</f>
        <v>#VALUE!</v>
      </c>
      <c r="J291" s="58"/>
      <c r="K291" s="50"/>
      <c r="L291" s="50"/>
      <c r="M291" s="50"/>
      <c r="N291" s="50"/>
      <c r="O291" s="50"/>
    </row>
    <row r="292" spans="1:15">
      <c r="A292" s="523" t="s">
        <v>4220</v>
      </c>
      <c r="B292" s="524"/>
      <c r="C292" s="524"/>
      <c r="D292" s="524"/>
      <c r="E292" s="525"/>
      <c r="F292" s="524"/>
      <c r="G292" s="524"/>
      <c r="H292" s="526"/>
      <c r="J292" s="58"/>
      <c r="K292" s="50"/>
      <c r="L292" s="50"/>
      <c r="M292" s="50"/>
      <c r="N292" s="50"/>
      <c r="O292" s="50"/>
    </row>
    <row r="293" spans="1:15">
      <c r="A293" s="527" t="s">
        <v>7</v>
      </c>
      <c r="B293" s="528"/>
      <c r="C293" s="98" t="s">
        <v>4221</v>
      </c>
      <c r="D293" s="97" t="s">
        <v>4222</v>
      </c>
      <c r="E293" s="187" t="s">
        <v>4223</v>
      </c>
      <c r="F293" s="529" t="s">
        <v>4207</v>
      </c>
      <c r="G293" s="529"/>
      <c r="H293" s="109"/>
      <c r="K293" s="50"/>
      <c r="L293" s="50"/>
      <c r="M293" s="50"/>
      <c r="N293" s="50"/>
      <c r="O293" s="50"/>
    </row>
    <row r="294" spans="1:15">
      <c r="A294" s="506" t="s">
        <v>3928</v>
      </c>
      <c r="B294" s="507"/>
      <c r="C294" s="213">
        <v>1</v>
      </c>
      <c r="D294" s="92">
        <v>0.03</v>
      </c>
      <c r="E294" s="93" t="str">
        <f>VLOOKUP(A294,'Equip, Herr y Transp'!$B$2:$E$217,3,0)</f>
        <v>TR</v>
      </c>
      <c r="F294" s="530" t="e">
        <f>E294*D294*C294</f>
        <v>#VALUE!</v>
      </c>
      <c r="G294" s="531"/>
      <c r="H294" s="107"/>
      <c r="M294" s="50"/>
    </row>
    <row r="295" spans="1:15">
      <c r="A295" s="532" t="s">
        <v>4205</v>
      </c>
      <c r="B295" s="533"/>
      <c r="C295" s="533"/>
      <c r="D295" s="533"/>
      <c r="E295" s="533"/>
      <c r="F295" s="533"/>
      <c r="G295" s="533"/>
      <c r="H295" s="95" t="e">
        <f>F294</f>
        <v>#VALUE!</v>
      </c>
    </row>
    <row r="296" spans="1:15">
      <c r="A296" s="523" t="s">
        <v>4224</v>
      </c>
      <c r="B296" s="524"/>
      <c r="C296" s="524"/>
      <c r="D296" s="524"/>
      <c r="E296" s="524"/>
      <c r="F296" s="524"/>
      <c r="G296" s="524"/>
      <c r="H296" s="526"/>
    </row>
    <row r="297" spans="1:15">
      <c r="A297" s="527" t="s">
        <v>7</v>
      </c>
      <c r="B297" s="528"/>
      <c r="C297" s="96" t="s">
        <v>1</v>
      </c>
      <c r="D297" s="97" t="s">
        <v>4225</v>
      </c>
      <c r="E297" s="98" t="s">
        <v>4204</v>
      </c>
      <c r="F297" s="527" t="s">
        <v>5</v>
      </c>
      <c r="G297" s="534"/>
      <c r="H297" s="109"/>
    </row>
    <row r="298" spans="1:15">
      <c r="A298" s="506" t="s">
        <v>4191</v>
      </c>
      <c r="B298" s="507"/>
      <c r="C298" s="91">
        <v>1</v>
      </c>
      <c r="D298" s="94">
        <f>VLOOKUP(A298,'Mano Obra'!$B$2:$T$117,19,0)</f>
        <v>152456</v>
      </c>
      <c r="E298" s="218">
        <f>H261</f>
        <v>6.25E-2</v>
      </c>
      <c r="F298" s="508">
        <f>E298*D298*C298</f>
        <v>9528.5</v>
      </c>
      <c r="G298" s="509"/>
      <c r="H298" s="111"/>
      <c r="I298" s="59"/>
      <c r="J298" s="117">
        <f>((('Mano Obra'!$M$4/30)*F298)/D298)*G268</f>
        <v>0</v>
      </c>
    </row>
    <row r="299" spans="1:15">
      <c r="A299" s="510" t="s">
        <v>4192</v>
      </c>
      <c r="B299" s="511">
        <f>VLOOKUP(A299,'Mano Obra'!$B$3:$D$290,2,0)</f>
        <v>1900000</v>
      </c>
      <c r="C299" s="91">
        <v>1</v>
      </c>
      <c r="D299" s="94">
        <f>VLOOKUP(A299,'Mano Obra'!$B$2:$T$117,19,0)</f>
        <v>110488</v>
      </c>
      <c r="E299" s="218">
        <f>H261</f>
        <v>6.25E-2</v>
      </c>
      <c r="F299" s="508">
        <f t="shared" ref="F299:F300" si="18">E299*D299*C299</f>
        <v>6905.5</v>
      </c>
      <c r="G299" s="509"/>
      <c r="H299" s="111"/>
      <c r="J299" s="117">
        <f>((('Mano Obra'!$M$5/30)*F299)/D299)*G268</f>
        <v>0</v>
      </c>
    </row>
    <row r="300" spans="1:15">
      <c r="A300" s="510" t="s">
        <v>4181</v>
      </c>
      <c r="B300" s="511">
        <f>VLOOKUP(A300,'Mano Obra'!$B$3:$D$290,2,0)</f>
        <v>1000000</v>
      </c>
      <c r="C300" s="91">
        <v>1</v>
      </c>
      <c r="D300" s="94">
        <f>VLOOKUP(A300,'Mano Obra'!$B$2:$T$117,19,0)</f>
        <v>67424</v>
      </c>
      <c r="E300" s="218">
        <f>H261</f>
        <v>6.25E-2</v>
      </c>
      <c r="F300" s="508">
        <f t="shared" si="18"/>
        <v>4214</v>
      </c>
      <c r="G300" s="509"/>
      <c r="H300" s="110"/>
      <c r="J300" s="117">
        <f>((('Mano Obra'!$M$6/30)*F300)/D300)*G268</f>
        <v>0</v>
      </c>
    </row>
    <row r="301" spans="1:15">
      <c r="A301" s="512" t="s">
        <v>4100</v>
      </c>
      <c r="B301" s="512"/>
      <c r="C301" s="512"/>
      <c r="D301" s="512"/>
      <c r="E301" s="512"/>
      <c r="F301" s="512"/>
      <c r="G301" s="512"/>
      <c r="H301" s="95">
        <f>SUM(F298:F300)</f>
        <v>20648</v>
      </c>
      <c r="J301" s="117"/>
    </row>
    <row r="302" spans="1:15">
      <c r="A302" s="208" t="s">
        <v>4226</v>
      </c>
      <c r="B302" s="186"/>
      <c r="C302" s="186"/>
      <c r="D302" s="183"/>
      <c r="E302" s="184"/>
      <c r="F302" s="185"/>
      <c r="G302" s="184"/>
      <c r="H302" s="193"/>
    </row>
    <row r="303" spans="1:15">
      <c r="A303" s="513" t="s">
        <v>4213</v>
      </c>
      <c r="B303" s="514"/>
      <c r="C303" s="514"/>
      <c r="D303" s="514"/>
      <c r="E303" s="181"/>
      <c r="F303" s="182" t="s">
        <v>4227</v>
      </c>
      <c r="G303" s="181" t="s">
        <v>4228</v>
      </c>
      <c r="H303" s="194"/>
    </row>
    <row r="304" spans="1:15">
      <c r="A304" s="204" t="s">
        <v>4096</v>
      </c>
      <c r="B304" s="62"/>
      <c r="C304" s="62"/>
      <c r="D304" s="63"/>
      <c r="E304" s="68"/>
      <c r="F304" s="69">
        <v>0</v>
      </c>
      <c r="G304" s="70" t="e">
        <f>F304*H269</f>
        <v>#VALUE!</v>
      </c>
      <c r="H304" s="193"/>
    </row>
    <row r="305" spans="1:14">
      <c r="A305" s="205" t="s">
        <v>4229</v>
      </c>
      <c r="B305" s="71"/>
      <c r="C305" s="71"/>
      <c r="D305" s="72"/>
      <c r="E305" s="68"/>
      <c r="F305" s="69">
        <v>0</v>
      </c>
      <c r="G305" s="70" t="e">
        <f>F305*H269</f>
        <v>#VALUE!</v>
      </c>
      <c r="H305" s="193"/>
    </row>
    <row r="306" spans="1:14">
      <c r="A306" s="205" t="s">
        <v>4</v>
      </c>
      <c r="B306" s="71"/>
      <c r="C306" s="71"/>
      <c r="D306" s="72"/>
      <c r="E306" s="68"/>
      <c r="F306" s="69">
        <v>0</v>
      </c>
      <c r="G306" s="70" t="e">
        <f>F306*H269</f>
        <v>#VALUE!</v>
      </c>
      <c r="H306" s="193"/>
    </row>
    <row r="307" spans="1:14">
      <c r="A307" s="206"/>
      <c r="B307" s="73"/>
      <c r="C307" s="65"/>
      <c r="D307" s="74"/>
      <c r="E307" s="75"/>
      <c r="F307" s="76"/>
      <c r="G307" s="77"/>
      <c r="H307" s="195"/>
    </row>
    <row r="308" spans="1:14">
      <c r="A308" s="207"/>
      <c r="B308" s="73"/>
      <c r="C308" s="73"/>
      <c r="D308" s="74"/>
      <c r="E308" s="78"/>
      <c r="F308" s="515" t="s">
        <v>4230</v>
      </c>
      <c r="G308" s="516"/>
      <c r="H308" s="214" t="e">
        <f>H269+G304+G305+G306</f>
        <v>#VALUE!</v>
      </c>
    </row>
    <row r="310" spans="1:14">
      <c r="A310" s="80"/>
      <c r="B310" s="80"/>
      <c r="C310" s="80"/>
      <c r="D310" s="80"/>
      <c r="E310" s="80"/>
      <c r="F310" s="80"/>
      <c r="G310" s="80"/>
      <c r="H310" s="353"/>
    </row>
    <row r="311" spans="1:14">
      <c r="A311" s="537" t="s">
        <v>4214</v>
      </c>
      <c r="B311" s="538"/>
      <c r="C311" s="538"/>
      <c r="D311" s="538"/>
      <c r="E311" s="538"/>
      <c r="F311" s="538"/>
      <c r="G311" s="538"/>
      <c r="H311" s="539"/>
    </row>
    <row r="312" spans="1:14">
      <c r="A312" s="81"/>
      <c r="B312" s="82"/>
      <c r="C312" s="82"/>
      <c r="D312" s="82"/>
      <c r="E312" s="82"/>
      <c r="F312" s="83"/>
      <c r="G312" s="84"/>
      <c r="H312" s="352">
        <f>ROUND((30/60)/8,4)</f>
        <v>6.25E-2</v>
      </c>
      <c r="I312" s="105"/>
    </row>
    <row r="313" spans="1:14">
      <c r="A313" s="540" t="s">
        <v>4209</v>
      </c>
      <c r="B313" s="542" t="str">
        <f>COSTOS!$C$14</f>
        <v>MODERNIZACION A TECNOLOGIA LED</v>
      </c>
      <c r="C313" s="542"/>
      <c r="D313" s="542"/>
      <c r="E313" s="542"/>
      <c r="F313" s="542"/>
      <c r="G313" s="542"/>
      <c r="H313" s="543" t="s">
        <v>4210</v>
      </c>
    </row>
    <row r="314" spans="1:14">
      <c r="A314" s="541"/>
      <c r="B314" s="542"/>
      <c r="C314" s="542"/>
      <c r="D314" s="542"/>
      <c r="E314" s="542"/>
      <c r="F314" s="542"/>
      <c r="G314" s="542"/>
      <c r="H314" s="543"/>
    </row>
    <row r="315" spans="1:14">
      <c r="A315" s="541"/>
      <c r="B315" s="542"/>
      <c r="C315" s="542"/>
      <c r="D315" s="542"/>
      <c r="E315" s="542"/>
      <c r="F315" s="542"/>
      <c r="G315" s="542"/>
      <c r="H315" s="543"/>
    </row>
    <row r="316" spans="1:14" ht="15" customHeight="1">
      <c r="A316" s="541"/>
      <c r="B316" s="542"/>
      <c r="C316" s="542"/>
      <c r="D316" s="542"/>
      <c r="E316" s="542"/>
      <c r="F316" s="542"/>
      <c r="G316" s="542"/>
      <c r="H316" s="197">
        <f ca="1">TODAY()</f>
        <v>44889</v>
      </c>
      <c r="K316" t="s">
        <v>4380</v>
      </c>
      <c r="L316" t="s">
        <v>4381</v>
      </c>
      <c r="M316" t="s">
        <v>4382</v>
      </c>
      <c r="N316" t="s">
        <v>4383</v>
      </c>
    </row>
    <row r="317" spans="1:14" ht="60.75" customHeight="1">
      <c r="A317" s="209" t="s">
        <v>4211</v>
      </c>
      <c r="B317" s="544" t="str">
        <f>COSTOS!$D$16</f>
        <v>Luminarias</v>
      </c>
      <c r="C317" s="544"/>
      <c r="D317" s="544"/>
      <c r="E317" s="544"/>
      <c r="F317" s="544"/>
      <c r="G317" s="60" t="s">
        <v>4212</v>
      </c>
      <c r="H317" s="359">
        <v>1.6</v>
      </c>
      <c r="K317" s="55" t="e">
        <f>H342</f>
        <v>#VALUE!</v>
      </c>
      <c r="L317" s="55">
        <f>H352</f>
        <v>20648</v>
      </c>
      <c r="M317" s="55" t="e">
        <f>H325</f>
        <v>#VALUE!</v>
      </c>
      <c r="N317" s="55" t="e">
        <f>H346</f>
        <v>#VALUE!</v>
      </c>
    </row>
    <row r="318" spans="1:14" ht="43.2" customHeight="1">
      <c r="A318" s="210" t="s">
        <v>4213</v>
      </c>
      <c r="B318" s="545" t="str">
        <f>VLOOKUP(H317,COSTOS!C:M,2,0)</f>
        <v>Reflector LED 210w</v>
      </c>
      <c r="C318" s="546"/>
      <c r="D318" s="546"/>
      <c r="E318" s="547"/>
      <c r="F318" s="61" t="s">
        <v>0</v>
      </c>
      <c r="G318" s="328" t="str">
        <f>VLOOKUP(H317,COSTOS!C:M,8,0)</f>
        <v>Und</v>
      </c>
      <c r="H318" s="248"/>
      <c r="I318" s="278"/>
      <c r="J318" s="280"/>
      <c r="K318" s="280"/>
      <c r="L318" s="280"/>
    </row>
    <row r="319" spans="1:14">
      <c r="A319" s="211"/>
      <c r="B319" s="102"/>
      <c r="C319" s="102"/>
      <c r="D319" s="102"/>
      <c r="E319" s="103"/>
      <c r="F319" s="104" t="s">
        <v>1</v>
      </c>
      <c r="G319" s="328">
        <f>VLOOKUP(H317,COSTOS!C:M,9,0)</f>
        <v>0</v>
      </c>
      <c r="H319" s="329"/>
      <c r="I319" s="279"/>
    </row>
    <row r="320" spans="1:14">
      <c r="A320" s="212" t="s">
        <v>4215</v>
      </c>
      <c r="B320" s="65"/>
      <c r="C320" s="65"/>
      <c r="D320" s="66"/>
      <c r="E320" s="190"/>
      <c r="F320" s="191"/>
      <c r="G320" s="192" t="s">
        <v>4216</v>
      </c>
      <c r="H320" s="198" t="e">
        <f>H325+H342+H346+H352</f>
        <v>#VALUE!</v>
      </c>
    </row>
    <row r="321" spans="1:15" ht="41.4">
      <c r="A321" s="548" t="s">
        <v>4213</v>
      </c>
      <c r="B321" s="548"/>
      <c r="C321" s="548"/>
      <c r="D321" s="67" t="s">
        <v>0</v>
      </c>
      <c r="E321" s="188" t="s">
        <v>4217</v>
      </c>
      <c r="F321" s="189" t="s">
        <v>4204</v>
      </c>
      <c r="G321" s="64" t="s">
        <v>2</v>
      </c>
      <c r="H321" s="199" t="s">
        <v>4218</v>
      </c>
      <c r="K321" s="281"/>
    </row>
    <row r="322" spans="1:15">
      <c r="A322" s="517" t="s">
        <v>3946</v>
      </c>
      <c r="B322" s="549">
        <f>VLOOKUP(A322,'Equip, Herr y Transp'!$B$2:$E$738,2,0)</f>
        <v>2</v>
      </c>
      <c r="C322" s="549"/>
      <c r="D322" s="85">
        <f>VLOOKUP(A322,'Equip, Herr y Transp'!$B$2:$E$217,2,0)</f>
        <v>2</v>
      </c>
      <c r="E322" s="85" t="str">
        <f>VLOOKUP(A322,'Equip, Herr y Transp'!$B$2:$E$217,3,0)</f>
        <v>EQU</v>
      </c>
      <c r="F322" s="86">
        <f>H312</f>
        <v>6.25E-2</v>
      </c>
      <c r="G322" s="112" t="e">
        <f>F322*E322</f>
        <v>#VALUE!</v>
      </c>
      <c r="H322" s="108"/>
    </row>
    <row r="323" spans="1:15">
      <c r="A323" s="517" t="s">
        <v>3904</v>
      </c>
      <c r="B323" s="549">
        <f>VLOOKUP(A323,'Equip, Herr y Transp'!$B$2:$E$738,2,0)</f>
        <v>2</v>
      </c>
      <c r="C323" s="549"/>
      <c r="D323" s="85">
        <f>VLOOKUP(A323,'Equip, Herr y Transp'!$B$2:$E$217,2,0)</f>
        <v>2</v>
      </c>
      <c r="E323" s="85" t="str">
        <f>VLOOKUP(A323,'Equip, Herr y Transp'!$B$2:$E$217,3,0)</f>
        <v>EQU</v>
      </c>
      <c r="F323" s="86">
        <f>H312</f>
        <v>6.25E-2</v>
      </c>
      <c r="G323" s="112" t="e">
        <f>F323*E323</f>
        <v>#VALUE!</v>
      </c>
      <c r="H323" s="107"/>
    </row>
    <row r="324" spans="1:15">
      <c r="A324" s="517" t="s">
        <v>3937</v>
      </c>
      <c r="B324" s="549">
        <f>VLOOKUP(A324,'Equip, Herr y Transp'!$B$2:$E$738,2,0)</f>
        <v>2</v>
      </c>
      <c r="C324" s="549"/>
      <c r="D324" s="85">
        <f>VLOOKUP(A324,'Equip, Herr y Transp'!$B$2:$E$217,2,0)</f>
        <v>2</v>
      </c>
      <c r="E324" s="85" t="str">
        <f>VLOOKUP(A324,'Equip, Herr y Transp'!$B$2:$E$217,3,0)</f>
        <v>EQU</v>
      </c>
      <c r="F324" s="86">
        <f>H312</f>
        <v>6.25E-2</v>
      </c>
      <c r="G324" s="112" t="e">
        <f>F324*E324</f>
        <v>#VALUE!</v>
      </c>
      <c r="H324" s="107"/>
    </row>
    <row r="325" spans="1:15">
      <c r="A325" s="520" t="s">
        <v>4099</v>
      </c>
      <c r="B325" s="521"/>
      <c r="C325" s="521"/>
      <c r="D325" s="521"/>
      <c r="E325" s="521"/>
      <c r="F325" s="521"/>
      <c r="G325" s="521"/>
      <c r="H325" s="87" t="e">
        <f>SUM(G322:G324)</f>
        <v>#VALUE!</v>
      </c>
    </row>
    <row r="326" spans="1:15">
      <c r="A326" s="550" t="s">
        <v>4219</v>
      </c>
      <c r="B326" s="551"/>
      <c r="C326" s="551"/>
      <c r="D326" s="551"/>
      <c r="E326" s="551"/>
      <c r="F326" s="551"/>
      <c r="G326" s="551"/>
      <c r="H326" s="552"/>
      <c r="K326" s="50"/>
      <c r="L326" s="50"/>
      <c r="M326" s="50"/>
      <c r="N326" s="50"/>
      <c r="O326" s="50"/>
    </row>
    <row r="327" spans="1:15" ht="30" customHeight="1">
      <c r="A327" s="553" t="s">
        <v>7</v>
      </c>
      <c r="B327" s="554"/>
      <c r="C327" s="99" t="s">
        <v>0</v>
      </c>
      <c r="D327" s="100" t="s">
        <v>4097</v>
      </c>
      <c r="E327" s="101" t="s">
        <v>1</v>
      </c>
      <c r="F327" s="555" t="s">
        <v>4207</v>
      </c>
      <c r="G327" s="555"/>
      <c r="H327" s="196"/>
      <c r="K327" s="50"/>
      <c r="L327" s="50"/>
      <c r="M327" s="50"/>
      <c r="N327" s="50"/>
      <c r="O327" s="50"/>
    </row>
    <row r="328" spans="1:15">
      <c r="A328" s="535" t="s">
        <v>4566</v>
      </c>
      <c r="B328" s="536"/>
      <c r="C328" s="88">
        <f>VLOOKUP(A328,'Materiales '!$C$2:$G$396,3,0)</f>
        <v>4</v>
      </c>
      <c r="D328" s="89" t="str">
        <f>VLOOKUP(A328,'Materiales '!$C$2:$G$396,4,0)</f>
        <v>Und</v>
      </c>
      <c r="E328" s="90">
        <v>1</v>
      </c>
      <c r="F328" s="508" t="e">
        <f>E328*D328</f>
        <v>#VALUE!</v>
      </c>
      <c r="G328" s="519"/>
      <c r="H328" s="111"/>
      <c r="I328">
        <f>E328*G319</f>
        <v>0</v>
      </c>
      <c r="J328" s="57"/>
      <c r="K328" s="50"/>
      <c r="L328" s="50"/>
      <c r="M328" s="50"/>
      <c r="N328" s="50"/>
      <c r="O328" s="50"/>
    </row>
    <row r="329" spans="1:15">
      <c r="A329" s="535" t="s">
        <v>4203</v>
      </c>
      <c r="B329" s="536"/>
      <c r="C329" s="88">
        <f>VLOOKUP(A329,'Materiales '!$C$2:$G$396,3,0)</f>
        <v>4</v>
      </c>
      <c r="D329" s="89" t="str">
        <f>VLOOKUP(A329,'Materiales '!$C$2:$G$396,4,0)</f>
        <v>Und</v>
      </c>
      <c r="E329" s="90">
        <v>1</v>
      </c>
      <c r="F329" s="508" t="e">
        <f t="shared" ref="F329:F335" si="19">E329*D329</f>
        <v>#VALUE!</v>
      </c>
      <c r="G329" s="519"/>
      <c r="H329" s="111"/>
      <c r="I329">
        <f>E329*G319</f>
        <v>0</v>
      </c>
      <c r="J329" s="57"/>
      <c r="K329" s="50"/>
      <c r="L329" s="50"/>
      <c r="M329" s="50"/>
      <c r="N329" s="50"/>
      <c r="O329" s="50"/>
    </row>
    <row r="330" spans="1:15">
      <c r="A330" s="517" t="s">
        <v>4473</v>
      </c>
      <c r="B330" s="518">
        <f>VLOOKUP(A330,'Materiales '!$C$2:$G$396,3,0)</f>
        <v>4</v>
      </c>
      <c r="C330" s="88">
        <f>VLOOKUP(A330,'Materiales '!$C$2:$G$396,3,0)</f>
        <v>4</v>
      </c>
      <c r="D330" s="89" t="str">
        <f>VLOOKUP(A330,'Materiales '!$C$2:$G$396,4,0)</f>
        <v>Und</v>
      </c>
      <c r="E330" s="90">
        <v>2</v>
      </c>
      <c r="F330" s="508" t="e">
        <f t="shared" si="19"/>
        <v>#VALUE!</v>
      </c>
      <c r="G330" s="519"/>
      <c r="H330" s="111"/>
      <c r="I330">
        <f>E330*G319</f>
        <v>0</v>
      </c>
      <c r="J330" s="58"/>
      <c r="K330" s="50"/>
      <c r="L330" s="50"/>
      <c r="M330" s="50"/>
      <c r="N330" s="50"/>
      <c r="O330" s="50"/>
    </row>
    <row r="331" spans="1:15">
      <c r="A331" s="517" t="s">
        <v>4478</v>
      </c>
      <c r="B331" s="518">
        <f>VLOOKUP(A331,'Materiales '!$C$2:$G$396,3,0)</f>
        <v>4</v>
      </c>
      <c r="C331" s="88">
        <f>VLOOKUP(A331,'Materiales '!$C$2:$G$396,3,0)</f>
        <v>4</v>
      </c>
      <c r="D331" s="89" t="str">
        <f>VLOOKUP(A331,'Materiales '!$C$2:$G$396,4,0)</f>
        <v>Und</v>
      </c>
      <c r="E331" s="90">
        <v>3</v>
      </c>
      <c r="F331" s="508" t="e">
        <f t="shared" si="19"/>
        <v>#VALUE!</v>
      </c>
      <c r="G331" s="519"/>
      <c r="H331" s="111"/>
      <c r="I331">
        <f>E331*G319</f>
        <v>0</v>
      </c>
      <c r="J331" s="58"/>
      <c r="K331" s="50"/>
      <c r="L331" s="50"/>
      <c r="M331" s="50"/>
      <c r="N331" s="50"/>
      <c r="O331" s="50"/>
    </row>
    <row r="332" spans="1:15">
      <c r="A332" s="517" t="s">
        <v>4543</v>
      </c>
      <c r="B332" s="518">
        <f>VLOOKUP(A332,'Materiales '!$C$2:$G$396,3,0)</f>
        <v>4</v>
      </c>
      <c r="C332" s="88">
        <f>VLOOKUP(A332,'Materiales '!$C$2:$G$396,3,0)</f>
        <v>4</v>
      </c>
      <c r="D332" s="89" t="str">
        <f>VLOOKUP(A332,'Materiales '!$C$2:$G$396,4,0)</f>
        <v>Und</v>
      </c>
      <c r="E332" s="90">
        <v>2</v>
      </c>
      <c r="F332" s="508" t="e">
        <f t="shared" si="19"/>
        <v>#VALUE!</v>
      </c>
      <c r="G332" s="519"/>
      <c r="H332" s="111"/>
      <c r="I332">
        <f>E332*G319</f>
        <v>0</v>
      </c>
      <c r="J332" s="58"/>
      <c r="K332" s="50"/>
      <c r="L332" s="50"/>
      <c r="M332" s="50"/>
      <c r="N332" s="50"/>
      <c r="O332" s="50"/>
    </row>
    <row r="333" spans="1:15">
      <c r="A333" s="517" t="s">
        <v>4439</v>
      </c>
      <c r="B333" s="518">
        <f>VLOOKUP(A333,'Materiales '!$C$2:$G$396,3,0)</f>
        <v>2</v>
      </c>
      <c r="C333" s="88">
        <f>VLOOKUP(A333,'Materiales '!$C$2:$G$396,3,0)</f>
        <v>2</v>
      </c>
      <c r="D333" s="89" t="str">
        <f>VLOOKUP(A333,'Materiales '!$C$2:$G$396,4,0)</f>
        <v>Ml</v>
      </c>
      <c r="E333" s="90">
        <v>1</v>
      </c>
      <c r="F333" s="508" t="e">
        <f t="shared" si="19"/>
        <v>#VALUE!</v>
      </c>
      <c r="G333" s="519"/>
      <c r="H333" s="111"/>
      <c r="I333">
        <f>E333*G319</f>
        <v>0</v>
      </c>
      <c r="J333" s="58"/>
      <c r="K333" s="50"/>
      <c r="L333" s="50"/>
      <c r="M333" s="50"/>
      <c r="N333" s="50"/>
      <c r="O333" s="50"/>
    </row>
    <row r="334" spans="1:15">
      <c r="A334" s="517" t="s">
        <v>4482</v>
      </c>
      <c r="B334" s="518">
        <f>VLOOKUP(A334,'Materiales '!$C$2:$G$396,3,0)</f>
        <v>4</v>
      </c>
      <c r="C334" s="88">
        <f>VLOOKUP(A334,'Materiales '!$C$2:$G$396,3,0)</f>
        <v>4</v>
      </c>
      <c r="D334" s="89" t="str">
        <f>VLOOKUP(A334,'Materiales '!$C$2:$G$396,4,0)</f>
        <v>Und</v>
      </c>
      <c r="E334" s="90">
        <v>3</v>
      </c>
      <c r="F334" s="508" t="e">
        <f t="shared" si="19"/>
        <v>#VALUE!</v>
      </c>
      <c r="G334" s="519"/>
      <c r="H334" s="111"/>
      <c r="I334">
        <f>E334*G319</f>
        <v>0</v>
      </c>
      <c r="J334" s="58"/>
      <c r="K334" s="50"/>
      <c r="L334" s="50"/>
      <c r="M334" s="50"/>
      <c r="N334" s="50"/>
      <c r="O334" s="50"/>
    </row>
    <row r="335" spans="1:15" ht="21.75" customHeight="1">
      <c r="A335" s="517" t="s">
        <v>4487</v>
      </c>
      <c r="B335" s="518">
        <f>VLOOKUP(A335,'Materiales '!$C$2:$G$396,3,0)</f>
        <v>4</v>
      </c>
      <c r="C335" s="88">
        <f>VLOOKUP(A335,'Materiales '!$C$2:$G$396,3,0)</f>
        <v>4</v>
      </c>
      <c r="D335" s="89" t="str">
        <f>VLOOKUP(A335,'Materiales '!$C$2:$G$396,4,0)</f>
        <v>Und</v>
      </c>
      <c r="E335" s="90">
        <v>0.5</v>
      </c>
      <c r="F335" s="508" t="e">
        <f t="shared" si="19"/>
        <v>#VALUE!</v>
      </c>
      <c r="G335" s="519"/>
      <c r="H335" s="111"/>
      <c r="I335">
        <f>E335*G319</f>
        <v>0</v>
      </c>
      <c r="J335" s="58"/>
      <c r="K335" s="50"/>
      <c r="L335" s="50"/>
      <c r="M335" s="50"/>
      <c r="N335" s="50"/>
      <c r="O335" s="50"/>
    </row>
    <row r="336" spans="1:15">
      <c r="A336" s="517" t="s">
        <v>8</v>
      </c>
      <c r="B336" s="518">
        <f>VLOOKUP(A336,'Materiales '!$C$2:$G$396,3,0)</f>
        <v>0</v>
      </c>
      <c r="C336" s="88">
        <f>VLOOKUP(A336,'Materiales '!$C$2:$G$396,3,0)</f>
        <v>0</v>
      </c>
      <c r="D336" s="89" t="str">
        <f>VLOOKUP(A336,'Materiales '!$C$2:$G$396,4,0)</f>
        <v>-</v>
      </c>
      <c r="E336" s="90"/>
      <c r="F336" s="508" t="e">
        <f>E336*D336</f>
        <v>#VALUE!</v>
      </c>
      <c r="G336" s="519"/>
      <c r="H336" s="110"/>
      <c r="I336">
        <f>E336*G319</f>
        <v>0</v>
      </c>
      <c r="J336" s="58"/>
      <c r="K336" s="50"/>
      <c r="L336" s="50"/>
      <c r="M336" s="50"/>
      <c r="N336" s="50"/>
      <c r="O336" s="50"/>
    </row>
    <row r="337" spans="1:15">
      <c r="A337" s="517" t="s">
        <v>8</v>
      </c>
      <c r="B337" s="518">
        <f>VLOOKUP(A337,'Materiales '!$C$2:$G$396,3,0)</f>
        <v>0</v>
      </c>
      <c r="C337" s="88">
        <f>VLOOKUP(A337,'Materiales '!$C$2:$G$396,3,0)</f>
        <v>0</v>
      </c>
      <c r="D337" s="89" t="str">
        <f>VLOOKUP(A337,'Materiales '!$C$2:$G$396,4,0)</f>
        <v>-</v>
      </c>
      <c r="E337" s="90"/>
      <c r="F337" s="508" t="e">
        <f t="shared" ref="F337:F340" si="20">E337*D337</f>
        <v>#VALUE!</v>
      </c>
      <c r="G337" s="519"/>
      <c r="H337" s="111"/>
      <c r="I337">
        <f>E337*G319</f>
        <v>0</v>
      </c>
      <c r="J337" s="58"/>
      <c r="K337" s="50"/>
      <c r="L337" s="50"/>
      <c r="M337" s="50"/>
      <c r="N337" s="50"/>
      <c r="O337" s="50"/>
    </row>
    <row r="338" spans="1:15">
      <c r="A338" s="517" t="s">
        <v>8</v>
      </c>
      <c r="B338" s="518">
        <f>VLOOKUP(A338,'Materiales '!$C$2:$G$396,3,0)</f>
        <v>0</v>
      </c>
      <c r="C338" s="88">
        <f>VLOOKUP(A338,'Materiales '!$C$2:$G$396,3,0)</f>
        <v>0</v>
      </c>
      <c r="D338" s="89" t="str">
        <f>VLOOKUP(A338,'Materiales '!$C$2:$G$396,4,0)</f>
        <v>-</v>
      </c>
      <c r="E338" s="90"/>
      <c r="F338" s="508" t="e">
        <f t="shared" si="20"/>
        <v>#VALUE!</v>
      </c>
      <c r="G338" s="519"/>
      <c r="H338" s="111"/>
      <c r="I338">
        <f>E338*G319</f>
        <v>0</v>
      </c>
      <c r="J338" s="58"/>
      <c r="K338" s="50"/>
      <c r="L338" s="50"/>
      <c r="M338" s="50"/>
      <c r="N338" s="50"/>
      <c r="O338" s="50"/>
    </row>
    <row r="339" spans="1:15">
      <c r="A339" s="517" t="s">
        <v>8</v>
      </c>
      <c r="B339" s="518">
        <f>VLOOKUP(A339,'Materiales '!$C$2:$G$396,3,0)</f>
        <v>0</v>
      </c>
      <c r="C339" s="88">
        <f>VLOOKUP(A339,'Materiales '!$C$2:$G$396,3,0)</f>
        <v>0</v>
      </c>
      <c r="D339" s="89" t="str">
        <f>VLOOKUP(A339,'Materiales '!$C$2:$G$396,4,0)</f>
        <v>-</v>
      </c>
      <c r="E339" s="90"/>
      <c r="F339" s="508" t="e">
        <f t="shared" si="20"/>
        <v>#VALUE!</v>
      </c>
      <c r="G339" s="519"/>
      <c r="H339" s="111"/>
      <c r="I339">
        <f>E339*G319</f>
        <v>0</v>
      </c>
      <c r="J339" s="58"/>
      <c r="K339" s="50"/>
      <c r="L339" s="50"/>
      <c r="M339" s="50"/>
      <c r="N339" s="50"/>
      <c r="O339" s="50"/>
    </row>
    <row r="340" spans="1:15">
      <c r="A340" s="517" t="s">
        <v>8</v>
      </c>
      <c r="B340" s="518">
        <f>VLOOKUP(A340,'Materiales '!$C$2:$G$396,3,0)</f>
        <v>0</v>
      </c>
      <c r="C340" s="88">
        <f>VLOOKUP(A340,'Materiales '!$C$2:$G$396,3,0)</f>
        <v>0</v>
      </c>
      <c r="D340" s="89" t="str">
        <f>VLOOKUP(A340,'Materiales '!$C$2:$G$396,4,0)</f>
        <v>-</v>
      </c>
      <c r="E340" s="90"/>
      <c r="F340" s="508" t="e">
        <f t="shared" si="20"/>
        <v>#VALUE!</v>
      </c>
      <c r="G340" s="519"/>
      <c r="H340" s="111"/>
      <c r="I340">
        <f>E340*G319</f>
        <v>0</v>
      </c>
      <c r="J340" s="58"/>
      <c r="K340" s="50"/>
      <c r="L340" s="50"/>
      <c r="M340" s="50"/>
      <c r="N340" s="50"/>
      <c r="O340" s="50"/>
    </row>
    <row r="341" spans="1:15">
      <c r="A341" s="517" t="s">
        <v>8</v>
      </c>
      <c r="B341" s="518">
        <f>VLOOKUP(A341,'Materiales '!$C$2:$G$396,3,0)</f>
        <v>0</v>
      </c>
      <c r="C341" s="88">
        <f>VLOOKUP(A341,'Materiales '!$C$2:$G$396,3,0)</f>
        <v>0</v>
      </c>
      <c r="D341" s="89" t="str">
        <f>VLOOKUP(A341,'Materiales '!$C$2:$G$396,4,0)</f>
        <v>-</v>
      </c>
      <c r="E341" s="90"/>
      <c r="F341" s="508" t="e">
        <f>E341*D341</f>
        <v>#VALUE!</v>
      </c>
      <c r="G341" s="519"/>
      <c r="H341" s="110"/>
      <c r="I341">
        <f>E341*G319</f>
        <v>0</v>
      </c>
      <c r="J341" s="58"/>
      <c r="K341" s="50"/>
      <c r="L341" s="50"/>
      <c r="M341" s="50"/>
      <c r="N341" s="50"/>
      <c r="O341" s="50"/>
    </row>
    <row r="342" spans="1:15">
      <c r="A342" s="520" t="s">
        <v>4098</v>
      </c>
      <c r="B342" s="521"/>
      <c r="C342" s="521"/>
      <c r="D342" s="521"/>
      <c r="E342" s="521"/>
      <c r="F342" s="521"/>
      <c r="G342" s="522"/>
      <c r="H342" s="106" t="e">
        <f>SUM(F328:F341)</f>
        <v>#VALUE!</v>
      </c>
      <c r="J342" s="58"/>
      <c r="K342" s="50"/>
      <c r="L342" s="50"/>
      <c r="M342" s="50"/>
      <c r="N342" s="50"/>
      <c r="O342" s="50"/>
    </row>
    <row r="343" spans="1:15">
      <c r="A343" s="523" t="s">
        <v>4220</v>
      </c>
      <c r="B343" s="524"/>
      <c r="C343" s="524"/>
      <c r="D343" s="524"/>
      <c r="E343" s="525"/>
      <c r="F343" s="524"/>
      <c r="G343" s="524"/>
      <c r="H343" s="526"/>
      <c r="J343" s="58"/>
      <c r="K343" s="50"/>
      <c r="L343" s="50"/>
      <c r="M343" s="50"/>
      <c r="N343" s="50"/>
      <c r="O343" s="50"/>
    </row>
    <row r="344" spans="1:15">
      <c r="A344" s="527" t="s">
        <v>7</v>
      </c>
      <c r="B344" s="528"/>
      <c r="C344" s="98" t="s">
        <v>4221</v>
      </c>
      <c r="D344" s="97" t="s">
        <v>4222</v>
      </c>
      <c r="E344" s="187" t="s">
        <v>4223</v>
      </c>
      <c r="F344" s="529" t="s">
        <v>4207</v>
      </c>
      <c r="G344" s="529"/>
      <c r="H344" s="109"/>
      <c r="K344" s="50"/>
      <c r="L344" s="50"/>
      <c r="M344" s="50"/>
      <c r="N344" s="50"/>
      <c r="O344" s="50"/>
    </row>
    <row r="345" spans="1:15">
      <c r="A345" s="506" t="s">
        <v>3928</v>
      </c>
      <c r="B345" s="507"/>
      <c r="C345" s="213">
        <v>1</v>
      </c>
      <c r="D345" s="92">
        <v>0.03</v>
      </c>
      <c r="E345" s="93" t="str">
        <f>VLOOKUP(A345,'Equip, Herr y Transp'!$B$2:$E$217,3,0)</f>
        <v>TR</v>
      </c>
      <c r="F345" s="530" t="e">
        <f>E345*D345*C345</f>
        <v>#VALUE!</v>
      </c>
      <c r="G345" s="531"/>
      <c r="H345" s="107"/>
      <c r="M345" s="50"/>
    </row>
    <row r="346" spans="1:15">
      <c r="A346" s="532" t="s">
        <v>4205</v>
      </c>
      <c r="B346" s="533"/>
      <c r="C346" s="533"/>
      <c r="D346" s="533"/>
      <c r="E346" s="533"/>
      <c r="F346" s="533"/>
      <c r="G346" s="533"/>
      <c r="H346" s="95" t="e">
        <f>F345</f>
        <v>#VALUE!</v>
      </c>
    </row>
    <row r="347" spans="1:15">
      <c r="A347" s="523" t="s">
        <v>4224</v>
      </c>
      <c r="B347" s="524"/>
      <c r="C347" s="524"/>
      <c r="D347" s="524"/>
      <c r="E347" s="524"/>
      <c r="F347" s="524"/>
      <c r="G347" s="524"/>
      <c r="H347" s="526"/>
    </row>
    <row r="348" spans="1:15">
      <c r="A348" s="527" t="s">
        <v>7</v>
      </c>
      <c r="B348" s="528"/>
      <c r="C348" s="96" t="s">
        <v>1</v>
      </c>
      <c r="D348" s="97" t="s">
        <v>4225</v>
      </c>
      <c r="E348" s="98" t="s">
        <v>4204</v>
      </c>
      <c r="F348" s="527" t="s">
        <v>5</v>
      </c>
      <c r="G348" s="534"/>
      <c r="H348" s="109"/>
    </row>
    <row r="349" spans="1:15">
      <c r="A349" s="506" t="s">
        <v>4191</v>
      </c>
      <c r="B349" s="507"/>
      <c r="C349" s="91">
        <v>1</v>
      </c>
      <c r="D349" s="94">
        <f>VLOOKUP(A349,'Mano Obra'!$B$2:$T$117,19,0)</f>
        <v>152456</v>
      </c>
      <c r="E349" s="218">
        <f>H312</f>
        <v>6.25E-2</v>
      </c>
      <c r="F349" s="508">
        <f>E349*D349*C349</f>
        <v>9528.5</v>
      </c>
      <c r="G349" s="509"/>
      <c r="H349" s="111"/>
      <c r="I349" s="59"/>
      <c r="J349" s="117">
        <f>((('Mano Obra'!$M$4/30)*F349)/D349)*G319</f>
        <v>0</v>
      </c>
    </row>
    <row r="350" spans="1:15">
      <c r="A350" s="510" t="s">
        <v>4192</v>
      </c>
      <c r="B350" s="511">
        <f>VLOOKUP(A350,'Mano Obra'!$B$3:$D$290,2,0)</f>
        <v>1900000</v>
      </c>
      <c r="C350" s="91">
        <v>1</v>
      </c>
      <c r="D350" s="94">
        <f>VLOOKUP(A350,'Mano Obra'!$B$2:$T$117,19,0)</f>
        <v>110488</v>
      </c>
      <c r="E350" s="218">
        <f>H312</f>
        <v>6.25E-2</v>
      </c>
      <c r="F350" s="508">
        <f t="shared" ref="F350:F351" si="21">E350*D350*C350</f>
        <v>6905.5</v>
      </c>
      <c r="G350" s="509"/>
      <c r="H350" s="111"/>
      <c r="J350" s="117">
        <f>((('Mano Obra'!$M$5/30)*F350)/D350)*G319</f>
        <v>0</v>
      </c>
    </row>
    <row r="351" spans="1:15">
      <c r="A351" s="510" t="s">
        <v>4181</v>
      </c>
      <c r="B351" s="511">
        <f>VLOOKUP(A351,'Mano Obra'!$B$3:$D$290,2,0)</f>
        <v>1000000</v>
      </c>
      <c r="C351" s="91">
        <v>1</v>
      </c>
      <c r="D351" s="94">
        <f>VLOOKUP(A351,'Mano Obra'!$B$2:$T$117,19,0)</f>
        <v>67424</v>
      </c>
      <c r="E351" s="218">
        <f>H312</f>
        <v>6.25E-2</v>
      </c>
      <c r="F351" s="508">
        <f t="shared" si="21"/>
        <v>4214</v>
      </c>
      <c r="G351" s="509"/>
      <c r="H351" s="110"/>
      <c r="J351" s="117">
        <f>((('Mano Obra'!$M$6/30)*F351)/D351)*G319</f>
        <v>0</v>
      </c>
    </row>
    <row r="352" spans="1:15">
      <c r="A352" s="512" t="s">
        <v>4100</v>
      </c>
      <c r="B352" s="512"/>
      <c r="C352" s="512"/>
      <c r="D352" s="512"/>
      <c r="E352" s="512"/>
      <c r="F352" s="512"/>
      <c r="G352" s="512"/>
      <c r="H352" s="95">
        <f>SUM(F349:F351)</f>
        <v>20648</v>
      </c>
      <c r="J352" s="117"/>
    </row>
    <row r="353" spans="1:14">
      <c r="A353" s="208" t="s">
        <v>4226</v>
      </c>
      <c r="B353" s="186"/>
      <c r="C353" s="186"/>
      <c r="D353" s="183"/>
      <c r="E353" s="184"/>
      <c r="F353" s="185"/>
      <c r="G353" s="184"/>
      <c r="H353" s="193"/>
    </row>
    <row r="354" spans="1:14">
      <c r="A354" s="513" t="s">
        <v>4213</v>
      </c>
      <c r="B354" s="514"/>
      <c r="C354" s="514"/>
      <c r="D354" s="514"/>
      <c r="E354" s="181"/>
      <c r="F354" s="182" t="s">
        <v>4227</v>
      </c>
      <c r="G354" s="181" t="s">
        <v>4228</v>
      </c>
      <c r="H354" s="194"/>
    </row>
    <row r="355" spans="1:14">
      <c r="A355" s="204" t="s">
        <v>4096</v>
      </c>
      <c r="B355" s="62"/>
      <c r="C355" s="62"/>
      <c r="D355" s="63"/>
      <c r="E355" s="68"/>
      <c r="F355" s="69">
        <v>0</v>
      </c>
      <c r="G355" s="70" t="e">
        <f>F355*H320</f>
        <v>#VALUE!</v>
      </c>
      <c r="H355" s="193"/>
    </row>
    <row r="356" spans="1:14">
      <c r="A356" s="205" t="s">
        <v>4229</v>
      </c>
      <c r="B356" s="71"/>
      <c r="C356" s="71"/>
      <c r="D356" s="72"/>
      <c r="E356" s="68"/>
      <c r="F356" s="69">
        <v>0</v>
      </c>
      <c r="G356" s="70" t="e">
        <f>F356*H320</f>
        <v>#VALUE!</v>
      </c>
      <c r="H356" s="193"/>
    </row>
    <row r="357" spans="1:14">
      <c r="A357" s="205" t="s">
        <v>4</v>
      </c>
      <c r="B357" s="71"/>
      <c r="C357" s="71"/>
      <c r="D357" s="72"/>
      <c r="E357" s="68"/>
      <c r="F357" s="69">
        <v>0</v>
      </c>
      <c r="G357" s="70" t="e">
        <f>F357*H320</f>
        <v>#VALUE!</v>
      </c>
      <c r="H357" s="193"/>
    </row>
    <row r="358" spans="1:14">
      <c r="A358" s="206"/>
      <c r="B358" s="73"/>
      <c r="C358" s="65"/>
      <c r="D358" s="74"/>
      <c r="E358" s="75"/>
      <c r="F358" s="76"/>
      <c r="G358" s="77"/>
      <c r="H358" s="195"/>
    </row>
    <row r="359" spans="1:14">
      <c r="A359" s="207"/>
      <c r="B359" s="73"/>
      <c r="C359" s="73"/>
      <c r="D359" s="74"/>
      <c r="E359" s="78"/>
      <c r="F359" s="515" t="s">
        <v>4230</v>
      </c>
      <c r="G359" s="516"/>
      <c r="H359" s="214" t="e">
        <f>H320+G355+G356+G357</f>
        <v>#VALUE!</v>
      </c>
    </row>
    <row r="361" spans="1:14">
      <c r="A361" s="80"/>
      <c r="B361" s="80"/>
      <c r="C361" s="80"/>
      <c r="D361" s="80"/>
      <c r="E361" s="80"/>
      <c r="F361" s="80"/>
      <c r="G361" s="80"/>
      <c r="H361" s="353"/>
    </row>
    <row r="362" spans="1:14">
      <c r="A362" s="537" t="s">
        <v>4214</v>
      </c>
      <c r="B362" s="538"/>
      <c r="C362" s="538"/>
      <c r="D362" s="538"/>
      <c r="E362" s="538"/>
      <c r="F362" s="538"/>
      <c r="G362" s="538"/>
      <c r="H362" s="539"/>
    </row>
    <row r="363" spans="1:14">
      <c r="A363" s="81"/>
      <c r="B363" s="82"/>
      <c r="C363" s="82"/>
      <c r="D363" s="82"/>
      <c r="E363" s="82"/>
      <c r="F363" s="83"/>
      <c r="G363" s="84"/>
      <c r="H363" s="352">
        <f>ROUND((30/60)/8,4)</f>
        <v>6.25E-2</v>
      </c>
      <c r="I363" s="105"/>
    </row>
    <row r="364" spans="1:14">
      <c r="A364" s="540" t="s">
        <v>4209</v>
      </c>
      <c r="B364" s="542" t="str">
        <f>COSTOS!$C$14</f>
        <v>MODERNIZACION A TECNOLOGIA LED</v>
      </c>
      <c r="C364" s="542"/>
      <c r="D364" s="542"/>
      <c r="E364" s="542"/>
      <c r="F364" s="542"/>
      <c r="G364" s="542"/>
      <c r="H364" s="543" t="s">
        <v>4210</v>
      </c>
    </row>
    <row r="365" spans="1:14">
      <c r="A365" s="541"/>
      <c r="B365" s="542"/>
      <c r="C365" s="542"/>
      <c r="D365" s="542"/>
      <c r="E365" s="542"/>
      <c r="F365" s="542"/>
      <c r="G365" s="542"/>
      <c r="H365" s="543"/>
    </row>
    <row r="366" spans="1:14">
      <c r="A366" s="541"/>
      <c r="B366" s="542"/>
      <c r="C366" s="542"/>
      <c r="D366" s="542"/>
      <c r="E366" s="542"/>
      <c r="F366" s="542"/>
      <c r="G366" s="542"/>
      <c r="H366" s="543"/>
    </row>
    <row r="367" spans="1:14" ht="15" customHeight="1">
      <c r="A367" s="541"/>
      <c r="B367" s="542"/>
      <c r="C367" s="542"/>
      <c r="D367" s="542"/>
      <c r="E367" s="542"/>
      <c r="F367" s="542"/>
      <c r="G367" s="542"/>
      <c r="H367" s="197">
        <f ca="1">TODAY()</f>
        <v>44889</v>
      </c>
      <c r="K367" t="s">
        <v>4380</v>
      </c>
      <c r="L367" t="s">
        <v>4381</v>
      </c>
      <c r="M367" t="s">
        <v>4382</v>
      </c>
      <c r="N367" t="s">
        <v>4383</v>
      </c>
    </row>
    <row r="368" spans="1:14" ht="60.75" customHeight="1">
      <c r="A368" s="209" t="s">
        <v>4211</v>
      </c>
      <c r="B368" s="544" t="str">
        <f>COSTOS!$D$16</f>
        <v>Luminarias</v>
      </c>
      <c r="C368" s="544"/>
      <c r="D368" s="544"/>
      <c r="E368" s="544"/>
      <c r="F368" s="544"/>
      <c r="G368" s="60" t="s">
        <v>4212</v>
      </c>
      <c r="H368" s="359">
        <v>1.7</v>
      </c>
      <c r="K368" s="55" t="e">
        <f>H393</f>
        <v>#VALUE!</v>
      </c>
      <c r="L368" s="55">
        <f>H403</f>
        <v>20648</v>
      </c>
      <c r="M368" s="55" t="e">
        <f>H376</f>
        <v>#VALUE!</v>
      </c>
      <c r="N368" s="55" t="e">
        <f>H397</f>
        <v>#VALUE!</v>
      </c>
    </row>
    <row r="369" spans="1:15" ht="43.2" customHeight="1">
      <c r="A369" s="210" t="s">
        <v>4213</v>
      </c>
      <c r="B369" s="545" t="str">
        <f>VLOOKUP(H368,COSTOS!C:M,2,0)</f>
        <v>Reflector LED 400w</v>
      </c>
      <c r="C369" s="546"/>
      <c r="D369" s="546"/>
      <c r="E369" s="547"/>
      <c r="F369" s="61" t="s">
        <v>0</v>
      </c>
      <c r="G369" s="328" t="str">
        <f>VLOOKUP(H368,COSTOS!C:M,8,0)</f>
        <v>Und</v>
      </c>
      <c r="H369" s="248"/>
      <c r="I369" s="278"/>
      <c r="J369" s="280"/>
      <c r="K369" s="280"/>
      <c r="L369" s="280"/>
    </row>
    <row r="370" spans="1:15">
      <c r="A370" s="211"/>
      <c r="B370" s="102"/>
      <c r="C370" s="102"/>
      <c r="D370" s="102"/>
      <c r="E370" s="103"/>
      <c r="F370" s="104" t="s">
        <v>1</v>
      </c>
      <c r="G370" s="328">
        <f>VLOOKUP(H368,COSTOS!C:M,9,0)</f>
        <v>0</v>
      </c>
      <c r="H370" s="329"/>
      <c r="I370" s="279"/>
    </row>
    <row r="371" spans="1:15">
      <c r="A371" s="212" t="s">
        <v>4215</v>
      </c>
      <c r="B371" s="65"/>
      <c r="C371" s="65"/>
      <c r="D371" s="66"/>
      <c r="E371" s="190"/>
      <c r="F371" s="191"/>
      <c r="G371" s="192" t="s">
        <v>4216</v>
      </c>
      <c r="H371" s="198" t="e">
        <f>H376+H393+H397+H403</f>
        <v>#VALUE!</v>
      </c>
    </row>
    <row r="372" spans="1:15" ht="41.4">
      <c r="A372" s="548" t="s">
        <v>4213</v>
      </c>
      <c r="B372" s="548"/>
      <c r="C372" s="548"/>
      <c r="D372" s="67" t="s">
        <v>0</v>
      </c>
      <c r="E372" s="188" t="s">
        <v>4217</v>
      </c>
      <c r="F372" s="189" t="s">
        <v>4204</v>
      </c>
      <c r="G372" s="64" t="s">
        <v>2</v>
      </c>
      <c r="H372" s="199" t="s">
        <v>4218</v>
      </c>
      <c r="K372" s="281"/>
    </row>
    <row r="373" spans="1:15">
      <c r="A373" s="517" t="s">
        <v>3946</v>
      </c>
      <c r="B373" s="549">
        <f>VLOOKUP(A373,'Equip, Herr y Transp'!$B$2:$E$738,2,0)</f>
        <v>2</v>
      </c>
      <c r="C373" s="549"/>
      <c r="D373" s="85">
        <f>VLOOKUP(A373,'Equip, Herr y Transp'!$B$2:$E$217,2,0)</f>
        <v>2</v>
      </c>
      <c r="E373" s="85" t="str">
        <f>VLOOKUP(A373,'Equip, Herr y Transp'!$B$2:$E$217,3,0)</f>
        <v>EQU</v>
      </c>
      <c r="F373" s="86">
        <f>H363</f>
        <v>6.25E-2</v>
      </c>
      <c r="G373" s="112" t="e">
        <f>F373*E373</f>
        <v>#VALUE!</v>
      </c>
      <c r="H373" s="108"/>
    </row>
    <row r="374" spans="1:15">
      <c r="A374" s="517" t="s">
        <v>3904</v>
      </c>
      <c r="B374" s="549">
        <f>VLOOKUP(A374,'Equip, Herr y Transp'!$B$2:$E$738,2,0)</f>
        <v>2</v>
      </c>
      <c r="C374" s="549"/>
      <c r="D374" s="85">
        <f>VLOOKUP(A374,'Equip, Herr y Transp'!$B$2:$E$217,2,0)</f>
        <v>2</v>
      </c>
      <c r="E374" s="85" t="str">
        <f>VLOOKUP(A374,'Equip, Herr y Transp'!$B$2:$E$217,3,0)</f>
        <v>EQU</v>
      </c>
      <c r="F374" s="86">
        <f>H363</f>
        <v>6.25E-2</v>
      </c>
      <c r="G374" s="112" t="e">
        <f>F374*E374</f>
        <v>#VALUE!</v>
      </c>
      <c r="H374" s="107"/>
    </row>
    <row r="375" spans="1:15">
      <c r="A375" s="517" t="s">
        <v>3937</v>
      </c>
      <c r="B375" s="549">
        <f>VLOOKUP(A375,'Equip, Herr y Transp'!$B$2:$E$738,2,0)</f>
        <v>2</v>
      </c>
      <c r="C375" s="549"/>
      <c r="D375" s="85">
        <f>VLOOKUP(A375,'Equip, Herr y Transp'!$B$2:$E$217,2,0)</f>
        <v>2</v>
      </c>
      <c r="E375" s="85" t="str">
        <f>VLOOKUP(A375,'Equip, Herr y Transp'!$B$2:$E$217,3,0)</f>
        <v>EQU</v>
      </c>
      <c r="F375" s="86">
        <f>H363</f>
        <v>6.25E-2</v>
      </c>
      <c r="G375" s="112" t="e">
        <f>F375*E375</f>
        <v>#VALUE!</v>
      </c>
      <c r="H375" s="107"/>
    </row>
    <row r="376" spans="1:15">
      <c r="A376" s="520" t="s">
        <v>4099</v>
      </c>
      <c r="B376" s="521"/>
      <c r="C376" s="521"/>
      <c r="D376" s="521"/>
      <c r="E376" s="521"/>
      <c r="F376" s="521"/>
      <c r="G376" s="521"/>
      <c r="H376" s="87" t="e">
        <f>SUM(G373:G375)</f>
        <v>#VALUE!</v>
      </c>
    </row>
    <row r="377" spans="1:15">
      <c r="A377" s="550" t="s">
        <v>4219</v>
      </c>
      <c r="B377" s="551"/>
      <c r="C377" s="551"/>
      <c r="D377" s="551"/>
      <c r="E377" s="551"/>
      <c r="F377" s="551"/>
      <c r="G377" s="551"/>
      <c r="H377" s="552"/>
      <c r="K377" s="50"/>
      <c r="L377" s="50"/>
      <c r="M377" s="50"/>
      <c r="N377" s="50"/>
      <c r="O377" s="50"/>
    </row>
    <row r="378" spans="1:15" ht="30" customHeight="1">
      <c r="A378" s="553" t="s">
        <v>7</v>
      </c>
      <c r="B378" s="554"/>
      <c r="C378" s="99" t="s">
        <v>0</v>
      </c>
      <c r="D378" s="100" t="s">
        <v>4097</v>
      </c>
      <c r="E378" s="101" t="s">
        <v>1</v>
      </c>
      <c r="F378" s="555" t="s">
        <v>4207</v>
      </c>
      <c r="G378" s="555"/>
      <c r="H378" s="196"/>
      <c r="K378" s="50"/>
      <c r="L378" s="50"/>
      <c r="M378" s="50"/>
      <c r="N378" s="50"/>
      <c r="O378" s="50"/>
    </row>
    <row r="379" spans="1:15">
      <c r="A379" s="535" t="s">
        <v>4569</v>
      </c>
      <c r="B379" s="536"/>
      <c r="C379" s="88">
        <f>VLOOKUP(A379,'Materiales '!$C$2:$G$396,3,0)</f>
        <v>4</v>
      </c>
      <c r="D379" s="89" t="str">
        <f>VLOOKUP(A379,'Materiales '!$C$2:$G$396,4,0)</f>
        <v>Und</v>
      </c>
      <c r="E379" s="90">
        <v>1</v>
      </c>
      <c r="F379" s="508" t="e">
        <f>E379*D379</f>
        <v>#VALUE!</v>
      </c>
      <c r="G379" s="519"/>
      <c r="H379" s="111"/>
      <c r="I379">
        <f>E379*G370</f>
        <v>0</v>
      </c>
      <c r="J379" s="57"/>
      <c r="K379" s="50"/>
      <c r="L379" s="50"/>
      <c r="M379" s="50"/>
      <c r="N379" s="50"/>
      <c r="O379" s="50"/>
    </row>
    <row r="380" spans="1:15">
      <c r="A380" s="535" t="s">
        <v>4203</v>
      </c>
      <c r="B380" s="536"/>
      <c r="C380" s="88">
        <f>VLOOKUP(A380,'Materiales '!$C$2:$G$396,3,0)</f>
        <v>4</v>
      </c>
      <c r="D380" s="89" t="str">
        <f>VLOOKUP(A380,'Materiales '!$C$2:$G$396,4,0)</f>
        <v>Und</v>
      </c>
      <c r="E380" s="90">
        <v>1</v>
      </c>
      <c r="F380" s="508" t="e">
        <f t="shared" ref="F380:F386" si="22">E380*D380</f>
        <v>#VALUE!</v>
      </c>
      <c r="G380" s="519"/>
      <c r="H380" s="111"/>
      <c r="I380">
        <f>E380*G370</f>
        <v>0</v>
      </c>
      <c r="J380" s="57"/>
      <c r="K380" s="50"/>
      <c r="L380" s="50"/>
      <c r="M380" s="50"/>
      <c r="N380" s="50"/>
      <c r="O380" s="50"/>
    </row>
    <row r="381" spans="1:15">
      <c r="A381" s="517" t="s">
        <v>4473</v>
      </c>
      <c r="B381" s="518">
        <f>VLOOKUP(A381,'Materiales '!$C$2:$G$396,3,0)</f>
        <v>4</v>
      </c>
      <c r="C381" s="88">
        <f>VLOOKUP(A381,'Materiales '!$C$2:$G$396,3,0)</f>
        <v>4</v>
      </c>
      <c r="D381" s="89" t="str">
        <f>VLOOKUP(A381,'Materiales '!$C$2:$G$396,4,0)</f>
        <v>Und</v>
      </c>
      <c r="E381" s="90">
        <v>2</v>
      </c>
      <c r="F381" s="508" t="e">
        <f t="shared" si="22"/>
        <v>#VALUE!</v>
      </c>
      <c r="G381" s="519"/>
      <c r="H381" s="111"/>
      <c r="I381">
        <f>E381*G370</f>
        <v>0</v>
      </c>
      <c r="J381" s="58"/>
      <c r="K381" s="50"/>
      <c r="L381" s="50"/>
      <c r="M381" s="50"/>
      <c r="N381" s="50"/>
      <c r="O381" s="50"/>
    </row>
    <row r="382" spans="1:15">
      <c r="A382" s="517" t="s">
        <v>4478</v>
      </c>
      <c r="B382" s="518">
        <f>VLOOKUP(A382,'Materiales '!$C$2:$G$396,3,0)</f>
        <v>4</v>
      </c>
      <c r="C382" s="88">
        <f>VLOOKUP(A382,'Materiales '!$C$2:$G$396,3,0)</f>
        <v>4</v>
      </c>
      <c r="D382" s="89" t="str">
        <f>VLOOKUP(A382,'Materiales '!$C$2:$G$396,4,0)</f>
        <v>Und</v>
      </c>
      <c r="E382" s="90">
        <v>3</v>
      </c>
      <c r="F382" s="508" t="e">
        <f t="shared" si="22"/>
        <v>#VALUE!</v>
      </c>
      <c r="G382" s="519"/>
      <c r="H382" s="111"/>
      <c r="I382">
        <f>E382*G370</f>
        <v>0</v>
      </c>
      <c r="J382" s="58"/>
      <c r="K382" s="50"/>
      <c r="L382" s="50"/>
      <c r="M382" s="50"/>
      <c r="N382" s="50"/>
      <c r="O382" s="50"/>
    </row>
    <row r="383" spans="1:15">
      <c r="A383" s="517" t="s">
        <v>4543</v>
      </c>
      <c r="B383" s="518">
        <f>VLOOKUP(A383,'Materiales '!$C$2:$G$396,3,0)</f>
        <v>4</v>
      </c>
      <c r="C383" s="88">
        <f>VLOOKUP(A383,'Materiales '!$C$2:$G$396,3,0)</f>
        <v>4</v>
      </c>
      <c r="D383" s="89" t="str">
        <f>VLOOKUP(A383,'Materiales '!$C$2:$G$396,4,0)</f>
        <v>Und</v>
      </c>
      <c r="E383" s="90">
        <v>2</v>
      </c>
      <c r="F383" s="508" t="e">
        <f t="shared" si="22"/>
        <v>#VALUE!</v>
      </c>
      <c r="G383" s="519"/>
      <c r="H383" s="111"/>
      <c r="I383">
        <f>E383*G370</f>
        <v>0</v>
      </c>
      <c r="J383" s="58"/>
      <c r="K383" s="50"/>
      <c r="L383" s="50"/>
      <c r="M383" s="50"/>
      <c r="N383" s="50"/>
      <c r="O383" s="50"/>
    </row>
    <row r="384" spans="1:15">
      <c r="A384" s="517" t="s">
        <v>4439</v>
      </c>
      <c r="B384" s="518">
        <f>VLOOKUP(A384,'Materiales '!$C$2:$G$396,3,0)</f>
        <v>2</v>
      </c>
      <c r="C384" s="88">
        <f>VLOOKUP(A384,'Materiales '!$C$2:$G$396,3,0)</f>
        <v>2</v>
      </c>
      <c r="D384" s="89" t="str">
        <f>VLOOKUP(A384,'Materiales '!$C$2:$G$396,4,0)</f>
        <v>Ml</v>
      </c>
      <c r="E384" s="90">
        <v>1</v>
      </c>
      <c r="F384" s="508" t="e">
        <f t="shared" si="22"/>
        <v>#VALUE!</v>
      </c>
      <c r="G384" s="519"/>
      <c r="H384" s="111"/>
      <c r="I384">
        <f>E384*G370</f>
        <v>0</v>
      </c>
      <c r="J384" s="58"/>
      <c r="K384" s="50"/>
      <c r="L384" s="50"/>
      <c r="M384" s="50"/>
      <c r="N384" s="50"/>
      <c r="O384" s="50"/>
    </row>
    <row r="385" spans="1:15">
      <c r="A385" s="517" t="s">
        <v>4482</v>
      </c>
      <c r="B385" s="518">
        <f>VLOOKUP(A385,'Materiales '!$C$2:$G$396,3,0)</f>
        <v>4</v>
      </c>
      <c r="C385" s="88">
        <f>VLOOKUP(A385,'Materiales '!$C$2:$G$396,3,0)</f>
        <v>4</v>
      </c>
      <c r="D385" s="89" t="str">
        <f>VLOOKUP(A385,'Materiales '!$C$2:$G$396,4,0)</f>
        <v>Und</v>
      </c>
      <c r="E385" s="90">
        <v>3</v>
      </c>
      <c r="F385" s="508" t="e">
        <f t="shared" si="22"/>
        <v>#VALUE!</v>
      </c>
      <c r="G385" s="519"/>
      <c r="H385" s="111"/>
      <c r="I385">
        <f>E385*G370</f>
        <v>0</v>
      </c>
      <c r="J385" s="58"/>
      <c r="K385" s="50"/>
      <c r="L385" s="50"/>
      <c r="M385" s="50"/>
      <c r="N385" s="50"/>
      <c r="O385" s="50"/>
    </row>
    <row r="386" spans="1:15" ht="21.75" customHeight="1">
      <c r="A386" s="517" t="s">
        <v>4487</v>
      </c>
      <c r="B386" s="518">
        <f>VLOOKUP(A386,'Materiales '!$C$2:$G$396,3,0)</f>
        <v>4</v>
      </c>
      <c r="C386" s="88">
        <f>VLOOKUP(A386,'Materiales '!$C$2:$G$396,3,0)</f>
        <v>4</v>
      </c>
      <c r="D386" s="89" t="str">
        <f>VLOOKUP(A386,'Materiales '!$C$2:$G$396,4,0)</f>
        <v>Und</v>
      </c>
      <c r="E386" s="90">
        <v>0.5</v>
      </c>
      <c r="F386" s="508" t="e">
        <f t="shared" si="22"/>
        <v>#VALUE!</v>
      </c>
      <c r="G386" s="519"/>
      <c r="H386" s="111"/>
      <c r="I386">
        <f>E386*G370</f>
        <v>0</v>
      </c>
      <c r="J386" s="58"/>
      <c r="K386" s="50"/>
      <c r="L386" s="50"/>
      <c r="M386" s="50"/>
      <c r="N386" s="50"/>
      <c r="O386" s="50"/>
    </row>
    <row r="387" spans="1:15">
      <c r="A387" s="517" t="s">
        <v>8</v>
      </c>
      <c r="B387" s="518">
        <f>VLOOKUP(A387,'Materiales '!$C$2:$G$396,3,0)</f>
        <v>0</v>
      </c>
      <c r="C387" s="88">
        <f>VLOOKUP(A387,'Materiales '!$C$2:$G$396,3,0)</f>
        <v>0</v>
      </c>
      <c r="D387" s="89" t="str">
        <f>VLOOKUP(A387,'Materiales '!$C$2:$G$396,4,0)</f>
        <v>-</v>
      </c>
      <c r="E387" s="90"/>
      <c r="F387" s="508" t="e">
        <f>E387*D387</f>
        <v>#VALUE!</v>
      </c>
      <c r="G387" s="519"/>
      <c r="H387" s="110"/>
      <c r="I387">
        <f>E387*G370</f>
        <v>0</v>
      </c>
      <c r="J387" s="58"/>
      <c r="K387" s="50"/>
      <c r="L387" s="50"/>
      <c r="M387" s="50"/>
      <c r="N387" s="50"/>
      <c r="O387" s="50"/>
    </row>
    <row r="388" spans="1:15">
      <c r="A388" s="517" t="s">
        <v>8</v>
      </c>
      <c r="B388" s="518">
        <f>VLOOKUP(A388,'Materiales '!$C$2:$G$396,3,0)</f>
        <v>0</v>
      </c>
      <c r="C388" s="88">
        <f>VLOOKUP(A388,'Materiales '!$C$2:$G$396,3,0)</f>
        <v>0</v>
      </c>
      <c r="D388" s="89" t="str">
        <f>VLOOKUP(A388,'Materiales '!$C$2:$G$396,4,0)</f>
        <v>-</v>
      </c>
      <c r="E388" s="90"/>
      <c r="F388" s="508" t="e">
        <f t="shared" ref="F388:F391" si="23">E388*D388</f>
        <v>#VALUE!</v>
      </c>
      <c r="G388" s="519"/>
      <c r="H388" s="111"/>
      <c r="I388">
        <f>E388*G370</f>
        <v>0</v>
      </c>
      <c r="J388" s="58"/>
      <c r="K388" s="50"/>
      <c r="L388" s="50"/>
      <c r="M388" s="50"/>
      <c r="N388" s="50"/>
      <c r="O388" s="50"/>
    </row>
    <row r="389" spans="1:15">
      <c r="A389" s="517" t="s">
        <v>8</v>
      </c>
      <c r="B389" s="518">
        <f>VLOOKUP(A389,'Materiales '!$C$2:$G$396,3,0)</f>
        <v>0</v>
      </c>
      <c r="C389" s="88">
        <f>VLOOKUP(A389,'Materiales '!$C$2:$G$396,3,0)</f>
        <v>0</v>
      </c>
      <c r="D389" s="89" t="str">
        <f>VLOOKUP(A389,'Materiales '!$C$2:$G$396,4,0)</f>
        <v>-</v>
      </c>
      <c r="E389" s="90"/>
      <c r="F389" s="508" t="e">
        <f t="shared" si="23"/>
        <v>#VALUE!</v>
      </c>
      <c r="G389" s="519"/>
      <c r="H389" s="111"/>
      <c r="I389">
        <f>E389*G370</f>
        <v>0</v>
      </c>
      <c r="J389" s="58"/>
      <c r="K389" s="50"/>
      <c r="L389" s="50"/>
      <c r="M389" s="50"/>
      <c r="N389" s="50"/>
      <c r="O389" s="50"/>
    </row>
    <row r="390" spans="1:15">
      <c r="A390" s="517" t="s">
        <v>8</v>
      </c>
      <c r="B390" s="518">
        <f>VLOOKUP(A390,'Materiales '!$C$2:$G$396,3,0)</f>
        <v>0</v>
      </c>
      <c r="C390" s="88">
        <f>VLOOKUP(A390,'Materiales '!$C$2:$G$396,3,0)</f>
        <v>0</v>
      </c>
      <c r="D390" s="89" t="str">
        <f>VLOOKUP(A390,'Materiales '!$C$2:$G$396,4,0)</f>
        <v>-</v>
      </c>
      <c r="E390" s="90"/>
      <c r="F390" s="508" t="e">
        <f t="shared" si="23"/>
        <v>#VALUE!</v>
      </c>
      <c r="G390" s="519"/>
      <c r="H390" s="111"/>
      <c r="I390">
        <f>E390*G370</f>
        <v>0</v>
      </c>
      <c r="J390" s="58"/>
      <c r="K390" s="50"/>
      <c r="L390" s="50"/>
      <c r="M390" s="50"/>
      <c r="N390" s="50"/>
      <c r="O390" s="50"/>
    </row>
    <row r="391" spans="1:15">
      <c r="A391" s="517" t="s">
        <v>8</v>
      </c>
      <c r="B391" s="518">
        <f>VLOOKUP(A391,'Materiales '!$C$2:$G$396,3,0)</f>
        <v>0</v>
      </c>
      <c r="C391" s="88">
        <f>VLOOKUP(A391,'Materiales '!$C$2:$G$396,3,0)</f>
        <v>0</v>
      </c>
      <c r="D391" s="89" t="str">
        <f>VLOOKUP(A391,'Materiales '!$C$2:$G$396,4,0)</f>
        <v>-</v>
      </c>
      <c r="E391" s="90"/>
      <c r="F391" s="508" t="e">
        <f t="shared" si="23"/>
        <v>#VALUE!</v>
      </c>
      <c r="G391" s="519"/>
      <c r="H391" s="111"/>
      <c r="I391">
        <f>E391*G370</f>
        <v>0</v>
      </c>
      <c r="J391" s="58"/>
      <c r="K391" s="50"/>
      <c r="L391" s="50"/>
      <c r="M391" s="50"/>
      <c r="N391" s="50"/>
      <c r="O391" s="50"/>
    </row>
    <row r="392" spans="1:15">
      <c r="A392" s="517" t="s">
        <v>8</v>
      </c>
      <c r="B392" s="518">
        <f>VLOOKUP(A392,'Materiales '!$C$2:$G$396,3,0)</f>
        <v>0</v>
      </c>
      <c r="C392" s="88">
        <f>VLOOKUP(A392,'Materiales '!$C$2:$G$396,3,0)</f>
        <v>0</v>
      </c>
      <c r="D392" s="89" t="str">
        <f>VLOOKUP(A392,'Materiales '!$C$2:$G$396,4,0)</f>
        <v>-</v>
      </c>
      <c r="E392" s="90"/>
      <c r="F392" s="508" t="e">
        <f>E392*D392</f>
        <v>#VALUE!</v>
      </c>
      <c r="G392" s="519"/>
      <c r="H392" s="110"/>
      <c r="I392">
        <f>E392*G370</f>
        <v>0</v>
      </c>
      <c r="J392" s="58"/>
      <c r="K392" s="50"/>
      <c r="L392" s="50"/>
      <c r="M392" s="50"/>
      <c r="N392" s="50"/>
      <c r="O392" s="50"/>
    </row>
    <row r="393" spans="1:15">
      <c r="A393" s="520" t="s">
        <v>4098</v>
      </c>
      <c r="B393" s="521"/>
      <c r="C393" s="521"/>
      <c r="D393" s="521"/>
      <c r="E393" s="521"/>
      <c r="F393" s="521"/>
      <c r="G393" s="522"/>
      <c r="H393" s="106" t="e">
        <f>SUM(F379:F392)</f>
        <v>#VALUE!</v>
      </c>
      <c r="J393" s="58"/>
      <c r="K393" s="50"/>
      <c r="L393" s="50"/>
      <c r="M393" s="50"/>
      <c r="N393" s="50"/>
      <c r="O393" s="50"/>
    </row>
    <row r="394" spans="1:15">
      <c r="A394" s="523" t="s">
        <v>4220</v>
      </c>
      <c r="B394" s="524"/>
      <c r="C394" s="524"/>
      <c r="D394" s="524"/>
      <c r="E394" s="525"/>
      <c r="F394" s="524"/>
      <c r="G394" s="524"/>
      <c r="H394" s="526"/>
      <c r="J394" s="58"/>
      <c r="K394" s="50"/>
      <c r="L394" s="50"/>
      <c r="M394" s="50"/>
      <c r="N394" s="50"/>
      <c r="O394" s="50"/>
    </row>
    <row r="395" spans="1:15">
      <c r="A395" s="527" t="s">
        <v>7</v>
      </c>
      <c r="B395" s="528"/>
      <c r="C395" s="98" t="s">
        <v>4221</v>
      </c>
      <c r="D395" s="97" t="s">
        <v>4222</v>
      </c>
      <c r="E395" s="187" t="s">
        <v>4223</v>
      </c>
      <c r="F395" s="529" t="s">
        <v>4207</v>
      </c>
      <c r="G395" s="529"/>
      <c r="H395" s="109"/>
      <c r="K395" s="50"/>
      <c r="L395" s="50"/>
      <c r="M395" s="50"/>
      <c r="N395" s="50"/>
      <c r="O395" s="50"/>
    </row>
    <row r="396" spans="1:15">
      <c r="A396" s="506" t="s">
        <v>3928</v>
      </c>
      <c r="B396" s="507"/>
      <c r="C396" s="213">
        <v>1</v>
      </c>
      <c r="D396" s="92">
        <v>0.03</v>
      </c>
      <c r="E396" s="93" t="str">
        <f>VLOOKUP(A396,'Equip, Herr y Transp'!$B$2:$E$217,3,0)</f>
        <v>TR</v>
      </c>
      <c r="F396" s="530" t="e">
        <f>E396*D396*C396</f>
        <v>#VALUE!</v>
      </c>
      <c r="G396" s="531"/>
      <c r="H396" s="107"/>
      <c r="M396" s="50"/>
    </row>
    <row r="397" spans="1:15">
      <c r="A397" s="532" t="s">
        <v>4205</v>
      </c>
      <c r="B397" s="533"/>
      <c r="C397" s="533"/>
      <c r="D397" s="533"/>
      <c r="E397" s="533"/>
      <c r="F397" s="533"/>
      <c r="G397" s="533"/>
      <c r="H397" s="95" t="e">
        <f>F396</f>
        <v>#VALUE!</v>
      </c>
    </row>
    <row r="398" spans="1:15">
      <c r="A398" s="523" t="s">
        <v>4224</v>
      </c>
      <c r="B398" s="524"/>
      <c r="C398" s="524"/>
      <c r="D398" s="524"/>
      <c r="E398" s="524"/>
      <c r="F398" s="524"/>
      <c r="G398" s="524"/>
      <c r="H398" s="526"/>
    </row>
    <row r="399" spans="1:15">
      <c r="A399" s="527" t="s">
        <v>7</v>
      </c>
      <c r="B399" s="528"/>
      <c r="C399" s="96" t="s">
        <v>1</v>
      </c>
      <c r="D399" s="97" t="s">
        <v>4225</v>
      </c>
      <c r="E399" s="98" t="s">
        <v>4204</v>
      </c>
      <c r="F399" s="527" t="s">
        <v>5</v>
      </c>
      <c r="G399" s="534"/>
      <c r="H399" s="109"/>
    </row>
    <row r="400" spans="1:15">
      <c r="A400" s="506" t="s">
        <v>4191</v>
      </c>
      <c r="B400" s="507"/>
      <c r="C400" s="91">
        <v>1</v>
      </c>
      <c r="D400" s="94">
        <f>VLOOKUP(A400,'Mano Obra'!$B$2:$T$117,19,0)</f>
        <v>152456</v>
      </c>
      <c r="E400" s="218">
        <f>H363</f>
        <v>6.25E-2</v>
      </c>
      <c r="F400" s="508">
        <f>E400*D400*C400</f>
        <v>9528.5</v>
      </c>
      <c r="G400" s="509"/>
      <c r="H400" s="111"/>
      <c r="I400" s="59"/>
      <c r="J400" s="117">
        <f>((('Mano Obra'!$M$4/30)*F400)/D400)*G370</f>
        <v>0</v>
      </c>
    </row>
    <row r="401" spans="1:10">
      <c r="A401" s="510" t="s">
        <v>4192</v>
      </c>
      <c r="B401" s="511">
        <f>VLOOKUP(A401,'Mano Obra'!$B$3:$D$290,2,0)</f>
        <v>1900000</v>
      </c>
      <c r="C401" s="91">
        <v>1</v>
      </c>
      <c r="D401" s="94">
        <f>VLOOKUP(A401,'Mano Obra'!$B$2:$T$117,19,0)</f>
        <v>110488</v>
      </c>
      <c r="E401" s="218">
        <f>H363</f>
        <v>6.25E-2</v>
      </c>
      <c r="F401" s="508">
        <f t="shared" ref="F401:F402" si="24">E401*D401*C401</f>
        <v>6905.5</v>
      </c>
      <c r="G401" s="509"/>
      <c r="H401" s="111"/>
      <c r="J401" s="117">
        <f>((('Mano Obra'!$M$5/30)*F401)/D401)*G370</f>
        <v>0</v>
      </c>
    </row>
    <row r="402" spans="1:10">
      <c r="A402" s="510" t="s">
        <v>4181</v>
      </c>
      <c r="B402" s="511">
        <f>VLOOKUP(A402,'Mano Obra'!$B$3:$D$290,2,0)</f>
        <v>1000000</v>
      </c>
      <c r="C402" s="91">
        <v>1</v>
      </c>
      <c r="D402" s="94">
        <f>VLOOKUP(A402,'Mano Obra'!$B$2:$T$117,19,0)</f>
        <v>67424</v>
      </c>
      <c r="E402" s="218">
        <f>H363</f>
        <v>6.25E-2</v>
      </c>
      <c r="F402" s="508">
        <f t="shared" si="24"/>
        <v>4214</v>
      </c>
      <c r="G402" s="509"/>
      <c r="H402" s="110"/>
      <c r="J402" s="117">
        <f>((('Mano Obra'!$M$6/30)*F402)/D402)*G370</f>
        <v>0</v>
      </c>
    </row>
    <row r="403" spans="1:10">
      <c r="A403" s="512" t="s">
        <v>4100</v>
      </c>
      <c r="B403" s="512"/>
      <c r="C403" s="512"/>
      <c r="D403" s="512"/>
      <c r="E403" s="512"/>
      <c r="F403" s="512"/>
      <c r="G403" s="512"/>
      <c r="H403" s="95">
        <f>SUM(F400:F402)</f>
        <v>20648</v>
      </c>
      <c r="J403" s="117"/>
    </row>
    <row r="404" spans="1:10">
      <c r="A404" s="208" t="s">
        <v>4226</v>
      </c>
      <c r="B404" s="186"/>
      <c r="C404" s="186"/>
      <c r="D404" s="183"/>
      <c r="E404" s="184"/>
      <c r="F404" s="185"/>
      <c r="G404" s="184"/>
      <c r="H404" s="193"/>
    </row>
    <row r="405" spans="1:10">
      <c r="A405" s="513" t="s">
        <v>4213</v>
      </c>
      <c r="B405" s="514"/>
      <c r="C405" s="514"/>
      <c r="D405" s="514"/>
      <c r="E405" s="181"/>
      <c r="F405" s="182" t="s">
        <v>4227</v>
      </c>
      <c r="G405" s="181" t="s">
        <v>4228</v>
      </c>
      <c r="H405" s="194"/>
    </row>
    <row r="406" spans="1:10">
      <c r="A406" s="204" t="s">
        <v>4096</v>
      </c>
      <c r="B406" s="62"/>
      <c r="C406" s="62"/>
      <c r="D406" s="63"/>
      <c r="E406" s="68"/>
      <c r="F406" s="69">
        <v>0</v>
      </c>
      <c r="G406" s="70" t="e">
        <f>F406*H371</f>
        <v>#VALUE!</v>
      </c>
      <c r="H406" s="193"/>
    </row>
    <row r="407" spans="1:10">
      <c r="A407" s="205" t="s">
        <v>4229</v>
      </c>
      <c r="B407" s="71"/>
      <c r="C407" s="71"/>
      <c r="D407" s="72"/>
      <c r="E407" s="68"/>
      <c r="F407" s="69">
        <v>0</v>
      </c>
      <c r="G407" s="70" t="e">
        <f>F407*H371</f>
        <v>#VALUE!</v>
      </c>
      <c r="H407" s="193"/>
    </row>
    <row r="408" spans="1:10">
      <c r="A408" s="205" t="s">
        <v>4</v>
      </c>
      <c r="B408" s="71"/>
      <c r="C408" s="71"/>
      <c r="D408" s="72"/>
      <c r="E408" s="68"/>
      <c r="F408" s="69">
        <v>0</v>
      </c>
      <c r="G408" s="70" t="e">
        <f>F408*H371</f>
        <v>#VALUE!</v>
      </c>
      <c r="H408" s="193"/>
    </row>
    <row r="409" spans="1:10">
      <c r="A409" s="206"/>
      <c r="B409" s="73"/>
      <c r="C409" s="65"/>
      <c r="D409" s="74"/>
      <c r="E409" s="75"/>
      <c r="F409" s="76"/>
      <c r="G409" s="77"/>
      <c r="H409" s="195"/>
    </row>
    <row r="410" spans="1:10">
      <c r="A410" s="207"/>
      <c r="B410" s="73"/>
      <c r="C410" s="73"/>
      <c r="D410" s="74"/>
      <c r="E410" s="78"/>
      <c r="F410" s="515" t="s">
        <v>4230</v>
      </c>
      <c r="G410" s="516"/>
      <c r="H410" s="214" t="e">
        <f>H371+G406+G407+G408</f>
        <v>#VALUE!</v>
      </c>
    </row>
    <row r="412" spans="1:10">
      <c r="A412" s="80"/>
      <c r="B412" s="80"/>
      <c r="C412" s="80"/>
      <c r="D412" s="80"/>
      <c r="E412" s="80"/>
      <c r="F412" s="80"/>
      <c r="G412" s="80"/>
      <c r="H412" s="353"/>
    </row>
    <row r="413" spans="1:10">
      <c r="A413" s="537" t="s">
        <v>4214</v>
      </c>
      <c r="B413" s="538"/>
      <c r="C413" s="538"/>
      <c r="D413" s="538"/>
      <c r="E413" s="538"/>
      <c r="F413" s="538"/>
      <c r="G413" s="538"/>
      <c r="H413" s="539"/>
    </row>
    <row r="414" spans="1:10">
      <c r="A414" s="81"/>
      <c r="B414" s="82"/>
      <c r="C414" s="82"/>
      <c r="D414" s="82"/>
      <c r="E414" s="82"/>
      <c r="F414" s="83"/>
      <c r="G414" s="84"/>
      <c r="H414" s="352">
        <f>ROUND((45/60)/8,4)</f>
        <v>9.3799999999999994E-2</v>
      </c>
      <c r="I414" s="105"/>
    </row>
    <row r="415" spans="1:10">
      <c r="A415" s="540" t="s">
        <v>4209</v>
      </c>
      <c r="B415" s="542" t="str">
        <f>COSTOS!$C$14</f>
        <v>MODERNIZACION A TECNOLOGIA LED</v>
      </c>
      <c r="C415" s="542"/>
      <c r="D415" s="542"/>
      <c r="E415" s="542"/>
      <c r="F415" s="542"/>
      <c r="G415" s="542"/>
      <c r="H415" s="543" t="s">
        <v>4210</v>
      </c>
    </row>
    <row r="416" spans="1:10">
      <c r="A416" s="541"/>
      <c r="B416" s="542"/>
      <c r="C416" s="542"/>
      <c r="D416" s="542"/>
      <c r="E416" s="542"/>
      <c r="F416" s="542"/>
      <c r="G416" s="542"/>
      <c r="H416" s="543"/>
    </row>
    <row r="417" spans="1:15">
      <c r="A417" s="541"/>
      <c r="B417" s="542"/>
      <c r="C417" s="542"/>
      <c r="D417" s="542"/>
      <c r="E417" s="542"/>
      <c r="F417" s="542"/>
      <c r="G417" s="542"/>
      <c r="H417" s="543"/>
    </row>
    <row r="418" spans="1:15" ht="15" customHeight="1">
      <c r="A418" s="541"/>
      <c r="B418" s="542"/>
      <c r="C418" s="542"/>
      <c r="D418" s="542"/>
      <c r="E418" s="542"/>
      <c r="F418" s="542"/>
      <c r="G418" s="542"/>
      <c r="H418" s="197">
        <f ca="1">TODAY()</f>
        <v>44889</v>
      </c>
      <c r="K418" t="s">
        <v>4380</v>
      </c>
      <c r="L418" t="s">
        <v>4381</v>
      </c>
      <c r="M418" t="s">
        <v>4382</v>
      </c>
      <c r="N418" t="s">
        <v>4383</v>
      </c>
    </row>
    <row r="419" spans="1:15" ht="60.75" customHeight="1">
      <c r="A419" s="209" t="s">
        <v>4211</v>
      </c>
      <c r="B419" s="544" t="str">
        <f>COSTOS!$D$16</f>
        <v>Luminarias</v>
      </c>
      <c r="C419" s="544"/>
      <c r="D419" s="544"/>
      <c r="E419" s="544"/>
      <c r="F419" s="544"/>
      <c r="G419" s="60" t="s">
        <v>4212</v>
      </c>
      <c r="H419" s="359">
        <v>1.8</v>
      </c>
      <c r="K419" s="55" t="e">
        <f>H444</f>
        <v>#VALUE!</v>
      </c>
      <c r="L419" s="55">
        <f>H454</f>
        <v>30988.518400000001</v>
      </c>
      <c r="M419" s="55" t="e">
        <f>H427</f>
        <v>#VALUE!</v>
      </c>
      <c r="N419" s="55" t="e">
        <f>H448</f>
        <v>#VALUE!</v>
      </c>
    </row>
    <row r="420" spans="1:15" ht="43.2" customHeight="1">
      <c r="A420" s="210" t="s">
        <v>4213</v>
      </c>
      <c r="B420" s="545" t="str">
        <f>VLOOKUP(H419,COSTOS!C:M,2,0)</f>
        <v>Farol LED 31w</v>
      </c>
      <c r="C420" s="546"/>
      <c r="D420" s="546"/>
      <c r="E420" s="547"/>
      <c r="F420" s="61" t="s">
        <v>0</v>
      </c>
      <c r="G420" s="328" t="str">
        <f>VLOOKUP(H419,COSTOS!C:M,8,0)</f>
        <v>Und</v>
      </c>
      <c r="H420" s="248"/>
      <c r="I420" s="278"/>
      <c r="J420" s="280"/>
      <c r="K420" s="280"/>
      <c r="L420" s="280"/>
    </row>
    <row r="421" spans="1:15">
      <c r="A421" s="211"/>
      <c r="B421" s="102"/>
      <c r="C421" s="102"/>
      <c r="D421" s="102"/>
      <c r="E421" s="103"/>
      <c r="F421" s="104" t="s">
        <v>1</v>
      </c>
      <c r="G421" s="328">
        <f>VLOOKUP(H419,COSTOS!C:M,9,0)</f>
        <v>0</v>
      </c>
      <c r="H421" s="329"/>
      <c r="I421" s="279"/>
    </row>
    <row r="422" spans="1:15">
      <c r="A422" s="212" t="s">
        <v>4215</v>
      </c>
      <c r="B422" s="65"/>
      <c r="C422" s="65"/>
      <c r="D422" s="66"/>
      <c r="E422" s="190"/>
      <c r="F422" s="191"/>
      <c r="G422" s="192" t="s">
        <v>4216</v>
      </c>
      <c r="H422" s="198" t="e">
        <f>H427+H444+H448+H454</f>
        <v>#VALUE!</v>
      </c>
    </row>
    <row r="423" spans="1:15" ht="41.4">
      <c r="A423" s="548" t="s">
        <v>4213</v>
      </c>
      <c r="B423" s="548"/>
      <c r="C423" s="548"/>
      <c r="D423" s="67" t="s">
        <v>0</v>
      </c>
      <c r="E423" s="188" t="s">
        <v>4217</v>
      </c>
      <c r="F423" s="189" t="s">
        <v>4204</v>
      </c>
      <c r="G423" s="64" t="s">
        <v>2</v>
      </c>
      <c r="H423" s="199" t="s">
        <v>4218</v>
      </c>
      <c r="K423" s="281"/>
    </row>
    <row r="424" spans="1:15">
      <c r="A424" s="517" t="s">
        <v>3946</v>
      </c>
      <c r="B424" s="549">
        <f>VLOOKUP(A424,'Equip, Herr y Transp'!$B$2:$E$738,2,0)</f>
        <v>2</v>
      </c>
      <c r="C424" s="549"/>
      <c r="D424" s="85">
        <f>VLOOKUP(A424,'Equip, Herr y Transp'!$B$2:$E$217,2,0)</f>
        <v>2</v>
      </c>
      <c r="E424" s="85" t="str">
        <f>VLOOKUP(A424,'Equip, Herr y Transp'!$B$2:$E$217,3,0)</f>
        <v>EQU</v>
      </c>
      <c r="F424" s="86">
        <f>H414</f>
        <v>9.3799999999999994E-2</v>
      </c>
      <c r="G424" s="112" t="e">
        <f>F424*E424</f>
        <v>#VALUE!</v>
      </c>
      <c r="H424" s="108"/>
    </row>
    <row r="425" spans="1:15">
      <c r="A425" s="517" t="s">
        <v>3904</v>
      </c>
      <c r="B425" s="549">
        <f>VLOOKUP(A425,'Equip, Herr y Transp'!$B$2:$E$738,2,0)</f>
        <v>2</v>
      </c>
      <c r="C425" s="549"/>
      <c r="D425" s="85">
        <f>VLOOKUP(A425,'Equip, Herr y Transp'!$B$2:$E$217,2,0)</f>
        <v>2</v>
      </c>
      <c r="E425" s="85" t="str">
        <f>VLOOKUP(A425,'Equip, Herr y Transp'!$B$2:$E$217,3,0)</f>
        <v>EQU</v>
      </c>
      <c r="F425" s="86">
        <f>H414</f>
        <v>9.3799999999999994E-2</v>
      </c>
      <c r="G425" s="112" t="e">
        <f>F425*E425</f>
        <v>#VALUE!</v>
      </c>
      <c r="H425" s="107"/>
    </row>
    <row r="426" spans="1:15">
      <c r="A426" s="517" t="s">
        <v>3937</v>
      </c>
      <c r="B426" s="549">
        <f>VLOOKUP(A426,'Equip, Herr y Transp'!$B$2:$E$738,2,0)</f>
        <v>2</v>
      </c>
      <c r="C426" s="549"/>
      <c r="D426" s="85">
        <f>VLOOKUP(A426,'Equip, Herr y Transp'!$B$2:$E$217,2,0)</f>
        <v>2</v>
      </c>
      <c r="E426" s="85" t="str">
        <f>VLOOKUP(A426,'Equip, Herr y Transp'!$B$2:$E$217,3,0)</f>
        <v>EQU</v>
      </c>
      <c r="F426" s="86">
        <f>H414</f>
        <v>9.3799999999999994E-2</v>
      </c>
      <c r="G426" s="112" t="e">
        <f>F426*E426</f>
        <v>#VALUE!</v>
      </c>
      <c r="H426" s="107"/>
    </row>
    <row r="427" spans="1:15">
      <c r="A427" s="520" t="s">
        <v>4099</v>
      </c>
      <c r="B427" s="521"/>
      <c r="C427" s="521"/>
      <c r="D427" s="521"/>
      <c r="E427" s="521"/>
      <c r="F427" s="521"/>
      <c r="G427" s="521"/>
      <c r="H427" s="87" t="e">
        <f>SUM(G424:G426)</f>
        <v>#VALUE!</v>
      </c>
    </row>
    <row r="428" spans="1:15">
      <c r="A428" s="550" t="s">
        <v>4219</v>
      </c>
      <c r="B428" s="551"/>
      <c r="C428" s="551"/>
      <c r="D428" s="551"/>
      <c r="E428" s="551"/>
      <c r="F428" s="551"/>
      <c r="G428" s="551"/>
      <c r="H428" s="552"/>
      <c r="K428" s="50"/>
      <c r="L428" s="50"/>
      <c r="M428" s="50"/>
      <c r="N428" s="50"/>
      <c r="O428" s="50"/>
    </row>
    <row r="429" spans="1:15" ht="30" customHeight="1">
      <c r="A429" s="553" t="s">
        <v>7</v>
      </c>
      <c r="B429" s="554"/>
      <c r="C429" s="99" t="s">
        <v>0</v>
      </c>
      <c r="D429" s="100" t="s">
        <v>4097</v>
      </c>
      <c r="E429" s="101" t="s">
        <v>1</v>
      </c>
      <c r="F429" s="555" t="s">
        <v>4207</v>
      </c>
      <c r="G429" s="555"/>
      <c r="H429" s="196"/>
      <c r="K429" s="50"/>
      <c r="L429" s="50"/>
      <c r="M429" s="50"/>
      <c r="N429" s="50"/>
      <c r="O429" s="50"/>
    </row>
    <row r="430" spans="1:15">
      <c r="A430" s="535" t="s">
        <v>4531</v>
      </c>
      <c r="B430" s="536"/>
      <c r="C430" s="88">
        <f>VLOOKUP(A430,'Materiales '!$C$2:$G$396,3,0)</f>
        <v>4</v>
      </c>
      <c r="D430" s="89" t="str">
        <f>VLOOKUP(A430,'Materiales '!$C$2:$G$396,4,0)</f>
        <v>Und</v>
      </c>
      <c r="E430" s="90">
        <v>1</v>
      </c>
      <c r="F430" s="508" t="e">
        <f>E430*D430</f>
        <v>#VALUE!</v>
      </c>
      <c r="G430" s="519"/>
      <c r="H430" s="111"/>
      <c r="I430">
        <f>E430*G421</f>
        <v>0</v>
      </c>
      <c r="J430" s="57"/>
      <c r="K430" s="50"/>
      <c r="L430" s="50"/>
      <c r="M430" s="50"/>
      <c r="N430" s="50"/>
      <c r="O430" s="50"/>
    </row>
    <row r="431" spans="1:15">
      <c r="A431" s="535" t="s">
        <v>4203</v>
      </c>
      <c r="B431" s="536"/>
      <c r="C431" s="88">
        <f>VLOOKUP(A431,'Materiales '!$C$2:$G$396,3,0)</f>
        <v>4</v>
      </c>
      <c r="D431" s="89" t="str">
        <f>VLOOKUP(A431,'Materiales '!$C$2:$G$396,4,0)</f>
        <v>Und</v>
      </c>
      <c r="E431" s="90">
        <v>1</v>
      </c>
      <c r="F431" s="508" t="e">
        <f t="shared" ref="F431:F437" si="25">E431*D431</f>
        <v>#VALUE!</v>
      </c>
      <c r="G431" s="519"/>
      <c r="H431" s="111"/>
      <c r="I431">
        <f>E431*G421</f>
        <v>0</v>
      </c>
      <c r="J431" s="57"/>
      <c r="K431" s="50"/>
      <c r="L431" s="50"/>
      <c r="M431" s="50"/>
      <c r="N431" s="50"/>
      <c r="O431" s="50"/>
    </row>
    <row r="432" spans="1:15">
      <c r="A432" s="517" t="s">
        <v>4463</v>
      </c>
      <c r="B432" s="518">
        <f>VLOOKUP(A432,'Materiales '!$C$2:$G$396,3,0)</f>
        <v>2</v>
      </c>
      <c r="C432" s="88">
        <f>VLOOKUP(A432,'Materiales '!$C$2:$G$396,3,0)</f>
        <v>2</v>
      </c>
      <c r="D432" s="89" t="str">
        <f>VLOOKUP(A432,'Materiales '!$C$2:$G$396,4,0)</f>
        <v>Ml</v>
      </c>
      <c r="E432" s="90">
        <v>1</v>
      </c>
      <c r="F432" s="508" t="e">
        <f t="shared" si="25"/>
        <v>#VALUE!</v>
      </c>
      <c r="G432" s="519"/>
      <c r="H432" s="111"/>
      <c r="I432">
        <f>E432*G421</f>
        <v>0</v>
      </c>
      <c r="J432" s="58"/>
      <c r="K432" s="50"/>
      <c r="L432" s="50"/>
      <c r="M432" s="50"/>
      <c r="N432" s="50"/>
      <c r="O432" s="50"/>
    </row>
    <row r="433" spans="1:15">
      <c r="A433" s="517" t="s">
        <v>4481</v>
      </c>
      <c r="B433" s="518">
        <f>VLOOKUP(A433,'Materiales '!$C$2:$G$396,3,0)</f>
        <v>4</v>
      </c>
      <c r="C433" s="88">
        <f>VLOOKUP(A433,'Materiales '!$C$2:$G$396,3,0)</f>
        <v>4</v>
      </c>
      <c r="D433" s="89" t="str">
        <f>VLOOKUP(A433,'Materiales '!$C$2:$G$396,4,0)</f>
        <v>Und</v>
      </c>
      <c r="E433" s="90">
        <v>3</v>
      </c>
      <c r="F433" s="508" t="e">
        <f t="shared" si="25"/>
        <v>#VALUE!</v>
      </c>
      <c r="G433" s="519"/>
      <c r="H433" s="111"/>
      <c r="I433">
        <f>E433*G421</f>
        <v>0</v>
      </c>
      <c r="J433" s="58"/>
      <c r="K433" s="50"/>
      <c r="L433" s="50"/>
      <c r="M433" s="50"/>
      <c r="N433" s="50"/>
      <c r="O433" s="50"/>
    </row>
    <row r="434" spans="1:15">
      <c r="A434" s="517" t="s">
        <v>4528</v>
      </c>
      <c r="B434" s="518">
        <f>VLOOKUP(A434,'Materiales '!$C$2:$G$396,3,0)</f>
        <v>4</v>
      </c>
      <c r="C434" s="88">
        <f>VLOOKUP(A434,'Materiales '!$C$2:$G$396,3,0)</f>
        <v>4</v>
      </c>
      <c r="D434" s="89" t="str">
        <f>VLOOKUP(A434,'Materiales '!$C$2:$G$396,4,0)</f>
        <v>Und</v>
      </c>
      <c r="E434" s="90">
        <v>2</v>
      </c>
      <c r="F434" s="508" t="e">
        <f t="shared" si="25"/>
        <v>#VALUE!</v>
      </c>
      <c r="G434" s="519"/>
      <c r="H434" s="111"/>
      <c r="I434">
        <f>E434*G421</f>
        <v>0</v>
      </c>
      <c r="J434" s="58"/>
      <c r="K434" s="50"/>
      <c r="L434" s="50"/>
      <c r="M434" s="50"/>
      <c r="N434" s="50"/>
      <c r="O434" s="50"/>
    </row>
    <row r="435" spans="1:15">
      <c r="A435" s="517" t="s">
        <v>4439</v>
      </c>
      <c r="B435" s="518">
        <f>VLOOKUP(A435,'Materiales '!$C$2:$G$396,3,0)</f>
        <v>2</v>
      </c>
      <c r="C435" s="88">
        <f>VLOOKUP(A435,'Materiales '!$C$2:$G$396,3,0)</f>
        <v>2</v>
      </c>
      <c r="D435" s="89" t="str">
        <f>VLOOKUP(A435,'Materiales '!$C$2:$G$396,4,0)</f>
        <v>Ml</v>
      </c>
      <c r="E435" s="90">
        <v>8</v>
      </c>
      <c r="F435" s="508" t="e">
        <f t="shared" si="25"/>
        <v>#VALUE!</v>
      </c>
      <c r="G435" s="519"/>
      <c r="H435" s="111"/>
      <c r="I435">
        <f>E435*G421</f>
        <v>0</v>
      </c>
      <c r="J435" s="58"/>
      <c r="K435" s="50"/>
      <c r="L435" s="50"/>
      <c r="M435" s="50"/>
      <c r="N435" s="50"/>
      <c r="O435" s="50"/>
    </row>
    <row r="436" spans="1:15">
      <c r="A436" s="517" t="s">
        <v>4482</v>
      </c>
      <c r="B436" s="518">
        <f>VLOOKUP(A436,'Materiales '!$C$2:$G$396,3,0)</f>
        <v>4</v>
      </c>
      <c r="C436" s="88">
        <f>VLOOKUP(A436,'Materiales '!$C$2:$G$396,3,0)</f>
        <v>4</v>
      </c>
      <c r="D436" s="89" t="str">
        <f>VLOOKUP(A436,'Materiales '!$C$2:$G$396,4,0)</f>
        <v>Und</v>
      </c>
      <c r="E436" s="90">
        <v>3</v>
      </c>
      <c r="F436" s="508" t="e">
        <f t="shared" si="25"/>
        <v>#VALUE!</v>
      </c>
      <c r="G436" s="519"/>
      <c r="H436" s="111"/>
      <c r="I436">
        <f>E436*G421</f>
        <v>0</v>
      </c>
      <c r="J436" s="58"/>
      <c r="K436" s="50"/>
      <c r="L436" s="50"/>
      <c r="M436" s="50"/>
      <c r="N436" s="50"/>
      <c r="O436" s="50"/>
    </row>
    <row r="437" spans="1:15" ht="21.75" customHeight="1">
      <c r="A437" s="517" t="s">
        <v>8</v>
      </c>
      <c r="B437" s="518">
        <f>VLOOKUP(A437,'Materiales '!$C$2:$G$396,3,0)</f>
        <v>0</v>
      </c>
      <c r="C437" s="88">
        <f>VLOOKUP(A437,'Materiales '!$C$2:$G$396,3,0)</f>
        <v>0</v>
      </c>
      <c r="D437" s="89" t="str">
        <f>VLOOKUP(A437,'Materiales '!$C$2:$G$396,4,0)</f>
        <v>-</v>
      </c>
      <c r="E437" s="90">
        <v>0.5</v>
      </c>
      <c r="F437" s="508" t="e">
        <f t="shared" si="25"/>
        <v>#VALUE!</v>
      </c>
      <c r="G437" s="519"/>
      <c r="H437" s="111"/>
      <c r="I437">
        <f>E437*G421</f>
        <v>0</v>
      </c>
      <c r="J437" s="58"/>
      <c r="K437" s="50"/>
      <c r="L437" s="50"/>
      <c r="M437" s="50"/>
      <c r="N437" s="50"/>
      <c r="O437" s="50"/>
    </row>
    <row r="438" spans="1:15">
      <c r="A438" s="517" t="s">
        <v>8</v>
      </c>
      <c r="B438" s="518">
        <f>VLOOKUP(A438,'Materiales '!$C$2:$G$396,3,0)</f>
        <v>0</v>
      </c>
      <c r="C438" s="88">
        <f>VLOOKUP(A438,'Materiales '!$C$2:$G$396,3,0)</f>
        <v>0</v>
      </c>
      <c r="D438" s="89" t="str">
        <f>VLOOKUP(A438,'Materiales '!$C$2:$G$396,4,0)</f>
        <v>-</v>
      </c>
      <c r="E438" s="90"/>
      <c r="F438" s="508" t="e">
        <f>E438*D438</f>
        <v>#VALUE!</v>
      </c>
      <c r="G438" s="519"/>
      <c r="H438" s="110"/>
      <c r="I438">
        <f>E438*G421</f>
        <v>0</v>
      </c>
      <c r="J438" s="58"/>
      <c r="K438" s="50"/>
      <c r="L438" s="50"/>
      <c r="M438" s="50"/>
      <c r="N438" s="50"/>
      <c r="O438" s="50"/>
    </row>
    <row r="439" spans="1:15">
      <c r="A439" s="517" t="s">
        <v>8</v>
      </c>
      <c r="B439" s="518">
        <f>VLOOKUP(A439,'Materiales '!$C$2:$G$396,3,0)</f>
        <v>0</v>
      </c>
      <c r="C439" s="88">
        <f>VLOOKUP(A439,'Materiales '!$C$2:$G$396,3,0)</f>
        <v>0</v>
      </c>
      <c r="D439" s="89" t="str">
        <f>VLOOKUP(A439,'Materiales '!$C$2:$G$396,4,0)</f>
        <v>-</v>
      </c>
      <c r="E439" s="90"/>
      <c r="F439" s="508" t="e">
        <f t="shared" ref="F439:F442" si="26">E439*D439</f>
        <v>#VALUE!</v>
      </c>
      <c r="G439" s="519"/>
      <c r="H439" s="111"/>
      <c r="I439">
        <f>E439*G421</f>
        <v>0</v>
      </c>
      <c r="J439" s="58"/>
      <c r="K439" s="50"/>
      <c r="L439" s="50"/>
      <c r="M439" s="50"/>
      <c r="N439" s="50"/>
      <c r="O439" s="50"/>
    </row>
    <row r="440" spans="1:15">
      <c r="A440" s="517" t="s">
        <v>8</v>
      </c>
      <c r="B440" s="518">
        <f>VLOOKUP(A440,'Materiales '!$C$2:$G$396,3,0)</f>
        <v>0</v>
      </c>
      <c r="C440" s="88">
        <f>VLOOKUP(A440,'Materiales '!$C$2:$G$396,3,0)</f>
        <v>0</v>
      </c>
      <c r="D440" s="89" t="str">
        <f>VLOOKUP(A440,'Materiales '!$C$2:$G$396,4,0)</f>
        <v>-</v>
      </c>
      <c r="E440" s="90"/>
      <c r="F440" s="508" t="e">
        <f t="shared" si="26"/>
        <v>#VALUE!</v>
      </c>
      <c r="G440" s="519"/>
      <c r="H440" s="111"/>
      <c r="I440">
        <f>E440*G421</f>
        <v>0</v>
      </c>
      <c r="J440" s="58"/>
      <c r="K440" s="50"/>
      <c r="L440" s="50"/>
      <c r="M440" s="50"/>
      <c r="N440" s="50"/>
      <c r="O440" s="50"/>
    </row>
    <row r="441" spans="1:15">
      <c r="A441" s="517" t="s">
        <v>8</v>
      </c>
      <c r="B441" s="518">
        <f>VLOOKUP(A441,'Materiales '!$C$2:$G$396,3,0)</f>
        <v>0</v>
      </c>
      <c r="C441" s="88">
        <f>VLOOKUP(A441,'Materiales '!$C$2:$G$396,3,0)</f>
        <v>0</v>
      </c>
      <c r="D441" s="89" t="str">
        <f>VLOOKUP(A441,'Materiales '!$C$2:$G$396,4,0)</f>
        <v>-</v>
      </c>
      <c r="E441" s="90"/>
      <c r="F441" s="508" t="e">
        <f t="shared" si="26"/>
        <v>#VALUE!</v>
      </c>
      <c r="G441" s="519"/>
      <c r="H441" s="111"/>
      <c r="I441">
        <f>E441*G421</f>
        <v>0</v>
      </c>
      <c r="J441" s="58"/>
      <c r="K441" s="50"/>
      <c r="L441" s="50"/>
      <c r="M441" s="50"/>
      <c r="N441" s="50"/>
      <c r="O441" s="50"/>
    </row>
    <row r="442" spans="1:15">
      <c r="A442" s="517" t="s">
        <v>8</v>
      </c>
      <c r="B442" s="518">
        <f>VLOOKUP(A442,'Materiales '!$C$2:$G$396,3,0)</f>
        <v>0</v>
      </c>
      <c r="C442" s="88">
        <f>VLOOKUP(A442,'Materiales '!$C$2:$G$396,3,0)</f>
        <v>0</v>
      </c>
      <c r="D442" s="89" t="str">
        <f>VLOOKUP(A442,'Materiales '!$C$2:$G$396,4,0)</f>
        <v>-</v>
      </c>
      <c r="E442" s="90"/>
      <c r="F442" s="508" t="e">
        <f t="shared" si="26"/>
        <v>#VALUE!</v>
      </c>
      <c r="G442" s="519"/>
      <c r="H442" s="111"/>
      <c r="I442">
        <f>E442*G421</f>
        <v>0</v>
      </c>
      <c r="J442" s="58"/>
      <c r="K442" s="50"/>
      <c r="L442" s="50"/>
      <c r="M442" s="50"/>
      <c r="N442" s="50"/>
      <c r="O442" s="50"/>
    </row>
    <row r="443" spans="1:15">
      <c r="A443" s="517" t="s">
        <v>8</v>
      </c>
      <c r="B443" s="518">
        <f>VLOOKUP(A443,'Materiales '!$C$2:$G$396,3,0)</f>
        <v>0</v>
      </c>
      <c r="C443" s="88">
        <f>VLOOKUP(A443,'Materiales '!$C$2:$G$396,3,0)</f>
        <v>0</v>
      </c>
      <c r="D443" s="89" t="str">
        <f>VLOOKUP(A443,'Materiales '!$C$2:$G$396,4,0)</f>
        <v>-</v>
      </c>
      <c r="E443" s="90"/>
      <c r="F443" s="508" t="e">
        <f>E443*D443</f>
        <v>#VALUE!</v>
      </c>
      <c r="G443" s="519"/>
      <c r="H443" s="110"/>
      <c r="I443">
        <f>E443*G421</f>
        <v>0</v>
      </c>
      <c r="J443" s="58"/>
      <c r="K443" s="50"/>
      <c r="L443" s="50"/>
      <c r="M443" s="50"/>
      <c r="N443" s="50"/>
      <c r="O443" s="50"/>
    </row>
    <row r="444" spans="1:15">
      <c r="A444" s="520" t="s">
        <v>4098</v>
      </c>
      <c r="B444" s="521"/>
      <c r="C444" s="521"/>
      <c r="D444" s="521"/>
      <c r="E444" s="521"/>
      <c r="F444" s="521"/>
      <c r="G444" s="522"/>
      <c r="H444" s="106" t="e">
        <f>SUM(F430:F443)</f>
        <v>#VALUE!</v>
      </c>
      <c r="J444" s="58"/>
      <c r="K444" s="50"/>
      <c r="L444" s="50"/>
      <c r="M444" s="50"/>
      <c r="N444" s="50"/>
      <c r="O444" s="50"/>
    </row>
    <row r="445" spans="1:15">
      <c r="A445" s="523" t="s">
        <v>4220</v>
      </c>
      <c r="B445" s="524"/>
      <c r="C445" s="524"/>
      <c r="D445" s="524"/>
      <c r="E445" s="525"/>
      <c r="F445" s="524"/>
      <c r="G445" s="524"/>
      <c r="H445" s="526"/>
      <c r="J445" s="58"/>
      <c r="K445" s="50"/>
      <c r="L445" s="50"/>
      <c r="M445" s="50"/>
      <c r="N445" s="50"/>
      <c r="O445" s="50"/>
    </row>
    <row r="446" spans="1:15">
      <c r="A446" s="527" t="s">
        <v>7</v>
      </c>
      <c r="B446" s="528"/>
      <c r="C446" s="98" t="s">
        <v>4221</v>
      </c>
      <c r="D446" s="97" t="s">
        <v>4222</v>
      </c>
      <c r="E446" s="187" t="s">
        <v>4223</v>
      </c>
      <c r="F446" s="529" t="s">
        <v>4207</v>
      </c>
      <c r="G446" s="529"/>
      <c r="H446" s="109"/>
      <c r="K446" s="50"/>
      <c r="L446" s="50"/>
      <c r="M446" s="50"/>
      <c r="N446" s="50"/>
      <c r="O446" s="50"/>
    </row>
    <row r="447" spans="1:15">
      <c r="A447" s="506" t="s">
        <v>3928</v>
      </c>
      <c r="B447" s="507"/>
      <c r="C447" s="213">
        <v>1</v>
      </c>
      <c r="D447" s="92">
        <v>0.03</v>
      </c>
      <c r="E447" s="93" t="str">
        <f>VLOOKUP(A447,'Equip, Herr y Transp'!$B$2:$E$217,3,0)</f>
        <v>TR</v>
      </c>
      <c r="F447" s="530" t="e">
        <f>E447*D447*C447</f>
        <v>#VALUE!</v>
      </c>
      <c r="G447" s="531"/>
      <c r="H447" s="107"/>
      <c r="M447" s="50"/>
    </row>
    <row r="448" spans="1:15">
      <c r="A448" s="532" t="s">
        <v>4205</v>
      </c>
      <c r="B448" s="533"/>
      <c r="C448" s="533"/>
      <c r="D448" s="533"/>
      <c r="E448" s="533"/>
      <c r="F448" s="533"/>
      <c r="G448" s="533"/>
      <c r="H448" s="95" t="e">
        <f>F447</f>
        <v>#VALUE!</v>
      </c>
    </row>
    <row r="449" spans="1:10">
      <c r="A449" s="523" t="s">
        <v>4224</v>
      </c>
      <c r="B449" s="524"/>
      <c r="C449" s="524"/>
      <c r="D449" s="524"/>
      <c r="E449" s="524"/>
      <c r="F449" s="524"/>
      <c r="G449" s="524"/>
      <c r="H449" s="526"/>
    </row>
    <row r="450" spans="1:10">
      <c r="A450" s="527" t="s">
        <v>7</v>
      </c>
      <c r="B450" s="528"/>
      <c r="C450" s="96" t="s">
        <v>1</v>
      </c>
      <c r="D450" s="97" t="s">
        <v>4225</v>
      </c>
      <c r="E450" s="98" t="s">
        <v>4204</v>
      </c>
      <c r="F450" s="527" t="s">
        <v>5</v>
      </c>
      <c r="G450" s="534"/>
      <c r="H450" s="109"/>
    </row>
    <row r="451" spans="1:10">
      <c r="A451" s="506" t="s">
        <v>4191</v>
      </c>
      <c r="B451" s="507"/>
      <c r="C451" s="91">
        <v>1</v>
      </c>
      <c r="D451" s="94">
        <f>VLOOKUP(A451,'Mano Obra'!$B$2:$T$117,19,0)</f>
        <v>152456</v>
      </c>
      <c r="E451" s="218">
        <f>H414</f>
        <v>9.3799999999999994E-2</v>
      </c>
      <c r="F451" s="508">
        <f>E451*D451*C451</f>
        <v>14300.372799999999</v>
      </c>
      <c r="G451" s="509"/>
      <c r="H451" s="111"/>
      <c r="I451" s="59"/>
      <c r="J451" s="117">
        <f>((('Mano Obra'!$M$4/30)*F451)/D451)*G421</f>
        <v>0</v>
      </c>
    </row>
    <row r="452" spans="1:10">
      <c r="A452" s="510" t="s">
        <v>4192</v>
      </c>
      <c r="B452" s="511">
        <f>VLOOKUP(A452,'Mano Obra'!$B$3:$D$290,2,0)</f>
        <v>1900000</v>
      </c>
      <c r="C452" s="91">
        <v>1</v>
      </c>
      <c r="D452" s="94">
        <f>VLOOKUP(A452,'Mano Obra'!$B$2:$T$117,19,0)</f>
        <v>110488</v>
      </c>
      <c r="E452" s="218">
        <f>H414</f>
        <v>9.3799999999999994E-2</v>
      </c>
      <c r="F452" s="508">
        <f t="shared" ref="F452:F453" si="27">E452*D452*C452</f>
        <v>10363.7744</v>
      </c>
      <c r="G452" s="509"/>
      <c r="H452" s="111"/>
      <c r="J452" s="117">
        <f>((('Mano Obra'!$M$5/30)*F452)/D452)*G421</f>
        <v>0</v>
      </c>
    </row>
    <row r="453" spans="1:10">
      <c r="A453" s="510" t="s">
        <v>4181</v>
      </c>
      <c r="B453" s="511">
        <f>VLOOKUP(A453,'Mano Obra'!$B$3:$D$290,2,0)</f>
        <v>1000000</v>
      </c>
      <c r="C453" s="91">
        <v>1</v>
      </c>
      <c r="D453" s="94">
        <f>VLOOKUP(A453,'Mano Obra'!$B$2:$T$117,19,0)</f>
        <v>67424</v>
      </c>
      <c r="E453" s="218">
        <f>H414</f>
        <v>9.3799999999999994E-2</v>
      </c>
      <c r="F453" s="508">
        <f t="shared" si="27"/>
        <v>6324.3711999999996</v>
      </c>
      <c r="G453" s="509"/>
      <c r="H453" s="110"/>
      <c r="J453" s="117">
        <f>((('Mano Obra'!$M$6/30)*F453)/D453)*G421</f>
        <v>0</v>
      </c>
    </row>
    <row r="454" spans="1:10">
      <c r="A454" s="512" t="s">
        <v>4100</v>
      </c>
      <c r="B454" s="512"/>
      <c r="C454" s="512"/>
      <c r="D454" s="512"/>
      <c r="E454" s="512"/>
      <c r="F454" s="512"/>
      <c r="G454" s="512"/>
      <c r="H454" s="95">
        <f>SUM(F451:F453)</f>
        <v>30988.518400000001</v>
      </c>
      <c r="J454" s="117"/>
    </row>
    <row r="455" spans="1:10">
      <c r="A455" s="208" t="s">
        <v>4226</v>
      </c>
      <c r="B455" s="186"/>
      <c r="C455" s="186"/>
      <c r="D455" s="183"/>
      <c r="E455" s="184"/>
      <c r="F455" s="185"/>
      <c r="G455" s="184"/>
      <c r="H455" s="193"/>
    </row>
    <row r="456" spans="1:10">
      <c r="A456" s="513" t="s">
        <v>4213</v>
      </c>
      <c r="B456" s="514"/>
      <c r="C456" s="514"/>
      <c r="D456" s="514"/>
      <c r="E456" s="181"/>
      <c r="F456" s="182" t="s">
        <v>4227</v>
      </c>
      <c r="G456" s="181" t="s">
        <v>4228</v>
      </c>
      <c r="H456" s="194"/>
    </row>
    <row r="457" spans="1:10">
      <c r="A457" s="204" t="s">
        <v>4096</v>
      </c>
      <c r="B457" s="62"/>
      <c r="C457" s="62"/>
      <c r="D457" s="63"/>
      <c r="E457" s="68"/>
      <c r="F457" s="69">
        <v>0</v>
      </c>
      <c r="G457" s="70" t="e">
        <f>F457*H422</f>
        <v>#VALUE!</v>
      </c>
      <c r="H457" s="193"/>
    </row>
    <row r="458" spans="1:10">
      <c r="A458" s="205" t="s">
        <v>4229</v>
      </c>
      <c r="B458" s="71"/>
      <c r="C458" s="71"/>
      <c r="D458" s="72"/>
      <c r="E458" s="68"/>
      <c r="F458" s="69">
        <v>0</v>
      </c>
      <c r="G458" s="70" t="e">
        <f>F458*H422</f>
        <v>#VALUE!</v>
      </c>
      <c r="H458" s="193"/>
    </row>
    <row r="459" spans="1:10">
      <c r="A459" s="205" t="s">
        <v>4</v>
      </c>
      <c r="B459" s="71"/>
      <c r="C459" s="71"/>
      <c r="D459" s="72"/>
      <c r="E459" s="68"/>
      <c r="F459" s="69">
        <v>0</v>
      </c>
      <c r="G459" s="70" t="e">
        <f>F459*H422</f>
        <v>#VALUE!</v>
      </c>
      <c r="H459" s="193"/>
    </row>
    <row r="460" spans="1:10">
      <c r="A460" s="206"/>
      <c r="B460" s="73"/>
      <c r="C460" s="65"/>
      <c r="D460" s="74"/>
      <c r="E460" s="75"/>
      <c r="F460" s="76"/>
      <c r="G460" s="77"/>
      <c r="H460" s="195"/>
    </row>
    <row r="461" spans="1:10">
      <c r="A461" s="207"/>
      <c r="B461" s="73"/>
      <c r="C461" s="73"/>
      <c r="D461" s="74"/>
      <c r="E461" s="78"/>
      <c r="F461" s="515" t="s">
        <v>4230</v>
      </c>
      <c r="G461" s="516"/>
      <c r="H461" s="214" t="e">
        <f>H422+G457+G458+G459</f>
        <v>#VALUE!</v>
      </c>
    </row>
    <row r="463" spans="1:10">
      <c r="A463" s="80"/>
      <c r="B463" s="80"/>
      <c r="C463" s="80"/>
      <c r="D463" s="80"/>
      <c r="E463" s="80"/>
      <c r="F463" s="80"/>
      <c r="G463" s="80"/>
      <c r="H463" s="353"/>
    </row>
    <row r="464" spans="1:10">
      <c r="A464" s="537" t="s">
        <v>4214</v>
      </c>
      <c r="B464" s="538"/>
      <c r="C464" s="538"/>
      <c r="D464" s="538"/>
      <c r="E464" s="538"/>
      <c r="F464" s="538"/>
      <c r="G464" s="538"/>
      <c r="H464" s="539"/>
    </row>
    <row r="465" spans="1:15">
      <c r="A465" s="81"/>
      <c r="B465" s="82"/>
      <c r="C465" s="82"/>
      <c r="D465" s="82"/>
      <c r="E465" s="82"/>
      <c r="F465" s="83"/>
      <c r="G465" s="84"/>
      <c r="H465" s="352">
        <f>ROUND((45/60)/8,4)</f>
        <v>9.3799999999999994E-2</v>
      </c>
      <c r="I465" s="105"/>
    </row>
    <row r="466" spans="1:15">
      <c r="A466" s="540" t="s">
        <v>4209</v>
      </c>
      <c r="B466" s="542" t="str">
        <f>COSTOS!$C$14</f>
        <v>MODERNIZACION A TECNOLOGIA LED</v>
      </c>
      <c r="C466" s="542"/>
      <c r="D466" s="542"/>
      <c r="E466" s="542"/>
      <c r="F466" s="542"/>
      <c r="G466" s="542"/>
      <c r="H466" s="543" t="s">
        <v>4210</v>
      </c>
    </row>
    <row r="467" spans="1:15">
      <c r="A467" s="541"/>
      <c r="B467" s="542"/>
      <c r="C467" s="542"/>
      <c r="D467" s="542"/>
      <c r="E467" s="542"/>
      <c r="F467" s="542"/>
      <c r="G467" s="542"/>
      <c r="H467" s="543"/>
    </row>
    <row r="468" spans="1:15">
      <c r="A468" s="541"/>
      <c r="B468" s="542"/>
      <c r="C468" s="542"/>
      <c r="D468" s="542"/>
      <c r="E468" s="542"/>
      <c r="F468" s="542"/>
      <c r="G468" s="542"/>
      <c r="H468" s="543"/>
    </row>
    <row r="469" spans="1:15" ht="15" customHeight="1">
      <c r="A469" s="541"/>
      <c r="B469" s="542"/>
      <c r="C469" s="542"/>
      <c r="D469" s="542"/>
      <c r="E469" s="542"/>
      <c r="F469" s="542"/>
      <c r="G469" s="542"/>
      <c r="H469" s="197">
        <f ca="1">TODAY()</f>
        <v>44889</v>
      </c>
      <c r="K469" t="s">
        <v>4380</v>
      </c>
      <c r="L469" t="s">
        <v>4381</v>
      </c>
      <c r="M469" t="s">
        <v>4382</v>
      </c>
      <c r="N469" t="s">
        <v>4383</v>
      </c>
    </row>
    <row r="470" spans="1:15" ht="60.75" customHeight="1">
      <c r="A470" s="209" t="s">
        <v>4211</v>
      </c>
      <c r="B470" s="544" t="str">
        <f>COSTOS!$D$16</f>
        <v>Luminarias</v>
      </c>
      <c r="C470" s="544"/>
      <c r="D470" s="544"/>
      <c r="E470" s="544"/>
      <c r="F470" s="544"/>
      <c r="G470" s="60" t="s">
        <v>4212</v>
      </c>
      <c r="H470" s="359">
        <v>1.9</v>
      </c>
      <c r="K470" s="55" t="e">
        <f>H495</f>
        <v>#VALUE!</v>
      </c>
      <c r="L470" s="55">
        <f>H505</f>
        <v>30988.518400000001</v>
      </c>
      <c r="M470" s="55" t="e">
        <f>H478</f>
        <v>#VALUE!</v>
      </c>
      <c r="N470" s="55" t="e">
        <f>H499</f>
        <v>#VALUE!</v>
      </c>
    </row>
    <row r="471" spans="1:15" ht="43.2" customHeight="1">
      <c r="A471" s="210" t="s">
        <v>4213</v>
      </c>
      <c r="B471" s="545" t="str">
        <f>VLOOKUP(H470,COSTOS!C:M,2,0)</f>
        <v>Farol LED 61w</v>
      </c>
      <c r="C471" s="546"/>
      <c r="D471" s="546"/>
      <c r="E471" s="547"/>
      <c r="F471" s="61" t="s">
        <v>0</v>
      </c>
      <c r="G471" s="328" t="str">
        <f>VLOOKUP(H470,COSTOS!C:M,8,0)</f>
        <v>Und</v>
      </c>
      <c r="H471" s="248"/>
      <c r="I471" s="278"/>
      <c r="J471" s="280"/>
      <c r="K471" s="280"/>
      <c r="L471" s="280"/>
    </row>
    <row r="472" spans="1:15">
      <c r="A472" s="211"/>
      <c r="B472" s="102"/>
      <c r="C472" s="102"/>
      <c r="D472" s="102"/>
      <c r="E472" s="103"/>
      <c r="F472" s="104" t="s">
        <v>1</v>
      </c>
      <c r="G472" s="328">
        <f>VLOOKUP(H470,COSTOS!C:M,9,0)</f>
        <v>0</v>
      </c>
      <c r="H472" s="329"/>
      <c r="I472" s="279"/>
    </row>
    <row r="473" spans="1:15">
      <c r="A473" s="212" t="s">
        <v>4215</v>
      </c>
      <c r="B473" s="65"/>
      <c r="C473" s="65"/>
      <c r="D473" s="66"/>
      <c r="E473" s="190"/>
      <c r="F473" s="191"/>
      <c r="G473" s="192" t="s">
        <v>4216</v>
      </c>
      <c r="H473" s="198" t="e">
        <f>H478+H495+H499+H505</f>
        <v>#VALUE!</v>
      </c>
    </row>
    <row r="474" spans="1:15" ht="41.4">
      <c r="A474" s="548" t="s">
        <v>4213</v>
      </c>
      <c r="B474" s="548"/>
      <c r="C474" s="548"/>
      <c r="D474" s="67" t="s">
        <v>0</v>
      </c>
      <c r="E474" s="188" t="s">
        <v>4217</v>
      </c>
      <c r="F474" s="189" t="s">
        <v>4204</v>
      </c>
      <c r="G474" s="64" t="s">
        <v>2</v>
      </c>
      <c r="H474" s="199" t="s">
        <v>4218</v>
      </c>
      <c r="K474" s="281"/>
    </row>
    <row r="475" spans="1:15">
      <c r="A475" s="517" t="s">
        <v>3946</v>
      </c>
      <c r="B475" s="549">
        <f>VLOOKUP(A475,'Equip, Herr y Transp'!$B$2:$E$738,2,0)</f>
        <v>2</v>
      </c>
      <c r="C475" s="549"/>
      <c r="D475" s="85">
        <f>VLOOKUP(A475,'Equip, Herr y Transp'!$B$2:$E$217,2,0)</f>
        <v>2</v>
      </c>
      <c r="E475" s="85" t="str">
        <f>VLOOKUP(A475,'Equip, Herr y Transp'!$B$2:$E$217,3,0)</f>
        <v>EQU</v>
      </c>
      <c r="F475" s="86">
        <f>H465</f>
        <v>9.3799999999999994E-2</v>
      </c>
      <c r="G475" s="112" t="e">
        <f>F475*E475</f>
        <v>#VALUE!</v>
      </c>
      <c r="H475" s="108"/>
    </row>
    <row r="476" spans="1:15">
      <c r="A476" s="517" t="s">
        <v>3904</v>
      </c>
      <c r="B476" s="549">
        <f>VLOOKUP(A476,'Equip, Herr y Transp'!$B$2:$E$738,2,0)</f>
        <v>2</v>
      </c>
      <c r="C476" s="549"/>
      <c r="D476" s="85">
        <f>VLOOKUP(A476,'Equip, Herr y Transp'!$B$2:$E$217,2,0)</f>
        <v>2</v>
      </c>
      <c r="E476" s="85" t="str">
        <f>VLOOKUP(A476,'Equip, Herr y Transp'!$B$2:$E$217,3,0)</f>
        <v>EQU</v>
      </c>
      <c r="F476" s="86">
        <f>H465</f>
        <v>9.3799999999999994E-2</v>
      </c>
      <c r="G476" s="112" t="e">
        <f>F476*E476</f>
        <v>#VALUE!</v>
      </c>
      <c r="H476" s="107"/>
    </row>
    <row r="477" spans="1:15">
      <c r="A477" s="517" t="s">
        <v>3937</v>
      </c>
      <c r="B477" s="549">
        <f>VLOOKUP(A477,'Equip, Herr y Transp'!$B$2:$E$738,2,0)</f>
        <v>2</v>
      </c>
      <c r="C477" s="549"/>
      <c r="D477" s="85">
        <f>VLOOKUP(A477,'Equip, Herr y Transp'!$B$2:$E$217,2,0)</f>
        <v>2</v>
      </c>
      <c r="E477" s="85" t="str">
        <f>VLOOKUP(A477,'Equip, Herr y Transp'!$B$2:$E$217,3,0)</f>
        <v>EQU</v>
      </c>
      <c r="F477" s="86">
        <f>H465</f>
        <v>9.3799999999999994E-2</v>
      </c>
      <c r="G477" s="112" t="e">
        <f>F477*E477</f>
        <v>#VALUE!</v>
      </c>
      <c r="H477" s="107"/>
    </row>
    <row r="478" spans="1:15">
      <c r="A478" s="520" t="s">
        <v>4099</v>
      </c>
      <c r="B478" s="521"/>
      <c r="C478" s="521"/>
      <c r="D478" s="521"/>
      <c r="E478" s="521"/>
      <c r="F478" s="521"/>
      <c r="G478" s="521"/>
      <c r="H478" s="87" t="e">
        <f>SUM(G475:G477)</f>
        <v>#VALUE!</v>
      </c>
    </row>
    <row r="479" spans="1:15">
      <c r="A479" s="550" t="s">
        <v>4219</v>
      </c>
      <c r="B479" s="551"/>
      <c r="C479" s="551"/>
      <c r="D479" s="551"/>
      <c r="E479" s="551"/>
      <c r="F479" s="551"/>
      <c r="G479" s="551"/>
      <c r="H479" s="552"/>
      <c r="K479" s="50"/>
      <c r="L479" s="50"/>
      <c r="M479" s="50"/>
      <c r="N479" s="50"/>
      <c r="O479" s="50"/>
    </row>
    <row r="480" spans="1:15" ht="30" customHeight="1">
      <c r="A480" s="553" t="s">
        <v>7</v>
      </c>
      <c r="B480" s="554"/>
      <c r="C480" s="99" t="s">
        <v>0</v>
      </c>
      <c r="D480" s="100" t="s">
        <v>4097</v>
      </c>
      <c r="E480" s="101" t="s">
        <v>1</v>
      </c>
      <c r="F480" s="555" t="s">
        <v>4207</v>
      </c>
      <c r="G480" s="555"/>
      <c r="H480" s="196"/>
      <c r="K480" s="50"/>
      <c r="L480" s="50"/>
      <c r="M480" s="50"/>
      <c r="N480" s="50"/>
      <c r="O480" s="50"/>
    </row>
    <row r="481" spans="1:15">
      <c r="A481" s="535" t="s">
        <v>4532</v>
      </c>
      <c r="B481" s="536"/>
      <c r="C481" s="88">
        <f>VLOOKUP(A481,'Materiales '!$C$2:$G$396,3,0)</f>
        <v>4</v>
      </c>
      <c r="D481" s="89" t="str">
        <f>VLOOKUP(A481,'Materiales '!$C$2:$G$396,4,0)</f>
        <v>Und</v>
      </c>
      <c r="E481" s="90">
        <v>1</v>
      </c>
      <c r="F481" s="508" t="e">
        <f>E481*D481</f>
        <v>#VALUE!</v>
      </c>
      <c r="G481" s="519"/>
      <c r="H481" s="111"/>
      <c r="I481">
        <f>E481*G472</f>
        <v>0</v>
      </c>
      <c r="J481" s="57"/>
      <c r="K481" s="50"/>
      <c r="L481" s="50"/>
      <c r="M481" s="50"/>
      <c r="N481" s="50"/>
      <c r="O481" s="50"/>
    </row>
    <row r="482" spans="1:15">
      <c r="A482" s="535" t="s">
        <v>4203</v>
      </c>
      <c r="B482" s="536"/>
      <c r="C482" s="88">
        <f>VLOOKUP(A482,'Materiales '!$C$2:$G$396,3,0)</f>
        <v>4</v>
      </c>
      <c r="D482" s="89" t="str">
        <f>VLOOKUP(A482,'Materiales '!$C$2:$G$396,4,0)</f>
        <v>Und</v>
      </c>
      <c r="E482" s="90">
        <v>1</v>
      </c>
      <c r="F482" s="508" t="e">
        <f t="shared" ref="F482:F488" si="28">E482*D482</f>
        <v>#VALUE!</v>
      </c>
      <c r="G482" s="519"/>
      <c r="H482" s="111"/>
      <c r="I482">
        <f>E482*G472</f>
        <v>0</v>
      </c>
      <c r="J482" s="57"/>
      <c r="K482" s="50"/>
      <c r="L482" s="50"/>
      <c r="M482" s="50"/>
      <c r="N482" s="50"/>
      <c r="O482" s="50"/>
    </row>
    <row r="483" spans="1:15">
      <c r="A483" s="517" t="s">
        <v>4463</v>
      </c>
      <c r="B483" s="518">
        <f>VLOOKUP(A483,'Materiales '!$C$2:$G$396,3,0)</f>
        <v>2</v>
      </c>
      <c r="C483" s="88">
        <f>VLOOKUP(A483,'Materiales '!$C$2:$G$396,3,0)</f>
        <v>2</v>
      </c>
      <c r="D483" s="89" t="str">
        <f>VLOOKUP(A483,'Materiales '!$C$2:$G$396,4,0)</f>
        <v>Ml</v>
      </c>
      <c r="E483" s="90">
        <v>1</v>
      </c>
      <c r="F483" s="508" t="e">
        <f t="shared" si="28"/>
        <v>#VALUE!</v>
      </c>
      <c r="G483" s="519"/>
      <c r="H483" s="111"/>
      <c r="I483">
        <f>E483*G472</f>
        <v>0</v>
      </c>
      <c r="J483" s="58"/>
      <c r="K483" s="50"/>
      <c r="L483" s="50"/>
      <c r="M483" s="50"/>
      <c r="N483" s="50"/>
      <c r="O483" s="50"/>
    </row>
    <row r="484" spans="1:15">
      <c r="A484" s="517" t="s">
        <v>4481</v>
      </c>
      <c r="B484" s="518">
        <f>VLOOKUP(A484,'Materiales '!$C$2:$G$396,3,0)</f>
        <v>4</v>
      </c>
      <c r="C484" s="88">
        <f>VLOOKUP(A484,'Materiales '!$C$2:$G$396,3,0)</f>
        <v>4</v>
      </c>
      <c r="D484" s="89" t="str">
        <f>VLOOKUP(A484,'Materiales '!$C$2:$G$396,4,0)</f>
        <v>Und</v>
      </c>
      <c r="E484" s="90">
        <v>3</v>
      </c>
      <c r="F484" s="508" t="e">
        <f t="shared" si="28"/>
        <v>#VALUE!</v>
      </c>
      <c r="G484" s="519"/>
      <c r="H484" s="111"/>
      <c r="I484">
        <f>E484*G472</f>
        <v>0</v>
      </c>
      <c r="J484" s="58"/>
      <c r="K484" s="50"/>
      <c r="L484" s="50"/>
      <c r="M484" s="50"/>
      <c r="N484" s="50"/>
      <c r="O484" s="50"/>
    </row>
    <row r="485" spans="1:15">
      <c r="A485" s="517" t="s">
        <v>4528</v>
      </c>
      <c r="B485" s="518">
        <f>VLOOKUP(A485,'Materiales '!$C$2:$G$396,3,0)</f>
        <v>4</v>
      </c>
      <c r="C485" s="88">
        <f>VLOOKUP(A485,'Materiales '!$C$2:$G$396,3,0)</f>
        <v>4</v>
      </c>
      <c r="D485" s="89" t="str">
        <f>VLOOKUP(A485,'Materiales '!$C$2:$G$396,4,0)</f>
        <v>Und</v>
      </c>
      <c r="E485" s="90">
        <v>2</v>
      </c>
      <c r="F485" s="508" t="e">
        <f t="shared" si="28"/>
        <v>#VALUE!</v>
      </c>
      <c r="G485" s="519"/>
      <c r="H485" s="111"/>
      <c r="I485">
        <f>E485*G472</f>
        <v>0</v>
      </c>
      <c r="J485" s="58"/>
      <c r="K485" s="50"/>
      <c r="L485" s="50"/>
      <c r="M485" s="50"/>
      <c r="N485" s="50"/>
      <c r="O485" s="50"/>
    </row>
    <row r="486" spans="1:15">
      <c r="A486" s="517" t="s">
        <v>4439</v>
      </c>
      <c r="B486" s="518">
        <f>VLOOKUP(A486,'Materiales '!$C$2:$G$396,3,0)</f>
        <v>2</v>
      </c>
      <c r="C486" s="88">
        <f>VLOOKUP(A486,'Materiales '!$C$2:$G$396,3,0)</f>
        <v>2</v>
      </c>
      <c r="D486" s="89" t="str">
        <f>VLOOKUP(A486,'Materiales '!$C$2:$G$396,4,0)</f>
        <v>Ml</v>
      </c>
      <c r="E486" s="90">
        <v>8</v>
      </c>
      <c r="F486" s="508" t="e">
        <f t="shared" si="28"/>
        <v>#VALUE!</v>
      </c>
      <c r="G486" s="519"/>
      <c r="H486" s="111"/>
      <c r="I486">
        <f>E486*G472</f>
        <v>0</v>
      </c>
      <c r="J486" s="58"/>
      <c r="K486" s="50"/>
      <c r="L486" s="50"/>
      <c r="M486" s="50"/>
      <c r="N486" s="50"/>
      <c r="O486" s="50"/>
    </row>
    <row r="487" spans="1:15">
      <c r="A487" s="517" t="s">
        <v>4482</v>
      </c>
      <c r="B487" s="518">
        <f>VLOOKUP(A487,'Materiales '!$C$2:$G$396,3,0)</f>
        <v>4</v>
      </c>
      <c r="C487" s="88">
        <f>VLOOKUP(A487,'Materiales '!$C$2:$G$396,3,0)</f>
        <v>4</v>
      </c>
      <c r="D487" s="89" t="str">
        <f>VLOOKUP(A487,'Materiales '!$C$2:$G$396,4,0)</f>
        <v>Und</v>
      </c>
      <c r="E487" s="90">
        <v>3</v>
      </c>
      <c r="F487" s="508" t="e">
        <f t="shared" si="28"/>
        <v>#VALUE!</v>
      </c>
      <c r="G487" s="519"/>
      <c r="H487" s="111"/>
      <c r="I487">
        <f>E487*G472</f>
        <v>0</v>
      </c>
      <c r="J487" s="58"/>
      <c r="K487" s="50"/>
      <c r="L487" s="50"/>
      <c r="M487" s="50"/>
      <c r="N487" s="50"/>
      <c r="O487" s="50"/>
    </row>
    <row r="488" spans="1:15" ht="21.75" customHeight="1">
      <c r="A488" s="517" t="s">
        <v>8</v>
      </c>
      <c r="B488" s="518">
        <f>VLOOKUP(A488,'Materiales '!$C$2:$G$396,3,0)</f>
        <v>0</v>
      </c>
      <c r="C488" s="88">
        <f>VLOOKUP(A488,'Materiales '!$C$2:$G$396,3,0)</f>
        <v>0</v>
      </c>
      <c r="D488" s="89" t="str">
        <f>VLOOKUP(A488,'Materiales '!$C$2:$G$396,4,0)</f>
        <v>-</v>
      </c>
      <c r="E488" s="90">
        <v>0.5</v>
      </c>
      <c r="F488" s="508" t="e">
        <f t="shared" si="28"/>
        <v>#VALUE!</v>
      </c>
      <c r="G488" s="519"/>
      <c r="H488" s="111"/>
      <c r="I488">
        <f>E488*G472</f>
        <v>0</v>
      </c>
      <c r="J488" s="58"/>
      <c r="K488" s="50"/>
      <c r="L488" s="50"/>
      <c r="M488" s="50"/>
      <c r="N488" s="50"/>
      <c r="O488" s="50"/>
    </row>
    <row r="489" spans="1:15">
      <c r="A489" s="517" t="s">
        <v>8</v>
      </c>
      <c r="B489" s="518">
        <f>VLOOKUP(A489,'Materiales '!$C$2:$G$396,3,0)</f>
        <v>0</v>
      </c>
      <c r="C489" s="88">
        <f>VLOOKUP(A489,'Materiales '!$C$2:$G$396,3,0)</f>
        <v>0</v>
      </c>
      <c r="D489" s="89" t="str">
        <f>VLOOKUP(A489,'Materiales '!$C$2:$G$396,4,0)</f>
        <v>-</v>
      </c>
      <c r="E489" s="90"/>
      <c r="F489" s="508" t="e">
        <f>E489*D489</f>
        <v>#VALUE!</v>
      </c>
      <c r="G489" s="519"/>
      <c r="H489" s="110"/>
      <c r="I489">
        <f>E489*G472</f>
        <v>0</v>
      </c>
      <c r="J489" s="58"/>
      <c r="K489" s="50"/>
      <c r="L489" s="50"/>
      <c r="M489" s="50"/>
      <c r="N489" s="50"/>
      <c r="O489" s="50"/>
    </row>
    <row r="490" spans="1:15">
      <c r="A490" s="517" t="s">
        <v>8</v>
      </c>
      <c r="B490" s="518">
        <f>VLOOKUP(A490,'Materiales '!$C$2:$G$396,3,0)</f>
        <v>0</v>
      </c>
      <c r="C490" s="88">
        <f>VLOOKUP(A490,'Materiales '!$C$2:$G$396,3,0)</f>
        <v>0</v>
      </c>
      <c r="D490" s="89" t="str">
        <f>VLOOKUP(A490,'Materiales '!$C$2:$G$396,4,0)</f>
        <v>-</v>
      </c>
      <c r="E490" s="90"/>
      <c r="F490" s="508" t="e">
        <f t="shared" ref="F490:F493" si="29">E490*D490</f>
        <v>#VALUE!</v>
      </c>
      <c r="G490" s="519"/>
      <c r="H490" s="111"/>
      <c r="I490">
        <f>E490*G472</f>
        <v>0</v>
      </c>
      <c r="J490" s="58"/>
      <c r="K490" s="50"/>
      <c r="L490" s="50"/>
      <c r="M490" s="50"/>
      <c r="N490" s="50"/>
      <c r="O490" s="50"/>
    </row>
    <row r="491" spans="1:15">
      <c r="A491" s="517" t="s">
        <v>8</v>
      </c>
      <c r="B491" s="518">
        <f>VLOOKUP(A491,'Materiales '!$C$2:$G$396,3,0)</f>
        <v>0</v>
      </c>
      <c r="C491" s="88">
        <f>VLOOKUP(A491,'Materiales '!$C$2:$G$396,3,0)</f>
        <v>0</v>
      </c>
      <c r="D491" s="89" t="str">
        <f>VLOOKUP(A491,'Materiales '!$C$2:$G$396,4,0)</f>
        <v>-</v>
      </c>
      <c r="E491" s="90"/>
      <c r="F491" s="508" t="e">
        <f t="shared" si="29"/>
        <v>#VALUE!</v>
      </c>
      <c r="G491" s="519"/>
      <c r="H491" s="111"/>
      <c r="I491">
        <f>E491*G472</f>
        <v>0</v>
      </c>
      <c r="J491" s="58"/>
      <c r="K491" s="50"/>
      <c r="L491" s="50"/>
      <c r="M491" s="50"/>
      <c r="N491" s="50"/>
      <c r="O491" s="50"/>
    </row>
    <row r="492" spans="1:15">
      <c r="A492" s="517" t="s">
        <v>8</v>
      </c>
      <c r="B492" s="518">
        <f>VLOOKUP(A492,'Materiales '!$C$2:$G$396,3,0)</f>
        <v>0</v>
      </c>
      <c r="C492" s="88">
        <f>VLOOKUP(A492,'Materiales '!$C$2:$G$396,3,0)</f>
        <v>0</v>
      </c>
      <c r="D492" s="89" t="str">
        <f>VLOOKUP(A492,'Materiales '!$C$2:$G$396,4,0)</f>
        <v>-</v>
      </c>
      <c r="E492" s="90"/>
      <c r="F492" s="508" t="e">
        <f t="shared" si="29"/>
        <v>#VALUE!</v>
      </c>
      <c r="G492" s="519"/>
      <c r="H492" s="111"/>
      <c r="I492">
        <f>E492*G472</f>
        <v>0</v>
      </c>
      <c r="J492" s="58"/>
      <c r="K492" s="50"/>
      <c r="L492" s="50"/>
      <c r="M492" s="50"/>
      <c r="N492" s="50"/>
      <c r="O492" s="50"/>
    </row>
    <row r="493" spans="1:15">
      <c r="A493" s="517" t="s">
        <v>8</v>
      </c>
      <c r="B493" s="518">
        <f>VLOOKUP(A493,'Materiales '!$C$2:$G$396,3,0)</f>
        <v>0</v>
      </c>
      <c r="C493" s="88">
        <f>VLOOKUP(A493,'Materiales '!$C$2:$G$396,3,0)</f>
        <v>0</v>
      </c>
      <c r="D493" s="89" t="str">
        <f>VLOOKUP(A493,'Materiales '!$C$2:$G$396,4,0)</f>
        <v>-</v>
      </c>
      <c r="E493" s="90"/>
      <c r="F493" s="508" t="e">
        <f t="shared" si="29"/>
        <v>#VALUE!</v>
      </c>
      <c r="G493" s="519"/>
      <c r="H493" s="111"/>
      <c r="I493">
        <f>E493*G472</f>
        <v>0</v>
      </c>
      <c r="J493" s="58"/>
      <c r="K493" s="50"/>
      <c r="L493" s="50"/>
      <c r="M493" s="50"/>
      <c r="N493" s="50"/>
      <c r="O493" s="50"/>
    </row>
    <row r="494" spans="1:15">
      <c r="A494" s="517" t="s">
        <v>8</v>
      </c>
      <c r="B494" s="518">
        <f>VLOOKUP(A494,'Materiales '!$C$2:$G$396,3,0)</f>
        <v>0</v>
      </c>
      <c r="C494" s="88">
        <f>VLOOKUP(A494,'Materiales '!$C$2:$G$396,3,0)</f>
        <v>0</v>
      </c>
      <c r="D494" s="89" t="str">
        <f>VLOOKUP(A494,'Materiales '!$C$2:$G$396,4,0)</f>
        <v>-</v>
      </c>
      <c r="E494" s="90"/>
      <c r="F494" s="508" t="e">
        <f>E494*D494</f>
        <v>#VALUE!</v>
      </c>
      <c r="G494" s="519"/>
      <c r="H494" s="110"/>
      <c r="I494">
        <f>E494*G472</f>
        <v>0</v>
      </c>
      <c r="J494" s="58"/>
      <c r="K494" s="50"/>
      <c r="L494" s="50"/>
      <c r="M494" s="50"/>
      <c r="N494" s="50"/>
      <c r="O494" s="50"/>
    </row>
    <row r="495" spans="1:15">
      <c r="A495" s="520" t="s">
        <v>4098</v>
      </c>
      <c r="B495" s="521"/>
      <c r="C495" s="521"/>
      <c r="D495" s="521"/>
      <c r="E495" s="521"/>
      <c r="F495" s="521"/>
      <c r="G495" s="522"/>
      <c r="H495" s="106" t="e">
        <f>SUM(F481:F494)</f>
        <v>#VALUE!</v>
      </c>
      <c r="J495" s="58"/>
      <c r="K495" s="50"/>
      <c r="L495" s="50"/>
      <c r="M495" s="50"/>
      <c r="N495" s="50"/>
      <c r="O495" s="50"/>
    </row>
    <row r="496" spans="1:15">
      <c r="A496" s="523" t="s">
        <v>4220</v>
      </c>
      <c r="B496" s="524"/>
      <c r="C496" s="524"/>
      <c r="D496" s="524"/>
      <c r="E496" s="525"/>
      <c r="F496" s="524"/>
      <c r="G496" s="524"/>
      <c r="H496" s="526"/>
      <c r="J496" s="58"/>
      <c r="K496" s="50"/>
      <c r="L496" s="50"/>
      <c r="M496" s="50"/>
      <c r="N496" s="50"/>
      <c r="O496" s="50"/>
    </row>
    <row r="497" spans="1:15">
      <c r="A497" s="527" t="s">
        <v>7</v>
      </c>
      <c r="B497" s="528"/>
      <c r="C497" s="98" t="s">
        <v>4221</v>
      </c>
      <c r="D497" s="97" t="s">
        <v>4222</v>
      </c>
      <c r="E497" s="187" t="s">
        <v>4223</v>
      </c>
      <c r="F497" s="529" t="s">
        <v>4207</v>
      </c>
      <c r="G497" s="529"/>
      <c r="H497" s="109"/>
      <c r="K497" s="50"/>
      <c r="L497" s="50"/>
      <c r="M497" s="50"/>
      <c r="N497" s="50"/>
      <c r="O497" s="50"/>
    </row>
    <row r="498" spans="1:15">
      <c r="A498" s="506" t="s">
        <v>3928</v>
      </c>
      <c r="B498" s="507"/>
      <c r="C498" s="213">
        <v>1</v>
      </c>
      <c r="D498" s="92">
        <v>0.03</v>
      </c>
      <c r="E498" s="93" t="str">
        <f>VLOOKUP(A498,'Equip, Herr y Transp'!$B$2:$E$217,3,0)</f>
        <v>TR</v>
      </c>
      <c r="F498" s="530" t="e">
        <f>E498*D498*C498</f>
        <v>#VALUE!</v>
      </c>
      <c r="G498" s="531"/>
      <c r="H498" s="107"/>
      <c r="M498" s="50"/>
    </row>
    <row r="499" spans="1:15">
      <c r="A499" s="532" t="s">
        <v>4205</v>
      </c>
      <c r="B499" s="533"/>
      <c r="C499" s="533"/>
      <c r="D499" s="533"/>
      <c r="E499" s="533"/>
      <c r="F499" s="533"/>
      <c r="G499" s="533"/>
      <c r="H499" s="95" t="e">
        <f>F498</f>
        <v>#VALUE!</v>
      </c>
    </row>
    <row r="500" spans="1:15">
      <c r="A500" s="523" t="s">
        <v>4224</v>
      </c>
      <c r="B500" s="524"/>
      <c r="C500" s="524"/>
      <c r="D500" s="524"/>
      <c r="E500" s="524"/>
      <c r="F500" s="524"/>
      <c r="G500" s="524"/>
      <c r="H500" s="526"/>
    </row>
    <row r="501" spans="1:15">
      <c r="A501" s="527" t="s">
        <v>7</v>
      </c>
      <c r="B501" s="528"/>
      <c r="C501" s="96" t="s">
        <v>1</v>
      </c>
      <c r="D501" s="97" t="s">
        <v>4225</v>
      </c>
      <c r="E501" s="98" t="s">
        <v>4204</v>
      </c>
      <c r="F501" s="527" t="s">
        <v>5</v>
      </c>
      <c r="G501" s="534"/>
      <c r="H501" s="109"/>
    </row>
    <row r="502" spans="1:15">
      <c r="A502" s="506" t="s">
        <v>4191</v>
      </c>
      <c r="B502" s="507"/>
      <c r="C502" s="91">
        <v>1</v>
      </c>
      <c r="D502" s="94">
        <f>VLOOKUP(A502,'Mano Obra'!$B$2:$T$117,19,0)</f>
        <v>152456</v>
      </c>
      <c r="E502" s="218">
        <f>H465</f>
        <v>9.3799999999999994E-2</v>
      </c>
      <c r="F502" s="508">
        <f>E502*D502*C502</f>
        <v>14300.372799999999</v>
      </c>
      <c r="G502" s="509"/>
      <c r="H502" s="111"/>
      <c r="I502" s="59"/>
      <c r="J502" s="117">
        <f>((('Mano Obra'!$M$4/30)*F502)/D502)*G472</f>
        <v>0</v>
      </c>
    </row>
    <row r="503" spans="1:15">
      <c r="A503" s="510" t="s">
        <v>4192</v>
      </c>
      <c r="B503" s="511">
        <f>VLOOKUP(A503,'Mano Obra'!$B$3:$D$290,2,0)</f>
        <v>1900000</v>
      </c>
      <c r="C503" s="91">
        <v>1</v>
      </c>
      <c r="D503" s="94">
        <f>VLOOKUP(A503,'Mano Obra'!$B$2:$T$117,19,0)</f>
        <v>110488</v>
      </c>
      <c r="E503" s="218">
        <f>H465</f>
        <v>9.3799999999999994E-2</v>
      </c>
      <c r="F503" s="508">
        <f t="shared" ref="F503:F504" si="30">E503*D503*C503</f>
        <v>10363.7744</v>
      </c>
      <c r="G503" s="509"/>
      <c r="H503" s="111"/>
      <c r="J503" s="117">
        <f>((('Mano Obra'!$M$5/30)*F503)/D503)*G472</f>
        <v>0</v>
      </c>
    </row>
    <row r="504" spans="1:15">
      <c r="A504" s="510" t="s">
        <v>4181</v>
      </c>
      <c r="B504" s="511">
        <f>VLOOKUP(A504,'Mano Obra'!$B$3:$D$290,2,0)</f>
        <v>1000000</v>
      </c>
      <c r="C504" s="91">
        <v>1</v>
      </c>
      <c r="D504" s="94">
        <f>VLOOKUP(A504,'Mano Obra'!$B$2:$T$117,19,0)</f>
        <v>67424</v>
      </c>
      <c r="E504" s="218">
        <f>H465</f>
        <v>9.3799999999999994E-2</v>
      </c>
      <c r="F504" s="508">
        <f t="shared" si="30"/>
        <v>6324.3711999999996</v>
      </c>
      <c r="G504" s="509"/>
      <c r="H504" s="110"/>
      <c r="J504" s="117">
        <f>((('Mano Obra'!$M$6/30)*F504)/D504)*G472</f>
        <v>0</v>
      </c>
    </row>
    <row r="505" spans="1:15">
      <c r="A505" s="512" t="s">
        <v>4100</v>
      </c>
      <c r="B505" s="512"/>
      <c r="C505" s="512"/>
      <c r="D505" s="512"/>
      <c r="E505" s="512"/>
      <c r="F505" s="512"/>
      <c r="G505" s="512"/>
      <c r="H505" s="95">
        <f>SUM(F502:F504)</f>
        <v>30988.518400000001</v>
      </c>
      <c r="J505" s="117"/>
    </row>
    <row r="506" spans="1:15">
      <c r="A506" s="208" t="s">
        <v>4226</v>
      </c>
      <c r="B506" s="186"/>
      <c r="C506" s="186"/>
      <c r="D506" s="183"/>
      <c r="E506" s="184"/>
      <c r="F506" s="185"/>
      <c r="G506" s="184"/>
      <c r="H506" s="193"/>
    </row>
    <row r="507" spans="1:15">
      <c r="A507" s="513" t="s">
        <v>4213</v>
      </c>
      <c r="B507" s="514"/>
      <c r="C507" s="514"/>
      <c r="D507" s="514"/>
      <c r="E507" s="181"/>
      <c r="F507" s="182" t="s">
        <v>4227</v>
      </c>
      <c r="G507" s="181" t="s">
        <v>4228</v>
      </c>
      <c r="H507" s="194"/>
    </row>
    <row r="508" spans="1:15">
      <c r="A508" s="204" t="s">
        <v>4096</v>
      </c>
      <c r="B508" s="62"/>
      <c r="C508" s="62"/>
      <c r="D508" s="63"/>
      <c r="E508" s="68"/>
      <c r="F508" s="69">
        <v>0</v>
      </c>
      <c r="G508" s="70" t="e">
        <f>F508*H473</f>
        <v>#VALUE!</v>
      </c>
      <c r="H508" s="193"/>
    </row>
    <row r="509" spans="1:15">
      <c r="A509" s="205" t="s">
        <v>4229</v>
      </c>
      <c r="B509" s="71"/>
      <c r="C509" s="71"/>
      <c r="D509" s="72"/>
      <c r="E509" s="68"/>
      <c r="F509" s="69">
        <v>0</v>
      </c>
      <c r="G509" s="70" t="e">
        <f>F509*H473</f>
        <v>#VALUE!</v>
      </c>
      <c r="H509" s="193"/>
    </row>
    <row r="510" spans="1:15">
      <c r="A510" s="205" t="s">
        <v>4</v>
      </c>
      <c r="B510" s="71"/>
      <c r="C510" s="71"/>
      <c r="D510" s="72"/>
      <c r="E510" s="68"/>
      <c r="F510" s="69">
        <v>0</v>
      </c>
      <c r="G510" s="70" t="e">
        <f>F510*H473</f>
        <v>#VALUE!</v>
      </c>
      <c r="H510" s="193"/>
    </row>
    <row r="511" spans="1:15">
      <c r="A511" s="206"/>
      <c r="B511" s="73"/>
      <c r="C511" s="65"/>
      <c r="D511" s="74"/>
      <c r="E511" s="75"/>
      <c r="F511" s="76"/>
      <c r="G511" s="77"/>
      <c r="H511" s="195"/>
    </row>
    <row r="512" spans="1:15">
      <c r="A512" s="207"/>
      <c r="B512" s="73"/>
      <c r="C512" s="73"/>
      <c r="D512" s="74"/>
      <c r="E512" s="78"/>
      <c r="F512" s="515" t="s">
        <v>4230</v>
      </c>
      <c r="G512" s="516"/>
      <c r="H512" s="214" t="e">
        <f>H473+G508+G509+G510</f>
        <v>#VALUE!</v>
      </c>
    </row>
    <row r="513" spans="1:14">
      <c r="A513" s="73"/>
      <c r="B513" s="73"/>
      <c r="C513" s="73"/>
      <c r="D513" s="74"/>
      <c r="E513" s="360"/>
      <c r="F513" s="361"/>
      <c r="G513" s="361"/>
      <c r="H513" s="362"/>
    </row>
    <row r="514" spans="1:14">
      <c r="A514" s="73"/>
      <c r="B514" s="73"/>
      <c r="C514" s="73"/>
      <c r="D514" s="74"/>
      <c r="E514" s="360"/>
      <c r="F514" s="361"/>
      <c r="G514" s="361"/>
      <c r="H514" s="362"/>
    </row>
    <row r="515" spans="1:14">
      <c r="A515" s="80"/>
      <c r="B515" s="80"/>
      <c r="C515" s="80"/>
      <c r="D515" s="80"/>
      <c r="E515" s="80"/>
      <c r="F515" s="80"/>
      <c r="G515" s="80"/>
      <c r="H515" s="353"/>
    </row>
    <row r="516" spans="1:14">
      <c r="A516" s="537" t="s">
        <v>4214</v>
      </c>
      <c r="B516" s="538"/>
      <c r="C516" s="538"/>
      <c r="D516" s="538"/>
      <c r="E516" s="538"/>
      <c r="F516" s="538"/>
      <c r="G516" s="538"/>
      <c r="H516" s="539"/>
    </row>
    <row r="517" spans="1:14">
      <c r="A517" s="81"/>
      <c r="B517" s="82"/>
      <c r="C517" s="82"/>
      <c r="D517" s="82"/>
      <c r="E517" s="82"/>
      <c r="F517" s="83"/>
      <c r="G517" s="84"/>
      <c r="H517" s="352">
        <f>ROUND((25/60)/8,4)</f>
        <v>5.21E-2</v>
      </c>
      <c r="I517" s="105"/>
    </row>
    <row r="518" spans="1:14">
      <c r="A518" s="540" t="s">
        <v>4209</v>
      </c>
      <c r="B518" s="542" t="str">
        <f>COSTOS!$C$14</f>
        <v>MODERNIZACION A TECNOLOGIA LED</v>
      </c>
      <c r="C518" s="542"/>
      <c r="D518" s="542"/>
      <c r="E518" s="542"/>
      <c r="F518" s="542"/>
      <c r="G518" s="542"/>
      <c r="H518" s="543" t="s">
        <v>4210</v>
      </c>
    </row>
    <row r="519" spans="1:14">
      <c r="A519" s="541"/>
      <c r="B519" s="542"/>
      <c r="C519" s="542"/>
      <c r="D519" s="542"/>
      <c r="E519" s="542"/>
      <c r="F519" s="542"/>
      <c r="G519" s="542"/>
      <c r="H519" s="543"/>
    </row>
    <row r="520" spans="1:14">
      <c r="A520" s="541"/>
      <c r="B520" s="542"/>
      <c r="C520" s="542"/>
      <c r="D520" s="542"/>
      <c r="E520" s="542"/>
      <c r="F520" s="542"/>
      <c r="G520" s="542"/>
      <c r="H520" s="543"/>
    </row>
    <row r="521" spans="1:14" ht="15" customHeight="1">
      <c r="A521" s="541"/>
      <c r="B521" s="542"/>
      <c r="C521" s="542"/>
      <c r="D521" s="542"/>
      <c r="E521" s="542"/>
      <c r="F521" s="542"/>
      <c r="G521" s="542"/>
      <c r="H521" s="197">
        <f ca="1">TODAY()</f>
        <v>44889</v>
      </c>
      <c r="K521" t="s">
        <v>4380</v>
      </c>
      <c r="L521" t="s">
        <v>4381</v>
      </c>
      <c r="M521" t="s">
        <v>4382</v>
      </c>
      <c r="N521" t="s">
        <v>4383</v>
      </c>
    </row>
    <row r="522" spans="1:14" ht="60.75" customHeight="1">
      <c r="A522" s="209" t="s">
        <v>4211</v>
      </c>
      <c r="B522" s="544" t="str">
        <f>COSTOS!$D$16</f>
        <v>Luminarias</v>
      </c>
      <c r="C522" s="544"/>
      <c r="D522" s="544"/>
      <c r="E522" s="544"/>
      <c r="F522" s="544"/>
      <c r="G522" s="60" t="s">
        <v>4212</v>
      </c>
      <c r="H522" s="363">
        <v>1.1100000000000001</v>
      </c>
      <c r="K522" s="55" t="e">
        <f>H547</f>
        <v>#VALUE!</v>
      </c>
      <c r="L522" s="55">
        <f>H557</f>
        <v>17212.1728</v>
      </c>
      <c r="M522" s="55" t="e">
        <f>H530</f>
        <v>#VALUE!</v>
      </c>
      <c r="N522" s="55" t="e">
        <f>H551</f>
        <v>#VALUE!</v>
      </c>
    </row>
    <row r="523" spans="1:14" ht="43.2" customHeight="1">
      <c r="A523" s="210" t="s">
        <v>4213</v>
      </c>
      <c r="B523" s="545" t="str">
        <f>VLOOKUP(H522,COSTOS!C:M,2,0)</f>
        <v>BALA LED de piso 14w, 1020lm</v>
      </c>
      <c r="C523" s="546"/>
      <c r="D523" s="546"/>
      <c r="E523" s="547"/>
      <c r="F523" s="61" t="s">
        <v>0</v>
      </c>
      <c r="G523" s="328" t="str">
        <f>VLOOKUP(H522,COSTOS!C:M,8,0)</f>
        <v>Und</v>
      </c>
      <c r="H523" s="248"/>
      <c r="I523" s="278"/>
      <c r="J523" s="280"/>
      <c r="K523" s="280"/>
      <c r="L523" s="280"/>
    </row>
    <row r="524" spans="1:14">
      <c r="A524" s="211"/>
      <c r="B524" s="102"/>
      <c r="C524" s="102"/>
      <c r="D524" s="102"/>
      <c r="E524" s="103"/>
      <c r="F524" s="104" t="s">
        <v>1</v>
      </c>
      <c r="G524" s="328">
        <f>VLOOKUP(H522,COSTOS!C:M,9,0)</f>
        <v>0</v>
      </c>
      <c r="H524" s="329"/>
      <c r="I524" s="279"/>
    </row>
    <row r="525" spans="1:14">
      <c r="A525" s="212" t="s">
        <v>4215</v>
      </c>
      <c r="B525" s="65"/>
      <c r="C525" s="65"/>
      <c r="D525" s="66"/>
      <c r="E525" s="190"/>
      <c r="F525" s="191"/>
      <c r="G525" s="192" t="s">
        <v>4216</v>
      </c>
      <c r="H525" s="198" t="e">
        <f>H530+H547+H551+H557</f>
        <v>#VALUE!</v>
      </c>
    </row>
    <row r="526" spans="1:14" ht="41.4">
      <c r="A526" s="548" t="s">
        <v>4213</v>
      </c>
      <c r="B526" s="548"/>
      <c r="C526" s="548"/>
      <c r="D526" s="67" t="s">
        <v>0</v>
      </c>
      <c r="E526" s="188" t="s">
        <v>4217</v>
      </c>
      <c r="F526" s="189" t="s">
        <v>4204</v>
      </c>
      <c r="G526" s="64" t="s">
        <v>2</v>
      </c>
      <c r="H526" s="199" t="s">
        <v>4218</v>
      </c>
      <c r="K526" s="281"/>
    </row>
    <row r="527" spans="1:14">
      <c r="A527" s="517" t="s">
        <v>3946</v>
      </c>
      <c r="B527" s="549">
        <f>VLOOKUP(A527,'Equip, Herr y Transp'!$B$2:$E$738,2,0)</f>
        <v>2</v>
      </c>
      <c r="C527" s="549"/>
      <c r="D527" s="85">
        <f>VLOOKUP(A527,'Equip, Herr y Transp'!$B$2:$E$217,2,0)</f>
        <v>2</v>
      </c>
      <c r="E527" s="85" t="str">
        <f>VLOOKUP(A527,'Equip, Herr y Transp'!$B$2:$E$217,3,0)</f>
        <v>EQU</v>
      </c>
      <c r="F527" s="86">
        <f>H517</f>
        <v>5.21E-2</v>
      </c>
      <c r="G527" s="112" t="e">
        <f>F527*E527</f>
        <v>#VALUE!</v>
      </c>
      <c r="H527" s="108"/>
    </row>
    <row r="528" spans="1:14">
      <c r="A528" s="517" t="s">
        <v>3937</v>
      </c>
      <c r="B528" s="549">
        <f>VLOOKUP(A528,'Equip, Herr y Transp'!$B$2:$E$738,2,0)</f>
        <v>2</v>
      </c>
      <c r="C528" s="549"/>
      <c r="D528" s="85">
        <f>VLOOKUP(A528,'Equip, Herr y Transp'!$B$2:$E$217,2,0)</f>
        <v>2</v>
      </c>
      <c r="E528" s="85" t="str">
        <f>VLOOKUP(A528,'Equip, Herr y Transp'!$B$2:$E$217,3,0)</f>
        <v>EQU</v>
      </c>
      <c r="F528" s="86">
        <f>H517</f>
        <v>5.21E-2</v>
      </c>
      <c r="G528" s="112" t="e">
        <f>F528*E528</f>
        <v>#VALUE!</v>
      </c>
      <c r="H528" s="107"/>
    </row>
    <row r="529" spans="1:15">
      <c r="A529" s="517" t="s">
        <v>8</v>
      </c>
      <c r="B529" s="549" t="e">
        <f>VLOOKUP(A529,'Equip, Herr y Transp'!$B$2:$E$738,2,0)</f>
        <v>#N/A</v>
      </c>
      <c r="C529" s="549"/>
      <c r="D529" s="85" t="e">
        <f>VLOOKUP(A529,'Equip, Herr y Transp'!$B$2:$E$217,2,0)</f>
        <v>#N/A</v>
      </c>
      <c r="E529" s="85" t="e">
        <f>VLOOKUP(A529,'Equip, Herr y Transp'!$B$2:$E$217,3,0)</f>
        <v>#N/A</v>
      </c>
      <c r="F529" s="86">
        <f>H517</f>
        <v>5.21E-2</v>
      </c>
      <c r="G529" s="112" t="e">
        <f>F529*E529</f>
        <v>#N/A</v>
      </c>
      <c r="H529" s="107"/>
    </row>
    <row r="530" spans="1:15">
      <c r="A530" s="520" t="s">
        <v>4099</v>
      </c>
      <c r="B530" s="521"/>
      <c r="C530" s="521"/>
      <c r="D530" s="521"/>
      <c r="E530" s="521"/>
      <c r="F530" s="521"/>
      <c r="G530" s="521"/>
      <c r="H530" s="87" t="e">
        <f>SUM(G527:G529)</f>
        <v>#VALUE!</v>
      </c>
    </row>
    <row r="531" spans="1:15">
      <c r="A531" s="550" t="s">
        <v>4219</v>
      </c>
      <c r="B531" s="551"/>
      <c r="C531" s="551"/>
      <c r="D531" s="551"/>
      <c r="E531" s="551"/>
      <c r="F531" s="551"/>
      <c r="G531" s="551"/>
      <c r="H531" s="552"/>
      <c r="K531" s="50"/>
      <c r="L531" s="50"/>
      <c r="M531" s="50"/>
      <c r="N531" s="50"/>
      <c r="O531" s="50"/>
    </row>
    <row r="532" spans="1:15" ht="30" customHeight="1">
      <c r="A532" s="553" t="s">
        <v>7</v>
      </c>
      <c r="B532" s="554"/>
      <c r="C532" s="99" t="s">
        <v>0</v>
      </c>
      <c r="D532" s="100" t="s">
        <v>4097</v>
      </c>
      <c r="E532" s="101" t="s">
        <v>1</v>
      </c>
      <c r="F532" s="555" t="s">
        <v>4207</v>
      </c>
      <c r="G532" s="555"/>
      <c r="H532" s="196"/>
      <c r="K532" s="50"/>
      <c r="L532" s="50"/>
      <c r="M532" s="50"/>
      <c r="N532" s="50"/>
      <c r="O532" s="50"/>
    </row>
    <row r="533" spans="1:15">
      <c r="A533" s="535" t="s">
        <v>4619</v>
      </c>
      <c r="B533" s="536"/>
      <c r="C533" s="88">
        <f>VLOOKUP(A533,'Materiales '!$C$2:$G$396,3,0)</f>
        <v>4</v>
      </c>
      <c r="D533" s="89" t="str">
        <f>VLOOKUP(A533,'Materiales '!$C$2:$G$396,4,0)</f>
        <v>Und</v>
      </c>
      <c r="E533" s="90">
        <v>1</v>
      </c>
      <c r="F533" s="508" t="e">
        <f>E533*D533</f>
        <v>#VALUE!</v>
      </c>
      <c r="G533" s="519"/>
      <c r="H533" s="111"/>
      <c r="I533">
        <f>E533*G524</f>
        <v>0</v>
      </c>
      <c r="J533" s="57"/>
      <c r="K533" s="50"/>
      <c r="L533" s="50"/>
      <c r="M533" s="50"/>
      <c r="N533" s="50"/>
      <c r="O533" s="50"/>
    </row>
    <row r="534" spans="1:15">
      <c r="A534" s="535" t="s">
        <v>4625</v>
      </c>
      <c r="B534" s="536"/>
      <c r="C534" s="88">
        <f>VLOOKUP(A534,'Materiales '!$C$2:$G$396,3,0)</f>
        <v>4</v>
      </c>
      <c r="D534" s="89" t="str">
        <f>VLOOKUP(A534,'Materiales '!$C$2:$G$396,4,0)</f>
        <v>Und</v>
      </c>
      <c r="E534" s="90">
        <v>1</v>
      </c>
      <c r="F534" s="508" t="e">
        <f t="shared" ref="F534:F540" si="31">E534*D534</f>
        <v>#VALUE!</v>
      </c>
      <c r="G534" s="519"/>
      <c r="H534" s="111"/>
      <c r="I534">
        <f>E534*G524</f>
        <v>0</v>
      </c>
      <c r="J534" s="57"/>
      <c r="K534" s="50"/>
      <c r="L534" s="50"/>
      <c r="M534" s="50"/>
      <c r="N534" s="50"/>
      <c r="O534" s="50"/>
    </row>
    <row r="535" spans="1:15">
      <c r="A535" s="517" t="s">
        <v>4586</v>
      </c>
      <c r="B535" s="518">
        <f>VLOOKUP(A535,'Materiales '!$C$2:$G$396,3,0)</f>
        <v>4</v>
      </c>
      <c r="C535" s="88">
        <f>VLOOKUP(A535,'Materiales '!$C$2:$G$396,3,0)</f>
        <v>4</v>
      </c>
      <c r="D535" s="89" t="str">
        <f>VLOOKUP(A535,'Materiales '!$C$2:$G$396,4,0)</f>
        <v>Und</v>
      </c>
      <c r="E535" s="90">
        <v>0.2</v>
      </c>
      <c r="F535" s="508" t="e">
        <f t="shared" si="31"/>
        <v>#VALUE!</v>
      </c>
      <c r="G535" s="519"/>
      <c r="H535" s="111"/>
      <c r="I535">
        <f>E535*G524</f>
        <v>0</v>
      </c>
      <c r="J535" s="58"/>
      <c r="K535" s="50"/>
      <c r="L535" s="50"/>
      <c r="M535" s="50"/>
      <c r="N535" s="50"/>
      <c r="O535" s="50"/>
    </row>
    <row r="536" spans="1:15">
      <c r="A536" s="517" t="s">
        <v>4439</v>
      </c>
      <c r="B536" s="518">
        <f>VLOOKUP(A536,'Materiales '!$C$2:$G$396,3,0)</f>
        <v>2</v>
      </c>
      <c r="C536" s="88">
        <f>VLOOKUP(A536,'Materiales '!$C$2:$G$396,3,0)</f>
        <v>2</v>
      </c>
      <c r="D536" s="89" t="str">
        <f>VLOOKUP(A536,'Materiales '!$C$2:$G$396,4,0)</f>
        <v>Ml</v>
      </c>
      <c r="E536" s="90">
        <v>1</v>
      </c>
      <c r="F536" s="508" t="e">
        <f t="shared" si="31"/>
        <v>#VALUE!</v>
      </c>
      <c r="G536" s="519"/>
      <c r="H536" s="111"/>
      <c r="I536">
        <f>E536*G524</f>
        <v>0</v>
      </c>
      <c r="J536" s="58"/>
      <c r="K536" s="50"/>
      <c r="L536" s="50"/>
      <c r="M536" s="50"/>
      <c r="N536" s="50"/>
      <c r="O536" s="50"/>
    </row>
    <row r="537" spans="1:15">
      <c r="A537" s="517" t="s">
        <v>4482</v>
      </c>
      <c r="B537" s="518">
        <f>VLOOKUP(A537,'Materiales '!$C$2:$G$396,3,0)</f>
        <v>4</v>
      </c>
      <c r="C537" s="88">
        <f>VLOOKUP(A537,'Materiales '!$C$2:$G$396,3,0)</f>
        <v>4</v>
      </c>
      <c r="D537" s="89" t="str">
        <f>VLOOKUP(A537,'Materiales '!$C$2:$G$396,4,0)</f>
        <v>Und</v>
      </c>
      <c r="E537" s="90">
        <v>3</v>
      </c>
      <c r="F537" s="508" t="e">
        <f t="shared" si="31"/>
        <v>#VALUE!</v>
      </c>
      <c r="G537" s="519"/>
      <c r="H537" s="111"/>
      <c r="I537">
        <f>E537*G524</f>
        <v>0</v>
      </c>
      <c r="J537" s="58"/>
      <c r="K537" s="50"/>
      <c r="L537" s="50"/>
      <c r="M537" s="50"/>
      <c r="N537" s="50"/>
      <c r="O537" s="50"/>
    </row>
    <row r="538" spans="1:15">
      <c r="A538" s="517" t="s">
        <v>4626</v>
      </c>
      <c r="B538" s="518">
        <f>VLOOKUP(A538,'Materiales '!$C$2:$G$396,3,0)</f>
        <v>4</v>
      </c>
      <c r="C538" s="88">
        <f>VLOOKUP(A538,'Materiales '!$C$2:$G$396,3,0)</f>
        <v>4</v>
      </c>
      <c r="D538" s="89" t="str">
        <f>VLOOKUP(A538,'Materiales '!$C$2:$G$396,4,0)</f>
        <v>Und</v>
      </c>
      <c r="E538" s="90">
        <v>0.1</v>
      </c>
      <c r="F538" s="508" t="e">
        <f t="shared" si="31"/>
        <v>#VALUE!</v>
      </c>
      <c r="G538" s="519"/>
      <c r="H538" s="111"/>
      <c r="I538">
        <f>E538*G524</f>
        <v>0</v>
      </c>
      <c r="J538" s="58"/>
      <c r="K538" s="50"/>
      <c r="L538" s="50"/>
      <c r="M538" s="50"/>
      <c r="N538" s="50"/>
      <c r="O538" s="50"/>
    </row>
    <row r="539" spans="1:15">
      <c r="A539" s="517" t="s">
        <v>4627</v>
      </c>
      <c r="B539" s="518">
        <f>VLOOKUP(A539,'Materiales '!$C$2:$G$396,3,0)</f>
        <v>4</v>
      </c>
      <c r="C539" s="88">
        <f>VLOOKUP(A539,'Materiales '!$C$2:$G$396,3,0)</f>
        <v>4</v>
      </c>
      <c r="D539" s="89" t="str">
        <f>VLOOKUP(A539,'Materiales '!$C$2:$G$396,4,0)</f>
        <v>Und</v>
      </c>
      <c r="E539" s="90">
        <v>1</v>
      </c>
      <c r="F539" s="508" t="e">
        <f t="shared" si="31"/>
        <v>#VALUE!</v>
      </c>
      <c r="G539" s="519"/>
      <c r="H539" s="111"/>
      <c r="I539">
        <f>E539*G524</f>
        <v>0</v>
      </c>
      <c r="J539" s="58"/>
      <c r="K539" s="50"/>
      <c r="L539" s="50"/>
      <c r="M539" s="50"/>
      <c r="N539" s="50"/>
      <c r="O539" s="50"/>
    </row>
    <row r="540" spans="1:15" ht="21.75" customHeight="1">
      <c r="A540" s="517" t="s">
        <v>4563</v>
      </c>
      <c r="B540" s="518">
        <f>VLOOKUP(A540,'Materiales '!$C$2:$G$396,3,0)</f>
        <v>4</v>
      </c>
      <c r="C540" s="88">
        <f>VLOOKUP(A540,'Materiales '!$C$2:$G$396,3,0)</f>
        <v>4</v>
      </c>
      <c r="D540" s="89" t="str">
        <f>VLOOKUP(A540,'Materiales '!$C$2:$G$396,4,0)</f>
        <v>Und</v>
      </c>
      <c r="E540" s="90">
        <v>1</v>
      </c>
      <c r="F540" s="508" t="e">
        <f t="shared" si="31"/>
        <v>#VALUE!</v>
      </c>
      <c r="G540" s="519"/>
      <c r="H540" s="111"/>
      <c r="I540">
        <f>E540*G524</f>
        <v>0</v>
      </c>
      <c r="J540" s="58"/>
      <c r="K540" s="50"/>
      <c r="L540" s="50"/>
      <c r="M540" s="50"/>
      <c r="N540" s="50"/>
      <c r="O540" s="50"/>
    </row>
    <row r="541" spans="1:15">
      <c r="A541" s="517" t="s">
        <v>8</v>
      </c>
      <c r="B541" s="518">
        <f>VLOOKUP(A541,'Materiales '!$C$2:$G$396,3,0)</f>
        <v>0</v>
      </c>
      <c r="C541" s="88">
        <f>VLOOKUP(A541,'Materiales '!$C$2:$G$396,3,0)</f>
        <v>0</v>
      </c>
      <c r="D541" s="89" t="str">
        <f>VLOOKUP(A541,'Materiales '!$C$2:$G$396,4,0)</f>
        <v>-</v>
      </c>
      <c r="E541" s="90"/>
      <c r="F541" s="508" t="e">
        <f>E541*D541</f>
        <v>#VALUE!</v>
      </c>
      <c r="G541" s="519"/>
      <c r="H541" s="110"/>
      <c r="I541">
        <f>E541*G524</f>
        <v>0</v>
      </c>
      <c r="J541" s="58"/>
      <c r="K541" s="50"/>
      <c r="L541" s="50"/>
      <c r="M541" s="50"/>
      <c r="N541" s="50"/>
      <c r="O541" s="50"/>
    </row>
    <row r="542" spans="1:15">
      <c r="A542" s="517" t="s">
        <v>8</v>
      </c>
      <c r="B542" s="518">
        <f>VLOOKUP(A542,'Materiales '!$C$2:$G$396,3,0)</f>
        <v>0</v>
      </c>
      <c r="C542" s="88">
        <f>VLOOKUP(A542,'Materiales '!$C$2:$G$396,3,0)</f>
        <v>0</v>
      </c>
      <c r="D542" s="89" t="str">
        <f>VLOOKUP(A542,'Materiales '!$C$2:$G$396,4,0)</f>
        <v>-</v>
      </c>
      <c r="E542" s="90"/>
      <c r="F542" s="508" t="e">
        <f t="shared" ref="F542:F545" si="32">E542*D542</f>
        <v>#VALUE!</v>
      </c>
      <c r="G542" s="519"/>
      <c r="H542" s="111"/>
      <c r="I542">
        <f>E542*G524</f>
        <v>0</v>
      </c>
      <c r="J542" s="58"/>
      <c r="K542" s="50"/>
      <c r="L542" s="50"/>
      <c r="M542" s="50"/>
      <c r="N542" s="50"/>
      <c r="O542" s="50"/>
    </row>
    <row r="543" spans="1:15">
      <c r="A543" s="517" t="s">
        <v>8</v>
      </c>
      <c r="B543" s="518">
        <f>VLOOKUP(A543,'Materiales '!$C$2:$G$396,3,0)</f>
        <v>0</v>
      </c>
      <c r="C543" s="88">
        <f>VLOOKUP(A543,'Materiales '!$C$2:$G$396,3,0)</f>
        <v>0</v>
      </c>
      <c r="D543" s="89" t="str">
        <f>VLOOKUP(A543,'Materiales '!$C$2:$G$396,4,0)</f>
        <v>-</v>
      </c>
      <c r="E543" s="90"/>
      <c r="F543" s="508" t="e">
        <f t="shared" si="32"/>
        <v>#VALUE!</v>
      </c>
      <c r="G543" s="519"/>
      <c r="H543" s="111"/>
      <c r="I543">
        <f>E543*G524</f>
        <v>0</v>
      </c>
      <c r="J543" s="58"/>
      <c r="K543" s="50"/>
      <c r="L543" s="50"/>
      <c r="M543" s="50"/>
      <c r="N543" s="50"/>
      <c r="O543" s="50"/>
    </row>
    <row r="544" spans="1:15">
      <c r="A544" s="517" t="s">
        <v>8</v>
      </c>
      <c r="B544" s="518">
        <f>VLOOKUP(A544,'Materiales '!$C$2:$G$396,3,0)</f>
        <v>0</v>
      </c>
      <c r="C544" s="88">
        <f>VLOOKUP(A544,'Materiales '!$C$2:$G$396,3,0)</f>
        <v>0</v>
      </c>
      <c r="D544" s="89" t="str">
        <f>VLOOKUP(A544,'Materiales '!$C$2:$G$396,4,0)</f>
        <v>-</v>
      </c>
      <c r="E544" s="90"/>
      <c r="F544" s="508" t="e">
        <f t="shared" si="32"/>
        <v>#VALUE!</v>
      </c>
      <c r="G544" s="519"/>
      <c r="H544" s="111"/>
      <c r="I544">
        <f>E544*G524</f>
        <v>0</v>
      </c>
      <c r="J544" s="58"/>
      <c r="K544" s="50"/>
      <c r="L544" s="50"/>
      <c r="M544" s="50"/>
      <c r="N544" s="50"/>
      <c r="O544" s="50"/>
    </row>
    <row r="545" spans="1:15">
      <c r="A545" s="517" t="s">
        <v>8</v>
      </c>
      <c r="B545" s="518">
        <f>VLOOKUP(A545,'Materiales '!$C$2:$G$396,3,0)</f>
        <v>0</v>
      </c>
      <c r="C545" s="88">
        <f>VLOOKUP(A545,'Materiales '!$C$2:$G$396,3,0)</f>
        <v>0</v>
      </c>
      <c r="D545" s="89" t="str">
        <f>VLOOKUP(A545,'Materiales '!$C$2:$G$396,4,0)</f>
        <v>-</v>
      </c>
      <c r="E545" s="90"/>
      <c r="F545" s="508" t="e">
        <f t="shared" si="32"/>
        <v>#VALUE!</v>
      </c>
      <c r="G545" s="519"/>
      <c r="H545" s="111"/>
      <c r="I545">
        <f>E545*G524</f>
        <v>0</v>
      </c>
      <c r="J545" s="58"/>
      <c r="K545" s="50"/>
      <c r="L545" s="50"/>
      <c r="M545" s="50"/>
      <c r="N545" s="50"/>
      <c r="O545" s="50"/>
    </row>
    <row r="546" spans="1:15">
      <c r="A546" s="517" t="s">
        <v>8</v>
      </c>
      <c r="B546" s="518">
        <f>VLOOKUP(A546,'Materiales '!$C$2:$G$396,3,0)</f>
        <v>0</v>
      </c>
      <c r="C546" s="88">
        <f>VLOOKUP(A546,'Materiales '!$C$2:$G$396,3,0)</f>
        <v>0</v>
      </c>
      <c r="D546" s="89" t="str">
        <f>VLOOKUP(A546,'Materiales '!$C$2:$G$396,4,0)</f>
        <v>-</v>
      </c>
      <c r="E546" s="90"/>
      <c r="F546" s="508" t="e">
        <f>E546*D546</f>
        <v>#VALUE!</v>
      </c>
      <c r="G546" s="519"/>
      <c r="H546" s="110"/>
      <c r="I546">
        <f>E546*G524</f>
        <v>0</v>
      </c>
      <c r="J546" s="58"/>
      <c r="K546" s="50"/>
      <c r="L546" s="50"/>
      <c r="M546" s="50"/>
      <c r="N546" s="50"/>
      <c r="O546" s="50"/>
    </row>
    <row r="547" spans="1:15">
      <c r="A547" s="520" t="s">
        <v>4098</v>
      </c>
      <c r="B547" s="521"/>
      <c r="C547" s="521"/>
      <c r="D547" s="521"/>
      <c r="E547" s="521"/>
      <c r="F547" s="521"/>
      <c r="G547" s="522"/>
      <c r="H547" s="106" t="e">
        <f>SUM(F533:F546)</f>
        <v>#VALUE!</v>
      </c>
      <c r="J547" s="58"/>
      <c r="K547" s="50"/>
      <c r="L547" s="50"/>
      <c r="M547" s="50"/>
      <c r="N547" s="50"/>
      <c r="O547" s="50"/>
    </row>
    <row r="548" spans="1:15">
      <c r="A548" s="523" t="s">
        <v>4220</v>
      </c>
      <c r="B548" s="524"/>
      <c r="C548" s="524"/>
      <c r="D548" s="524"/>
      <c r="E548" s="525"/>
      <c r="F548" s="524"/>
      <c r="G548" s="524"/>
      <c r="H548" s="526"/>
      <c r="J548" s="58"/>
      <c r="K548" s="50"/>
      <c r="L548" s="50"/>
      <c r="M548" s="50"/>
      <c r="N548" s="50"/>
      <c r="O548" s="50"/>
    </row>
    <row r="549" spans="1:15">
      <c r="A549" s="527" t="s">
        <v>7</v>
      </c>
      <c r="B549" s="528"/>
      <c r="C549" s="98" t="s">
        <v>4221</v>
      </c>
      <c r="D549" s="97" t="s">
        <v>4222</v>
      </c>
      <c r="E549" s="187" t="s">
        <v>4223</v>
      </c>
      <c r="F549" s="529" t="s">
        <v>4207</v>
      </c>
      <c r="G549" s="529"/>
      <c r="H549" s="109"/>
      <c r="K549" s="50"/>
      <c r="L549" s="50"/>
      <c r="M549" s="50"/>
      <c r="N549" s="50"/>
      <c r="O549" s="50"/>
    </row>
    <row r="550" spans="1:15">
      <c r="A550" s="506" t="s">
        <v>3928</v>
      </c>
      <c r="B550" s="507"/>
      <c r="C550" s="213">
        <v>1</v>
      </c>
      <c r="D550" s="92">
        <v>0.03</v>
      </c>
      <c r="E550" s="93" t="str">
        <f>VLOOKUP(A550,'Equip, Herr y Transp'!$B$2:$E$217,3,0)</f>
        <v>TR</v>
      </c>
      <c r="F550" s="530" t="e">
        <f>E550*D550*C550</f>
        <v>#VALUE!</v>
      </c>
      <c r="G550" s="531"/>
      <c r="H550" s="107"/>
      <c r="M550" s="50"/>
    </row>
    <row r="551" spans="1:15">
      <c r="A551" s="532" t="s">
        <v>4205</v>
      </c>
      <c r="B551" s="533"/>
      <c r="C551" s="533"/>
      <c r="D551" s="533"/>
      <c r="E551" s="533"/>
      <c r="F551" s="533"/>
      <c r="G551" s="533"/>
      <c r="H551" s="95" t="e">
        <f>F550</f>
        <v>#VALUE!</v>
      </c>
    </row>
    <row r="552" spans="1:15">
      <c r="A552" s="523" t="s">
        <v>4224</v>
      </c>
      <c r="B552" s="524"/>
      <c r="C552" s="524"/>
      <c r="D552" s="524"/>
      <c r="E552" s="524"/>
      <c r="F552" s="524"/>
      <c r="G552" s="524"/>
      <c r="H552" s="526"/>
    </row>
    <row r="553" spans="1:15">
      <c r="A553" s="527" t="s">
        <v>7</v>
      </c>
      <c r="B553" s="528"/>
      <c r="C553" s="96" t="s">
        <v>1</v>
      </c>
      <c r="D553" s="97" t="s">
        <v>4225</v>
      </c>
      <c r="E553" s="98" t="s">
        <v>4204</v>
      </c>
      <c r="F553" s="527" t="s">
        <v>5</v>
      </c>
      <c r="G553" s="534"/>
      <c r="H553" s="109"/>
    </row>
    <row r="554" spans="1:15">
      <c r="A554" s="506" t="s">
        <v>4191</v>
      </c>
      <c r="B554" s="507"/>
      <c r="C554" s="91">
        <v>1</v>
      </c>
      <c r="D554" s="94">
        <f>VLOOKUP(A554,'Mano Obra'!$B$2:$T$117,19,0)</f>
        <v>152456</v>
      </c>
      <c r="E554" s="218">
        <f>H517</f>
        <v>5.21E-2</v>
      </c>
      <c r="F554" s="508">
        <f>E554*D554*C554</f>
        <v>7942.9575999999997</v>
      </c>
      <c r="G554" s="509"/>
      <c r="H554" s="111"/>
      <c r="I554" s="59"/>
      <c r="J554" s="117">
        <f>((('Mano Obra'!$M$4/30)*F554)/D554)*G524</f>
        <v>0</v>
      </c>
    </row>
    <row r="555" spans="1:15">
      <c r="A555" s="510" t="s">
        <v>4192</v>
      </c>
      <c r="B555" s="511">
        <f>VLOOKUP(A555,'Mano Obra'!$B$3:$D$290,2,0)</f>
        <v>1900000</v>
      </c>
      <c r="C555" s="91">
        <v>1</v>
      </c>
      <c r="D555" s="94">
        <f>VLOOKUP(A555,'Mano Obra'!$B$2:$T$117,19,0)</f>
        <v>110488</v>
      </c>
      <c r="E555" s="218">
        <f>H517</f>
        <v>5.21E-2</v>
      </c>
      <c r="F555" s="508">
        <f t="shared" ref="F555:F556" si="33">E555*D555*C555</f>
        <v>5756.4247999999998</v>
      </c>
      <c r="G555" s="509"/>
      <c r="H555" s="111"/>
      <c r="J555" s="117">
        <f>((('Mano Obra'!$M$5/30)*F555)/D555)*G524</f>
        <v>0</v>
      </c>
    </row>
    <row r="556" spans="1:15">
      <c r="A556" s="510" t="s">
        <v>4181</v>
      </c>
      <c r="B556" s="511">
        <f>VLOOKUP(A556,'Mano Obra'!$B$3:$D$290,2,0)</f>
        <v>1000000</v>
      </c>
      <c r="C556" s="91">
        <v>1</v>
      </c>
      <c r="D556" s="94">
        <f>VLOOKUP(A556,'Mano Obra'!$B$2:$T$117,19,0)</f>
        <v>67424</v>
      </c>
      <c r="E556" s="218">
        <f>H517</f>
        <v>5.21E-2</v>
      </c>
      <c r="F556" s="508">
        <f t="shared" si="33"/>
        <v>3512.7903999999999</v>
      </c>
      <c r="G556" s="509"/>
      <c r="H556" s="110"/>
      <c r="J556" s="117">
        <f>((('Mano Obra'!$M$6/30)*F556)/D556)*G524</f>
        <v>0</v>
      </c>
    </row>
    <row r="557" spans="1:15">
      <c r="A557" s="512" t="s">
        <v>4100</v>
      </c>
      <c r="B557" s="512"/>
      <c r="C557" s="512"/>
      <c r="D557" s="512"/>
      <c r="E557" s="512"/>
      <c r="F557" s="512"/>
      <c r="G557" s="512"/>
      <c r="H557" s="95">
        <f>SUM(F554:F556)</f>
        <v>17212.1728</v>
      </c>
      <c r="J557" s="117"/>
    </row>
    <row r="558" spans="1:15">
      <c r="A558" s="208" t="s">
        <v>4226</v>
      </c>
      <c r="B558" s="186"/>
      <c r="C558" s="186"/>
      <c r="D558" s="183"/>
      <c r="E558" s="184"/>
      <c r="F558" s="185"/>
      <c r="G558" s="184"/>
      <c r="H558" s="193"/>
    </row>
    <row r="559" spans="1:15">
      <c r="A559" s="513" t="s">
        <v>4213</v>
      </c>
      <c r="B559" s="514"/>
      <c r="C559" s="514"/>
      <c r="D559" s="514"/>
      <c r="E559" s="181"/>
      <c r="F559" s="182" t="s">
        <v>4227</v>
      </c>
      <c r="G559" s="181" t="s">
        <v>4228</v>
      </c>
      <c r="H559" s="194"/>
    </row>
    <row r="560" spans="1:15">
      <c r="A560" s="204" t="s">
        <v>4096</v>
      </c>
      <c r="B560" s="62"/>
      <c r="C560" s="62"/>
      <c r="D560" s="63"/>
      <c r="E560" s="68"/>
      <c r="F560" s="69">
        <v>0</v>
      </c>
      <c r="G560" s="70" t="e">
        <f>F560*H525</f>
        <v>#VALUE!</v>
      </c>
      <c r="H560" s="193"/>
    </row>
    <row r="561" spans="1:14">
      <c r="A561" s="205" t="s">
        <v>4229</v>
      </c>
      <c r="B561" s="71"/>
      <c r="C561" s="71"/>
      <c r="D561" s="72"/>
      <c r="E561" s="68"/>
      <c r="F561" s="69">
        <v>0</v>
      </c>
      <c r="G561" s="70" t="e">
        <f>F561*H525</f>
        <v>#VALUE!</v>
      </c>
      <c r="H561" s="193"/>
    </row>
    <row r="562" spans="1:14">
      <c r="A562" s="205" t="s">
        <v>4</v>
      </c>
      <c r="B562" s="71"/>
      <c r="C562" s="71"/>
      <c r="D562" s="72"/>
      <c r="E562" s="68"/>
      <c r="F562" s="69">
        <v>0</v>
      </c>
      <c r="G562" s="70" t="e">
        <f>F562*H525</f>
        <v>#VALUE!</v>
      </c>
      <c r="H562" s="193"/>
    </row>
    <row r="563" spans="1:14">
      <c r="A563" s="206"/>
      <c r="B563" s="73"/>
      <c r="C563" s="65"/>
      <c r="D563" s="74"/>
      <c r="E563" s="75"/>
      <c r="F563" s="76"/>
      <c r="G563" s="77"/>
      <c r="H563" s="195"/>
    </row>
    <row r="564" spans="1:14">
      <c r="A564" s="207"/>
      <c r="B564" s="73"/>
      <c r="C564" s="73"/>
      <c r="D564" s="74"/>
      <c r="E564" s="78"/>
      <c r="F564" s="515" t="s">
        <v>4230</v>
      </c>
      <c r="G564" s="516"/>
      <c r="H564" s="214" t="e">
        <f>H525+G560+G561+G562</f>
        <v>#VALUE!</v>
      </c>
    </row>
    <row r="565" spans="1:14">
      <c r="A565" s="73"/>
      <c r="B565" s="73"/>
      <c r="C565" s="73"/>
      <c r="D565" s="74"/>
      <c r="E565" s="360"/>
      <c r="F565" s="361"/>
      <c r="G565" s="361"/>
      <c r="H565" s="362"/>
    </row>
    <row r="566" spans="1:14">
      <c r="A566" s="80"/>
      <c r="B566" s="80"/>
      <c r="C566" s="80"/>
      <c r="D566" s="80"/>
      <c r="E566" s="80"/>
      <c r="F566" s="80"/>
      <c r="G566" s="80"/>
      <c r="H566" s="353"/>
    </row>
    <row r="567" spans="1:14">
      <c r="A567" s="537" t="s">
        <v>4214</v>
      </c>
      <c r="B567" s="538"/>
      <c r="C567" s="538"/>
      <c r="D567" s="538"/>
      <c r="E567" s="538"/>
      <c r="F567" s="538"/>
      <c r="G567" s="538"/>
      <c r="H567" s="539"/>
    </row>
    <row r="568" spans="1:14">
      <c r="A568" s="81"/>
      <c r="B568" s="82"/>
      <c r="C568" s="82"/>
      <c r="D568" s="82"/>
      <c r="E568" s="82"/>
      <c r="F568" s="83"/>
      <c r="G568" s="84"/>
      <c r="H568" s="352">
        <f>ROUND((5/60)/8,4)</f>
        <v>1.04E-2</v>
      </c>
      <c r="I568" s="105"/>
    </row>
    <row r="569" spans="1:14">
      <c r="A569" s="540" t="s">
        <v>4209</v>
      </c>
      <c r="B569" s="542" t="str">
        <f>COSTOS!$C$14</f>
        <v>MODERNIZACION A TECNOLOGIA LED</v>
      </c>
      <c r="C569" s="542"/>
      <c r="D569" s="542"/>
      <c r="E569" s="542"/>
      <c r="F569" s="542"/>
      <c r="G569" s="542"/>
      <c r="H569" s="543" t="s">
        <v>4210</v>
      </c>
    </row>
    <row r="570" spans="1:14">
      <c r="A570" s="541"/>
      <c r="B570" s="542"/>
      <c r="C570" s="542"/>
      <c r="D570" s="542"/>
      <c r="E570" s="542"/>
      <c r="F570" s="542"/>
      <c r="G570" s="542"/>
      <c r="H570" s="543"/>
    </row>
    <row r="571" spans="1:14">
      <c r="A571" s="541"/>
      <c r="B571" s="542"/>
      <c r="C571" s="542"/>
      <c r="D571" s="542"/>
      <c r="E571" s="542"/>
      <c r="F571" s="542"/>
      <c r="G571" s="542"/>
      <c r="H571" s="543"/>
    </row>
    <row r="572" spans="1:14" ht="15" customHeight="1">
      <c r="A572" s="541"/>
      <c r="B572" s="542"/>
      <c r="C572" s="542"/>
      <c r="D572" s="542"/>
      <c r="E572" s="542"/>
      <c r="F572" s="542"/>
      <c r="G572" s="542"/>
      <c r="H572" s="197">
        <f ca="1">TODAY()</f>
        <v>44889</v>
      </c>
      <c r="K572" t="s">
        <v>4380</v>
      </c>
      <c r="L572" t="s">
        <v>4381</v>
      </c>
      <c r="M572" t="s">
        <v>4382</v>
      </c>
      <c r="N572" t="s">
        <v>4383</v>
      </c>
    </row>
    <row r="573" spans="1:14" ht="60.75" customHeight="1">
      <c r="A573" s="209" t="s">
        <v>4211</v>
      </c>
      <c r="B573" s="544" t="str">
        <f>COSTOS!$D$16</f>
        <v>Luminarias</v>
      </c>
      <c r="C573" s="544"/>
      <c r="D573" s="544"/>
      <c r="E573" s="544"/>
      <c r="F573" s="544"/>
      <c r="G573" s="60" t="s">
        <v>4212</v>
      </c>
      <c r="H573" s="363">
        <v>1.1200000000000001</v>
      </c>
      <c r="K573" s="55" t="e">
        <f>H598</f>
        <v>#VALUE!</v>
      </c>
      <c r="L573" s="55">
        <f>H608</f>
        <v>3435.8271999999997</v>
      </c>
      <c r="M573" s="55" t="e">
        <f>H581</f>
        <v>#VALUE!</v>
      </c>
      <c r="N573" s="55" t="e">
        <f>H602</f>
        <v>#VALUE!</v>
      </c>
    </row>
    <row r="574" spans="1:14" ht="43.2" customHeight="1">
      <c r="A574" s="210" t="s">
        <v>4213</v>
      </c>
      <c r="B574" s="545" t="str">
        <f>VLOOKUP(H573,COSTOS!C:M,2,0)</f>
        <v>CINTA LED 5w/m, 560lm/m</v>
      </c>
      <c r="C574" s="546"/>
      <c r="D574" s="546"/>
      <c r="E574" s="547"/>
      <c r="F574" s="61" t="s">
        <v>0</v>
      </c>
      <c r="G574" s="328" t="str">
        <f>VLOOKUP(H573,COSTOS!C:M,8,0)</f>
        <v>Und</v>
      </c>
      <c r="H574" s="248"/>
      <c r="I574" s="278"/>
      <c r="J574" s="280"/>
      <c r="K574" s="280"/>
      <c r="L574" s="280"/>
    </row>
    <row r="575" spans="1:14">
      <c r="A575" s="211"/>
      <c r="B575" s="102"/>
      <c r="C575" s="102"/>
      <c r="D575" s="102"/>
      <c r="E575" s="103"/>
      <c r="F575" s="104" t="s">
        <v>1</v>
      </c>
      <c r="G575" s="328">
        <f>VLOOKUP(H573,COSTOS!C:M,9,0)</f>
        <v>0</v>
      </c>
      <c r="H575" s="329"/>
      <c r="I575" s="279"/>
    </row>
    <row r="576" spans="1:14">
      <c r="A576" s="212" t="s">
        <v>4215</v>
      </c>
      <c r="B576" s="65"/>
      <c r="C576" s="65"/>
      <c r="D576" s="66"/>
      <c r="E576" s="190"/>
      <c r="F576" s="191"/>
      <c r="G576" s="192" t="s">
        <v>4216</v>
      </c>
      <c r="H576" s="198" t="e">
        <f>H581+H598+H602+H608</f>
        <v>#VALUE!</v>
      </c>
    </row>
    <row r="577" spans="1:15" ht="41.4">
      <c r="A577" s="548" t="s">
        <v>4213</v>
      </c>
      <c r="B577" s="548"/>
      <c r="C577" s="548"/>
      <c r="D577" s="67" t="s">
        <v>0</v>
      </c>
      <c r="E577" s="188" t="s">
        <v>4217</v>
      </c>
      <c r="F577" s="189" t="s">
        <v>4204</v>
      </c>
      <c r="G577" s="64" t="s">
        <v>2</v>
      </c>
      <c r="H577" s="199" t="s">
        <v>4218</v>
      </c>
      <c r="K577" s="281"/>
    </row>
    <row r="578" spans="1:15">
      <c r="A578" s="517" t="s">
        <v>3946</v>
      </c>
      <c r="B578" s="549">
        <f>VLOOKUP(A578,'Equip, Herr y Transp'!$B$2:$E$738,2,0)</f>
        <v>2</v>
      </c>
      <c r="C578" s="549"/>
      <c r="D578" s="85">
        <f>VLOOKUP(A578,'Equip, Herr y Transp'!$B$2:$E$217,2,0)</f>
        <v>2</v>
      </c>
      <c r="E578" s="85" t="str">
        <f>VLOOKUP(A578,'Equip, Herr y Transp'!$B$2:$E$217,3,0)</f>
        <v>EQU</v>
      </c>
      <c r="F578" s="86">
        <f>H568</f>
        <v>1.04E-2</v>
      </c>
      <c r="G578" s="112" t="e">
        <f>F578*E578</f>
        <v>#VALUE!</v>
      </c>
      <c r="H578" s="108"/>
    </row>
    <row r="579" spans="1:15">
      <c r="A579" s="517" t="s">
        <v>3937</v>
      </c>
      <c r="B579" s="549">
        <f>VLOOKUP(A579,'Equip, Herr y Transp'!$B$2:$E$738,2,0)</f>
        <v>2</v>
      </c>
      <c r="C579" s="549"/>
      <c r="D579" s="85">
        <f>VLOOKUP(A579,'Equip, Herr y Transp'!$B$2:$E$217,2,0)</f>
        <v>2</v>
      </c>
      <c r="E579" s="85" t="str">
        <f>VLOOKUP(A579,'Equip, Herr y Transp'!$B$2:$E$217,3,0)</f>
        <v>EQU</v>
      </c>
      <c r="F579" s="86">
        <f>H568</f>
        <v>1.04E-2</v>
      </c>
      <c r="G579" s="112" t="e">
        <f>F579*E579</f>
        <v>#VALUE!</v>
      </c>
      <c r="H579" s="107"/>
    </row>
    <row r="580" spans="1:15">
      <c r="A580" s="517" t="s">
        <v>8</v>
      </c>
      <c r="B580" s="549" t="e">
        <f>VLOOKUP(A580,'Equip, Herr y Transp'!$B$2:$E$738,2,0)</f>
        <v>#N/A</v>
      </c>
      <c r="C580" s="549"/>
      <c r="D580" s="85" t="e">
        <f>VLOOKUP(A580,'Equip, Herr y Transp'!$B$2:$E$217,2,0)</f>
        <v>#N/A</v>
      </c>
      <c r="E580" s="85" t="e">
        <f>VLOOKUP(A580,'Equip, Herr y Transp'!$B$2:$E$217,3,0)</f>
        <v>#N/A</v>
      </c>
      <c r="F580" s="86">
        <f>H568</f>
        <v>1.04E-2</v>
      </c>
      <c r="G580" s="112" t="e">
        <f>F580*E580</f>
        <v>#N/A</v>
      </c>
      <c r="H580" s="107"/>
    </row>
    <row r="581" spans="1:15">
      <c r="A581" s="520" t="s">
        <v>4099</v>
      </c>
      <c r="B581" s="521"/>
      <c r="C581" s="521"/>
      <c r="D581" s="521"/>
      <c r="E581" s="521"/>
      <c r="F581" s="521"/>
      <c r="G581" s="521"/>
      <c r="H581" s="87" t="e">
        <f>SUM(G578:G580)</f>
        <v>#VALUE!</v>
      </c>
    </row>
    <row r="582" spans="1:15">
      <c r="A582" s="550" t="s">
        <v>4219</v>
      </c>
      <c r="B582" s="551"/>
      <c r="C582" s="551"/>
      <c r="D582" s="551"/>
      <c r="E582" s="551"/>
      <c r="F582" s="551"/>
      <c r="G582" s="551"/>
      <c r="H582" s="552"/>
      <c r="K582" s="50"/>
      <c r="L582" s="50"/>
      <c r="M582" s="50"/>
      <c r="N582" s="50"/>
      <c r="O582" s="50"/>
    </row>
    <row r="583" spans="1:15" ht="30" customHeight="1">
      <c r="A583" s="553" t="s">
        <v>7</v>
      </c>
      <c r="B583" s="554"/>
      <c r="C583" s="99" t="s">
        <v>0</v>
      </c>
      <c r="D583" s="100" t="s">
        <v>4097</v>
      </c>
      <c r="E583" s="101" t="s">
        <v>1</v>
      </c>
      <c r="F583" s="555" t="s">
        <v>4207</v>
      </c>
      <c r="G583" s="555"/>
      <c r="H583" s="196"/>
      <c r="K583" s="50"/>
      <c r="L583" s="50"/>
      <c r="M583" s="50"/>
      <c r="N583" s="50"/>
      <c r="O583" s="50"/>
    </row>
    <row r="584" spans="1:15">
      <c r="A584" s="535" t="s">
        <v>4533</v>
      </c>
      <c r="B584" s="536"/>
      <c r="C584" s="88">
        <f>VLOOKUP(A584,'Materiales '!$C$2:$G$396,3,0)</f>
        <v>2</v>
      </c>
      <c r="D584" s="89" t="str">
        <f>VLOOKUP(A584,'Materiales '!$C$2:$G$396,4,0)</f>
        <v>Ml</v>
      </c>
      <c r="E584" s="90">
        <v>1</v>
      </c>
      <c r="F584" s="508" t="e">
        <f>E584*D584</f>
        <v>#VALUE!</v>
      </c>
      <c r="G584" s="519"/>
      <c r="H584" s="111"/>
      <c r="I584">
        <f>E584*G575</f>
        <v>0</v>
      </c>
      <c r="J584" s="57"/>
      <c r="K584" s="50"/>
      <c r="L584" s="50"/>
      <c r="M584" s="50"/>
      <c r="N584" s="50"/>
      <c r="O584" s="50"/>
    </row>
    <row r="585" spans="1:15">
      <c r="A585" s="535" t="s">
        <v>4625</v>
      </c>
      <c r="B585" s="536"/>
      <c r="C585" s="88">
        <f>VLOOKUP(A585,'Materiales '!$C$2:$G$396,3,0)</f>
        <v>4</v>
      </c>
      <c r="D585" s="89" t="str">
        <f>VLOOKUP(A585,'Materiales '!$C$2:$G$396,4,0)</f>
        <v>Und</v>
      </c>
      <c r="E585" s="90">
        <f>1/10</f>
        <v>0.1</v>
      </c>
      <c r="F585" s="508" t="e">
        <f t="shared" ref="F585:F591" si="34">E585*D585</f>
        <v>#VALUE!</v>
      </c>
      <c r="G585" s="519"/>
      <c r="H585" s="111"/>
      <c r="I585">
        <f>E585*G575</f>
        <v>0</v>
      </c>
      <c r="J585" s="57"/>
      <c r="K585" s="50"/>
      <c r="L585" s="50"/>
      <c r="M585" s="50"/>
      <c r="N585" s="50"/>
      <c r="O585" s="50"/>
    </row>
    <row r="586" spans="1:15">
      <c r="A586" s="517" t="s">
        <v>4628</v>
      </c>
      <c r="B586" s="518">
        <f>VLOOKUP(A586,'Materiales '!$C$2:$G$396,3,0)</f>
        <v>4</v>
      </c>
      <c r="C586" s="88">
        <f>VLOOKUP(A586,'Materiales '!$C$2:$G$396,3,0)</f>
        <v>4</v>
      </c>
      <c r="D586" s="89" t="str">
        <f>VLOOKUP(A586,'Materiales '!$C$2:$G$396,4,0)</f>
        <v>Und</v>
      </c>
      <c r="E586" s="90">
        <v>0.05</v>
      </c>
      <c r="F586" s="508" t="e">
        <f t="shared" si="34"/>
        <v>#VALUE!</v>
      </c>
      <c r="G586" s="519"/>
      <c r="H586" s="111"/>
      <c r="I586">
        <f>E586*G575</f>
        <v>0</v>
      </c>
      <c r="J586" s="58"/>
      <c r="K586" s="50"/>
      <c r="L586" s="50"/>
      <c r="M586" s="50"/>
      <c r="N586" s="50"/>
      <c r="O586" s="50"/>
    </row>
    <row r="587" spans="1:15">
      <c r="A587" s="517" t="s">
        <v>4439</v>
      </c>
      <c r="B587" s="518">
        <f>VLOOKUP(A587,'Materiales '!$C$2:$G$396,3,0)</f>
        <v>2</v>
      </c>
      <c r="C587" s="88">
        <f>VLOOKUP(A587,'Materiales '!$C$2:$G$396,3,0)</f>
        <v>2</v>
      </c>
      <c r="D587" s="89" t="str">
        <f>VLOOKUP(A587,'Materiales '!$C$2:$G$396,4,0)</f>
        <v>Ml</v>
      </c>
      <c r="E587" s="90">
        <v>1</v>
      </c>
      <c r="F587" s="508" t="e">
        <f t="shared" si="34"/>
        <v>#VALUE!</v>
      </c>
      <c r="G587" s="519"/>
      <c r="H587" s="111"/>
      <c r="I587">
        <f>E587*G575</f>
        <v>0</v>
      </c>
      <c r="J587" s="58"/>
      <c r="K587" s="50"/>
      <c r="L587" s="50"/>
      <c r="M587" s="50"/>
      <c r="N587" s="50"/>
      <c r="O587" s="50"/>
    </row>
    <row r="588" spans="1:15">
      <c r="A588" s="517" t="s">
        <v>4482</v>
      </c>
      <c r="B588" s="518">
        <f>VLOOKUP(A588,'Materiales '!$C$2:$G$396,3,0)</f>
        <v>4</v>
      </c>
      <c r="C588" s="88">
        <f>VLOOKUP(A588,'Materiales '!$C$2:$G$396,3,0)</f>
        <v>4</v>
      </c>
      <c r="D588" s="89" t="str">
        <f>VLOOKUP(A588,'Materiales '!$C$2:$G$396,4,0)</f>
        <v>Und</v>
      </c>
      <c r="E588" s="90">
        <f>3/10</f>
        <v>0.3</v>
      </c>
      <c r="F588" s="508" t="e">
        <f t="shared" si="34"/>
        <v>#VALUE!</v>
      </c>
      <c r="G588" s="519"/>
      <c r="H588" s="111"/>
      <c r="I588">
        <f>E588*G575</f>
        <v>0</v>
      </c>
      <c r="J588" s="58"/>
      <c r="K588" s="50"/>
      <c r="L588" s="50"/>
      <c r="M588" s="50"/>
      <c r="N588" s="50"/>
      <c r="O588" s="50"/>
    </row>
    <row r="589" spans="1:15">
      <c r="A589" s="517" t="s">
        <v>4627</v>
      </c>
      <c r="B589" s="518">
        <f>VLOOKUP(A589,'Materiales '!$C$2:$G$396,3,0)</f>
        <v>4</v>
      </c>
      <c r="C589" s="88">
        <f>VLOOKUP(A589,'Materiales '!$C$2:$G$396,3,0)</f>
        <v>4</v>
      </c>
      <c r="D589" s="89" t="str">
        <f>VLOOKUP(A589,'Materiales '!$C$2:$G$396,4,0)</f>
        <v>Und</v>
      </c>
      <c r="E589" s="90">
        <v>0.1</v>
      </c>
      <c r="F589" s="508" t="e">
        <f t="shared" si="34"/>
        <v>#VALUE!</v>
      </c>
      <c r="G589" s="519"/>
      <c r="H589" s="111"/>
      <c r="I589">
        <f>E589*G575</f>
        <v>0</v>
      </c>
      <c r="J589" s="58"/>
      <c r="K589" s="50"/>
      <c r="L589" s="50"/>
      <c r="M589" s="50"/>
      <c r="N589" s="50"/>
      <c r="O589" s="50"/>
    </row>
    <row r="590" spans="1:15">
      <c r="A590" s="517" t="s">
        <v>4563</v>
      </c>
      <c r="B590" s="518">
        <f>VLOOKUP(A590,'Materiales '!$C$2:$G$396,3,0)</f>
        <v>4</v>
      </c>
      <c r="C590" s="88">
        <f>VLOOKUP(A590,'Materiales '!$C$2:$G$396,3,0)</f>
        <v>4</v>
      </c>
      <c r="D590" s="89" t="str">
        <f>VLOOKUP(A590,'Materiales '!$C$2:$G$396,4,0)</f>
        <v>Und</v>
      </c>
      <c r="E590" s="90">
        <f>1/10</f>
        <v>0.1</v>
      </c>
      <c r="F590" s="508" t="e">
        <f t="shared" si="34"/>
        <v>#VALUE!</v>
      </c>
      <c r="G590" s="519"/>
      <c r="H590" s="111"/>
      <c r="I590">
        <f>E590*G575</f>
        <v>0</v>
      </c>
      <c r="J590" s="58"/>
      <c r="K590" s="50"/>
      <c r="L590" s="50"/>
      <c r="M590" s="50"/>
      <c r="N590" s="50"/>
      <c r="O590" s="50"/>
    </row>
    <row r="591" spans="1:15" ht="21.75" customHeight="1">
      <c r="A591" s="517" t="s">
        <v>4432</v>
      </c>
      <c r="B591" s="518">
        <f>VLOOKUP(A591,'Materiales '!$C$2:$G$396,3,0)</f>
        <v>2</v>
      </c>
      <c r="C591" s="88">
        <f>VLOOKUP(A591,'Materiales '!$C$2:$G$396,3,0)</f>
        <v>2</v>
      </c>
      <c r="D591" s="89" t="str">
        <f>VLOOKUP(A591,'Materiales '!$C$2:$G$396,4,0)</f>
        <v>Ml</v>
      </c>
      <c r="E591" s="90">
        <f>1/20</f>
        <v>0.05</v>
      </c>
      <c r="F591" s="508" t="e">
        <f t="shared" si="34"/>
        <v>#VALUE!</v>
      </c>
      <c r="G591" s="519"/>
      <c r="H591" s="111"/>
      <c r="I591">
        <f>E591*G575</f>
        <v>0</v>
      </c>
      <c r="J591" s="58"/>
      <c r="K591" s="50"/>
      <c r="L591" s="50"/>
      <c r="M591" s="50"/>
      <c r="N591" s="50"/>
      <c r="O591" s="50"/>
    </row>
    <row r="592" spans="1:15">
      <c r="A592" s="517" t="s">
        <v>8</v>
      </c>
      <c r="B592" s="518">
        <f>VLOOKUP(A592,'Materiales '!$C$2:$G$396,3,0)</f>
        <v>0</v>
      </c>
      <c r="C592" s="88">
        <f>VLOOKUP(A592,'Materiales '!$C$2:$G$396,3,0)</f>
        <v>0</v>
      </c>
      <c r="D592" s="89" t="str">
        <f>VLOOKUP(A592,'Materiales '!$C$2:$G$396,4,0)</f>
        <v>-</v>
      </c>
      <c r="E592" s="90"/>
      <c r="F592" s="508" t="e">
        <f>E592*D592</f>
        <v>#VALUE!</v>
      </c>
      <c r="G592" s="519"/>
      <c r="H592" s="110"/>
      <c r="I592">
        <f>E592*G575</f>
        <v>0</v>
      </c>
      <c r="J592" s="58"/>
      <c r="K592" s="50"/>
      <c r="L592" s="50"/>
      <c r="M592" s="50"/>
      <c r="N592" s="50"/>
      <c r="O592" s="50"/>
    </row>
    <row r="593" spans="1:15">
      <c r="A593" s="517" t="s">
        <v>8</v>
      </c>
      <c r="B593" s="518">
        <f>VLOOKUP(A593,'Materiales '!$C$2:$G$396,3,0)</f>
        <v>0</v>
      </c>
      <c r="C593" s="88">
        <f>VLOOKUP(A593,'Materiales '!$C$2:$G$396,3,0)</f>
        <v>0</v>
      </c>
      <c r="D593" s="89" t="str">
        <f>VLOOKUP(A593,'Materiales '!$C$2:$G$396,4,0)</f>
        <v>-</v>
      </c>
      <c r="E593" s="90"/>
      <c r="F593" s="508" t="e">
        <f t="shared" ref="F593:F596" si="35">E593*D593</f>
        <v>#VALUE!</v>
      </c>
      <c r="G593" s="519"/>
      <c r="H593" s="111"/>
      <c r="I593">
        <f>E593*G575</f>
        <v>0</v>
      </c>
      <c r="J593" s="58"/>
      <c r="K593" s="50"/>
      <c r="L593" s="50"/>
      <c r="M593" s="50"/>
      <c r="N593" s="50"/>
      <c r="O593" s="50"/>
    </row>
    <row r="594" spans="1:15">
      <c r="A594" s="517" t="s">
        <v>8</v>
      </c>
      <c r="B594" s="518">
        <f>VLOOKUP(A594,'Materiales '!$C$2:$G$396,3,0)</f>
        <v>0</v>
      </c>
      <c r="C594" s="88">
        <f>VLOOKUP(A594,'Materiales '!$C$2:$G$396,3,0)</f>
        <v>0</v>
      </c>
      <c r="D594" s="89" t="str">
        <f>VLOOKUP(A594,'Materiales '!$C$2:$G$396,4,0)</f>
        <v>-</v>
      </c>
      <c r="E594" s="90"/>
      <c r="F594" s="508" t="e">
        <f t="shared" si="35"/>
        <v>#VALUE!</v>
      </c>
      <c r="G594" s="519"/>
      <c r="H594" s="111"/>
      <c r="I594">
        <f>E594*G575</f>
        <v>0</v>
      </c>
      <c r="J594" s="58"/>
      <c r="K594" s="50"/>
      <c r="L594" s="50"/>
      <c r="M594" s="50"/>
      <c r="N594" s="50"/>
      <c r="O594" s="50"/>
    </row>
    <row r="595" spans="1:15">
      <c r="A595" s="517" t="s">
        <v>8</v>
      </c>
      <c r="B595" s="518">
        <f>VLOOKUP(A595,'Materiales '!$C$2:$G$396,3,0)</f>
        <v>0</v>
      </c>
      <c r="C595" s="88">
        <f>VLOOKUP(A595,'Materiales '!$C$2:$G$396,3,0)</f>
        <v>0</v>
      </c>
      <c r="D595" s="89" t="str">
        <f>VLOOKUP(A595,'Materiales '!$C$2:$G$396,4,0)</f>
        <v>-</v>
      </c>
      <c r="E595" s="90"/>
      <c r="F595" s="508" t="e">
        <f t="shared" si="35"/>
        <v>#VALUE!</v>
      </c>
      <c r="G595" s="519"/>
      <c r="H595" s="111"/>
      <c r="I595">
        <f>E595*G575</f>
        <v>0</v>
      </c>
      <c r="J595" s="58"/>
      <c r="K595" s="50"/>
      <c r="L595" s="50"/>
      <c r="M595" s="50"/>
      <c r="N595" s="50"/>
      <c r="O595" s="50"/>
    </row>
    <row r="596" spans="1:15">
      <c r="A596" s="517" t="s">
        <v>8</v>
      </c>
      <c r="B596" s="518">
        <f>VLOOKUP(A596,'Materiales '!$C$2:$G$396,3,0)</f>
        <v>0</v>
      </c>
      <c r="C596" s="88">
        <f>VLOOKUP(A596,'Materiales '!$C$2:$G$396,3,0)</f>
        <v>0</v>
      </c>
      <c r="D596" s="89" t="str">
        <f>VLOOKUP(A596,'Materiales '!$C$2:$G$396,4,0)</f>
        <v>-</v>
      </c>
      <c r="E596" s="90"/>
      <c r="F596" s="508" t="e">
        <f t="shared" si="35"/>
        <v>#VALUE!</v>
      </c>
      <c r="G596" s="519"/>
      <c r="H596" s="111"/>
      <c r="I596">
        <f>E596*G575</f>
        <v>0</v>
      </c>
      <c r="J596" s="58"/>
      <c r="K596" s="50"/>
      <c r="L596" s="50"/>
      <c r="M596" s="50"/>
      <c r="N596" s="50"/>
      <c r="O596" s="50"/>
    </row>
    <row r="597" spans="1:15">
      <c r="A597" s="517" t="s">
        <v>8</v>
      </c>
      <c r="B597" s="518">
        <f>VLOOKUP(A597,'Materiales '!$C$2:$G$396,3,0)</f>
        <v>0</v>
      </c>
      <c r="C597" s="88">
        <f>VLOOKUP(A597,'Materiales '!$C$2:$G$396,3,0)</f>
        <v>0</v>
      </c>
      <c r="D597" s="89" t="str">
        <f>VLOOKUP(A597,'Materiales '!$C$2:$G$396,4,0)</f>
        <v>-</v>
      </c>
      <c r="E597" s="90"/>
      <c r="F597" s="508" t="e">
        <f>E597*D597</f>
        <v>#VALUE!</v>
      </c>
      <c r="G597" s="519"/>
      <c r="H597" s="110"/>
      <c r="I597">
        <f>E597*G575</f>
        <v>0</v>
      </c>
      <c r="J597" s="58"/>
      <c r="K597" s="50"/>
      <c r="L597" s="50"/>
      <c r="M597" s="50"/>
      <c r="N597" s="50"/>
      <c r="O597" s="50"/>
    </row>
    <row r="598" spans="1:15">
      <c r="A598" s="520" t="s">
        <v>4098</v>
      </c>
      <c r="B598" s="521"/>
      <c r="C598" s="521"/>
      <c r="D598" s="521"/>
      <c r="E598" s="521"/>
      <c r="F598" s="521"/>
      <c r="G598" s="522"/>
      <c r="H598" s="106" t="e">
        <f>SUM(F584:F597)</f>
        <v>#VALUE!</v>
      </c>
      <c r="J598" s="58"/>
      <c r="K598" s="50"/>
      <c r="L598" s="50"/>
      <c r="M598" s="50"/>
      <c r="N598" s="50"/>
      <c r="O598" s="50"/>
    </row>
    <row r="599" spans="1:15">
      <c r="A599" s="523" t="s">
        <v>4220</v>
      </c>
      <c r="B599" s="524"/>
      <c r="C599" s="524"/>
      <c r="D599" s="524"/>
      <c r="E599" s="525"/>
      <c r="F599" s="524"/>
      <c r="G599" s="524"/>
      <c r="H599" s="526"/>
      <c r="J599" s="58"/>
      <c r="K599" s="50"/>
      <c r="L599" s="50"/>
      <c r="M599" s="50"/>
      <c r="N599" s="50"/>
      <c r="O599" s="50"/>
    </row>
    <row r="600" spans="1:15">
      <c r="A600" s="527" t="s">
        <v>7</v>
      </c>
      <c r="B600" s="528"/>
      <c r="C600" s="98" t="s">
        <v>4221</v>
      </c>
      <c r="D600" s="97" t="s">
        <v>4222</v>
      </c>
      <c r="E600" s="187" t="s">
        <v>4223</v>
      </c>
      <c r="F600" s="529" t="s">
        <v>4207</v>
      </c>
      <c r="G600" s="529"/>
      <c r="H600" s="109"/>
      <c r="K600" s="50"/>
      <c r="L600" s="50"/>
      <c r="M600" s="50"/>
      <c r="N600" s="50"/>
      <c r="O600" s="50"/>
    </row>
    <row r="601" spans="1:15">
      <c r="A601" s="506" t="s">
        <v>3928</v>
      </c>
      <c r="B601" s="507"/>
      <c r="C601" s="213">
        <v>1</v>
      </c>
      <c r="D601" s="92">
        <v>0.03</v>
      </c>
      <c r="E601" s="93" t="str">
        <f>VLOOKUP(A601,'Equip, Herr y Transp'!$B$2:$E$217,3,0)</f>
        <v>TR</v>
      </c>
      <c r="F601" s="530" t="e">
        <f>E601*D601*C601</f>
        <v>#VALUE!</v>
      </c>
      <c r="G601" s="531"/>
      <c r="H601" s="107"/>
      <c r="M601" s="50"/>
    </row>
    <row r="602" spans="1:15">
      <c r="A602" s="532" t="s">
        <v>4205</v>
      </c>
      <c r="B602" s="533"/>
      <c r="C602" s="533"/>
      <c r="D602" s="533"/>
      <c r="E602" s="533"/>
      <c r="F602" s="533"/>
      <c r="G602" s="533"/>
      <c r="H602" s="95" t="e">
        <f>F601</f>
        <v>#VALUE!</v>
      </c>
    </row>
    <row r="603" spans="1:15">
      <c r="A603" s="523" t="s">
        <v>4224</v>
      </c>
      <c r="B603" s="524"/>
      <c r="C603" s="524"/>
      <c r="D603" s="524"/>
      <c r="E603" s="524"/>
      <c r="F603" s="524"/>
      <c r="G603" s="524"/>
      <c r="H603" s="526"/>
    </row>
    <row r="604" spans="1:15">
      <c r="A604" s="527" t="s">
        <v>7</v>
      </c>
      <c r="B604" s="528"/>
      <c r="C604" s="96" t="s">
        <v>1</v>
      </c>
      <c r="D604" s="97" t="s">
        <v>4225</v>
      </c>
      <c r="E604" s="98" t="s">
        <v>4204</v>
      </c>
      <c r="F604" s="527" t="s">
        <v>5</v>
      </c>
      <c r="G604" s="534"/>
      <c r="H604" s="109"/>
    </row>
    <row r="605" spans="1:15">
      <c r="A605" s="506" t="s">
        <v>4191</v>
      </c>
      <c r="B605" s="507"/>
      <c r="C605" s="91">
        <v>1</v>
      </c>
      <c r="D605" s="94">
        <f>VLOOKUP(A605,'Mano Obra'!$B$2:$T$117,19,0)</f>
        <v>152456</v>
      </c>
      <c r="E605" s="218">
        <f>H568</f>
        <v>1.04E-2</v>
      </c>
      <c r="F605" s="508">
        <f>E605*D605*C605</f>
        <v>1585.5423999999998</v>
      </c>
      <c r="G605" s="509"/>
      <c r="H605" s="111"/>
      <c r="I605" s="59"/>
      <c r="J605" s="117">
        <f>((('Mano Obra'!$M$4/30)*F605)/D605)*G575</f>
        <v>0</v>
      </c>
    </row>
    <row r="606" spans="1:15">
      <c r="A606" s="510" t="s">
        <v>4192</v>
      </c>
      <c r="B606" s="511">
        <f>VLOOKUP(A606,'Mano Obra'!$B$3:$D$290,2,0)</f>
        <v>1900000</v>
      </c>
      <c r="C606" s="91">
        <v>1</v>
      </c>
      <c r="D606" s="94">
        <f>VLOOKUP(A606,'Mano Obra'!$B$2:$T$117,19,0)</f>
        <v>110488</v>
      </c>
      <c r="E606" s="218">
        <f>H568</f>
        <v>1.04E-2</v>
      </c>
      <c r="F606" s="508">
        <f t="shared" ref="F606:F607" si="36">E606*D606*C606</f>
        <v>1149.0752</v>
      </c>
      <c r="G606" s="509"/>
      <c r="H606" s="111"/>
      <c r="J606" s="117">
        <f>((('Mano Obra'!$M$5/30)*F606)/D606)*G575</f>
        <v>0</v>
      </c>
    </row>
    <row r="607" spans="1:15">
      <c r="A607" s="510" t="s">
        <v>4181</v>
      </c>
      <c r="B607" s="511">
        <f>VLOOKUP(A607,'Mano Obra'!$B$3:$D$290,2,0)</f>
        <v>1000000</v>
      </c>
      <c r="C607" s="91">
        <v>1</v>
      </c>
      <c r="D607" s="94">
        <f>VLOOKUP(A607,'Mano Obra'!$B$2:$T$117,19,0)</f>
        <v>67424</v>
      </c>
      <c r="E607" s="218">
        <f>H568</f>
        <v>1.04E-2</v>
      </c>
      <c r="F607" s="508">
        <f t="shared" si="36"/>
        <v>701.20960000000002</v>
      </c>
      <c r="G607" s="509"/>
      <c r="H607" s="110"/>
      <c r="J607" s="117">
        <f>((('Mano Obra'!$M$6/30)*F607)/D607)*G575</f>
        <v>0</v>
      </c>
    </row>
    <row r="608" spans="1:15">
      <c r="A608" s="512" t="s">
        <v>4100</v>
      </c>
      <c r="B608" s="512"/>
      <c r="C608" s="512"/>
      <c r="D608" s="512"/>
      <c r="E608" s="512"/>
      <c r="F608" s="512"/>
      <c r="G608" s="512"/>
      <c r="H608" s="95">
        <f>SUM(F605:F607)</f>
        <v>3435.8271999999997</v>
      </c>
      <c r="J608" s="117"/>
    </row>
    <row r="609" spans="1:14">
      <c r="A609" s="208" t="s">
        <v>4226</v>
      </c>
      <c r="B609" s="186"/>
      <c r="C609" s="186"/>
      <c r="D609" s="183"/>
      <c r="E609" s="184"/>
      <c r="F609" s="185"/>
      <c r="G609" s="184"/>
      <c r="H609" s="193"/>
    </row>
    <row r="610" spans="1:14">
      <c r="A610" s="513" t="s">
        <v>4213</v>
      </c>
      <c r="B610" s="514"/>
      <c r="C610" s="514"/>
      <c r="D610" s="514"/>
      <c r="E610" s="181"/>
      <c r="F610" s="182" t="s">
        <v>4227</v>
      </c>
      <c r="G610" s="181" t="s">
        <v>4228</v>
      </c>
      <c r="H610" s="194"/>
    </row>
    <row r="611" spans="1:14">
      <c r="A611" s="204" t="s">
        <v>4096</v>
      </c>
      <c r="B611" s="62"/>
      <c r="C611" s="62"/>
      <c r="D611" s="63"/>
      <c r="E611" s="68"/>
      <c r="F611" s="69">
        <v>0</v>
      </c>
      <c r="G611" s="70" t="e">
        <f>F611*H576</f>
        <v>#VALUE!</v>
      </c>
      <c r="H611" s="193"/>
    </row>
    <row r="612" spans="1:14">
      <c r="A612" s="205" t="s">
        <v>4229</v>
      </c>
      <c r="B612" s="71"/>
      <c r="C612" s="71"/>
      <c r="D612" s="72"/>
      <c r="E612" s="68"/>
      <c r="F612" s="69">
        <v>0</v>
      </c>
      <c r="G612" s="70" t="e">
        <f>F612*H576</f>
        <v>#VALUE!</v>
      </c>
      <c r="H612" s="193"/>
    </row>
    <row r="613" spans="1:14">
      <c r="A613" s="205" t="s">
        <v>4</v>
      </c>
      <c r="B613" s="71"/>
      <c r="C613" s="71"/>
      <c r="D613" s="72"/>
      <c r="E613" s="68"/>
      <c r="F613" s="69">
        <v>0</v>
      </c>
      <c r="G613" s="70" t="e">
        <f>F613*H576</f>
        <v>#VALUE!</v>
      </c>
      <c r="H613" s="193"/>
    </row>
    <row r="614" spans="1:14">
      <c r="A614" s="206"/>
      <c r="B614" s="73"/>
      <c r="C614" s="65"/>
      <c r="D614" s="74"/>
      <c r="E614" s="75"/>
      <c r="F614" s="76"/>
      <c r="G614" s="77"/>
      <c r="H614" s="195"/>
    </row>
    <row r="615" spans="1:14">
      <c r="A615" s="207"/>
      <c r="B615" s="73"/>
      <c r="C615" s="73"/>
      <c r="D615" s="74"/>
      <c r="E615" s="78"/>
      <c r="F615" s="515" t="s">
        <v>4230</v>
      </c>
      <c r="G615" s="516"/>
      <c r="H615" s="214" t="e">
        <f>H576+G611+G612+G613</f>
        <v>#VALUE!</v>
      </c>
    </row>
    <row r="616" spans="1:14">
      <c r="A616" s="73"/>
      <c r="B616" s="73"/>
      <c r="C616" s="73"/>
      <c r="D616" s="74"/>
      <c r="E616" s="360"/>
      <c r="F616" s="361"/>
      <c r="G616" s="361"/>
      <c r="H616" s="362"/>
    </row>
    <row r="617" spans="1:14">
      <c r="A617" s="80"/>
      <c r="B617" s="80"/>
      <c r="C617" s="80"/>
      <c r="D617" s="80"/>
      <c r="E617" s="80"/>
      <c r="F617" s="80"/>
      <c r="G617" s="80"/>
      <c r="H617" s="353"/>
    </row>
    <row r="618" spans="1:14">
      <c r="A618" s="537" t="s">
        <v>4214</v>
      </c>
      <c r="B618" s="538"/>
      <c r="C618" s="538"/>
      <c r="D618" s="538"/>
      <c r="E618" s="538"/>
      <c r="F618" s="538"/>
      <c r="G618" s="538"/>
      <c r="H618" s="539"/>
    </row>
    <row r="619" spans="1:14">
      <c r="A619" s="81"/>
      <c r="B619" s="82"/>
      <c r="C619" s="82"/>
      <c r="D619" s="82"/>
      <c r="E619" s="82"/>
      <c r="F619" s="83"/>
      <c r="G619" s="84"/>
      <c r="H619" s="352">
        <f>ROUND((25/60)/8,4)</f>
        <v>5.21E-2</v>
      </c>
      <c r="I619" s="105"/>
    </row>
    <row r="620" spans="1:14">
      <c r="A620" s="540" t="s">
        <v>4209</v>
      </c>
      <c r="B620" s="542" t="str">
        <f>COSTOS!$C$14</f>
        <v>MODERNIZACION A TECNOLOGIA LED</v>
      </c>
      <c r="C620" s="542"/>
      <c r="D620" s="542"/>
      <c r="E620" s="542"/>
      <c r="F620" s="542"/>
      <c r="G620" s="542"/>
      <c r="H620" s="543" t="s">
        <v>4210</v>
      </c>
    </row>
    <row r="621" spans="1:14">
      <c r="A621" s="541"/>
      <c r="B621" s="542"/>
      <c r="C621" s="542"/>
      <c r="D621" s="542"/>
      <c r="E621" s="542"/>
      <c r="F621" s="542"/>
      <c r="G621" s="542"/>
      <c r="H621" s="543"/>
    </row>
    <row r="622" spans="1:14">
      <c r="A622" s="541"/>
      <c r="B622" s="542"/>
      <c r="C622" s="542"/>
      <c r="D622" s="542"/>
      <c r="E622" s="542"/>
      <c r="F622" s="542"/>
      <c r="G622" s="542"/>
      <c r="H622" s="543"/>
    </row>
    <row r="623" spans="1:14" ht="15" customHeight="1">
      <c r="A623" s="541"/>
      <c r="B623" s="542"/>
      <c r="C623" s="542"/>
      <c r="D623" s="542"/>
      <c r="E623" s="542"/>
      <c r="F623" s="542"/>
      <c r="G623" s="542"/>
      <c r="H623" s="197">
        <f ca="1">TODAY()</f>
        <v>44889</v>
      </c>
      <c r="K623" t="s">
        <v>4380</v>
      </c>
      <c r="L623" t="s">
        <v>4381</v>
      </c>
      <c r="M623" t="s">
        <v>4382</v>
      </c>
      <c r="N623" t="s">
        <v>4383</v>
      </c>
    </row>
    <row r="624" spans="1:14" ht="60.75" customHeight="1">
      <c r="A624" s="209" t="s">
        <v>4211</v>
      </c>
      <c r="B624" s="544" t="str">
        <f>COSTOS!$D$16</f>
        <v>Luminarias</v>
      </c>
      <c r="C624" s="544"/>
      <c r="D624" s="544"/>
      <c r="E624" s="544"/>
      <c r="F624" s="544"/>
      <c r="G624" s="60" t="s">
        <v>4212</v>
      </c>
      <c r="H624" s="363">
        <v>1.1299999999999999</v>
      </c>
      <c r="K624" s="55" t="e">
        <f>H649</f>
        <v>#VALUE!</v>
      </c>
      <c r="L624" s="55">
        <f>H659</f>
        <v>17212.1728</v>
      </c>
      <c r="M624" s="55" t="e">
        <f>H632</f>
        <v>#VALUE!</v>
      </c>
      <c r="N624" s="55" t="e">
        <f>H653</f>
        <v>#VALUE!</v>
      </c>
    </row>
    <row r="625" spans="1:15" ht="43.2" customHeight="1">
      <c r="A625" s="210" t="s">
        <v>4213</v>
      </c>
      <c r="B625" s="545" t="str">
        <f>VLOOKUP(H624,COSTOS!C:M,2,0)</f>
        <v>SPOT LED 14w, 650lm</v>
      </c>
      <c r="C625" s="546"/>
      <c r="D625" s="546"/>
      <c r="E625" s="547"/>
      <c r="F625" s="61" t="s">
        <v>0</v>
      </c>
      <c r="G625" s="328" t="str">
        <f>VLOOKUP(H624,COSTOS!C:M,8,0)</f>
        <v>Und</v>
      </c>
      <c r="H625" s="248"/>
      <c r="I625" s="278"/>
      <c r="J625" s="280"/>
      <c r="K625" s="280"/>
      <c r="L625" s="280"/>
    </row>
    <row r="626" spans="1:15">
      <c r="A626" s="211"/>
      <c r="B626" s="102"/>
      <c r="C626" s="102"/>
      <c r="D626" s="102"/>
      <c r="E626" s="103"/>
      <c r="F626" s="104" t="s">
        <v>1</v>
      </c>
      <c r="G626" s="328">
        <f>VLOOKUP(H624,COSTOS!C:M,9,0)</f>
        <v>0</v>
      </c>
      <c r="H626" s="329"/>
      <c r="I626" s="279"/>
    </row>
    <row r="627" spans="1:15">
      <c r="A627" s="212" t="s">
        <v>4215</v>
      </c>
      <c r="B627" s="65"/>
      <c r="C627" s="65"/>
      <c r="D627" s="66"/>
      <c r="E627" s="190"/>
      <c r="F627" s="191"/>
      <c r="G627" s="192" t="s">
        <v>4216</v>
      </c>
      <c r="H627" s="198" t="e">
        <f>H632+H649+H653+H659</f>
        <v>#VALUE!</v>
      </c>
    </row>
    <row r="628" spans="1:15" ht="41.4">
      <c r="A628" s="548" t="s">
        <v>4213</v>
      </c>
      <c r="B628" s="548"/>
      <c r="C628" s="548"/>
      <c r="D628" s="67" t="s">
        <v>0</v>
      </c>
      <c r="E628" s="188" t="s">
        <v>4217</v>
      </c>
      <c r="F628" s="189" t="s">
        <v>4204</v>
      </c>
      <c r="G628" s="64" t="s">
        <v>2</v>
      </c>
      <c r="H628" s="199" t="s">
        <v>4218</v>
      </c>
      <c r="K628" s="281"/>
    </row>
    <row r="629" spans="1:15">
      <c r="A629" s="517" t="s">
        <v>3946</v>
      </c>
      <c r="B629" s="549">
        <f>VLOOKUP(A629,'Equip, Herr y Transp'!$B$2:$E$738,2,0)</f>
        <v>2</v>
      </c>
      <c r="C629" s="549"/>
      <c r="D629" s="85">
        <f>VLOOKUP(A629,'Equip, Herr y Transp'!$B$2:$E$217,2,0)</f>
        <v>2</v>
      </c>
      <c r="E629" s="85" t="str">
        <f>VLOOKUP(A629,'Equip, Herr y Transp'!$B$2:$E$217,3,0)</f>
        <v>EQU</v>
      </c>
      <c r="F629" s="86">
        <f>H619</f>
        <v>5.21E-2</v>
      </c>
      <c r="G629" s="112" t="e">
        <f>F629*E629</f>
        <v>#VALUE!</v>
      </c>
      <c r="H629" s="108"/>
    </row>
    <row r="630" spans="1:15">
      <c r="A630" s="517" t="s">
        <v>3937</v>
      </c>
      <c r="B630" s="549">
        <f>VLOOKUP(A630,'Equip, Herr y Transp'!$B$2:$E$738,2,0)</f>
        <v>2</v>
      </c>
      <c r="C630" s="549"/>
      <c r="D630" s="85">
        <f>VLOOKUP(A630,'Equip, Herr y Transp'!$B$2:$E$217,2,0)</f>
        <v>2</v>
      </c>
      <c r="E630" s="85" t="str">
        <f>VLOOKUP(A630,'Equip, Herr y Transp'!$B$2:$E$217,3,0)</f>
        <v>EQU</v>
      </c>
      <c r="F630" s="86">
        <f>H619</f>
        <v>5.21E-2</v>
      </c>
      <c r="G630" s="112" t="e">
        <f>F630*E630</f>
        <v>#VALUE!</v>
      </c>
      <c r="H630" s="107"/>
    </row>
    <row r="631" spans="1:15">
      <c r="A631" s="517" t="s">
        <v>3903</v>
      </c>
      <c r="B631" s="549">
        <f>VLOOKUP(A631,'Equip, Herr y Transp'!$B$2:$E$738,2,0)</f>
        <v>2</v>
      </c>
      <c r="C631" s="549"/>
      <c r="D631" s="85">
        <f>VLOOKUP(A631,'Equip, Herr y Transp'!$B$2:$E$217,2,0)</f>
        <v>2</v>
      </c>
      <c r="E631" s="85" t="str">
        <f>VLOOKUP(A631,'Equip, Herr y Transp'!$B$2:$E$217,3,0)</f>
        <v>EQU</v>
      </c>
      <c r="F631" s="86">
        <f>H619</f>
        <v>5.21E-2</v>
      </c>
      <c r="G631" s="112" t="e">
        <f>F631*E631</f>
        <v>#VALUE!</v>
      </c>
      <c r="H631" s="107"/>
    </row>
    <row r="632" spans="1:15">
      <c r="A632" s="520" t="s">
        <v>4099</v>
      </c>
      <c r="B632" s="521"/>
      <c r="C632" s="521"/>
      <c r="D632" s="521"/>
      <c r="E632" s="521"/>
      <c r="F632" s="521"/>
      <c r="G632" s="521"/>
      <c r="H632" s="87" t="e">
        <f>SUM(G629:G631)</f>
        <v>#VALUE!</v>
      </c>
    </row>
    <row r="633" spans="1:15">
      <c r="A633" s="550" t="s">
        <v>4219</v>
      </c>
      <c r="B633" s="551"/>
      <c r="C633" s="551"/>
      <c r="D633" s="551"/>
      <c r="E633" s="551"/>
      <c r="F633" s="551"/>
      <c r="G633" s="551"/>
      <c r="H633" s="552"/>
      <c r="K633" s="50"/>
      <c r="L633" s="50"/>
      <c r="M633" s="50"/>
      <c r="N633" s="50"/>
      <c r="O633" s="50"/>
    </row>
    <row r="634" spans="1:15" ht="30" customHeight="1">
      <c r="A634" s="553" t="s">
        <v>7</v>
      </c>
      <c r="B634" s="554"/>
      <c r="C634" s="99" t="s">
        <v>0</v>
      </c>
      <c r="D634" s="100" t="s">
        <v>4097</v>
      </c>
      <c r="E634" s="101" t="s">
        <v>1</v>
      </c>
      <c r="F634" s="555" t="s">
        <v>4207</v>
      </c>
      <c r="G634" s="555"/>
      <c r="H634" s="196"/>
      <c r="K634" s="50"/>
      <c r="L634" s="50"/>
      <c r="M634" s="50"/>
      <c r="N634" s="50"/>
      <c r="O634" s="50"/>
    </row>
    <row r="635" spans="1:15">
      <c r="A635" s="535" t="s">
        <v>4621</v>
      </c>
      <c r="B635" s="536"/>
      <c r="C635" s="88">
        <f>VLOOKUP(A635,'Materiales '!$C$2:$G$396,3,0)</f>
        <v>4</v>
      </c>
      <c r="D635" s="89" t="str">
        <f>VLOOKUP(A635,'Materiales '!$C$2:$G$396,4,0)</f>
        <v>Und</v>
      </c>
      <c r="E635" s="90">
        <v>1</v>
      </c>
      <c r="F635" s="508" t="e">
        <f>E635*D635</f>
        <v>#VALUE!</v>
      </c>
      <c r="G635" s="519"/>
      <c r="H635" s="111"/>
      <c r="I635">
        <f>E635*G626</f>
        <v>0</v>
      </c>
      <c r="J635" s="57"/>
      <c r="K635" s="50"/>
      <c r="L635" s="50"/>
      <c r="M635" s="50"/>
      <c r="N635" s="50"/>
      <c r="O635" s="50"/>
    </row>
    <row r="636" spans="1:15">
      <c r="A636" s="535" t="s">
        <v>4625</v>
      </c>
      <c r="B636" s="536"/>
      <c r="C636" s="88">
        <f>VLOOKUP(A636,'Materiales '!$C$2:$G$396,3,0)</f>
        <v>4</v>
      </c>
      <c r="D636" s="89" t="str">
        <f>VLOOKUP(A636,'Materiales '!$C$2:$G$396,4,0)</f>
        <v>Und</v>
      </c>
      <c r="E636" s="90">
        <v>1</v>
      </c>
      <c r="F636" s="508" t="e">
        <f t="shared" ref="F636:F642" si="37">E636*D636</f>
        <v>#VALUE!</v>
      </c>
      <c r="G636" s="519"/>
      <c r="H636" s="111"/>
      <c r="I636">
        <f>E636*G626</f>
        <v>0</v>
      </c>
      <c r="J636" s="57"/>
      <c r="K636" s="50"/>
      <c r="L636" s="50"/>
      <c r="M636" s="50"/>
      <c r="N636" s="50"/>
      <c r="O636" s="50"/>
    </row>
    <row r="637" spans="1:15">
      <c r="A637" s="517" t="s">
        <v>4628</v>
      </c>
      <c r="B637" s="518">
        <f>VLOOKUP(A637,'Materiales '!$C$2:$G$396,3,0)</f>
        <v>4</v>
      </c>
      <c r="C637" s="88">
        <f>VLOOKUP(A637,'Materiales '!$C$2:$G$396,3,0)</f>
        <v>4</v>
      </c>
      <c r="D637" s="89" t="str">
        <f>VLOOKUP(A637,'Materiales '!$C$2:$G$396,4,0)</f>
        <v>Und</v>
      </c>
      <c r="E637" s="90">
        <v>0.1</v>
      </c>
      <c r="F637" s="508" t="e">
        <f t="shared" si="37"/>
        <v>#VALUE!</v>
      </c>
      <c r="G637" s="519"/>
      <c r="H637" s="111"/>
      <c r="I637">
        <f>E637*G626</f>
        <v>0</v>
      </c>
      <c r="J637" s="58"/>
      <c r="K637" s="50"/>
      <c r="L637" s="50"/>
      <c r="M637" s="50"/>
      <c r="N637" s="50"/>
      <c r="O637" s="50"/>
    </row>
    <row r="638" spans="1:15">
      <c r="A638" s="517" t="s">
        <v>4439</v>
      </c>
      <c r="B638" s="518">
        <f>VLOOKUP(A638,'Materiales '!$C$2:$G$396,3,0)</f>
        <v>2</v>
      </c>
      <c r="C638" s="88">
        <f>VLOOKUP(A638,'Materiales '!$C$2:$G$396,3,0)</f>
        <v>2</v>
      </c>
      <c r="D638" s="89" t="str">
        <f>VLOOKUP(A638,'Materiales '!$C$2:$G$396,4,0)</f>
        <v>Ml</v>
      </c>
      <c r="E638" s="90">
        <v>1</v>
      </c>
      <c r="F638" s="508" t="e">
        <f t="shared" si="37"/>
        <v>#VALUE!</v>
      </c>
      <c r="G638" s="519"/>
      <c r="H638" s="111"/>
      <c r="I638">
        <f>E638*G626</f>
        <v>0</v>
      </c>
      <c r="J638" s="58"/>
      <c r="K638" s="50"/>
      <c r="L638" s="50"/>
      <c r="M638" s="50"/>
      <c r="N638" s="50"/>
      <c r="O638" s="50"/>
    </row>
    <row r="639" spans="1:15">
      <c r="A639" s="517" t="s">
        <v>4482</v>
      </c>
      <c r="B639" s="518">
        <f>VLOOKUP(A639,'Materiales '!$C$2:$G$396,3,0)</f>
        <v>4</v>
      </c>
      <c r="C639" s="88">
        <f>VLOOKUP(A639,'Materiales '!$C$2:$G$396,3,0)</f>
        <v>4</v>
      </c>
      <c r="D639" s="89" t="str">
        <f>VLOOKUP(A639,'Materiales '!$C$2:$G$396,4,0)</f>
        <v>Und</v>
      </c>
      <c r="E639" s="90">
        <v>3</v>
      </c>
      <c r="F639" s="508" t="e">
        <f t="shared" si="37"/>
        <v>#VALUE!</v>
      </c>
      <c r="G639" s="519"/>
      <c r="H639" s="111"/>
      <c r="I639">
        <f>E639*G626</f>
        <v>0</v>
      </c>
      <c r="J639" s="58"/>
      <c r="K639" s="50"/>
      <c r="L639" s="50"/>
      <c r="M639" s="50"/>
      <c r="N639" s="50"/>
      <c r="O639" s="50"/>
    </row>
    <row r="640" spans="1:15">
      <c r="A640" s="517" t="s">
        <v>4627</v>
      </c>
      <c r="B640" s="518">
        <f>VLOOKUP(A640,'Materiales '!$C$2:$G$396,3,0)</f>
        <v>4</v>
      </c>
      <c r="C640" s="88">
        <f>VLOOKUP(A640,'Materiales '!$C$2:$G$396,3,0)</f>
        <v>4</v>
      </c>
      <c r="D640" s="89" t="str">
        <f>VLOOKUP(A640,'Materiales '!$C$2:$G$396,4,0)</f>
        <v>Und</v>
      </c>
      <c r="E640" s="90">
        <v>1</v>
      </c>
      <c r="F640" s="508" t="e">
        <f t="shared" si="37"/>
        <v>#VALUE!</v>
      </c>
      <c r="G640" s="519"/>
      <c r="H640" s="111"/>
      <c r="I640">
        <f>E640*G626</f>
        <v>0</v>
      </c>
      <c r="J640" s="58"/>
      <c r="K640" s="50"/>
      <c r="L640" s="50"/>
      <c r="M640" s="50"/>
      <c r="N640" s="50"/>
      <c r="O640" s="50"/>
    </row>
    <row r="641" spans="1:15">
      <c r="A641" s="517" t="s">
        <v>4563</v>
      </c>
      <c r="B641" s="518">
        <f>VLOOKUP(A641,'Materiales '!$C$2:$G$396,3,0)</f>
        <v>4</v>
      </c>
      <c r="C641" s="88">
        <f>VLOOKUP(A641,'Materiales '!$C$2:$G$396,3,0)</f>
        <v>4</v>
      </c>
      <c r="D641" s="89" t="str">
        <f>VLOOKUP(A641,'Materiales '!$C$2:$G$396,4,0)</f>
        <v>Und</v>
      </c>
      <c r="E641" s="90">
        <v>1</v>
      </c>
      <c r="F641" s="508" t="e">
        <f t="shared" si="37"/>
        <v>#VALUE!</v>
      </c>
      <c r="G641" s="519"/>
      <c r="H641" s="111"/>
      <c r="I641">
        <f>E641*G626</f>
        <v>0</v>
      </c>
      <c r="J641" s="58"/>
      <c r="K641" s="50"/>
      <c r="L641" s="50"/>
      <c r="M641" s="50"/>
      <c r="N641" s="50"/>
      <c r="O641" s="50"/>
    </row>
    <row r="642" spans="1:15" ht="21.75" customHeight="1">
      <c r="A642" s="517" t="s">
        <v>8</v>
      </c>
      <c r="B642" s="518">
        <f>VLOOKUP(A642,'Materiales '!$C$2:$G$396,3,0)</f>
        <v>0</v>
      </c>
      <c r="C642" s="88">
        <f>VLOOKUP(A642,'Materiales '!$C$2:$G$396,3,0)</f>
        <v>0</v>
      </c>
      <c r="D642" s="89" t="str">
        <f>VLOOKUP(A642,'Materiales '!$C$2:$G$396,4,0)</f>
        <v>-</v>
      </c>
      <c r="E642" s="90"/>
      <c r="F642" s="508" t="e">
        <f t="shared" si="37"/>
        <v>#VALUE!</v>
      </c>
      <c r="G642" s="519"/>
      <c r="H642" s="111"/>
      <c r="I642">
        <f>E642*G626</f>
        <v>0</v>
      </c>
      <c r="J642" s="58"/>
      <c r="K642" s="50"/>
      <c r="L642" s="50"/>
      <c r="M642" s="50"/>
      <c r="N642" s="50"/>
      <c r="O642" s="50"/>
    </row>
    <row r="643" spans="1:15">
      <c r="A643" s="517" t="s">
        <v>8</v>
      </c>
      <c r="B643" s="518">
        <f>VLOOKUP(A643,'Materiales '!$C$2:$G$396,3,0)</f>
        <v>0</v>
      </c>
      <c r="C643" s="88">
        <f>VLOOKUP(A643,'Materiales '!$C$2:$G$396,3,0)</f>
        <v>0</v>
      </c>
      <c r="D643" s="89" t="str">
        <f>VLOOKUP(A643,'Materiales '!$C$2:$G$396,4,0)</f>
        <v>-</v>
      </c>
      <c r="E643" s="90"/>
      <c r="F643" s="508" t="e">
        <f>E643*D643</f>
        <v>#VALUE!</v>
      </c>
      <c r="G643" s="519"/>
      <c r="H643" s="110"/>
      <c r="I643">
        <f>E643*G626</f>
        <v>0</v>
      </c>
      <c r="J643" s="58"/>
      <c r="K643" s="50"/>
      <c r="L643" s="50"/>
      <c r="M643" s="50"/>
      <c r="N643" s="50"/>
      <c r="O643" s="50"/>
    </row>
    <row r="644" spans="1:15">
      <c r="A644" s="517" t="s">
        <v>8</v>
      </c>
      <c r="B644" s="518">
        <f>VLOOKUP(A644,'Materiales '!$C$2:$G$396,3,0)</f>
        <v>0</v>
      </c>
      <c r="C644" s="88">
        <f>VLOOKUP(A644,'Materiales '!$C$2:$G$396,3,0)</f>
        <v>0</v>
      </c>
      <c r="D644" s="89" t="str">
        <f>VLOOKUP(A644,'Materiales '!$C$2:$G$396,4,0)</f>
        <v>-</v>
      </c>
      <c r="E644" s="90"/>
      <c r="F644" s="508" t="e">
        <f t="shared" ref="F644:F647" si="38">E644*D644</f>
        <v>#VALUE!</v>
      </c>
      <c r="G644" s="519"/>
      <c r="H644" s="111"/>
      <c r="I644">
        <f>E644*G626</f>
        <v>0</v>
      </c>
      <c r="J644" s="58"/>
      <c r="K644" s="50"/>
      <c r="L644" s="50"/>
      <c r="M644" s="50"/>
      <c r="N644" s="50"/>
      <c r="O644" s="50"/>
    </row>
    <row r="645" spans="1:15">
      <c r="A645" s="517" t="s">
        <v>8</v>
      </c>
      <c r="B645" s="518">
        <f>VLOOKUP(A645,'Materiales '!$C$2:$G$396,3,0)</f>
        <v>0</v>
      </c>
      <c r="C645" s="88">
        <f>VLOOKUP(A645,'Materiales '!$C$2:$G$396,3,0)</f>
        <v>0</v>
      </c>
      <c r="D645" s="89" t="str">
        <f>VLOOKUP(A645,'Materiales '!$C$2:$G$396,4,0)</f>
        <v>-</v>
      </c>
      <c r="E645" s="90"/>
      <c r="F645" s="508" t="e">
        <f t="shared" si="38"/>
        <v>#VALUE!</v>
      </c>
      <c r="G645" s="519"/>
      <c r="H645" s="111"/>
      <c r="I645">
        <f>E645*G626</f>
        <v>0</v>
      </c>
      <c r="J645" s="58"/>
      <c r="K645" s="50"/>
      <c r="L645" s="50"/>
      <c r="M645" s="50"/>
      <c r="N645" s="50"/>
      <c r="O645" s="50"/>
    </row>
    <row r="646" spans="1:15">
      <c r="A646" s="517" t="s">
        <v>8</v>
      </c>
      <c r="B646" s="518">
        <f>VLOOKUP(A646,'Materiales '!$C$2:$G$396,3,0)</f>
        <v>0</v>
      </c>
      <c r="C646" s="88">
        <f>VLOOKUP(A646,'Materiales '!$C$2:$G$396,3,0)</f>
        <v>0</v>
      </c>
      <c r="D646" s="89" t="str">
        <f>VLOOKUP(A646,'Materiales '!$C$2:$G$396,4,0)</f>
        <v>-</v>
      </c>
      <c r="E646" s="90"/>
      <c r="F646" s="508" t="e">
        <f t="shared" si="38"/>
        <v>#VALUE!</v>
      </c>
      <c r="G646" s="519"/>
      <c r="H646" s="111"/>
      <c r="I646">
        <f>E646*G626</f>
        <v>0</v>
      </c>
      <c r="J646" s="58"/>
      <c r="K646" s="50"/>
      <c r="L646" s="50"/>
      <c r="M646" s="50"/>
      <c r="N646" s="50"/>
      <c r="O646" s="50"/>
    </row>
    <row r="647" spans="1:15">
      <c r="A647" s="517" t="s">
        <v>8</v>
      </c>
      <c r="B647" s="518">
        <f>VLOOKUP(A647,'Materiales '!$C$2:$G$396,3,0)</f>
        <v>0</v>
      </c>
      <c r="C647" s="88">
        <f>VLOOKUP(A647,'Materiales '!$C$2:$G$396,3,0)</f>
        <v>0</v>
      </c>
      <c r="D647" s="89" t="str">
        <f>VLOOKUP(A647,'Materiales '!$C$2:$G$396,4,0)</f>
        <v>-</v>
      </c>
      <c r="E647" s="90"/>
      <c r="F647" s="508" t="e">
        <f t="shared" si="38"/>
        <v>#VALUE!</v>
      </c>
      <c r="G647" s="519"/>
      <c r="H647" s="111"/>
      <c r="I647">
        <f>E647*G626</f>
        <v>0</v>
      </c>
      <c r="J647" s="58"/>
      <c r="K647" s="50"/>
      <c r="L647" s="50"/>
      <c r="M647" s="50"/>
      <c r="N647" s="50"/>
      <c r="O647" s="50"/>
    </row>
    <row r="648" spans="1:15">
      <c r="A648" s="517" t="s">
        <v>8</v>
      </c>
      <c r="B648" s="518">
        <f>VLOOKUP(A648,'Materiales '!$C$2:$G$396,3,0)</f>
        <v>0</v>
      </c>
      <c r="C648" s="88">
        <f>VLOOKUP(A648,'Materiales '!$C$2:$G$396,3,0)</f>
        <v>0</v>
      </c>
      <c r="D648" s="89" t="str">
        <f>VLOOKUP(A648,'Materiales '!$C$2:$G$396,4,0)</f>
        <v>-</v>
      </c>
      <c r="E648" s="90"/>
      <c r="F648" s="508" t="e">
        <f>E648*D648</f>
        <v>#VALUE!</v>
      </c>
      <c r="G648" s="519"/>
      <c r="H648" s="110"/>
      <c r="I648">
        <f>E648*G626</f>
        <v>0</v>
      </c>
      <c r="J648" s="58"/>
      <c r="K648" s="50"/>
      <c r="L648" s="50"/>
      <c r="M648" s="50"/>
      <c r="N648" s="50"/>
      <c r="O648" s="50"/>
    </row>
    <row r="649" spans="1:15">
      <c r="A649" s="520" t="s">
        <v>4098</v>
      </c>
      <c r="B649" s="521"/>
      <c r="C649" s="521"/>
      <c r="D649" s="521"/>
      <c r="E649" s="521"/>
      <c r="F649" s="521"/>
      <c r="G649" s="522"/>
      <c r="H649" s="106" t="e">
        <f>SUM(F635:F648)</f>
        <v>#VALUE!</v>
      </c>
      <c r="J649" s="58"/>
      <c r="K649" s="50"/>
      <c r="L649" s="50"/>
      <c r="M649" s="50"/>
      <c r="N649" s="50"/>
      <c r="O649" s="50"/>
    </row>
    <row r="650" spans="1:15">
      <c r="A650" s="523" t="s">
        <v>4220</v>
      </c>
      <c r="B650" s="524"/>
      <c r="C650" s="524"/>
      <c r="D650" s="524"/>
      <c r="E650" s="525"/>
      <c r="F650" s="524"/>
      <c r="G650" s="524"/>
      <c r="H650" s="526"/>
      <c r="J650" s="58"/>
      <c r="K650" s="50"/>
      <c r="L650" s="50"/>
      <c r="M650" s="50"/>
      <c r="N650" s="50"/>
      <c r="O650" s="50"/>
    </row>
    <row r="651" spans="1:15">
      <c r="A651" s="527" t="s">
        <v>7</v>
      </c>
      <c r="B651" s="528"/>
      <c r="C651" s="98" t="s">
        <v>4221</v>
      </c>
      <c r="D651" s="97" t="s">
        <v>4222</v>
      </c>
      <c r="E651" s="187" t="s">
        <v>4223</v>
      </c>
      <c r="F651" s="529" t="s">
        <v>4207</v>
      </c>
      <c r="G651" s="529"/>
      <c r="H651" s="109"/>
      <c r="K651" s="50"/>
      <c r="L651" s="50"/>
      <c r="M651" s="50"/>
      <c r="N651" s="50"/>
      <c r="O651" s="50"/>
    </row>
    <row r="652" spans="1:15">
      <c r="A652" s="506" t="s">
        <v>3928</v>
      </c>
      <c r="B652" s="507"/>
      <c r="C652" s="213">
        <v>1</v>
      </c>
      <c r="D652" s="92">
        <v>0.03</v>
      </c>
      <c r="E652" s="93" t="str">
        <f>VLOOKUP(A652,'Equip, Herr y Transp'!$B$2:$E$217,3,0)</f>
        <v>TR</v>
      </c>
      <c r="F652" s="530" t="e">
        <f>E652*D652*C652</f>
        <v>#VALUE!</v>
      </c>
      <c r="G652" s="531"/>
      <c r="H652" s="107"/>
      <c r="M652" s="50"/>
    </row>
    <row r="653" spans="1:15">
      <c r="A653" s="532" t="s">
        <v>4205</v>
      </c>
      <c r="B653" s="533"/>
      <c r="C653" s="533"/>
      <c r="D653" s="533"/>
      <c r="E653" s="533"/>
      <c r="F653" s="533"/>
      <c r="G653" s="533"/>
      <c r="H653" s="95" t="e">
        <f>F652</f>
        <v>#VALUE!</v>
      </c>
    </row>
    <row r="654" spans="1:15">
      <c r="A654" s="523" t="s">
        <v>4224</v>
      </c>
      <c r="B654" s="524"/>
      <c r="C654" s="524"/>
      <c r="D654" s="524"/>
      <c r="E654" s="524"/>
      <c r="F654" s="524"/>
      <c r="G654" s="524"/>
      <c r="H654" s="526"/>
    </row>
    <row r="655" spans="1:15">
      <c r="A655" s="527" t="s">
        <v>7</v>
      </c>
      <c r="B655" s="528"/>
      <c r="C655" s="96" t="s">
        <v>1</v>
      </c>
      <c r="D655" s="97" t="s">
        <v>4225</v>
      </c>
      <c r="E655" s="98" t="s">
        <v>4204</v>
      </c>
      <c r="F655" s="527" t="s">
        <v>5</v>
      </c>
      <c r="G655" s="534"/>
      <c r="H655" s="109"/>
    </row>
    <row r="656" spans="1:15">
      <c r="A656" s="506" t="s">
        <v>4191</v>
      </c>
      <c r="B656" s="507"/>
      <c r="C656" s="91">
        <v>1</v>
      </c>
      <c r="D656" s="94">
        <f>VLOOKUP(A656,'Mano Obra'!$B$2:$T$117,19,0)</f>
        <v>152456</v>
      </c>
      <c r="E656" s="218">
        <f>H619</f>
        <v>5.21E-2</v>
      </c>
      <c r="F656" s="508">
        <f>E656*D656*C656</f>
        <v>7942.9575999999997</v>
      </c>
      <c r="G656" s="509"/>
      <c r="H656" s="111"/>
      <c r="I656" s="59"/>
      <c r="J656" s="117">
        <f>((('Mano Obra'!$M$4/30)*F656)/D656)*G626</f>
        <v>0</v>
      </c>
    </row>
    <row r="657" spans="1:10">
      <c r="A657" s="510" t="s">
        <v>4192</v>
      </c>
      <c r="B657" s="511">
        <f>VLOOKUP(A657,'Mano Obra'!$B$3:$D$290,2,0)</f>
        <v>1900000</v>
      </c>
      <c r="C657" s="91">
        <v>1</v>
      </c>
      <c r="D657" s="94">
        <f>VLOOKUP(A657,'Mano Obra'!$B$2:$T$117,19,0)</f>
        <v>110488</v>
      </c>
      <c r="E657" s="218">
        <f>H619</f>
        <v>5.21E-2</v>
      </c>
      <c r="F657" s="508">
        <f t="shared" ref="F657:F658" si="39">E657*D657*C657</f>
        <v>5756.4247999999998</v>
      </c>
      <c r="G657" s="509"/>
      <c r="H657" s="111"/>
      <c r="J657" s="117">
        <f>((('Mano Obra'!$M$5/30)*F657)/D657)*G626</f>
        <v>0</v>
      </c>
    </row>
    <row r="658" spans="1:10">
      <c r="A658" s="510" t="s">
        <v>4181</v>
      </c>
      <c r="B658" s="511">
        <f>VLOOKUP(A658,'Mano Obra'!$B$3:$D$290,2,0)</f>
        <v>1000000</v>
      </c>
      <c r="C658" s="91">
        <v>1</v>
      </c>
      <c r="D658" s="94">
        <f>VLOOKUP(A658,'Mano Obra'!$B$2:$T$117,19,0)</f>
        <v>67424</v>
      </c>
      <c r="E658" s="218">
        <f>H619</f>
        <v>5.21E-2</v>
      </c>
      <c r="F658" s="508">
        <f t="shared" si="39"/>
        <v>3512.7903999999999</v>
      </c>
      <c r="G658" s="509"/>
      <c r="H658" s="110"/>
      <c r="J658" s="117">
        <f>((('Mano Obra'!$M$6/30)*F658)/D658)*G626</f>
        <v>0</v>
      </c>
    </row>
    <row r="659" spans="1:10">
      <c r="A659" s="512" t="s">
        <v>4100</v>
      </c>
      <c r="B659" s="512"/>
      <c r="C659" s="512"/>
      <c r="D659" s="512"/>
      <c r="E659" s="512"/>
      <c r="F659" s="512"/>
      <c r="G659" s="512"/>
      <c r="H659" s="95">
        <f>SUM(F656:F658)</f>
        <v>17212.1728</v>
      </c>
      <c r="J659" s="117"/>
    </row>
    <row r="660" spans="1:10">
      <c r="A660" s="208" t="s">
        <v>4226</v>
      </c>
      <c r="B660" s="186"/>
      <c r="C660" s="186"/>
      <c r="D660" s="183"/>
      <c r="E660" s="184"/>
      <c r="F660" s="185"/>
      <c r="G660" s="184"/>
      <c r="H660" s="193"/>
    </row>
    <row r="661" spans="1:10">
      <c r="A661" s="513" t="s">
        <v>4213</v>
      </c>
      <c r="B661" s="514"/>
      <c r="C661" s="514"/>
      <c r="D661" s="514"/>
      <c r="E661" s="181"/>
      <c r="F661" s="182" t="s">
        <v>4227</v>
      </c>
      <c r="G661" s="181" t="s">
        <v>4228</v>
      </c>
      <c r="H661" s="194"/>
    </row>
    <row r="662" spans="1:10">
      <c r="A662" s="204" t="s">
        <v>4096</v>
      </c>
      <c r="B662" s="62"/>
      <c r="C662" s="62"/>
      <c r="D662" s="63"/>
      <c r="E662" s="68"/>
      <c r="F662" s="69">
        <v>0</v>
      </c>
      <c r="G662" s="70" t="e">
        <f>F662*H627</f>
        <v>#VALUE!</v>
      </c>
      <c r="H662" s="193"/>
    </row>
    <row r="663" spans="1:10">
      <c r="A663" s="205" t="s">
        <v>4229</v>
      </c>
      <c r="B663" s="71"/>
      <c r="C663" s="71"/>
      <c r="D663" s="72"/>
      <c r="E663" s="68"/>
      <c r="F663" s="69">
        <v>0</v>
      </c>
      <c r="G663" s="70" t="e">
        <f>F663*H627</f>
        <v>#VALUE!</v>
      </c>
      <c r="H663" s="193"/>
    </row>
    <row r="664" spans="1:10">
      <c r="A664" s="205" t="s">
        <v>4</v>
      </c>
      <c r="B664" s="71"/>
      <c r="C664" s="71"/>
      <c r="D664" s="72"/>
      <c r="E664" s="68"/>
      <c r="F664" s="69">
        <v>0</v>
      </c>
      <c r="G664" s="70" t="e">
        <f>F664*H627</f>
        <v>#VALUE!</v>
      </c>
      <c r="H664" s="193"/>
    </row>
    <row r="665" spans="1:10">
      <c r="A665" s="206"/>
      <c r="B665" s="73"/>
      <c r="C665" s="65"/>
      <c r="D665" s="74"/>
      <c r="E665" s="75"/>
      <c r="F665" s="76"/>
      <c r="G665" s="77"/>
      <c r="H665" s="195"/>
    </row>
    <row r="666" spans="1:10">
      <c r="A666" s="207"/>
      <c r="B666" s="73"/>
      <c r="C666" s="73"/>
      <c r="D666" s="74"/>
      <c r="E666" s="78"/>
      <c r="F666" s="515" t="s">
        <v>4230</v>
      </c>
      <c r="G666" s="516"/>
      <c r="H666" s="214" t="e">
        <f>H627+G662+G663+G664</f>
        <v>#VALUE!</v>
      </c>
    </row>
    <row r="667" spans="1:10">
      <c r="A667" s="73"/>
      <c r="B667" s="73"/>
      <c r="C667" s="73"/>
      <c r="D667" s="74"/>
      <c r="E667" s="360"/>
      <c r="F667" s="361"/>
      <c r="G667" s="361"/>
      <c r="H667" s="362"/>
    </row>
    <row r="668" spans="1:10">
      <c r="A668" s="80"/>
      <c r="B668" s="80"/>
      <c r="C668" s="80"/>
      <c r="D668" s="80"/>
      <c r="E668" s="80"/>
      <c r="F668" s="80"/>
      <c r="G668" s="80"/>
      <c r="H668" s="353"/>
    </row>
    <row r="669" spans="1:10">
      <c r="A669" s="537" t="s">
        <v>4214</v>
      </c>
      <c r="B669" s="538"/>
      <c r="C669" s="538"/>
      <c r="D669" s="538"/>
      <c r="E669" s="538"/>
      <c r="F669" s="538"/>
      <c r="G669" s="538"/>
      <c r="H669" s="539"/>
    </row>
    <row r="670" spans="1:10">
      <c r="A670" s="81"/>
      <c r="B670" s="82"/>
      <c r="C670" s="82"/>
      <c r="D670" s="82"/>
      <c r="E670" s="82"/>
      <c r="F670" s="83"/>
      <c r="G670" s="84"/>
      <c r="H670" s="352">
        <f>ROUND((25/60)/8,4)</f>
        <v>5.21E-2</v>
      </c>
      <c r="I670" s="105"/>
    </row>
    <row r="671" spans="1:10">
      <c r="A671" s="540" t="s">
        <v>4209</v>
      </c>
      <c r="B671" s="542" t="str">
        <f>COSTOS!$C$14</f>
        <v>MODERNIZACION A TECNOLOGIA LED</v>
      </c>
      <c r="C671" s="542"/>
      <c r="D671" s="542"/>
      <c r="E671" s="542"/>
      <c r="F671" s="542"/>
      <c r="G671" s="542"/>
      <c r="H671" s="543" t="s">
        <v>4210</v>
      </c>
    </row>
    <row r="672" spans="1:10">
      <c r="A672" s="541"/>
      <c r="B672" s="542"/>
      <c r="C672" s="542"/>
      <c r="D672" s="542"/>
      <c r="E672" s="542"/>
      <c r="F672" s="542"/>
      <c r="G672" s="542"/>
      <c r="H672" s="543"/>
    </row>
    <row r="673" spans="1:15">
      <c r="A673" s="541"/>
      <c r="B673" s="542"/>
      <c r="C673" s="542"/>
      <c r="D673" s="542"/>
      <c r="E673" s="542"/>
      <c r="F673" s="542"/>
      <c r="G673" s="542"/>
      <c r="H673" s="543"/>
    </row>
    <row r="674" spans="1:15" ht="15" customHeight="1">
      <c r="A674" s="541"/>
      <c r="B674" s="542"/>
      <c r="C674" s="542"/>
      <c r="D674" s="542"/>
      <c r="E674" s="542"/>
      <c r="F674" s="542"/>
      <c r="G674" s="542"/>
      <c r="H674" s="197">
        <f ca="1">TODAY()</f>
        <v>44889</v>
      </c>
      <c r="K674" t="s">
        <v>4380</v>
      </c>
      <c r="L674" t="s">
        <v>4381</v>
      </c>
      <c r="M674" t="s">
        <v>4382</v>
      </c>
      <c r="N674" t="s">
        <v>4383</v>
      </c>
    </row>
    <row r="675" spans="1:15" ht="60.75" customHeight="1">
      <c r="A675" s="209" t="s">
        <v>4211</v>
      </c>
      <c r="B675" s="544" t="str">
        <f>COSTOS!$D$16</f>
        <v>Luminarias</v>
      </c>
      <c r="C675" s="544"/>
      <c r="D675" s="544"/>
      <c r="E675" s="544"/>
      <c r="F675" s="544"/>
      <c r="G675" s="60" t="s">
        <v>4212</v>
      </c>
      <c r="H675" s="363">
        <v>1.1399999999999999</v>
      </c>
      <c r="K675" s="55" t="e">
        <f>H700</f>
        <v>#VALUE!</v>
      </c>
      <c r="L675" s="55">
        <f>H710</f>
        <v>17212.1728</v>
      </c>
      <c r="M675" s="55" t="e">
        <f>H683</f>
        <v>#VALUE!</v>
      </c>
      <c r="N675" s="55" t="e">
        <f>H704</f>
        <v>#VALUE!</v>
      </c>
    </row>
    <row r="676" spans="1:15" ht="43.2" customHeight="1">
      <c r="A676" s="210" t="s">
        <v>4213</v>
      </c>
      <c r="B676" s="545" t="str">
        <f>VLOOKUP(H675,COSTOS!C:M,2,0)</f>
        <v>WALLPACK LED 30w, 3180lm</v>
      </c>
      <c r="C676" s="546"/>
      <c r="D676" s="546"/>
      <c r="E676" s="547"/>
      <c r="F676" s="61" t="s">
        <v>0</v>
      </c>
      <c r="G676" s="328" t="str">
        <f>VLOOKUP(H675,COSTOS!C:M,8,0)</f>
        <v>Und</v>
      </c>
      <c r="H676" s="248"/>
      <c r="I676" s="278"/>
      <c r="J676" s="280"/>
      <c r="K676" s="280"/>
      <c r="L676" s="280"/>
    </row>
    <row r="677" spans="1:15">
      <c r="A677" s="211"/>
      <c r="B677" s="102"/>
      <c r="C677" s="102"/>
      <c r="D677" s="102"/>
      <c r="E677" s="103"/>
      <c r="F677" s="104" t="s">
        <v>1</v>
      </c>
      <c r="G677" s="328">
        <f>VLOOKUP(H675,COSTOS!C:M,9,0)</f>
        <v>0</v>
      </c>
      <c r="H677" s="329"/>
      <c r="I677" s="279"/>
    </row>
    <row r="678" spans="1:15">
      <c r="A678" s="212" t="s">
        <v>4215</v>
      </c>
      <c r="B678" s="65"/>
      <c r="C678" s="65"/>
      <c r="D678" s="66"/>
      <c r="E678" s="190"/>
      <c r="F678" s="191"/>
      <c r="G678" s="192" t="s">
        <v>4216</v>
      </c>
      <c r="H678" s="198" t="e">
        <f>H683+H700+H704+H710</f>
        <v>#VALUE!</v>
      </c>
    </row>
    <row r="679" spans="1:15" ht="41.4">
      <c r="A679" s="548" t="s">
        <v>4213</v>
      </c>
      <c r="B679" s="548"/>
      <c r="C679" s="548"/>
      <c r="D679" s="67" t="s">
        <v>0</v>
      </c>
      <c r="E679" s="188" t="s">
        <v>4217</v>
      </c>
      <c r="F679" s="189" t="s">
        <v>4204</v>
      </c>
      <c r="G679" s="64" t="s">
        <v>2</v>
      </c>
      <c r="H679" s="199" t="s">
        <v>4218</v>
      </c>
      <c r="K679" s="281"/>
    </row>
    <row r="680" spans="1:15">
      <c r="A680" s="517" t="s">
        <v>3946</v>
      </c>
      <c r="B680" s="549">
        <f>VLOOKUP(A680,'Equip, Herr y Transp'!$B$2:$E$738,2,0)</f>
        <v>2</v>
      </c>
      <c r="C680" s="549"/>
      <c r="D680" s="85">
        <f>VLOOKUP(A680,'Equip, Herr y Transp'!$B$2:$E$217,2,0)</f>
        <v>2</v>
      </c>
      <c r="E680" s="85" t="str">
        <f>VLOOKUP(A680,'Equip, Herr y Transp'!$B$2:$E$217,3,0)</f>
        <v>EQU</v>
      </c>
      <c r="F680" s="86">
        <f>H670</f>
        <v>5.21E-2</v>
      </c>
      <c r="G680" s="112" t="e">
        <f>F680*E680</f>
        <v>#VALUE!</v>
      </c>
      <c r="H680" s="108"/>
    </row>
    <row r="681" spans="1:15">
      <c r="A681" s="517" t="s">
        <v>3937</v>
      </c>
      <c r="B681" s="549">
        <f>VLOOKUP(A681,'Equip, Herr y Transp'!$B$2:$E$738,2,0)</f>
        <v>2</v>
      </c>
      <c r="C681" s="549"/>
      <c r="D681" s="85">
        <f>VLOOKUP(A681,'Equip, Herr y Transp'!$B$2:$E$217,2,0)</f>
        <v>2</v>
      </c>
      <c r="E681" s="85" t="str">
        <f>VLOOKUP(A681,'Equip, Herr y Transp'!$B$2:$E$217,3,0)</f>
        <v>EQU</v>
      </c>
      <c r="F681" s="86">
        <f>H670</f>
        <v>5.21E-2</v>
      </c>
      <c r="G681" s="112" t="e">
        <f>F681*E681</f>
        <v>#VALUE!</v>
      </c>
      <c r="H681" s="107"/>
    </row>
    <row r="682" spans="1:15">
      <c r="A682" s="517" t="s">
        <v>3904</v>
      </c>
      <c r="B682" s="549">
        <f>VLOOKUP(A682,'Equip, Herr y Transp'!$B$2:$E$738,2,0)</f>
        <v>2</v>
      </c>
      <c r="C682" s="549"/>
      <c r="D682" s="85">
        <f>VLOOKUP(A682,'Equip, Herr y Transp'!$B$2:$E$217,2,0)</f>
        <v>2</v>
      </c>
      <c r="E682" s="85" t="str">
        <f>VLOOKUP(A682,'Equip, Herr y Transp'!$B$2:$E$217,3,0)</f>
        <v>EQU</v>
      </c>
      <c r="F682" s="86">
        <f>H670</f>
        <v>5.21E-2</v>
      </c>
      <c r="G682" s="112" t="e">
        <f>F682*E682</f>
        <v>#VALUE!</v>
      </c>
      <c r="H682" s="107"/>
    </row>
    <row r="683" spans="1:15">
      <c r="A683" s="520" t="s">
        <v>4099</v>
      </c>
      <c r="B683" s="521"/>
      <c r="C683" s="521"/>
      <c r="D683" s="521"/>
      <c r="E683" s="521"/>
      <c r="F683" s="521"/>
      <c r="G683" s="521"/>
      <c r="H683" s="87" t="e">
        <f>SUM(G680:G682)</f>
        <v>#VALUE!</v>
      </c>
    </row>
    <row r="684" spans="1:15">
      <c r="A684" s="550" t="s">
        <v>4219</v>
      </c>
      <c r="B684" s="551"/>
      <c r="C684" s="551"/>
      <c r="D684" s="551"/>
      <c r="E684" s="551"/>
      <c r="F684" s="551"/>
      <c r="G684" s="551"/>
      <c r="H684" s="552"/>
      <c r="K684" s="50"/>
      <c r="L684" s="50"/>
      <c r="M684" s="50"/>
      <c r="N684" s="50"/>
      <c r="O684" s="50"/>
    </row>
    <row r="685" spans="1:15" ht="30" customHeight="1">
      <c r="A685" s="553" t="s">
        <v>7</v>
      </c>
      <c r="B685" s="554"/>
      <c r="C685" s="99" t="s">
        <v>0</v>
      </c>
      <c r="D685" s="100" t="s">
        <v>4097</v>
      </c>
      <c r="E685" s="101" t="s">
        <v>1</v>
      </c>
      <c r="F685" s="555" t="s">
        <v>4207</v>
      </c>
      <c r="G685" s="555"/>
      <c r="H685" s="196"/>
      <c r="K685" s="50"/>
      <c r="L685" s="50"/>
      <c r="M685" s="50"/>
      <c r="N685" s="50"/>
      <c r="O685" s="50"/>
    </row>
    <row r="686" spans="1:15">
      <c r="A686" s="535" t="s">
        <v>4622</v>
      </c>
      <c r="B686" s="536"/>
      <c r="C686" s="88">
        <f>VLOOKUP(A686,'Materiales '!$C$2:$G$396,3,0)</f>
        <v>4</v>
      </c>
      <c r="D686" s="89" t="str">
        <f>VLOOKUP(A686,'Materiales '!$C$2:$G$396,4,0)</f>
        <v>Und</v>
      </c>
      <c r="E686" s="90">
        <v>1</v>
      </c>
      <c r="F686" s="508" t="e">
        <f>E686*D686</f>
        <v>#VALUE!</v>
      </c>
      <c r="G686" s="519"/>
      <c r="H686" s="111"/>
      <c r="I686">
        <f>E686*G677</f>
        <v>0</v>
      </c>
      <c r="J686" s="57"/>
      <c r="K686" s="50"/>
      <c r="L686" s="50"/>
      <c r="M686" s="50"/>
      <c r="N686" s="50"/>
      <c r="O686" s="50"/>
    </row>
    <row r="687" spans="1:15">
      <c r="A687" s="535" t="s">
        <v>4625</v>
      </c>
      <c r="B687" s="536"/>
      <c r="C687" s="88">
        <f>VLOOKUP(A687,'Materiales '!$C$2:$G$396,3,0)</f>
        <v>4</v>
      </c>
      <c r="D687" s="89" t="str">
        <f>VLOOKUP(A687,'Materiales '!$C$2:$G$396,4,0)</f>
        <v>Und</v>
      </c>
      <c r="E687" s="90">
        <v>1</v>
      </c>
      <c r="F687" s="508" t="e">
        <f t="shared" ref="F687:F693" si="40">E687*D687</f>
        <v>#VALUE!</v>
      </c>
      <c r="G687" s="519"/>
      <c r="H687" s="111"/>
      <c r="I687">
        <f>E687*G677</f>
        <v>0</v>
      </c>
      <c r="J687" s="57"/>
      <c r="K687" s="50"/>
      <c r="L687" s="50"/>
      <c r="M687" s="50"/>
      <c r="N687" s="50"/>
      <c r="O687" s="50"/>
    </row>
    <row r="688" spans="1:15">
      <c r="A688" s="517" t="s">
        <v>4628</v>
      </c>
      <c r="B688" s="518">
        <f>VLOOKUP(A688,'Materiales '!$C$2:$G$396,3,0)</f>
        <v>4</v>
      </c>
      <c r="C688" s="88">
        <f>VLOOKUP(A688,'Materiales '!$C$2:$G$396,3,0)</f>
        <v>4</v>
      </c>
      <c r="D688" s="89" t="str">
        <f>VLOOKUP(A688,'Materiales '!$C$2:$G$396,4,0)</f>
        <v>Und</v>
      </c>
      <c r="E688" s="90">
        <v>0.1</v>
      </c>
      <c r="F688" s="508" t="e">
        <f t="shared" si="40"/>
        <v>#VALUE!</v>
      </c>
      <c r="G688" s="519"/>
      <c r="H688" s="111"/>
      <c r="I688">
        <f>E688*G677</f>
        <v>0</v>
      </c>
      <c r="J688" s="58"/>
      <c r="K688" s="50"/>
      <c r="L688" s="50"/>
      <c r="M688" s="50"/>
      <c r="N688" s="50"/>
      <c r="O688" s="50"/>
    </row>
    <row r="689" spans="1:15">
      <c r="A689" s="517" t="s">
        <v>4439</v>
      </c>
      <c r="B689" s="518">
        <f>VLOOKUP(A689,'Materiales '!$C$2:$G$396,3,0)</f>
        <v>2</v>
      </c>
      <c r="C689" s="88">
        <f>VLOOKUP(A689,'Materiales '!$C$2:$G$396,3,0)</f>
        <v>2</v>
      </c>
      <c r="D689" s="89" t="str">
        <f>VLOOKUP(A689,'Materiales '!$C$2:$G$396,4,0)</f>
        <v>Ml</v>
      </c>
      <c r="E689" s="90">
        <v>1</v>
      </c>
      <c r="F689" s="508" t="e">
        <f t="shared" si="40"/>
        <v>#VALUE!</v>
      </c>
      <c r="G689" s="519"/>
      <c r="H689" s="111"/>
      <c r="I689">
        <f>E689*G677</f>
        <v>0</v>
      </c>
      <c r="J689" s="58"/>
      <c r="K689" s="50"/>
      <c r="L689" s="50"/>
      <c r="M689" s="50"/>
      <c r="N689" s="50"/>
      <c r="O689" s="50"/>
    </row>
    <row r="690" spans="1:15">
      <c r="A690" s="517" t="s">
        <v>4482</v>
      </c>
      <c r="B690" s="518">
        <f>VLOOKUP(A690,'Materiales '!$C$2:$G$396,3,0)</f>
        <v>4</v>
      </c>
      <c r="C690" s="88">
        <f>VLOOKUP(A690,'Materiales '!$C$2:$G$396,3,0)</f>
        <v>4</v>
      </c>
      <c r="D690" s="89" t="str">
        <f>VLOOKUP(A690,'Materiales '!$C$2:$G$396,4,0)</f>
        <v>Und</v>
      </c>
      <c r="E690" s="90">
        <v>3</v>
      </c>
      <c r="F690" s="508" t="e">
        <f t="shared" si="40"/>
        <v>#VALUE!</v>
      </c>
      <c r="G690" s="519"/>
      <c r="H690" s="111"/>
      <c r="I690">
        <f>E690*G677</f>
        <v>0</v>
      </c>
      <c r="J690" s="58"/>
      <c r="K690" s="50"/>
      <c r="L690" s="50"/>
      <c r="M690" s="50"/>
      <c r="N690" s="50"/>
      <c r="O690" s="50"/>
    </row>
    <row r="691" spans="1:15">
      <c r="A691" s="517" t="s">
        <v>4627</v>
      </c>
      <c r="B691" s="518">
        <f>VLOOKUP(A691,'Materiales '!$C$2:$G$396,3,0)</f>
        <v>4</v>
      </c>
      <c r="C691" s="88">
        <f>VLOOKUP(A691,'Materiales '!$C$2:$G$396,3,0)</f>
        <v>4</v>
      </c>
      <c r="D691" s="89" t="str">
        <f>VLOOKUP(A691,'Materiales '!$C$2:$G$396,4,0)</f>
        <v>Und</v>
      </c>
      <c r="E691" s="90">
        <v>1</v>
      </c>
      <c r="F691" s="508" t="e">
        <f t="shared" si="40"/>
        <v>#VALUE!</v>
      </c>
      <c r="G691" s="519"/>
      <c r="H691" s="111"/>
      <c r="I691">
        <f>E691*G677</f>
        <v>0</v>
      </c>
      <c r="J691" s="58"/>
      <c r="K691" s="50"/>
      <c r="L691" s="50"/>
      <c r="M691" s="50"/>
      <c r="N691" s="50"/>
      <c r="O691" s="50"/>
    </row>
    <row r="692" spans="1:15">
      <c r="A692" s="517" t="s">
        <v>4563</v>
      </c>
      <c r="B692" s="518">
        <f>VLOOKUP(A692,'Materiales '!$C$2:$G$396,3,0)</f>
        <v>4</v>
      </c>
      <c r="C692" s="88">
        <f>VLOOKUP(A692,'Materiales '!$C$2:$G$396,3,0)</f>
        <v>4</v>
      </c>
      <c r="D692" s="89" t="str">
        <f>VLOOKUP(A692,'Materiales '!$C$2:$G$396,4,0)</f>
        <v>Und</v>
      </c>
      <c r="E692" s="90">
        <v>1</v>
      </c>
      <c r="F692" s="508" t="e">
        <f t="shared" si="40"/>
        <v>#VALUE!</v>
      </c>
      <c r="G692" s="519"/>
      <c r="H692" s="111"/>
      <c r="I692">
        <f>E692*G677</f>
        <v>0</v>
      </c>
      <c r="J692" s="58"/>
      <c r="K692" s="50"/>
      <c r="L692" s="50"/>
      <c r="M692" s="50"/>
      <c r="N692" s="50"/>
      <c r="O692" s="50"/>
    </row>
    <row r="693" spans="1:15" ht="21.75" customHeight="1">
      <c r="A693" s="517" t="s">
        <v>8</v>
      </c>
      <c r="B693" s="518">
        <f>VLOOKUP(A693,'Materiales '!$C$2:$G$396,3,0)</f>
        <v>0</v>
      </c>
      <c r="C693" s="88">
        <f>VLOOKUP(A693,'Materiales '!$C$2:$G$396,3,0)</f>
        <v>0</v>
      </c>
      <c r="D693" s="89" t="str">
        <f>VLOOKUP(A693,'Materiales '!$C$2:$G$396,4,0)</f>
        <v>-</v>
      </c>
      <c r="E693" s="90"/>
      <c r="F693" s="508" t="e">
        <f t="shared" si="40"/>
        <v>#VALUE!</v>
      </c>
      <c r="G693" s="519"/>
      <c r="H693" s="111"/>
      <c r="I693">
        <f>E693*G677</f>
        <v>0</v>
      </c>
      <c r="J693" s="58"/>
      <c r="K693" s="50"/>
      <c r="L693" s="50"/>
      <c r="M693" s="50"/>
      <c r="N693" s="50"/>
      <c r="O693" s="50"/>
    </row>
    <row r="694" spans="1:15">
      <c r="A694" s="517" t="s">
        <v>8</v>
      </c>
      <c r="B694" s="518">
        <f>VLOOKUP(A694,'Materiales '!$C$2:$G$396,3,0)</f>
        <v>0</v>
      </c>
      <c r="C694" s="88">
        <f>VLOOKUP(A694,'Materiales '!$C$2:$G$396,3,0)</f>
        <v>0</v>
      </c>
      <c r="D694" s="89" t="str">
        <f>VLOOKUP(A694,'Materiales '!$C$2:$G$396,4,0)</f>
        <v>-</v>
      </c>
      <c r="E694" s="90"/>
      <c r="F694" s="508" t="e">
        <f>E694*D694</f>
        <v>#VALUE!</v>
      </c>
      <c r="G694" s="519"/>
      <c r="H694" s="110"/>
      <c r="I694">
        <f>E694*G677</f>
        <v>0</v>
      </c>
      <c r="J694" s="58"/>
      <c r="K694" s="50"/>
      <c r="L694" s="50"/>
      <c r="M694" s="50"/>
      <c r="N694" s="50"/>
      <c r="O694" s="50"/>
    </row>
    <row r="695" spans="1:15">
      <c r="A695" s="517" t="s">
        <v>8</v>
      </c>
      <c r="B695" s="518">
        <f>VLOOKUP(A695,'Materiales '!$C$2:$G$396,3,0)</f>
        <v>0</v>
      </c>
      <c r="C695" s="88">
        <f>VLOOKUP(A695,'Materiales '!$C$2:$G$396,3,0)</f>
        <v>0</v>
      </c>
      <c r="D695" s="89" t="str">
        <f>VLOOKUP(A695,'Materiales '!$C$2:$G$396,4,0)</f>
        <v>-</v>
      </c>
      <c r="E695" s="90"/>
      <c r="F695" s="508" t="e">
        <f t="shared" ref="F695:F698" si="41">E695*D695</f>
        <v>#VALUE!</v>
      </c>
      <c r="G695" s="519"/>
      <c r="H695" s="111"/>
      <c r="I695">
        <f>E695*G677</f>
        <v>0</v>
      </c>
      <c r="J695" s="58"/>
      <c r="K695" s="50"/>
      <c r="L695" s="50"/>
      <c r="M695" s="50"/>
      <c r="N695" s="50"/>
      <c r="O695" s="50"/>
    </row>
    <row r="696" spans="1:15">
      <c r="A696" s="517" t="s">
        <v>8</v>
      </c>
      <c r="B696" s="518">
        <f>VLOOKUP(A696,'Materiales '!$C$2:$G$396,3,0)</f>
        <v>0</v>
      </c>
      <c r="C696" s="88">
        <f>VLOOKUP(A696,'Materiales '!$C$2:$G$396,3,0)</f>
        <v>0</v>
      </c>
      <c r="D696" s="89" t="str">
        <f>VLOOKUP(A696,'Materiales '!$C$2:$G$396,4,0)</f>
        <v>-</v>
      </c>
      <c r="E696" s="90"/>
      <c r="F696" s="508" t="e">
        <f t="shared" si="41"/>
        <v>#VALUE!</v>
      </c>
      <c r="G696" s="519"/>
      <c r="H696" s="111"/>
      <c r="I696">
        <f>E696*G677</f>
        <v>0</v>
      </c>
      <c r="J696" s="58"/>
      <c r="K696" s="50"/>
      <c r="L696" s="50"/>
      <c r="M696" s="50"/>
      <c r="N696" s="50"/>
      <c r="O696" s="50"/>
    </row>
    <row r="697" spans="1:15">
      <c r="A697" s="517" t="s">
        <v>8</v>
      </c>
      <c r="B697" s="518">
        <f>VLOOKUP(A697,'Materiales '!$C$2:$G$396,3,0)</f>
        <v>0</v>
      </c>
      <c r="C697" s="88">
        <f>VLOOKUP(A697,'Materiales '!$C$2:$G$396,3,0)</f>
        <v>0</v>
      </c>
      <c r="D697" s="89" t="str">
        <f>VLOOKUP(A697,'Materiales '!$C$2:$G$396,4,0)</f>
        <v>-</v>
      </c>
      <c r="E697" s="90"/>
      <c r="F697" s="508" t="e">
        <f t="shared" si="41"/>
        <v>#VALUE!</v>
      </c>
      <c r="G697" s="519"/>
      <c r="H697" s="111"/>
      <c r="I697">
        <f>E697*G677</f>
        <v>0</v>
      </c>
      <c r="J697" s="58"/>
      <c r="K697" s="50"/>
      <c r="L697" s="50"/>
      <c r="M697" s="50"/>
      <c r="N697" s="50"/>
      <c r="O697" s="50"/>
    </row>
    <row r="698" spans="1:15">
      <c r="A698" s="517" t="s">
        <v>8</v>
      </c>
      <c r="B698" s="518">
        <f>VLOOKUP(A698,'Materiales '!$C$2:$G$396,3,0)</f>
        <v>0</v>
      </c>
      <c r="C698" s="88">
        <f>VLOOKUP(A698,'Materiales '!$C$2:$G$396,3,0)</f>
        <v>0</v>
      </c>
      <c r="D698" s="89" t="str">
        <f>VLOOKUP(A698,'Materiales '!$C$2:$G$396,4,0)</f>
        <v>-</v>
      </c>
      <c r="E698" s="90"/>
      <c r="F698" s="508" t="e">
        <f t="shared" si="41"/>
        <v>#VALUE!</v>
      </c>
      <c r="G698" s="519"/>
      <c r="H698" s="111"/>
      <c r="I698">
        <f>E698*G677</f>
        <v>0</v>
      </c>
      <c r="J698" s="58"/>
      <c r="K698" s="50"/>
      <c r="L698" s="50"/>
      <c r="M698" s="50"/>
      <c r="N698" s="50"/>
      <c r="O698" s="50"/>
    </row>
    <row r="699" spans="1:15">
      <c r="A699" s="517" t="s">
        <v>8</v>
      </c>
      <c r="B699" s="518">
        <f>VLOOKUP(A699,'Materiales '!$C$2:$G$396,3,0)</f>
        <v>0</v>
      </c>
      <c r="C699" s="88">
        <f>VLOOKUP(A699,'Materiales '!$C$2:$G$396,3,0)</f>
        <v>0</v>
      </c>
      <c r="D699" s="89" t="str">
        <f>VLOOKUP(A699,'Materiales '!$C$2:$G$396,4,0)</f>
        <v>-</v>
      </c>
      <c r="E699" s="90"/>
      <c r="F699" s="508" t="e">
        <f>E699*D699</f>
        <v>#VALUE!</v>
      </c>
      <c r="G699" s="519"/>
      <c r="H699" s="110"/>
      <c r="I699">
        <f>E699*G677</f>
        <v>0</v>
      </c>
      <c r="J699" s="58"/>
      <c r="K699" s="50"/>
      <c r="L699" s="50"/>
      <c r="M699" s="50"/>
      <c r="N699" s="50"/>
      <c r="O699" s="50"/>
    </row>
    <row r="700" spans="1:15">
      <c r="A700" s="520" t="s">
        <v>4098</v>
      </c>
      <c r="B700" s="521"/>
      <c r="C700" s="521"/>
      <c r="D700" s="521"/>
      <c r="E700" s="521"/>
      <c r="F700" s="521"/>
      <c r="G700" s="522"/>
      <c r="H700" s="106" t="e">
        <f>SUM(F686:F699)</f>
        <v>#VALUE!</v>
      </c>
      <c r="J700" s="58"/>
      <c r="K700" s="50"/>
      <c r="L700" s="50"/>
      <c r="M700" s="50"/>
      <c r="N700" s="50"/>
      <c r="O700" s="50"/>
    </row>
    <row r="701" spans="1:15">
      <c r="A701" s="523" t="s">
        <v>4220</v>
      </c>
      <c r="B701" s="524"/>
      <c r="C701" s="524"/>
      <c r="D701" s="524"/>
      <c r="E701" s="525"/>
      <c r="F701" s="524"/>
      <c r="G701" s="524"/>
      <c r="H701" s="526"/>
      <c r="J701" s="58"/>
      <c r="K701" s="50"/>
      <c r="L701" s="50"/>
      <c r="M701" s="50"/>
      <c r="N701" s="50"/>
      <c r="O701" s="50"/>
    </row>
    <row r="702" spans="1:15">
      <c r="A702" s="527" t="s">
        <v>7</v>
      </c>
      <c r="B702" s="528"/>
      <c r="C702" s="98" t="s">
        <v>4221</v>
      </c>
      <c r="D702" s="97" t="s">
        <v>4222</v>
      </c>
      <c r="E702" s="187" t="s">
        <v>4223</v>
      </c>
      <c r="F702" s="529" t="s">
        <v>4207</v>
      </c>
      <c r="G702" s="529"/>
      <c r="H702" s="109"/>
      <c r="K702" s="50"/>
      <c r="L702" s="50"/>
      <c r="M702" s="50"/>
      <c r="N702" s="50"/>
      <c r="O702" s="50"/>
    </row>
    <row r="703" spans="1:15">
      <c r="A703" s="506" t="s">
        <v>3928</v>
      </c>
      <c r="B703" s="507"/>
      <c r="C703" s="213">
        <v>1</v>
      </c>
      <c r="D703" s="92">
        <v>0.03</v>
      </c>
      <c r="E703" s="93" t="str">
        <f>VLOOKUP(A703,'Equip, Herr y Transp'!$B$2:$E$217,3,0)</f>
        <v>TR</v>
      </c>
      <c r="F703" s="530" t="e">
        <f>E703*D703*C703</f>
        <v>#VALUE!</v>
      </c>
      <c r="G703" s="531"/>
      <c r="H703" s="107"/>
      <c r="M703" s="50"/>
    </row>
    <row r="704" spans="1:15">
      <c r="A704" s="532" t="s">
        <v>4205</v>
      </c>
      <c r="B704" s="533"/>
      <c r="C704" s="533"/>
      <c r="D704" s="533"/>
      <c r="E704" s="533"/>
      <c r="F704" s="533"/>
      <c r="G704" s="533"/>
      <c r="H704" s="95" t="e">
        <f>F703</f>
        <v>#VALUE!</v>
      </c>
    </row>
    <row r="705" spans="1:10">
      <c r="A705" s="523" t="s">
        <v>4224</v>
      </c>
      <c r="B705" s="524"/>
      <c r="C705" s="524"/>
      <c r="D705" s="524"/>
      <c r="E705" s="524"/>
      <c r="F705" s="524"/>
      <c r="G705" s="524"/>
      <c r="H705" s="526"/>
    </row>
    <row r="706" spans="1:10">
      <c r="A706" s="527" t="s">
        <v>7</v>
      </c>
      <c r="B706" s="528"/>
      <c r="C706" s="96" t="s">
        <v>1</v>
      </c>
      <c r="D706" s="97" t="s">
        <v>4225</v>
      </c>
      <c r="E706" s="98" t="s">
        <v>4204</v>
      </c>
      <c r="F706" s="527" t="s">
        <v>5</v>
      </c>
      <c r="G706" s="534"/>
      <c r="H706" s="109"/>
    </row>
    <row r="707" spans="1:10">
      <c r="A707" s="506" t="s">
        <v>4191</v>
      </c>
      <c r="B707" s="507"/>
      <c r="C707" s="91">
        <v>1</v>
      </c>
      <c r="D707" s="94">
        <f>VLOOKUP(A707,'Mano Obra'!$B$2:$T$117,19,0)</f>
        <v>152456</v>
      </c>
      <c r="E707" s="218">
        <f>H670</f>
        <v>5.21E-2</v>
      </c>
      <c r="F707" s="508">
        <f>E707*D707*C707</f>
        <v>7942.9575999999997</v>
      </c>
      <c r="G707" s="509"/>
      <c r="H707" s="111"/>
      <c r="I707" s="59"/>
      <c r="J707" s="117">
        <f>((('Mano Obra'!$M$4/30)*F707)/D707)*G677</f>
        <v>0</v>
      </c>
    </row>
    <row r="708" spans="1:10">
      <c r="A708" s="510" t="s">
        <v>4192</v>
      </c>
      <c r="B708" s="511">
        <f>VLOOKUP(A708,'Mano Obra'!$B$3:$D$290,2,0)</f>
        <v>1900000</v>
      </c>
      <c r="C708" s="91">
        <v>1</v>
      </c>
      <c r="D708" s="94">
        <f>VLOOKUP(A708,'Mano Obra'!$B$2:$T$117,19,0)</f>
        <v>110488</v>
      </c>
      <c r="E708" s="218">
        <f>H670</f>
        <v>5.21E-2</v>
      </c>
      <c r="F708" s="508">
        <f t="shared" ref="F708:F709" si="42">E708*D708*C708</f>
        <v>5756.4247999999998</v>
      </c>
      <c r="G708" s="509"/>
      <c r="H708" s="111"/>
      <c r="J708" s="117">
        <f>((('Mano Obra'!$M$5/30)*F708)/D708)*G677</f>
        <v>0</v>
      </c>
    </row>
    <row r="709" spans="1:10">
      <c r="A709" s="510" t="s">
        <v>4181</v>
      </c>
      <c r="B709" s="511">
        <f>VLOOKUP(A709,'Mano Obra'!$B$3:$D$290,2,0)</f>
        <v>1000000</v>
      </c>
      <c r="C709" s="91">
        <v>1</v>
      </c>
      <c r="D709" s="94">
        <f>VLOOKUP(A709,'Mano Obra'!$B$2:$T$117,19,0)</f>
        <v>67424</v>
      </c>
      <c r="E709" s="218">
        <f>H670</f>
        <v>5.21E-2</v>
      </c>
      <c r="F709" s="508">
        <f t="shared" si="42"/>
        <v>3512.7903999999999</v>
      </c>
      <c r="G709" s="509"/>
      <c r="H709" s="110"/>
      <c r="J709" s="117">
        <f>((('Mano Obra'!$M$6/30)*F709)/D709)*G677</f>
        <v>0</v>
      </c>
    </row>
    <row r="710" spans="1:10">
      <c r="A710" s="512" t="s">
        <v>4100</v>
      </c>
      <c r="B710" s="512"/>
      <c r="C710" s="512"/>
      <c r="D710" s="512"/>
      <c r="E710" s="512"/>
      <c r="F710" s="512"/>
      <c r="G710" s="512"/>
      <c r="H710" s="95">
        <f>SUM(F707:F709)</f>
        <v>17212.1728</v>
      </c>
      <c r="J710" s="117"/>
    </row>
    <row r="711" spans="1:10">
      <c r="A711" s="208" t="s">
        <v>4226</v>
      </c>
      <c r="B711" s="186"/>
      <c r="C711" s="186"/>
      <c r="D711" s="183"/>
      <c r="E711" s="184"/>
      <c r="F711" s="185"/>
      <c r="G711" s="184"/>
      <c r="H711" s="193"/>
    </row>
    <row r="712" spans="1:10">
      <c r="A712" s="513" t="s">
        <v>4213</v>
      </c>
      <c r="B712" s="514"/>
      <c r="C712" s="514"/>
      <c r="D712" s="514"/>
      <c r="E712" s="181"/>
      <c r="F712" s="182" t="s">
        <v>4227</v>
      </c>
      <c r="G712" s="181" t="s">
        <v>4228</v>
      </c>
      <c r="H712" s="194"/>
    </row>
    <row r="713" spans="1:10">
      <c r="A713" s="204" t="s">
        <v>4096</v>
      </c>
      <c r="B713" s="62"/>
      <c r="C713" s="62"/>
      <c r="D713" s="63"/>
      <c r="E713" s="68"/>
      <c r="F713" s="69">
        <v>0</v>
      </c>
      <c r="G713" s="70" t="e">
        <f>F713*H678</f>
        <v>#VALUE!</v>
      </c>
      <c r="H713" s="193"/>
    </row>
    <row r="714" spans="1:10">
      <c r="A714" s="205" t="s">
        <v>4229</v>
      </c>
      <c r="B714" s="71"/>
      <c r="C714" s="71"/>
      <c r="D714" s="72"/>
      <c r="E714" s="68"/>
      <c r="F714" s="69">
        <v>0</v>
      </c>
      <c r="G714" s="70" t="e">
        <f>F714*H678</f>
        <v>#VALUE!</v>
      </c>
      <c r="H714" s="193"/>
    </row>
    <row r="715" spans="1:10">
      <c r="A715" s="205" t="s">
        <v>4</v>
      </c>
      <c r="B715" s="71"/>
      <c r="C715" s="71"/>
      <c r="D715" s="72"/>
      <c r="E715" s="68"/>
      <c r="F715" s="69">
        <v>0</v>
      </c>
      <c r="G715" s="70" t="e">
        <f>F715*H678</f>
        <v>#VALUE!</v>
      </c>
      <c r="H715" s="193"/>
    </row>
    <row r="716" spans="1:10">
      <c r="A716" s="206"/>
      <c r="B716" s="73"/>
      <c r="C716" s="65"/>
      <c r="D716" s="74"/>
      <c r="E716" s="75"/>
      <c r="F716" s="76"/>
      <c r="G716" s="77"/>
      <c r="H716" s="195"/>
    </row>
    <row r="717" spans="1:10">
      <c r="A717" s="207"/>
      <c r="B717" s="73"/>
      <c r="C717" s="73"/>
      <c r="D717" s="74"/>
      <c r="E717" s="78"/>
      <c r="F717" s="515" t="s">
        <v>4230</v>
      </c>
      <c r="G717" s="516"/>
      <c r="H717" s="214" t="e">
        <f>H678+G713+G714+G715</f>
        <v>#VALUE!</v>
      </c>
    </row>
    <row r="718" spans="1:10">
      <c r="A718" s="73"/>
      <c r="B718" s="73"/>
      <c r="C718" s="73"/>
      <c r="D718" s="74"/>
      <c r="E718" s="360"/>
      <c r="F718" s="361"/>
      <c r="G718" s="361"/>
      <c r="H718" s="362"/>
    </row>
    <row r="719" spans="1:10">
      <c r="A719" s="80"/>
      <c r="B719" s="80"/>
      <c r="C719" s="80"/>
      <c r="D719" s="80"/>
      <c r="E719" s="80"/>
      <c r="F719" s="80"/>
      <c r="G719" s="80"/>
      <c r="H719" s="353"/>
    </row>
    <row r="720" spans="1:10">
      <c r="A720" s="537" t="s">
        <v>4214</v>
      </c>
      <c r="B720" s="538"/>
      <c r="C720" s="538"/>
      <c r="D720" s="538"/>
      <c r="E720" s="538"/>
      <c r="F720" s="538"/>
      <c r="G720" s="538"/>
      <c r="H720" s="539"/>
    </row>
    <row r="721" spans="1:15">
      <c r="A721" s="81"/>
      <c r="B721" s="82"/>
      <c r="C721" s="82"/>
      <c r="D721" s="82"/>
      <c r="E721" s="82"/>
      <c r="F721" s="83"/>
      <c r="G721" s="84"/>
      <c r="H721" s="352">
        <f>ROUND((25/60)/8,4)</f>
        <v>5.21E-2</v>
      </c>
      <c r="I721" s="105"/>
    </row>
    <row r="722" spans="1:15">
      <c r="A722" s="540" t="s">
        <v>4209</v>
      </c>
      <c r="B722" s="542" t="str">
        <f>COSTOS!$C$14</f>
        <v>MODERNIZACION A TECNOLOGIA LED</v>
      </c>
      <c r="C722" s="542"/>
      <c r="D722" s="542"/>
      <c r="E722" s="542"/>
      <c r="F722" s="542"/>
      <c r="G722" s="542"/>
      <c r="H722" s="543" t="s">
        <v>4210</v>
      </c>
    </row>
    <row r="723" spans="1:15">
      <c r="A723" s="541"/>
      <c r="B723" s="542"/>
      <c r="C723" s="542"/>
      <c r="D723" s="542"/>
      <c r="E723" s="542"/>
      <c r="F723" s="542"/>
      <c r="G723" s="542"/>
      <c r="H723" s="543"/>
    </row>
    <row r="724" spans="1:15">
      <c r="A724" s="541"/>
      <c r="B724" s="542"/>
      <c r="C724" s="542"/>
      <c r="D724" s="542"/>
      <c r="E724" s="542"/>
      <c r="F724" s="542"/>
      <c r="G724" s="542"/>
      <c r="H724" s="543"/>
    </row>
    <row r="725" spans="1:15" ht="15" customHeight="1">
      <c r="A725" s="541"/>
      <c r="B725" s="542"/>
      <c r="C725" s="542"/>
      <c r="D725" s="542"/>
      <c r="E725" s="542"/>
      <c r="F725" s="542"/>
      <c r="G725" s="542"/>
      <c r="H725" s="197">
        <f ca="1">TODAY()</f>
        <v>44889</v>
      </c>
      <c r="K725" t="s">
        <v>4380</v>
      </c>
      <c r="L725" t="s">
        <v>4381</v>
      </c>
      <c r="M725" t="s">
        <v>4382</v>
      </c>
      <c r="N725" t="s">
        <v>4383</v>
      </c>
    </row>
    <row r="726" spans="1:15" ht="60.75" customHeight="1">
      <c r="A726" s="209" t="s">
        <v>4211</v>
      </c>
      <c r="B726" s="544" t="str">
        <f>COSTOS!$D$16</f>
        <v>Luminarias</v>
      </c>
      <c r="C726" s="544"/>
      <c r="D726" s="544"/>
      <c r="E726" s="544"/>
      <c r="F726" s="544"/>
      <c r="G726" s="60" t="s">
        <v>4212</v>
      </c>
      <c r="H726" s="363">
        <v>1.1499999999999999</v>
      </c>
      <c r="K726" s="55" t="e">
        <f>H751</f>
        <v>#VALUE!</v>
      </c>
      <c r="L726" s="55">
        <f>H761</f>
        <v>17212.1728</v>
      </c>
      <c r="M726" s="55" t="e">
        <f>H734</f>
        <v>#VALUE!</v>
      </c>
      <c r="N726" s="55" t="e">
        <f>H755</f>
        <v>#VALUE!</v>
      </c>
    </row>
    <row r="727" spans="1:15" ht="43.2" customHeight="1">
      <c r="A727" s="210" t="s">
        <v>4213</v>
      </c>
      <c r="B727" s="545" t="str">
        <f>VLOOKUP(H726,COSTOS!C:M,2,0)</f>
        <v>BAÑADOR LINEAL DE SOBREPONER 1 METRO, 45w, 4300lm</v>
      </c>
      <c r="C727" s="546"/>
      <c r="D727" s="546"/>
      <c r="E727" s="547"/>
      <c r="F727" s="61" t="s">
        <v>0</v>
      </c>
      <c r="G727" s="328" t="str">
        <f>VLOOKUP(H726,COSTOS!C:M,8,0)</f>
        <v>Und</v>
      </c>
      <c r="H727" s="248"/>
      <c r="I727" s="278"/>
      <c r="J727" s="280"/>
      <c r="K727" s="280"/>
      <c r="L727" s="280"/>
    </row>
    <row r="728" spans="1:15">
      <c r="A728" s="211"/>
      <c r="B728" s="102"/>
      <c r="C728" s="102"/>
      <c r="D728" s="102"/>
      <c r="E728" s="103"/>
      <c r="F728" s="104" t="s">
        <v>1</v>
      </c>
      <c r="G728" s="328">
        <f>VLOOKUP(H726,COSTOS!C:M,9,0)</f>
        <v>0</v>
      </c>
      <c r="H728" s="329"/>
      <c r="I728" s="279"/>
    </row>
    <row r="729" spans="1:15">
      <c r="A729" s="212" t="s">
        <v>4215</v>
      </c>
      <c r="B729" s="65"/>
      <c r="C729" s="65"/>
      <c r="D729" s="66"/>
      <c r="E729" s="190"/>
      <c r="F729" s="191"/>
      <c r="G729" s="192" t="s">
        <v>4216</v>
      </c>
      <c r="H729" s="198" t="e">
        <f>H734+H751+H755+H761</f>
        <v>#VALUE!</v>
      </c>
    </row>
    <row r="730" spans="1:15" ht="41.4">
      <c r="A730" s="548" t="s">
        <v>4213</v>
      </c>
      <c r="B730" s="548"/>
      <c r="C730" s="548"/>
      <c r="D730" s="67" t="s">
        <v>0</v>
      </c>
      <c r="E730" s="188" t="s">
        <v>4217</v>
      </c>
      <c r="F730" s="189" t="s">
        <v>4204</v>
      </c>
      <c r="G730" s="64" t="s">
        <v>2</v>
      </c>
      <c r="H730" s="199" t="s">
        <v>4218</v>
      </c>
      <c r="K730" s="281"/>
    </row>
    <row r="731" spans="1:15">
      <c r="A731" s="517" t="s">
        <v>3946</v>
      </c>
      <c r="B731" s="549">
        <f>VLOOKUP(A731,'Equip, Herr y Transp'!$B$2:$E$738,2,0)</f>
        <v>2</v>
      </c>
      <c r="C731" s="549"/>
      <c r="D731" s="85">
        <f>VLOOKUP(A731,'Equip, Herr y Transp'!$B$2:$E$217,2,0)</f>
        <v>2</v>
      </c>
      <c r="E731" s="85" t="str">
        <f>VLOOKUP(A731,'Equip, Herr y Transp'!$B$2:$E$217,3,0)</f>
        <v>EQU</v>
      </c>
      <c r="F731" s="86">
        <f>H721</f>
        <v>5.21E-2</v>
      </c>
      <c r="G731" s="112" t="e">
        <f>F731*E731</f>
        <v>#VALUE!</v>
      </c>
      <c r="H731" s="108"/>
    </row>
    <row r="732" spans="1:15">
      <c r="A732" s="517" t="s">
        <v>3937</v>
      </c>
      <c r="B732" s="549">
        <f>VLOOKUP(A732,'Equip, Herr y Transp'!$B$2:$E$738,2,0)</f>
        <v>2</v>
      </c>
      <c r="C732" s="549"/>
      <c r="D732" s="85">
        <f>VLOOKUP(A732,'Equip, Herr y Transp'!$B$2:$E$217,2,0)</f>
        <v>2</v>
      </c>
      <c r="E732" s="85" t="str">
        <f>VLOOKUP(A732,'Equip, Herr y Transp'!$B$2:$E$217,3,0)</f>
        <v>EQU</v>
      </c>
      <c r="F732" s="86">
        <f>H721</f>
        <v>5.21E-2</v>
      </c>
      <c r="G732" s="112" t="e">
        <f>F732*E732</f>
        <v>#VALUE!</v>
      </c>
      <c r="H732" s="107"/>
    </row>
    <row r="733" spans="1:15">
      <c r="A733" s="517" t="s">
        <v>3904</v>
      </c>
      <c r="B733" s="549">
        <f>VLOOKUP(A733,'Equip, Herr y Transp'!$B$2:$E$738,2,0)</f>
        <v>2</v>
      </c>
      <c r="C733" s="549"/>
      <c r="D733" s="85">
        <f>VLOOKUP(A733,'Equip, Herr y Transp'!$B$2:$E$217,2,0)</f>
        <v>2</v>
      </c>
      <c r="E733" s="85" t="str">
        <f>VLOOKUP(A733,'Equip, Herr y Transp'!$B$2:$E$217,3,0)</f>
        <v>EQU</v>
      </c>
      <c r="F733" s="86">
        <f>H721</f>
        <v>5.21E-2</v>
      </c>
      <c r="G733" s="112" t="e">
        <f>F733*E733</f>
        <v>#VALUE!</v>
      </c>
      <c r="H733" s="107"/>
    </row>
    <row r="734" spans="1:15">
      <c r="A734" s="520" t="s">
        <v>4099</v>
      </c>
      <c r="B734" s="521"/>
      <c r="C734" s="521"/>
      <c r="D734" s="521"/>
      <c r="E734" s="521"/>
      <c r="F734" s="521"/>
      <c r="G734" s="521"/>
      <c r="H734" s="87" t="e">
        <f>SUM(G731:G733)</f>
        <v>#VALUE!</v>
      </c>
    </row>
    <row r="735" spans="1:15">
      <c r="A735" s="550" t="s">
        <v>4219</v>
      </c>
      <c r="B735" s="551"/>
      <c r="C735" s="551"/>
      <c r="D735" s="551"/>
      <c r="E735" s="551"/>
      <c r="F735" s="551"/>
      <c r="G735" s="551"/>
      <c r="H735" s="552"/>
      <c r="K735" s="50"/>
      <c r="L735" s="50"/>
      <c r="M735" s="50"/>
      <c r="N735" s="50"/>
      <c r="O735" s="50"/>
    </row>
    <row r="736" spans="1:15" ht="30" customHeight="1">
      <c r="A736" s="553" t="s">
        <v>7</v>
      </c>
      <c r="B736" s="554"/>
      <c r="C736" s="99" t="s">
        <v>0</v>
      </c>
      <c r="D736" s="100" t="s">
        <v>4097</v>
      </c>
      <c r="E736" s="101" t="s">
        <v>1</v>
      </c>
      <c r="F736" s="555" t="s">
        <v>4207</v>
      </c>
      <c r="G736" s="555"/>
      <c r="H736" s="196"/>
      <c r="K736" s="50"/>
      <c r="L736" s="50"/>
      <c r="M736" s="50"/>
      <c r="N736" s="50"/>
      <c r="O736" s="50"/>
    </row>
    <row r="737" spans="1:15">
      <c r="A737" s="535" t="s">
        <v>4623</v>
      </c>
      <c r="B737" s="536"/>
      <c r="C737" s="88">
        <f>VLOOKUP(A737,'Materiales '!$C$2:$G$396,3,0)</f>
        <v>4</v>
      </c>
      <c r="D737" s="89" t="str">
        <f>VLOOKUP(A737,'Materiales '!$C$2:$G$396,4,0)</f>
        <v>Und</v>
      </c>
      <c r="E737" s="90">
        <v>1</v>
      </c>
      <c r="F737" s="508" t="e">
        <f>E737*D737</f>
        <v>#VALUE!</v>
      </c>
      <c r="G737" s="519"/>
      <c r="H737" s="111"/>
      <c r="I737">
        <f>E737*G728</f>
        <v>0</v>
      </c>
      <c r="J737" s="57"/>
      <c r="K737" s="50"/>
      <c r="L737" s="50"/>
      <c r="M737" s="50"/>
      <c r="N737" s="50"/>
      <c r="O737" s="50"/>
    </row>
    <row r="738" spans="1:15">
      <c r="A738" s="535" t="s">
        <v>4625</v>
      </c>
      <c r="B738" s="536"/>
      <c r="C738" s="88">
        <f>VLOOKUP(A738,'Materiales '!$C$2:$G$396,3,0)</f>
        <v>4</v>
      </c>
      <c r="D738" s="89" t="str">
        <f>VLOOKUP(A738,'Materiales '!$C$2:$G$396,4,0)</f>
        <v>Und</v>
      </c>
      <c r="E738" s="90">
        <v>1</v>
      </c>
      <c r="F738" s="508" t="e">
        <f t="shared" ref="F738:F744" si="43">E738*D738</f>
        <v>#VALUE!</v>
      </c>
      <c r="G738" s="519"/>
      <c r="H738" s="111"/>
      <c r="I738">
        <f>E738*G728</f>
        <v>0</v>
      </c>
      <c r="J738" s="57"/>
      <c r="K738" s="50"/>
      <c r="L738" s="50"/>
      <c r="M738" s="50"/>
      <c r="N738" s="50"/>
      <c r="O738" s="50"/>
    </row>
    <row r="739" spans="1:15">
      <c r="A739" s="517" t="s">
        <v>4628</v>
      </c>
      <c r="B739" s="518">
        <f>VLOOKUP(A739,'Materiales '!$C$2:$G$396,3,0)</f>
        <v>4</v>
      </c>
      <c r="C739" s="88">
        <f>VLOOKUP(A739,'Materiales '!$C$2:$G$396,3,0)</f>
        <v>4</v>
      </c>
      <c r="D739" s="89" t="str">
        <f>VLOOKUP(A739,'Materiales '!$C$2:$G$396,4,0)</f>
        <v>Und</v>
      </c>
      <c r="E739" s="90">
        <v>0.1</v>
      </c>
      <c r="F739" s="508" t="e">
        <f t="shared" si="43"/>
        <v>#VALUE!</v>
      </c>
      <c r="G739" s="519"/>
      <c r="H739" s="111"/>
      <c r="I739">
        <f>E739*G728</f>
        <v>0</v>
      </c>
      <c r="J739" s="58"/>
      <c r="K739" s="50"/>
      <c r="L739" s="50"/>
      <c r="M739" s="50"/>
      <c r="N739" s="50"/>
      <c r="O739" s="50"/>
    </row>
    <row r="740" spans="1:15">
      <c r="A740" s="517" t="s">
        <v>4439</v>
      </c>
      <c r="B740" s="518">
        <f>VLOOKUP(A740,'Materiales '!$C$2:$G$396,3,0)</f>
        <v>2</v>
      </c>
      <c r="C740" s="88">
        <f>VLOOKUP(A740,'Materiales '!$C$2:$G$396,3,0)</f>
        <v>2</v>
      </c>
      <c r="D740" s="89" t="str">
        <f>VLOOKUP(A740,'Materiales '!$C$2:$G$396,4,0)</f>
        <v>Ml</v>
      </c>
      <c r="E740" s="90">
        <v>1</v>
      </c>
      <c r="F740" s="508" t="e">
        <f t="shared" si="43"/>
        <v>#VALUE!</v>
      </c>
      <c r="G740" s="519"/>
      <c r="H740" s="111"/>
      <c r="I740">
        <f>E740*G728</f>
        <v>0</v>
      </c>
      <c r="J740" s="58"/>
      <c r="K740" s="50"/>
      <c r="L740" s="50"/>
      <c r="M740" s="50"/>
      <c r="N740" s="50"/>
      <c r="O740" s="50"/>
    </row>
    <row r="741" spans="1:15">
      <c r="A741" s="517" t="s">
        <v>4482</v>
      </c>
      <c r="B741" s="518">
        <f>VLOOKUP(A741,'Materiales '!$C$2:$G$396,3,0)</f>
        <v>4</v>
      </c>
      <c r="C741" s="88">
        <f>VLOOKUP(A741,'Materiales '!$C$2:$G$396,3,0)</f>
        <v>4</v>
      </c>
      <c r="D741" s="89" t="str">
        <f>VLOOKUP(A741,'Materiales '!$C$2:$G$396,4,0)</f>
        <v>Und</v>
      </c>
      <c r="E741" s="90">
        <v>3</v>
      </c>
      <c r="F741" s="508" t="e">
        <f t="shared" si="43"/>
        <v>#VALUE!</v>
      </c>
      <c r="G741" s="519"/>
      <c r="H741" s="111"/>
      <c r="I741">
        <f>E741*G728</f>
        <v>0</v>
      </c>
      <c r="J741" s="58"/>
      <c r="K741" s="50"/>
      <c r="L741" s="50"/>
      <c r="M741" s="50"/>
      <c r="N741" s="50"/>
      <c r="O741" s="50"/>
    </row>
    <row r="742" spans="1:15">
      <c r="A742" s="517" t="s">
        <v>4627</v>
      </c>
      <c r="B742" s="518">
        <f>VLOOKUP(A742,'Materiales '!$C$2:$G$396,3,0)</f>
        <v>4</v>
      </c>
      <c r="C742" s="88">
        <f>VLOOKUP(A742,'Materiales '!$C$2:$G$396,3,0)</f>
        <v>4</v>
      </c>
      <c r="D742" s="89" t="str">
        <f>VLOOKUP(A742,'Materiales '!$C$2:$G$396,4,0)</f>
        <v>Und</v>
      </c>
      <c r="E742" s="90">
        <v>1</v>
      </c>
      <c r="F742" s="508" t="e">
        <f t="shared" si="43"/>
        <v>#VALUE!</v>
      </c>
      <c r="G742" s="519"/>
      <c r="H742" s="111"/>
      <c r="I742">
        <f>E742*G728</f>
        <v>0</v>
      </c>
      <c r="J742" s="58"/>
      <c r="K742" s="50"/>
      <c r="L742" s="50"/>
      <c r="M742" s="50"/>
      <c r="N742" s="50"/>
      <c r="O742" s="50"/>
    </row>
    <row r="743" spans="1:15">
      <c r="A743" s="517" t="s">
        <v>4563</v>
      </c>
      <c r="B743" s="518">
        <f>VLOOKUP(A743,'Materiales '!$C$2:$G$396,3,0)</f>
        <v>4</v>
      </c>
      <c r="C743" s="88">
        <f>VLOOKUP(A743,'Materiales '!$C$2:$G$396,3,0)</f>
        <v>4</v>
      </c>
      <c r="D743" s="89" t="str">
        <f>VLOOKUP(A743,'Materiales '!$C$2:$G$396,4,0)</f>
        <v>Und</v>
      </c>
      <c r="E743" s="90">
        <v>1</v>
      </c>
      <c r="F743" s="508" t="e">
        <f t="shared" si="43"/>
        <v>#VALUE!</v>
      </c>
      <c r="G743" s="519"/>
      <c r="H743" s="111"/>
      <c r="I743">
        <f>E743*G728</f>
        <v>0</v>
      </c>
      <c r="J743" s="58"/>
      <c r="K743" s="50"/>
      <c r="L743" s="50"/>
      <c r="M743" s="50"/>
      <c r="N743" s="50"/>
      <c r="O743" s="50"/>
    </row>
    <row r="744" spans="1:15" ht="21.75" customHeight="1">
      <c r="A744" s="517" t="s">
        <v>8</v>
      </c>
      <c r="B744" s="518">
        <f>VLOOKUP(A744,'Materiales '!$C$2:$G$396,3,0)</f>
        <v>0</v>
      </c>
      <c r="C744" s="88">
        <f>VLOOKUP(A744,'Materiales '!$C$2:$G$396,3,0)</f>
        <v>0</v>
      </c>
      <c r="D744" s="89" t="str">
        <f>VLOOKUP(A744,'Materiales '!$C$2:$G$396,4,0)</f>
        <v>-</v>
      </c>
      <c r="E744" s="90"/>
      <c r="F744" s="508" t="e">
        <f t="shared" si="43"/>
        <v>#VALUE!</v>
      </c>
      <c r="G744" s="519"/>
      <c r="H744" s="111"/>
      <c r="I744">
        <f>E744*G728</f>
        <v>0</v>
      </c>
      <c r="J744" s="58"/>
      <c r="K744" s="50"/>
      <c r="L744" s="50"/>
      <c r="M744" s="50"/>
      <c r="N744" s="50"/>
      <c r="O744" s="50"/>
    </row>
    <row r="745" spans="1:15">
      <c r="A745" s="517" t="s">
        <v>8</v>
      </c>
      <c r="B745" s="518">
        <f>VLOOKUP(A745,'Materiales '!$C$2:$G$396,3,0)</f>
        <v>0</v>
      </c>
      <c r="C745" s="88">
        <f>VLOOKUP(A745,'Materiales '!$C$2:$G$396,3,0)</f>
        <v>0</v>
      </c>
      <c r="D745" s="89" t="str">
        <f>VLOOKUP(A745,'Materiales '!$C$2:$G$396,4,0)</f>
        <v>-</v>
      </c>
      <c r="E745" s="90"/>
      <c r="F745" s="508" t="e">
        <f>E745*D745</f>
        <v>#VALUE!</v>
      </c>
      <c r="G745" s="519"/>
      <c r="H745" s="110"/>
      <c r="I745">
        <f>E745*G728</f>
        <v>0</v>
      </c>
      <c r="J745" s="58"/>
      <c r="K745" s="50"/>
      <c r="L745" s="50"/>
      <c r="M745" s="50"/>
      <c r="N745" s="50"/>
      <c r="O745" s="50"/>
    </row>
    <row r="746" spans="1:15">
      <c r="A746" s="517" t="s">
        <v>8</v>
      </c>
      <c r="B746" s="518">
        <f>VLOOKUP(A746,'Materiales '!$C$2:$G$396,3,0)</f>
        <v>0</v>
      </c>
      <c r="C746" s="88">
        <f>VLOOKUP(A746,'Materiales '!$C$2:$G$396,3,0)</f>
        <v>0</v>
      </c>
      <c r="D746" s="89" t="str">
        <f>VLOOKUP(A746,'Materiales '!$C$2:$G$396,4,0)</f>
        <v>-</v>
      </c>
      <c r="E746" s="90"/>
      <c r="F746" s="508" t="e">
        <f t="shared" ref="F746:F749" si="44">E746*D746</f>
        <v>#VALUE!</v>
      </c>
      <c r="G746" s="519"/>
      <c r="H746" s="111"/>
      <c r="I746">
        <f>E746*G728</f>
        <v>0</v>
      </c>
      <c r="J746" s="58"/>
      <c r="K746" s="50"/>
      <c r="L746" s="50"/>
      <c r="M746" s="50"/>
      <c r="N746" s="50"/>
      <c r="O746" s="50"/>
    </row>
    <row r="747" spans="1:15">
      <c r="A747" s="517" t="s">
        <v>8</v>
      </c>
      <c r="B747" s="518">
        <f>VLOOKUP(A747,'Materiales '!$C$2:$G$396,3,0)</f>
        <v>0</v>
      </c>
      <c r="C747" s="88">
        <f>VLOOKUP(A747,'Materiales '!$C$2:$G$396,3,0)</f>
        <v>0</v>
      </c>
      <c r="D747" s="89" t="str">
        <f>VLOOKUP(A747,'Materiales '!$C$2:$G$396,4,0)</f>
        <v>-</v>
      </c>
      <c r="E747" s="90"/>
      <c r="F747" s="508" t="e">
        <f t="shared" si="44"/>
        <v>#VALUE!</v>
      </c>
      <c r="G747" s="519"/>
      <c r="H747" s="111"/>
      <c r="I747">
        <f>E747*G728</f>
        <v>0</v>
      </c>
      <c r="J747" s="58"/>
      <c r="K747" s="50"/>
      <c r="L747" s="50"/>
      <c r="M747" s="50"/>
      <c r="N747" s="50"/>
      <c r="O747" s="50"/>
    </row>
    <row r="748" spans="1:15">
      <c r="A748" s="517" t="s">
        <v>8</v>
      </c>
      <c r="B748" s="518">
        <f>VLOOKUP(A748,'Materiales '!$C$2:$G$396,3,0)</f>
        <v>0</v>
      </c>
      <c r="C748" s="88">
        <f>VLOOKUP(A748,'Materiales '!$C$2:$G$396,3,0)</f>
        <v>0</v>
      </c>
      <c r="D748" s="89" t="str">
        <f>VLOOKUP(A748,'Materiales '!$C$2:$G$396,4,0)</f>
        <v>-</v>
      </c>
      <c r="E748" s="90"/>
      <c r="F748" s="508" t="e">
        <f t="shared" si="44"/>
        <v>#VALUE!</v>
      </c>
      <c r="G748" s="519"/>
      <c r="H748" s="111"/>
      <c r="I748">
        <f>E748*G728</f>
        <v>0</v>
      </c>
      <c r="J748" s="58"/>
      <c r="K748" s="50"/>
      <c r="L748" s="50"/>
      <c r="M748" s="50"/>
      <c r="N748" s="50"/>
      <c r="O748" s="50"/>
    </row>
    <row r="749" spans="1:15">
      <c r="A749" s="517" t="s">
        <v>8</v>
      </c>
      <c r="B749" s="518">
        <f>VLOOKUP(A749,'Materiales '!$C$2:$G$396,3,0)</f>
        <v>0</v>
      </c>
      <c r="C749" s="88">
        <f>VLOOKUP(A749,'Materiales '!$C$2:$G$396,3,0)</f>
        <v>0</v>
      </c>
      <c r="D749" s="89" t="str">
        <f>VLOOKUP(A749,'Materiales '!$C$2:$G$396,4,0)</f>
        <v>-</v>
      </c>
      <c r="E749" s="90"/>
      <c r="F749" s="508" t="e">
        <f t="shared" si="44"/>
        <v>#VALUE!</v>
      </c>
      <c r="G749" s="519"/>
      <c r="H749" s="111"/>
      <c r="I749">
        <f>E749*G728</f>
        <v>0</v>
      </c>
      <c r="J749" s="58"/>
      <c r="K749" s="50"/>
      <c r="L749" s="50"/>
      <c r="M749" s="50"/>
      <c r="N749" s="50"/>
      <c r="O749" s="50"/>
    </row>
    <row r="750" spans="1:15">
      <c r="A750" s="517" t="s">
        <v>8</v>
      </c>
      <c r="B750" s="518">
        <f>VLOOKUP(A750,'Materiales '!$C$2:$G$396,3,0)</f>
        <v>0</v>
      </c>
      <c r="C750" s="88">
        <f>VLOOKUP(A750,'Materiales '!$C$2:$G$396,3,0)</f>
        <v>0</v>
      </c>
      <c r="D750" s="89" t="str">
        <f>VLOOKUP(A750,'Materiales '!$C$2:$G$396,4,0)</f>
        <v>-</v>
      </c>
      <c r="E750" s="90"/>
      <c r="F750" s="508" t="e">
        <f>E750*D750</f>
        <v>#VALUE!</v>
      </c>
      <c r="G750" s="519"/>
      <c r="H750" s="110"/>
      <c r="I750">
        <f>E750*G728</f>
        <v>0</v>
      </c>
      <c r="J750" s="58"/>
      <c r="K750" s="50"/>
      <c r="L750" s="50"/>
      <c r="M750" s="50"/>
      <c r="N750" s="50"/>
      <c r="O750" s="50"/>
    </row>
    <row r="751" spans="1:15">
      <c r="A751" s="520" t="s">
        <v>4098</v>
      </c>
      <c r="B751" s="521"/>
      <c r="C751" s="521"/>
      <c r="D751" s="521"/>
      <c r="E751" s="521"/>
      <c r="F751" s="521"/>
      <c r="G751" s="522"/>
      <c r="H751" s="106" t="e">
        <f>SUM(F737:F750)</f>
        <v>#VALUE!</v>
      </c>
      <c r="J751" s="58"/>
      <c r="K751" s="50"/>
      <c r="L751" s="50"/>
      <c r="M751" s="50"/>
      <c r="N751" s="50"/>
      <c r="O751" s="50"/>
    </row>
    <row r="752" spans="1:15">
      <c r="A752" s="523" t="s">
        <v>4220</v>
      </c>
      <c r="B752" s="524"/>
      <c r="C752" s="524"/>
      <c r="D752" s="524"/>
      <c r="E752" s="525"/>
      <c r="F752" s="524"/>
      <c r="G752" s="524"/>
      <c r="H752" s="526"/>
      <c r="J752" s="58"/>
      <c r="K752" s="50"/>
      <c r="L752" s="50"/>
      <c r="M752" s="50"/>
      <c r="N752" s="50"/>
      <c r="O752" s="50"/>
    </row>
    <row r="753" spans="1:15">
      <c r="A753" s="527" t="s">
        <v>7</v>
      </c>
      <c r="B753" s="528"/>
      <c r="C753" s="98" t="s">
        <v>4221</v>
      </c>
      <c r="D753" s="97" t="s">
        <v>4222</v>
      </c>
      <c r="E753" s="187" t="s">
        <v>4223</v>
      </c>
      <c r="F753" s="529" t="s">
        <v>4207</v>
      </c>
      <c r="G753" s="529"/>
      <c r="H753" s="109"/>
      <c r="K753" s="50"/>
      <c r="L753" s="50"/>
      <c r="M753" s="50"/>
      <c r="N753" s="50"/>
      <c r="O753" s="50"/>
    </row>
    <row r="754" spans="1:15">
      <c r="A754" s="506" t="s">
        <v>3928</v>
      </c>
      <c r="B754" s="507"/>
      <c r="C754" s="213">
        <v>1</v>
      </c>
      <c r="D754" s="92">
        <v>0.03</v>
      </c>
      <c r="E754" s="93" t="str">
        <f>VLOOKUP(A754,'Equip, Herr y Transp'!$B$2:$E$217,3,0)</f>
        <v>TR</v>
      </c>
      <c r="F754" s="530" t="e">
        <f>E754*D754*C754</f>
        <v>#VALUE!</v>
      </c>
      <c r="G754" s="531"/>
      <c r="H754" s="107"/>
      <c r="M754" s="50"/>
    </row>
    <row r="755" spans="1:15">
      <c r="A755" s="532" t="s">
        <v>4205</v>
      </c>
      <c r="B755" s="533"/>
      <c r="C755" s="533"/>
      <c r="D755" s="533"/>
      <c r="E755" s="533"/>
      <c r="F755" s="533"/>
      <c r="G755" s="533"/>
      <c r="H755" s="95" t="e">
        <f>F754</f>
        <v>#VALUE!</v>
      </c>
    </row>
    <row r="756" spans="1:15">
      <c r="A756" s="523" t="s">
        <v>4224</v>
      </c>
      <c r="B756" s="524"/>
      <c r="C756" s="524"/>
      <c r="D756" s="524"/>
      <c r="E756" s="524"/>
      <c r="F756" s="524"/>
      <c r="G756" s="524"/>
      <c r="H756" s="526"/>
    </row>
    <row r="757" spans="1:15">
      <c r="A757" s="527" t="s">
        <v>7</v>
      </c>
      <c r="B757" s="528"/>
      <c r="C757" s="96" t="s">
        <v>1</v>
      </c>
      <c r="D757" s="97" t="s">
        <v>4225</v>
      </c>
      <c r="E757" s="98" t="s">
        <v>4204</v>
      </c>
      <c r="F757" s="527" t="s">
        <v>5</v>
      </c>
      <c r="G757" s="534"/>
      <c r="H757" s="109"/>
    </row>
    <row r="758" spans="1:15">
      <c r="A758" s="506" t="s">
        <v>4191</v>
      </c>
      <c r="B758" s="507"/>
      <c r="C758" s="91">
        <v>1</v>
      </c>
      <c r="D758" s="94">
        <f>VLOOKUP(A758,'Mano Obra'!$B$2:$T$117,19,0)</f>
        <v>152456</v>
      </c>
      <c r="E758" s="218">
        <f>H721</f>
        <v>5.21E-2</v>
      </c>
      <c r="F758" s="508">
        <f>E758*D758*C758</f>
        <v>7942.9575999999997</v>
      </c>
      <c r="G758" s="509"/>
      <c r="H758" s="111"/>
      <c r="I758" s="59"/>
      <c r="J758" s="117">
        <f>((('Mano Obra'!$M$4/30)*F758)/D758)*G728</f>
        <v>0</v>
      </c>
    </row>
    <row r="759" spans="1:15">
      <c r="A759" s="510" t="s">
        <v>4192</v>
      </c>
      <c r="B759" s="511">
        <f>VLOOKUP(A759,'Mano Obra'!$B$3:$D$290,2,0)</f>
        <v>1900000</v>
      </c>
      <c r="C759" s="91">
        <v>1</v>
      </c>
      <c r="D759" s="94">
        <f>VLOOKUP(A759,'Mano Obra'!$B$2:$T$117,19,0)</f>
        <v>110488</v>
      </c>
      <c r="E759" s="218">
        <f>H721</f>
        <v>5.21E-2</v>
      </c>
      <c r="F759" s="508">
        <f t="shared" ref="F759:F760" si="45">E759*D759*C759</f>
        <v>5756.4247999999998</v>
      </c>
      <c r="G759" s="509"/>
      <c r="H759" s="111"/>
      <c r="J759" s="117">
        <f>((('Mano Obra'!$M$5/30)*F759)/D759)*G728</f>
        <v>0</v>
      </c>
    </row>
    <row r="760" spans="1:15">
      <c r="A760" s="510" t="s">
        <v>4181</v>
      </c>
      <c r="B760" s="511">
        <f>VLOOKUP(A760,'Mano Obra'!$B$3:$D$290,2,0)</f>
        <v>1000000</v>
      </c>
      <c r="C760" s="91">
        <v>1</v>
      </c>
      <c r="D760" s="94">
        <f>VLOOKUP(A760,'Mano Obra'!$B$2:$T$117,19,0)</f>
        <v>67424</v>
      </c>
      <c r="E760" s="218">
        <f>H721</f>
        <v>5.21E-2</v>
      </c>
      <c r="F760" s="508">
        <f t="shared" si="45"/>
        <v>3512.7903999999999</v>
      </c>
      <c r="G760" s="509"/>
      <c r="H760" s="110"/>
      <c r="J760" s="117">
        <f>((('Mano Obra'!$M$6/30)*F760)/D760)*G728</f>
        <v>0</v>
      </c>
    </row>
    <row r="761" spans="1:15">
      <c r="A761" s="512" t="s">
        <v>4100</v>
      </c>
      <c r="B761" s="512"/>
      <c r="C761" s="512"/>
      <c r="D761" s="512"/>
      <c r="E761" s="512"/>
      <c r="F761" s="512"/>
      <c r="G761" s="512"/>
      <c r="H761" s="95">
        <f>SUM(F758:F760)</f>
        <v>17212.1728</v>
      </c>
      <c r="J761" s="117"/>
    </row>
    <row r="762" spans="1:15">
      <c r="A762" s="208" t="s">
        <v>4226</v>
      </c>
      <c r="B762" s="186"/>
      <c r="C762" s="186"/>
      <c r="D762" s="183"/>
      <c r="E762" s="184"/>
      <c r="F762" s="185"/>
      <c r="G762" s="184"/>
      <c r="H762" s="193"/>
    </row>
    <row r="763" spans="1:15">
      <c r="A763" s="513" t="s">
        <v>4213</v>
      </c>
      <c r="B763" s="514"/>
      <c r="C763" s="514"/>
      <c r="D763" s="514"/>
      <c r="E763" s="181"/>
      <c r="F763" s="182" t="s">
        <v>4227</v>
      </c>
      <c r="G763" s="181" t="s">
        <v>4228</v>
      </c>
      <c r="H763" s="194"/>
    </row>
    <row r="764" spans="1:15">
      <c r="A764" s="204" t="s">
        <v>4096</v>
      </c>
      <c r="B764" s="62"/>
      <c r="C764" s="62"/>
      <c r="D764" s="63"/>
      <c r="E764" s="68"/>
      <c r="F764" s="69">
        <v>0</v>
      </c>
      <c r="G764" s="70" t="e">
        <f>F764*H729</f>
        <v>#VALUE!</v>
      </c>
      <c r="H764" s="193"/>
    </row>
    <row r="765" spans="1:15">
      <c r="A765" s="205" t="s">
        <v>4229</v>
      </c>
      <c r="B765" s="71"/>
      <c r="C765" s="71"/>
      <c r="D765" s="72"/>
      <c r="E765" s="68"/>
      <c r="F765" s="69">
        <v>0</v>
      </c>
      <c r="G765" s="70" t="e">
        <f>F765*H729</f>
        <v>#VALUE!</v>
      </c>
      <c r="H765" s="193"/>
    </row>
    <row r="766" spans="1:15">
      <c r="A766" s="205" t="s">
        <v>4</v>
      </c>
      <c r="B766" s="71"/>
      <c r="C766" s="71"/>
      <c r="D766" s="72"/>
      <c r="E766" s="68"/>
      <c r="F766" s="69">
        <v>0</v>
      </c>
      <c r="G766" s="70" t="e">
        <f>F766*H729</f>
        <v>#VALUE!</v>
      </c>
      <c r="H766" s="193"/>
    </row>
    <row r="767" spans="1:15">
      <c r="A767" s="206"/>
      <c r="B767" s="73"/>
      <c r="C767" s="65"/>
      <c r="D767" s="74"/>
      <c r="E767" s="75"/>
      <c r="F767" s="76"/>
      <c r="G767" s="77"/>
      <c r="H767" s="195"/>
    </row>
    <row r="768" spans="1:15">
      <c r="A768" s="207"/>
      <c r="B768" s="73"/>
      <c r="C768" s="73"/>
      <c r="D768" s="74"/>
      <c r="E768" s="78"/>
      <c r="F768" s="515" t="s">
        <v>4230</v>
      </c>
      <c r="G768" s="516"/>
      <c r="H768" s="214" t="e">
        <f>H729+G764+G765+G766</f>
        <v>#VALUE!</v>
      </c>
    </row>
    <row r="769" spans="1:14">
      <c r="A769" s="73"/>
      <c r="B769" s="73"/>
      <c r="C769" s="73"/>
      <c r="D769" s="74"/>
      <c r="E769" s="360"/>
      <c r="F769" s="361"/>
      <c r="G769" s="361"/>
      <c r="H769" s="362"/>
    </row>
    <row r="770" spans="1:14">
      <c r="A770" s="80"/>
      <c r="B770" s="80"/>
      <c r="C770" s="80"/>
      <c r="D770" s="80"/>
      <c r="E770" s="80"/>
      <c r="F770" s="80"/>
      <c r="G770" s="80"/>
      <c r="H770" s="353"/>
    </row>
    <row r="771" spans="1:14">
      <c r="A771" s="537" t="s">
        <v>4214</v>
      </c>
      <c r="B771" s="538"/>
      <c r="C771" s="538"/>
      <c r="D771" s="538"/>
      <c r="E771" s="538"/>
      <c r="F771" s="538"/>
      <c r="G771" s="538"/>
      <c r="H771" s="539"/>
    </row>
    <row r="772" spans="1:14">
      <c r="A772" s="81"/>
      <c r="B772" s="82"/>
      <c r="C772" s="82"/>
      <c r="D772" s="82"/>
      <c r="E772" s="82"/>
      <c r="F772" s="83"/>
      <c r="G772" s="84"/>
      <c r="H772" s="352">
        <f>ROUND((25/60)/8,4)</f>
        <v>5.21E-2</v>
      </c>
      <c r="I772" s="105"/>
    </row>
    <row r="773" spans="1:14">
      <c r="A773" s="540" t="s">
        <v>4209</v>
      </c>
      <c r="B773" s="542" t="str">
        <f>COSTOS!$C$14</f>
        <v>MODERNIZACION A TECNOLOGIA LED</v>
      </c>
      <c r="C773" s="542"/>
      <c r="D773" s="542"/>
      <c r="E773" s="542"/>
      <c r="F773" s="542"/>
      <c r="G773" s="542"/>
      <c r="H773" s="543" t="s">
        <v>4210</v>
      </c>
    </row>
    <row r="774" spans="1:14">
      <c r="A774" s="541"/>
      <c r="B774" s="542"/>
      <c r="C774" s="542"/>
      <c r="D774" s="542"/>
      <c r="E774" s="542"/>
      <c r="F774" s="542"/>
      <c r="G774" s="542"/>
      <c r="H774" s="543"/>
    </row>
    <row r="775" spans="1:14">
      <c r="A775" s="541"/>
      <c r="B775" s="542"/>
      <c r="C775" s="542"/>
      <c r="D775" s="542"/>
      <c r="E775" s="542"/>
      <c r="F775" s="542"/>
      <c r="G775" s="542"/>
      <c r="H775" s="543"/>
    </row>
    <row r="776" spans="1:14" ht="15" customHeight="1">
      <c r="A776" s="541"/>
      <c r="B776" s="542"/>
      <c r="C776" s="542"/>
      <c r="D776" s="542"/>
      <c r="E776" s="542"/>
      <c r="F776" s="542"/>
      <c r="G776" s="542"/>
      <c r="H776" s="197">
        <f ca="1">TODAY()</f>
        <v>44889</v>
      </c>
      <c r="K776" t="s">
        <v>4380</v>
      </c>
      <c r="L776" t="s">
        <v>4381</v>
      </c>
      <c r="M776" t="s">
        <v>4382</v>
      </c>
      <c r="N776" t="s">
        <v>4383</v>
      </c>
    </row>
    <row r="777" spans="1:14" ht="60.75" customHeight="1">
      <c r="A777" s="209" t="s">
        <v>4211</v>
      </c>
      <c r="B777" s="544" t="str">
        <f>COSTOS!$D$16</f>
        <v>Luminarias</v>
      </c>
      <c r="C777" s="544"/>
      <c r="D777" s="544"/>
      <c r="E777" s="544"/>
      <c r="F777" s="544"/>
      <c r="G777" s="60" t="s">
        <v>4212</v>
      </c>
      <c r="H777" s="363">
        <v>1.1599999999999999</v>
      </c>
      <c r="K777" s="55" t="e">
        <f>H802</f>
        <v>#VALUE!</v>
      </c>
      <c r="L777" s="55">
        <f>H812</f>
        <v>17212.1728</v>
      </c>
      <c r="M777" s="55" t="e">
        <f>H785</f>
        <v>#VALUE!</v>
      </c>
      <c r="N777" s="55" t="e">
        <f>H806</f>
        <v>#VALUE!</v>
      </c>
    </row>
    <row r="778" spans="1:14" ht="43.2" customHeight="1">
      <c r="A778" s="210" t="s">
        <v>4213</v>
      </c>
      <c r="B778" s="545" t="str">
        <f>VLOOKUP(H777,COSTOS!C:M,2,0)</f>
        <v>SPOT LED 14w, 650lm EMPOTRABLE</v>
      </c>
      <c r="C778" s="546"/>
      <c r="D778" s="546"/>
      <c r="E778" s="547"/>
      <c r="F778" s="61" t="s">
        <v>0</v>
      </c>
      <c r="G778" s="328" t="str">
        <f>VLOOKUP(H777,COSTOS!C:M,8,0)</f>
        <v>Und</v>
      </c>
      <c r="H778" s="248"/>
      <c r="I778" s="278"/>
      <c r="J778" s="280"/>
      <c r="K778" s="280"/>
      <c r="L778" s="280"/>
    </row>
    <row r="779" spans="1:14">
      <c r="A779" s="211"/>
      <c r="B779" s="102"/>
      <c r="C779" s="102"/>
      <c r="D779" s="102"/>
      <c r="E779" s="103"/>
      <c r="F779" s="104" t="s">
        <v>1</v>
      </c>
      <c r="G779" s="328">
        <f>VLOOKUP(H777,COSTOS!C:M,9,0)</f>
        <v>0</v>
      </c>
      <c r="H779" s="329"/>
      <c r="I779" s="279"/>
    </row>
    <row r="780" spans="1:14">
      <c r="A780" s="212" t="s">
        <v>4215</v>
      </c>
      <c r="B780" s="65"/>
      <c r="C780" s="65"/>
      <c r="D780" s="66"/>
      <c r="E780" s="190"/>
      <c r="F780" s="191"/>
      <c r="G780" s="192" t="s">
        <v>4216</v>
      </c>
      <c r="H780" s="198" t="e">
        <f>H785+H802+H806+H812</f>
        <v>#VALUE!</v>
      </c>
    </row>
    <row r="781" spans="1:14" ht="41.4">
      <c r="A781" s="548" t="s">
        <v>4213</v>
      </c>
      <c r="B781" s="548"/>
      <c r="C781" s="548"/>
      <c r="D781" s="67" t="s">
        <v>0</v>
      </c>
      <c r="E781" s="188" t="s">
        <v>4217</v>
      </c>
      <c r="F781" s="189" t="s">
        <v>4204</v>
      </c>
      <c r="G781" s="64" t="s">
        <v>2</v>
      </c>
      <c r="H781" s="199" t="s">
        <v>4218</v>
      </c>
      <c r="K781" s="281"/>
    </row>
    <row r="782" spans="1:14">
      <c r="A782" s="517" t="s">
        <v>3946</v>
      </c>
      <c r="B782" s="549">
        <f>VLOOKUP(A782,'Equip, Herr y Transp'!$B$2:$E$738,2,0)</f>
        <v>2</v>
      </c>
      <c r="C782" s="549"/>
      <c r="D782" s="85">
        <f>VLOOKUP(A782,'Equip, Herr y Transp'!$B$2:$E$217,2,0)</f>
        <v>2</v>
      </c>
      <c r="E782" s="85" t="str">
        <f>VLOOKUP(A782,'Equip, Herr y Transp'!$B$2:$E$217,3,0)</f>
        <v>EQU</v>
      </c>
      <c r="F782" s="86">
        <f>H772</f>
        <v>5.21E-2</v>
      </c>
      <c r="G782" s="112" t="e">
        <f>F782*E782</f>
        <v>#VALUE!</v>
      </c>
      <c r="H782" s="108"/>
    </row>
    <row r="783" spans="1:14">
      <c r="A783" s="517" t="s">
        <v>3937</v>
      </c>
      <c r="B783" s="549">
        <f>VLOOKUP(A783,'Equip, Herr y Transp'!$B$2:$E$738,2,0)</f>
        <v>2</v>
      </c>
      <c r="C783" s="549"/>
      <c r="D783" s="85">
        <f>VLOOKUP(A783,'Equip, Herr y Transp'!$B$2:$E$217,2,0)</f>
        <v>2</v>
      </c>
      <c r="E783" s="85" t="str">
        <f>VLOOKUP(A783,'Equip, Herr y Transp'!$B$2:$E$217,3,0)</f>
        <v>EQU</v>
      </c>
      <c r="F783" s="86">
        <f>H772</f>
        <v>5.21E-2</v>
      </c>
      <c r="G783" s="112" t="e">
        <f>F783*E783</f>
        <v>#VALUE!</v>
      </c>
      <c r="H783" s="107"/>
    </row>
    <row r="784" spans="1:14">
      <c r="A784" s="517" t="s">
        <v>3903</v>
      </c>
      <c r="B784" s="549">
        <f>VLOOKUP(A784,'Equip, Herr y Transp'!$B$2:$E$738,2,0)</f>
        <v>2</v>
      </c>
      <c r="C784" s="549"/>
      <c r="D784" s="85">
        <f>VLOOKUP(A784,'Equip, Herr y Transp'!$B$2:$E$217,2,0)</f>
        <v>2</v>
      </c>
      <c r="E784" s="85" t="str">
        <f>VLOOKUP(A784,'Equip, Herr y Transp'!$B$2:$E$217,3,0)</f>
        <v>EQU</v>
      </c>
      <c r="F784" s="86">
        <f>H772</f>
        <v>5.21E-2</v>
      </c>
      <c r="G784" s="112" t="e">
        <f>F784*E784</f>
        <v>#VALUE!</v>
      </c>
      <c r="H784" s="107"/>
    </row>
    <row r="785" spans="1:15">
      <c r="A785" s="520" t="s">
        <v>4099</v>
      </c>
      <c r="B785" s="521"/>
      <c r="C785" s="521"/>
      <c r="D785" s="521"/>
      <c r="E785" s="521"/>
      <c r="F785" s="521"/>
      <c r="G785" s="521"/>
      <c r="H785" s="87" t="e">
        <f>SUM(G782:G784)</f>
        <v>#VALUE!</v>
      </c>
    </row>
    <row r="786" spans="1:15">
      <c r="A786" s="550" t="s">
        <v>4219</v>
      </c>
      <c r="B786" s="551"/>
      <c r="C786" s="551"/>
      <c r="D786" s="551"/>
      <c r="E786" s="551"/>
      <c r="F786" s="551"/>
      <c r="G786" s="551"/>
      <c r="H786" s="552"/>
      <c r="K786" s="50"/>
      <c r="L786" s="50"/>
      <c r="M786" s="50"/>
      <c r="N786" s="50"/>
      <c r="O786" s="50"/>
    </row>
    <row r="787" spans="1:15" ht="30" customHeight="1">
      <c r="A787" s="553" t="s">
        <v>7</v>
      </c>
      <c r="B787" s="554"/>
      <c r="C787" s="99" t="s">
        <v>0</v>
      </c>
      <c r="D787" s="100" t="s">
        <v>4097</v>
      </c>
      <c r="E787" s="101" t="s">
        <v>1</v>
      </c>
      <c r="F787" s="555" t="s">
        <v>4207</v>
      </c>
      <c r="G787" s="555"/>
      <c r="H787" s="196"/>
      <c r="K787" s="50"/>
      <c r="L787" s="50"/>
      <c r="M787" s="50"/>
      <c r="N787" s="50"/>
      <c r="O787" s="50"/>
    </row>
    <row r="788" spans="1:15">
      <c r="A788" s="535" t="s">
        <v>4621</v>
      </c>
      <c r="B788" s="536"/>
      <c r="C788" s="88">
        <f>VLOOKUP(A788,'Materiales '!$C$2:$G$396,3,0)</f>
        <v>4</v>
      </c>
      <c r="D788" s="89" t="str">
        <f>VLOOKUP(A788,'Materiales '!$C$2:$G$396,4,0)</f>
        <v>Und</v>
      </c>
      <c r="E788" s="90">
        <v>1</v>
      </c>
      <c r="F788" s="508" t="e">
        <f>E788*D788</f>
        <v>#VALUE!</v>
      </c>
      <c r="G788" s="519"/>
      <c r="H788" s="111"/>
      <c r="I788">
        <f>E788*G779</f>
        <v>0</v>
      </c>
      <c r="J788" s="57"/>
      <c r="K788" s="50"/>
      <c r="L788" s="50"/>
      <c r="M788" s="50"/>
      <c r="N788" s="50"/>
      <c r="O788" s="50"/>
    </row>
    <row r="789" spans="1:15">
      <c r="A789" s="535" t="s">
        <v>4625</v>
      </c>
      <c r="B789" s="536"/>
      <c r="C789" s="88">
        <f>VLOOKUP(A789,'Materiales '!$C$2:$G$396,3,0)</f>
        <v>4</v>
      </c>
      <c r="D789" s="89" t="str">
        <f>VLOOKUP(A789,'Materiales '!$C$2:$G$396,4,0)</f>
        <v>Und</v>
      </c>
      <c r="E789" s="90">
        <v>1</v>
      </c>
      <c r="F789" s="508" t="e">
        <f t="shared" ref="F789:F795" si="46">E789*D789</f>
        <v>#VALUE!</v>
      </c>
      <c r="G789" s="519"/>
      <c r="H789" s="111"/>
      <c r="I789">
        <f>E789*G779</f>
        <v>0</v>
      </c>
      <c r="J789" s="57"/>
      <c r="K789" s="50"/>
      <c r="L789" s="50"/>
      <c r="M789" s="50"/>
      <c r="N789" s="50"/>
      <c r="O789" s="50"/>
    </row>
    <row r="790" spans="1:15">
      <c r="A790" s="517" t="s">
        <v>4628</v>
      </c>
      <c r="B790" s="518">
        <f>VLOOKUP(A790,'Materiales '!$C$2:$G$396,3,0)</f>
        <v>4</v>
      </c>
      <c r="C790" s="88">
        <f>VLOOKUP(A790,'Materiales '!$C$2:$G$396,3,0)</f>
        <v>4</v>
      </c>
      <c r="D790" s="89" t="str">
        <f>VLOOKUP(A790,'Materiales '!$C$2:$G$396,4,0)</f>
        <v>Und</v>
      </c>
      <c r="E790" s="90">
        <v>0.1</v>
      </c>
      <c r="F790" s="508" t="e">
        <f t="shared" si="46"/>
        <v>#VALUE!</v>
      </c>
      <c r="G790" s="519"/>
      <c r="H790" s="111"/>
      <c r="I790">
        <f>E790*G779</f>
        <v>0</v>
      </c>
      <c r="J790" s="58"/>
      <c r="K790" s="50"/>
      <c r="L790" s="50"/>
      <c r="M790" s="50"/>
      <c r="N790" s="50"/>
      <c r="O790" s="50"/>
    </row>
    <row r="791" spans="1:15">
      <c r="A791" s="517" t="s">
        <v>4439</v>
      </c>
      <c r="B791" s="518">
        <f>VLOOKUP(A791,'Materiales '!$C$2:$G$396,3,0)</f>
        <v>2</v>
      </c>
      <c r="C791" s="88">
        <f>VLOOKUP(A791,'Materiales '!$C$2:$G$396,3,0)</f>
        <v>2</v>
      </c>
      <c r="D791" s="89" t="str">
        <f>VLOOKUP(A791,'Materiales '!$C$2:$G$396,4,0)</f>
        <v>Ml</v>
      </c>
      <c r="E791" s="90">
        <v>1</v>
      </c>
      <c r="F791" s="508" t="e">
        <f t="shared" si="46"/>
        <v>#VALUE!</v>
      </c>
      <c r="G791" s="519"/>
      <c r="H791" s="111"/>
      <c r="I791">
        <f>E791*G779</f>
        <v>0</v>
      </c>
      <c r="J791" s="58"/>
      <c r="K791" s="50"/>
      <c r="L791" s="50"/>
      <c r="M791" s="50"/>
      <c r="N791" s="50"/>
      <c r="O791" s="50"/>
    </row>
    <row r="792" spans="1:15">
      <c r="A792" s="517" t="s">
        <v>4482</v>
      </c>
      <c r="B792" s="518">
        <f>VLOOKUP(A792,'Materiales '!$C$2:$G$396,3,0)</f>
        <v>4</v>
      </c>
      <c r="C792" s="88">
        <f>VLOOKUP(A792,'Materiales '!$C$2:$G$396,3,0)</f>
        <v>4</v>
      </c>
      <c r="D792" s="89" t="str">
        <f>VLOOKUP(A792,'Materiales '!$C$2:$G$396,4,0)</f>
        <v>Und</v>
      </c>
      <c r="E792" s="90">
        <v>3</v>
      </c>
      <c r="F792" s="508" t="e">
        <f t="shared" si="46"/>
        <v>#VALUE!</v>
      </c>
      <c r="G792" s="519"/>
      <c r="H792" s="111"/>
      <c r="I792">
        <f>E792*G779</f>
        <v>0</v>
      </c>
      <c r="J792" s="58"/>
      <c r="K792" s="50"/>
      <c r="L792" s="50"/>
      <c r="M792" s="50"/>
      <c r="N792" s="50"/>
      <c r="O792" s="50"/>
    </row>
    <row r="793" spans="1:15">
      <c r="A793" s="517" t="s">
        <v>4627</v>
      </c>
      <c r="B793" s="518">
        <f>VLOOKUP(A793,'Materiales '!$C$2:$G$396,3,0)</f>
        <v>4</v>
      </c>
      <c r="C793" s="88">
        <f>VLOOKUP(A793,'Materiales '!$C$2:$G$396,3,0)</f>
        <v>4</v>
      </c>
      <c r="D793" s="89" t="str">
        <f>VLOOKUP(A793,'Materiales '!$C$2:$G$396,4,0)</f>
        <v>Und</v>
      </c>
      <c r="E793" s="90">
        <v>1</v>
      </c>
      <c r="F793" s="508" t="e">
        <f t="shared" si="46"/>
        <v>#VALUE!</v>
      </c>
      <c r="G793" s="519"/>
      <c r="H793" s="111"/>
      <c r="I793">
        <f>E793*G779</f>
        <v>0</v>
      </c>
      <c r="J793" s="58"/>
      <c r="K793" s="50"/>
      <c r="L793" s="50"/>
      <c r="M793" s="50"/>
      <c r="N793" s="50"/>
      <c r="O793" s="50"/>
    </row>
    <row r="794" spans="1:15">
      <c r="A794" s="517" t="s">
        <v>4563</v>
      </c>
      <c r="B794" s="518">
        <f>VLOOKUP(A794,'Materiales '!$C$2:$G$396,3,0)</f>
        <v>4</v>
      </c>
      <c r="C794" s="88">
        <f>VLOOKUP(A794,'Materiales '!$C$2:$G$396,3,0)</f>
        <v>4</v>
      </c>
      <c r="D794" s="89" t="str">
        <f>VLOOKUP(A794,'Materiales '!$C$2:$G$396,4,0)</f>
        <v>Und</v>
      </c>
      <c r="E794" s="90">
        <v>1</v>
      </c>
      <c r="F794" s="508" t="e">
        <f t="shared" si="46"/>
        <v>#VALUE!</v>
      </c>
      <c r="G794" s="519"/>
      <c r="H794" s="111"/>
      <c r="I794">
        <f>E794*G779</f>
        <v>0</v>
      </c>
      <c r="J794" s="58"/>
      <c r="K794" s="50"/>
      <c r="L794" s="50"/>
      <c r="M794" s="50"/>
      <c r="N794" s="50"/>
      <c r="O794" s="50"/>
    </row>
    <row r="795" spans="1:15" ht="21.75" customHeight="1">
      <c r="A795" s="517" t="s">
        <v>8</v>
      </c>
      <c r="B795" s="518">
        <f>VLOOKUP(A795,'Materiales '!$C$2:$G$396,3,0)</f>
        <v>0</v>
      </c>
      <c r="C795" s="88">
        <f>VLOOKUP(A795,'Materiales '!$C$2:$G$396,3,0)</f>
        <v>0</v>
      </c>
      <c r="D795" s="89" t="str">
        <f>VLOOKUP(A795,'Materiales '!$C$2:$G$396,4,0)</f>
        <v>-</v>
      </c>
      <c r="E795" s="90"/>
      <c r="F795" s="508" t="e">
        <f t="shared" si="46"/>
        <v>#VALUE!</v>
      </c>
      <c r="G795" s="519"/>
      <c r="H795" s="111"/>
      <c r="I795">
        <f>E795*G779</f>
        <v>0</v>
      </c>
      <c r="J795" s="58"/>
      <c r="K795" s="50"/>
      <c r="L795" s="50"/>
      <c r="M795" s="50"/>
      <c r="N795" s="50"/>
      <c r="O795" s="50"/>
    </row>
    <row r="796" spans="1:15">
      <c r="A796" s="517" t="s">
        <v>8</v>
      </c>
      <c r="B796" s="518">
        <f>VLOOKUP(A796,'Materiales '!$C$2:$G$396,3,0)</f>
        <v>0</v>
      </c>
      <c r="C796" s="88">
        <f>VLOOKUP(A796,'Materiales '!$C$2:$G$396,3,0)</f>
        <v>0</v>
      </c>
      <c r="D796" s="89" t="str">
        <f>VLOOKUP(A796,'Materiales '!$C$2:$G$396,4,0)</f>
        <v>-</v>
      </c>
      <c r="E796" s="90"/>
      <c r="F796" s="508" t="e">
        <f>E796*D796</f>
        <v>#VALUE!</v>
      </c>
      <c r="G796" s="519"/>
      <c r="H796" s="110"/>
      <c r="I796">
        <f>E796*G779</f>
        <v>0</v>
      </c>
      <c r="J796" s="58"/>
      <c r="K796" s="50"/>
      <c r="L796" s="50"/>
      <c r="M796" s="50"/>
      <c r="N796" s="50"/>
      <c r="O796" s="50"/>
    </row>
    <row r="797" spans="1:15">
      <c r="A797" s="517" t="s">
        <v>8</v>
      </c>
      <c r="B797" s="518">
        <f>VLOOKUP(A797,'Materiales '!$C$2:$G$396,3,0)</f>
        <v>0</v>
      </c>
      <c r="C797" s="88">
        <f>VLOOKUP(A797,'Materiales '!$C$2:$G$396,3,0)</f>
        <v>0</v>
      </c>
      <c r="D797" s="89" t="str">
        <f>VLOOKUP(A797,'Materiales '!$C$2:$G$396,4,0)</f>
        <v>-</v>
      </c>
      <c r="E797" s="90"/>
      <c r="F797" s="508" t="e">
        <f t="shared" ref="F797:F800" si="47">E797*D797</f>
        <v>#VALUE!</v>
      </c>
      <c r="G797" s="519"/>
      <c r="H797" s="111"/>
      <c r="I797">
        <f>E797*G779</f>
        <v>0</v>
      </c>
      <c r="J797" s="58"/>
      <c r="K797" s="50"/>
      <c r="L797" s="50"/>
      <c r="M797" s="50"/>
      <c r="N797" s="50"/>
      <c r="O797" s="50"/>
    </row>
    <row r="798" spans="1:15">
      <c r="A798" s="517" t="s">
        <v>8</v>
      </c>
      <c r="B798" s="518">
        <f>VLOOKUP(A798,'Materiales '!$C$2:$G$396,3,0)</f>
        <v>0</v>
      </c>
      <c r="C798" s="88">
        <f>VLOOKUP(A798,'Materiales '!$C$2:$G$396,3,0)</f>
        <v>0</v>
      </c>
      <c r="D798" s="89" t="str">
        <f>VLOOKUP(A798,'Materiales '!$C$2:$G$396,4,0)</f>
        <v>-</v>
      </c>
      <c r="E798" s="90"/>
      <c r="F798" s="508" t="e">
        <f t="shared" si="47"/>
        <v>#VALUE!</v>
      </c>
      <c r="G798" s="519"/>
      <c r="H798" s="111"/>
      <c r="I798">
        <f>E798*G779</f>
        <v>0</v>
      </c>
      <c r="J798" s="58"/>
      <c r="K798" s="50"/>
      <c r="L798" s="50"/>
      <c r="M798" s="50"/>
      <c r="N798" s="50"/>
      <c r="O798" s="50"/>
    </row>
    <row r="799" spans="1:15">
      <c r="A799" s="517" t="s">
        <v>8</v>
      </c>
      <c r="B799" s="518">
        <f>VLOOKUP(A799,'Materiales '!$C$2:$G$396,3,0)</f>
        <v>0</v>
      </c>
      <c r="C799" s="88">
        <f>VLOOKUP(A799,'Materiales '!$C$2:$G$396,3,0)</f>
        <v>0</v>
      </c>
      <c r="D799" s="89" t="str">
        <f>VLOOKUP(A799,'Materiales '!$C$2:$G$396,4,0)</f>
        <v>-</v>
      </c>
      <c r="E799" s="90"/>
      <c r="F799" s="508" t="e">
        <f t="shared" si="47"/>
        <v>#VALUE!</v>
      </c>
      <c r="G799" s="519"/>
      <c r="H799" s="111"/>
      <c r="I799">
        <f>E799*G779</f>
        <v>0</v>
      </c>
      <c r="J799" s="58"/>
      <c r="K799" s="50"/>
      <c r="L799" s="50"/>
      <c r="M799" s="50"/>
      <c r="N799" s="50"/>
      <c r="O799" s="50"/>
    </row>
    <row r="800" spans="1:15">
      <c r="A800" s="517" t="s">
        <v>8</v>
      </c>
      <c r="B800" s="518">
        <f>VLOOKUP(A800,'Materiales '!$C$2:$G$396,3,0)</f>
        <v>0</v>
      </c>
      <c r="C800" s="88">
        <f>VLOOKUP(A800,'Materiales '!$C$2:$G$396,3,0)</f>
        <v>0</v>
      </c>
      <c r="D800" s="89" t="str">
        <f>VLOOKUP(A800,'Materiales '!$C$2:$G$396,4,0)</f>
        <v>-</v>
      </c>
      <c r="E800" s="90"/>
      <c r="F800" s="508" t="e">
        <f t="shared" si="47"/>
        <v>#VALUE!</v>
      </c>
      <c r="G800" s="519"/>
      <c r="H800" s="111"/>
      <c r="I800">
        <f>E800*G779</f>
        <v>0</v>
      </c>
      <c r="J800" s="58"/>
      <c r="K800" s="50"/>
      <c r="L800" s="50"/>
      <c r="M800" s="50"/>
      <c r="N800" s="50"/>
      <c r="O800" s="50"/>
    </row>
    <row r="801" spans="1:15">
      <c r="A801" s="517" t="s">
        <v>8</v>
      </c>
      <c r="B801" s="518">
        <f>VLOOKUP(A801,'Materiales '!$C$2:$G$396,3,0)</f>
        <v>0</v>
      </c>
      <c r="C801" s="88">
        <f>VLOOKUP(A801,'Materiales '!$C$2:$G$396,3,0)</f>
        <v>0</v>
      </c>
      <c r="D801" s="89" t="str">
        <f>VLOOKUP(A801,'Materiales '!$C$2:$G$396,4,0)</f>
        <v>-</v>
      </c>
      <c r="E801" s="90"/>
      <c r="F801" s="508" t="e">
        <f>E801*D801</f>
        <v>#VALUE!</v>
      </c>
      <c r="G801" s="519"/>
      <c r="H801" s="110"/>
      <c r="I801">
        <f>E801*G779</f>
        <v>0</v>
      </c>
      <c r="J801" s="58"/>
      <c r="K801" s="50"/>
      <c r="L801" s="50"/>
      <c r="M801" s="50"/>
      <c r="N801" s="50"/>
      <c r="O801" s="50"/>
    </row>
    <row r="802" spans="1:15">
      <c r="A802" s="520" t="s">
        <v>4098</v>
      </c>
      <c r="B802" s="521"/>
      <c r="C802" s="521"/>
      <c r="D802" s="521"/>
      <c r="E802" s="521"/>
      <c r="F802" s="521"/>
      <c r="G802" s="522"/>
      <c r="H802" s="106" t="e">
        <f>SUM(F788:F801)</f>
        <v>#VALUE!</v>
      </c>
      <c r="J802" s="58"/>
      <c r="K802" s="50"/>
      <c r="L802" s="50"/>
      <c r="M802" s="50"/>
      <c r="N802" s="50"/>
      <c r="O802" s="50"/>
    </row>
    <row r="803" spans="1:15">
      <c r="A803" s="523" t="s">
        <v>4220</v>
      </c>
      <c r="B803" s="524"/>
      <c r="C803" s="524"/>
      <c r="D803" s="524"/>
      <c r="E803" s="525"/>
      <c r="F803" s="524"/>
      <c r="G803" s="524"/>
      <c r="H803" s="526"/>
      <c r="J803" s="58"/>
      <c r="K803" s="50"/>
      <c r="L803" s="50"/>
      <c r="M803" s="50"/>
      <c r="N803" s="50"/>
      <c r="O803" s="50"/>
    </row>
    <row r="804" spans="1:15">
      <c r="A804" s="527" t="s">
        <v>7</v>
      </c>
      <c r="B804" s="528"/>
      <c r="C804" s="98" t="s">
        <v>4221</v>
      </c>
      <c r="D804" s="97" t="s">
        <v>4222</v>
      </c>
      <c r="E804" s="187" t="s">
        <v>4223</v>
      </c>
      <c r="F804" s="529" t="s">
        <v>4207</v>
      </c>
      <c r="G804" s="529"/>
      <c r="H804" s="109"/>
      <c r="K804" s="50"/>
      <c r="L804" s="50"/>
      <c r="M804" s="50"/>
      <c r="N804" s="50"/>
      <c r="O804" s="50"/>
    </row>
    <row r="805" spans="1:15">
      <c r="A805" s="506" t="s">
        <v>3928</v>
      </c>
      <c r="B805" s="507"/>
      <c r="C805" s="213">
        <v>1</v>
      </c>
      <c r="D805" s="92">
        <v>0.03</v>
      </c>
      <c r="E805" s="93" t="str">
        <f>VLOOKUP(A805,'Equip, Herr y Transp'!$B$2:$E$217,3,0)</f>
        <v>TR</v>
      </c>
      <c r="F805" s="530" t="e">
        <f>E805*D805*C805</f>
        <v>#VALUE!</v>
      </c>
      <c r="G805" s="531"/>
      <c r="H805" s="107"/>
      <c r="M805" s="50"/>
    </row>
    <row r="806" spans="1:15">
      <c r="A806" s="532" t="s">
        <v>4205</v>
      </c>
      <c r="B806" s="533"/>
      <c r="C806" s="533"/>
      <c r="D806" s="533"/>
      <c r="E806" s="533"/>
      <c r="F806" s="533"/>
      <c r="G806" s="533"/>
      <c r="H806" s="95" t="e">
        <f>F805</f>
        <v>#VALUE!</v>
      </c>
    </row>
    <row r="807" spans="1:15">
      <c r="A807" s="523" t="s">
        <v>4224</v>
      </c>
      <c r="B807" s="524"/>
      <c r="C807" s="524"/>
      <c r="D807" s="524"/>
      <c r="E807" s="524"/>
      <c r="F807" s="524"/>
      <c r="G807" s="524"/>
      <c r="H807" s="526"/>
    </row>
    <row r="808" spans="1:15">
      <c r="A808" s="527" t="s">
        <v>7</v>
      </c>
      <c r="B808" s="528"/>
      <c r="C808" s="96" t="s">
        <v>1</v>
      </c>
      <c r="D808" s="97" t="s">
        <v>4225</v>
      </c>
      <c r="E808" s="98" t="s">
        <v>4204</v>
      </c>
      <c r="F808" s="527" t="s">
        <v>5</v>
      </c>
      <c r="G808" s="534"/>
      <c r="H808" s="109"/>
    </row>
    <row r="809" spans="1:15">
      <c r="A809" s="506" t="s">
        <v>4191</v>
      </c>
      <c r="B809" s="507"/>
      <c r="C809" s="91">
        <v>1</v>
      </c>
      <c r="D809" s="94">
        <f>VLOOKUP(A809,'Mano Obra'!$B$2:$T$117,19,0)</f>
        <v>152456</v>
      </c>
      <c r="E809" s="218">
        <f>H772</f>
        <v>5.21E-2</v>
      </c>
      <c r="F809" s="508">
        <f>E809*D809*C809</f>
        <v>7942.9575999999997</v>
      </c>
      <c r="G809" s="509"/>
      <c r="H809" s="111"/>
      <c r="I809" s="59"/>
      <c r="J809" s="117">
        <f>((('Mano Obra'!$M$4/30)*F809)/D809)*G779</f>
        <v>0</v>
      </c>
    </row>
    <row r="810" spans="1:15">
      <c r="A810" s="510" t="s">
        <v>4192</v>
      </c>
      <c r="B810" s="511">
        <f>VLOOKUP(A810,'Mano Obra'!$B$3:$D$290,2,0)</f>
        <v>1900000</v>
      </c>
      <c r="C810" s="91">
        <v>1</v>
      </c>
      <c r="D810" s="94">
        <f>VLOOKUP(A810,'Mano Obra'!$B$2:$T$117,19,0)</f>
        <v>110488</v>
      </c>
      <c r="E810" s="218">
        <f>H772</f>
        <v>5.21E-2</v>
      </c>
      <c r="F810" s="508">
        <f t="shared" ref="F810:F811" si="48">E810*D810*C810</f>
        <v>5756.4247999999998</v>
      </c>
      <c r="G810" s="509"/>
      <c r="H810" s="111"/>
      <c r="J810" s="117">
        <f>((('Mano Obra'!$M$5/30)*F810)/D810)*G779</f>
        <v>0</v>
      </c>
    </row>
    <row r="811" spans="1:15">
      <c r="A811" s="510" t="s">
        <v>4181</v>
      </c>
      <c r="B811" s="511">
        <f>VLOOKUP(A811,'Mano Obra'!$B$3:$D$290,2,0)</f>
        <v>1000000</v>
      </c>
      <c r="C811" s="91">
        <v>1</v>
      </c>
      <c r="D811" s="94">
        <f>VLOOKUP(A811,'Mano Obra'!$B$2:$T$117,19,0)</f>
        <v>67424</v>
      </c>
      <c r="E811" s="218">
        <f>H772</f>
        <v>5.21E-2</v>
      </c>
      <c r="F811" s="508">
        <f t="shared" si="48"/>
        <v>3512.7903999999999</v>
      </c>
      <c r="G811" s="509"/>
      <c r="H811" s="110"/>
      <c r="J811" s="117">
        <f>((('Mano Obra'!$M$6/30)*F811)/D811)*G779</f>
        <v>0</v>
      </c>
    </row>
    <row r="812" spans="1:15">
      <c r="A812" s="512" t="s">
        <v>4100</v>
      </c>
      <c r="B812" s="512"/>
      <c r="C812" s="512"/>
      <c r="D812" s="512"/>
      <c r="E812" s="512"/>
      <c r="F812" s="512"/>
      <c r="G812" s="512"/>
      <c r="H812" s="95">
        <f>SUM(F809:F811)</f>
        <v>17212.1728</v>
      </c>
      <c r="J812" s="117"/>
    </row>
    <row r="813" spans="1:15">
      <c r="A813" s="208" t="s">
        <v>4226</v>
      </c>
      <c r="B813" s="186"/>
      <c r="C813" s="186"/>
      <c r="D813" s="183"/>
      <c r="E813" s="184"/>
      <c r="F813" s="185"/>
      <c r="G813" s="184"/>
      <c r="H813" s="193"/>
    </row>
    <row r="814" spans="1:15">
      <c r="A814" s="513" t="s">
        <v>4213</v>
      </c>
      <c r="B814" s="514"/>
      <c r="C814" s="514"/>
      <c r="D814" s="514"/>
      <c r="E814" s="181"/>
      <c r="F814" s="182" t="s">
        <v>4227</v>
      </c>
      <c r="G814" s="181" t="s">
        <v>4228</v>
      </c>
      <c r="H814" s="194"/>
    </row>
    <row r="815" spans="1:15">
      <c r="A815" s="204" t="s">
        <v>4096</v>
      </c>
      <c r="B815" s="62"/>
      <c r="C815" s="62"/>
      <c r="D815" s="63"/>
      <c r="E815" s="68"/>
      <c r="F815" s="69">
        <v>0</v>
      </c>
      <c r="G815" s="70" t="e">
        <f>F815*H780</f>
        <v>#VALUE!</v>
      </c>
      <c r="H815" s="193"/>
    </row>
    <row r="816" spans="1:15">
      <c r="A816" s="205" t="s">
        <v>4229</v>
      </c>
      <c r="B816" s="71"/>
      <c r="C816" s="71"/>
      <c r="D816" s="72"/>
      <c r="E816" s="68"/>
      <c r="F816" s="69">
        <v>0</v>
      </c>
      <c r="G816" s="70" t="e">
        <f>F816*H780</f>
        <v>#VALUE!</v>
      </c>
      <c r="H816" s="193"/>
    </row>
    <row r="817" spans="1:14">
      <c r="A817" s="205" t="s">
        <v>4</v>
      </c>
      <c r="B817" s="71"/>
      <c r="C817" s="71"/>
      <c r="D817" s="72"/>
      <c r="E817" s="68"/>
      <c r="F817" s="69">
        <v>0</v>
      </c>
      <c r="G817" s="70" t="e">
        <f>F817*H780</f>
        <v>#VALUE!</v>
      </c>
      <c r="H817" s="193"/>
    </row>
    <row r="818" spans="1:14">
      <c r="A818" s="206"/>
      <c r="B818" s="73"/>
      <c r="C818" s="65"/>
      <c r="D818" s="74"/>
      <c r="E818" s="75"/>
      <c r="F818" s="76"/>
      <c r="G818" s="77"/>
      <c r="H818" s="195"/>
    </row>
    <row r="819" spans="1:14">
      <c r="A819" s="207"/>
      <c r="B819" s="73"/>
      <c r="C819" s="73"/>
      <c r="D819" s="74"/>
      <c r="E819" s="78"/>
      <c r="F819" s="515" t="s">
        <v>4230</v>
      </c>
      <c r="G819" s="516"/>
      <c r="H819" s="214" t="e">
        <f>H780+G815+G816+G817</f>
        <v>#VALUE!</v>
      </c>
    </row>
    <row r="820" spans="1:14">
      <c r="A820" s="73"/>
      <c r="B820" s="73"/>
      <c r="C820" s="73"/>
      <c r="D820" s="74"/>
      <c r="E820" s="360"/>
      <c r="F820" s="361"/>
      <c r="G820" s="361"/>
      <c r="H820" s="362"/>
    </row>
    <row r="822" spans="1:14">
      <c r="A822" s="80"/>
      <c r="B822" s="80"/>
      <c r="C822" s="80"/>
      <c r="D822" s="80"/>
      <c r="E822" s="80"/>
      <c r="F822" s="80"/>
      <c r="G822" s="80"/>
      <c r="H822" s="353"/>
    </row>
    <row r="823" spans="1:14">
      <c r="A823" s="537" t="s">
        <v>4214</v>
      </c>
      <c r="B823" s="538"/>
      <c r="C823" s="538"/>
      <c r="D823" s="538"/>
      <c r="E823" s="538"/>
      <c r="F823" s="538"/>
      <c r="G823" s="538"/>
      <c r="H823" s="539"/>
    </row>
    <row r="824" spans="1:14">
      <c r="A824" s="81"/>
      <c r="B824" s="82"/>
      <c r="C824" s="82"/>
      <c r="D824" s="82"/>
      <c r="E824" s="82"/>
      <c r="F824" s="83"/>
      <c r="G824" s="84"/>
      <c r="H824" s="352">
        <f>ROUND((30/60)/8,4)</f>
        <v>6.25E-2</v>
      </c>
      <c r="I824" s="105"/>
    </row>
    <row r="825" spans="1:14">
      <c r="A825" s="540" t="s">
        <v>4209</v>
      </c>
      <c r="B825" s="542" t="str">
        <f>COSTOS!$C$14</f>
        <v>MODERNIZACION A TECNOLOGIA LED</v>
      </c>
      <c r="C825" s="542"/>
      <c r="D825" s="542"/>
      <c r="E825" s="542"/>
      <c r="F825" s="542"/>
      <c r="G825" s="542"/>
      <c r="H825" s="543" t="s">
        <v>4210</v>
      </c>
    </row>
    <row r="826" spans="1:14">
      <c r="A826" s="541"/>
      <c r="B826" s="542"/>
      <c r="C826" s="542"/>
      <c r="D826" s="542"/>
      <c r="E826" s="542"/>
      <c r="F826" s="542"/>
      <c r="G826" s="542"/>
      <c r="H826" s="543"/>
    </row>
    <row r="827" spans="1:14">
      <c r="A827" s="541"/>
      <c r="B827" s="542"/>
      <c r="C827" s="542"/>
      <c r="D827" s="542"/>
      <c r="E827" s="542"/>
      <c r="F827" s="542"/>
      <c r="G827" s="542"/>
      <c r="H827" s="543"/>
    </row>
    <row r="828" spans="1:14" ht="15" customHeight="1">
      <c r="A828" s="541"/>
      <c r="B828" s="542"/>
      <c r="C828" s="542"/>
      <c r="D828" s="542"/>
      <c r="E828" s="542"/>
      <c r="F828" s="542"/>
      <c r="G828" s="542"/>
      <c r="H828" s="197">
        <f ca="1">TODAY()</f>
        <v>44889</v>
      </c>
      <c r="K828" t="s">
        <v>4380</v>
      </c>
      <c r="L828" t="s">
        <v>4381</v>
      </c>
      <c r="M828" t="s">
        <v>4382</v>
      </c>
      <c r="N828" t="s">
        <v>4383</v>
      </c>
    </row>
    <row r="829" spans="1:14" ht="60.75" customHeight="1">
      <c r="A829" s="209" t="s">
        <v>4211</v>
      </c>
      <c r="B829" s="544" t="str">
        <f>COSTOS!$D$16</f>
        <v>Luminarias</v>
      </c>
      <c r="C829" s="544"/>
      <c r="D829" s="544"/>
      <c r="E829" s="544"/>
      <c r="F829" s="544"/>
      <c r="G829" s="60" t="s">
        <v>4212</v>
      </c>
      <c r="H829" s="363">
        <v>1.17</v>
      </c>
      <c r="K829" s="55" t="e">
        <f>H854</f>
        <v>#VALUE!</v>
      </c>
      <c r="L829" s="55">
        <f>H864</f>
        <v>20648</v>
      </c>
      <c r="M829" s="55" t="e">
        <f>H837</f>
        <v>#VALUE!</v>
      </c>
      <c r="N829" s="55" t="e">
        <f>H858</f>
        <v>#VALUE!</v>
      </c>
    </row>
    <row r="830" spans="1:14" ht="43.2" customHeight="1">
      <c r="A830" s="210" t="s">
        <v>4213</v>
      </c>
      <c r="B830" s="545" t="str">
        <f>VLOOKUP(H829,COSTOS!C:M,2,0)</f>
        <v>Reflector Metal Halide 100w</v>
      </c>
      <c r="C830" s="546"/>
      <c r="D830" s="546"/>
      <c r="E830" s="547"/>
      <c r="F830" s="61" t="s">
        <v>0</v>
      </c>
      <c r="G830" s="328" t="str">
        <f>VLOOKUP(H829,COSTOS!C:M,8,0)</f>
        <v>Und</v>
      </c>
      <c r="H830" s="248"/>
      <c r="I830" s="278"/>
      <c r="J830" s="280"/>
      <c r="K830" s="280"/>
      <c r="L830" s="280"/>
    </row>
    <row r="831" spans="1:14">
      <c r="A831" s="211"/>
      <c r="B831" s="102"/>
      <c r="C831" s="102"/>
      <c r="D831" s="102"/>
      <c r="E831" s="103"/>
      <c r="F831" s="104" t="s">
        <v>1</v>
      </c>
      <c r="G831" s="328">
        <f>VLOOKUP(H829,COSTOS!C:M,9,0)</f>
        <v>0</v>
      </c>
      <c r="H831" s="329"/>
      <c r="I831" s="279"/>
    </row>
    <row r="832" spans="1:14">
      <c r="A832" s="212" t="s">
        <v>4215</v>
      </c>
      <c r="B832" s="65"/>
      <c r="C832" s="65"/>
      <c r="D832" s="66"/>
      <c r="E832" s="190"/>
      <c r="F832" s="191"/>
      <c r="G832" s="192" t="s">
        <v>4216</v>
      </c>
      <c r="H832" s="198" t="e">
        <f>H837+H854+H858+H864</f>
        <v>#VALUE!</v>
      </c>
    </row>
    <row r="833" spans="1:15" ht="41.4">
      <c r="A833" s="548" t="s">
        <v>4213</v>
      </c>
      <c r="B833" s="548"/>
      <c r="C833" s="548"/>
      <c r="D833" s="67" t="s">
        <v>0</v>
      </c>
      <c r="E833" s="188" t="s">
        <v>4217</v>
      </c>
      <c r="F833" s="189" t="s">
        <v>4204</v>
      </c>
      <c r="G833" s="64" t="s">
        <v>2</v>
      </c>
      <c r="H833" s="199" t="s">
        <v>4218</v>
      </c>
      <c r="K833" s="281"/>
    </row>
    <row r="834" spans="1:15">
      <c r="A834" s="517" t="s">
        <v>3946</v>
      </c>
      <c r="B834" s="549">
        <f>VLOOKUP(A834,'Equip, Herr y Transp'!$B$2:$E$738,2,0)</f>
        <v>2</v>
      </c>
      <c r="C834" s="549"/>
      <c r="D834" s="85">
        <f>VLOOKUP(A834,'Equip, Herr y Transp'!$B$2:$E$217,2,0)</f>
        <v>2</v>
      </c>
      <c r="E834" s="85" t="str">
        <f>VLOOKUP(A834,'Equip, Herr y Transp'!$B$2:$E$217,3,0)</f>
        <v>EQU</v>
      </c>
      <c r="F834" s="86">
        <f>H824</f>
        <v>6.25E-2</v>
      </c>
      <c r="G834" s="112" t="e">
        <f>F834*E834</f>
        <v>#VALUE!</v>
      </c>
      <c r="H834" s="108"/>
    </row>
    <row r="835" spans="1:15">
      <c r="A835" s="517" t="s">
        <v>3904</v>
      </c>
      <c r="B835" s="549">
        <f>VLOOKUP(A835,'Equip, Herr y Transp'!$B$2:$E$738,2,0)</f>
        <v>2</v>
      </c>
      <c r="C835" s="549"/>
      <c r="D835" s="85">
        <f>VLOOKUP(A835,'Equip, Herr y Transp'!$B$2:$E$217,2,0)</f>
        <v>2</v>
      </c>
      <c r="E835" s="85" t="str">
        <f>VLOOKUP(A835,'Equip, Herr y Transp'!$B$2:$E$217,3,0)</f>
        <v>EQU</v>
      </c>
      <c r="F835" s="86">
        <f>H824</f>
        <v>6.25E-2</v>
      </c>
      <c r="G835" s="112" t="e">
        <f>F835*E835</f>
        <v>#VALUE!</v>
      </c>
      <c r="H835" s="107"/>
    </row>
    <row r="836" spans="1:15">
      <c r="A836" s="517" t="s">
        <v>3937</v>
      </c>
      <c r="B836" s="549">
        <f>VLOOKUP(A836,'Equip, Herr y Transp'!$B$2:$E$738,2,0)</f>
        <v>2</v>
      </c>
      <c r="C836" s="549"/>
      <c r="D836" s="85">
        <f>VLOOKUP(A836,'Equip, Herr y Transp'!$B$2:$E$217,2,0)</f>
        <v>2</v>
      </c>
      <c r="E836" s="85" t="str">
        <f>VLOOKUP(A836,'Equip, Herr y Transp'!$B$2:$E$217,3,0)</f>
        <v>EQU</v>
      </c>
      <c r="F836" s="86">
        <f>H824</f>
        <v>6.25E-2</v>
      </c>
      <c r="G836" s="112" t="e">
        <f>F836*E836</f>
        <v>#VALUE!</v>
      </c>
      <c r="H836" s="107"/>
    </row>
    <row r="837" spans="1:15">
      <c r="A837" s="520" t="s">
        <v>4099</v>
      </c>
      <c r="B837" s="521"/>
      <c r="C837" s="521"/>
      <c r="D837" s="521"/>
      <c r="E837" s="521"/>
      <c r="F837" s="521"/>
      <c r="G837" s="521"/>
      <c r="H837" s="87" t="e">
        <f>SUM(G834:G836)</f>
        <v>#VALUE!</v>
      </c>
    </row>
    <row r="838" spans="1:15">
      <c r="A838" s="550" t="s">
        <v>4219</v>
      </c>
      <c r="B838" s="551"/>
      <c r="C838" s="551"/>
      <c r="D838" s="551"/>
      <c r="E838" s="551"/>
      <c r="F838" s="551"/>
      <c r="G838" s="551"/>
      <c r="H838" s="552"/>
      <c r="K838" s="50"/>
      <c r="L838" s="50"/>
      <c r="M838" s="50"/>
      <c r="N838" s="50"/>
      <c r="O838" s="50"/>
    </row>
    <row r="839" spans="1:15" ht="30" customHeight="1">
      <c r="A839" s="553" t="s">
        <v>7</v>
      </c>
      <c r="B839" s="554"/>
      <c r="C839" s="99" t="s">
        <v>0</v>
      </c>
      <c r="D839" s="100" t="s">
        <v>4097</v>
      </c>
      <c r="E839" s="101" t="s">
        <v>1</v>
      </c>
      <c r="F839" s="555" t="s">
        <v>4207</v>
      </c>
      <c r="G839" s="555"/>
      <c r="H839" s="196"/>
      <c r="K839" s="50"/>
      <c r="L839" s="50"/>
      <c r="M839" s="50"/>
      <c r="N839" s="50"/>
      <c r="O839" s="50"/>
    </row>
    <row r="840" spans="1:15">
      <c r="A840" s="535" t="s">
        <v>4658</v>
      </c>
      <c r="B840" s="536"/>
      <c r="C840" s="88">
        <f>VLOOKUP(A840,'Materiales '!$C$2:$G$396,3,0)</f>
        <v>4</v>
      </c>
      <c r="D840" s="89" t="str">
        <f>VLOOKUP(A840,'Materiales '!$C$2:$G$396,4,0)</f>
        <v>Und</v>
      </c>
      <c r="E840" s="90">
        <v>1</v>
      </c>
      <c r="F840" s="508" t="e">
        <f>E840*D840</f>
        <v>#VALUE!</v>
      </c>
      <c r="G840" s="519"/>
      <c r="H840" s="111"/>
      <c r="I840">
        <f>E840*G831</f>
        <v>0</v>
      </c>
      <c r="J840" s="57"/>
      <c r="K840" s="50"/>
      <c r="L840" s="50"/>
      <c r="M840" s="50"/>
      <c r="N840" s="50"/>
      <c r="O840" s="50"/>
    </row>
    <row r="841" spans="1:15">
      <c r="A841" s="535" t="s">
        <v>4203</v>
      </c>
      <c r="B841" s="536"/>
      <c r="C841" s="88">
        <f>VLOOKUP(A841,'Materiales '!$C$2:$G$396,3,0)</f>
        <v>4</v>
      </c>
      <c r="D841" s="89" t="str">
        <f>VLOOKUP(A841,'Materiales '!$C$2:$G$396,4,0)</f>
        <v>Und</v>
      </c>
      <c r="E841" s="90">
        <v>1</v>
      </c>
      <c r="F841" s="508" t="e">
        <f t="shared" ref="F841:F847" si="49">E841*D841</f>
        <v>#VALUE!</v>
      </c>
      <c r="G841" s="519"/>
      <c r="H841" s="111"/>
      <c r="I841">
        <f>E841*G831</f>
        <v>0</v>
      </c>
      <c r="J841" s="57"/>
      <c r="K841" s="50"/>
      <c r="L841" s="50"/>
      <c r="M841" s="50"/>
      <c r="N841" s="50"/>
      <c r="O841" s="50"/>
    </row>
    <row r="842" spans="1:15">
      <c r="A842" s="517" t="s">
        <v>4473</v>
      </c>
      <c r="B842" s="518">
        <f>VLOOKUP(A842,'Materiales '!$C$2:$G$396,3,0)</f>
        <v>4</v>
      </c>
      <c r="C842" s="88">
        <f>VLOOKUP(A842,'Materiales '!$C$2:$G$396,3,0)</f>
        <v>4</v>
      </c>
      <c r="D842" s="89" t="str">
        <f>VLOOKUP(A842,'Materiales '!$C$2:$G$396,4,0)</f>
        <v>Und</v>
      </c>
      <c r="E842" s="90">
        <v>2</v>
      </c>
      <c r="F842" s="508" t="e">
        <f t="shared" si="49"/>
        <v>#VALUE!</v>
      </c>
      <c r="G842" s="519"/>
      <c r="H842" s="111"/>
      <c r="I842">
        <f>E842*G831</f>
        <v>0</v>
      </c>
      <c r="J842" s="58"/>
      <c r="K842" s="50"/>
      <c r="L842" s="50"/>
      <c r="M842" s="50"/>
      <c r="N842" s="50"/>
      <c r="O842" s="50"/>
    </row>
    <row r="843" spans="1:15">
      <c r="A843" s="517" t="s">
        <v>4478</v>
      </c>
      <c r="B843" s="518">
        <f>VLOOKUP(A843,'Materiales '!$C$2:$G$396,3,0)</f>
        <v>4</v>
      </c>
      <c r="C843" s="88">
        <f>VLOOKUP(A843,'Materiales '!$C$2:$G$396,3,0)</f>
        <v>4</v>
      </c>
      <c r="D843" s="89" t="str">
        <f>VLOOKUP(A843,'Materiales '!$C$2:$G$396,4,0)</f>
        <v>Und</v>
      </c>
      <c r="E843" s="90">
        <v>3</v>
      </c>
      <c r="F843" s="508" t="e">
        <f t="shared" si="49"/>
        <v>#VALUE!</v>
      </c>
      <c r="G843" s="519"/>
      <c r="H843" s="111"/>
      <c r="I843">
        <f>E843*G831</f>
        <v>0</v>
      </c>
      <c r="J843" s="58"/>
      <c r="K843" s="50"/>
      <c r="L843" s="50"/>
      <c r="M843" s="50"/>
      <c r="N843" s="50"/>
      <c r="O843" s="50"/>
    </row>
    <row r="844" spans="1:15">
      <c r="A844" s="517" t="s">
        <v>4543</v>
      </c>
      <c r="B844" s="518">
        <f>VLOOKUP(A844,'Materiales '!$C$2:$G$396,3,0)</f>
        <v>4</v>
      </c>
      <c r="C844" s="88">
        <f>VLOOKUP(A844,'Materiales '!$C$2:$G$396,3,0)</f>
        <v>4</v>
      </c>
      <c r="D844" s="89" t="str">
        <f>VLOOKUP(A844,'Materiales '!$C$2:$G$396,4,0)</f>
        <v>Und</v>
      </c>
      <c r="E844" s="90">
        <v>2</v>
      </c>
      <c r="F844" s="508" t="e">
        <f t="shared" si="49"/>
        <v>#VALUE!</v>
      </c>
      <c r="G844" s="519"/>
      <c r="H844" s="111"/>
      <c r="I844">
        <f>E844*G831</f>
        <v>0</v>
      </c>
      <c r="J844" s="58"/>
      <c r="K844" s="50"/>
      <c r="L844" s="50"/>
      <c r="M844" s="50"/>
      <c r="N844" s="50"/>
      <c r="O844" s="50"/>
    </row>
    <row r="845" spans="1:15">
      <c r="A845" s="517" t="s">
        <v>4439</v>
      </c>
      <c r="B845" s="518">
        <f>VLOOKUP(A845,'Materiales '!$C$2:$G$396,3,0)</f>
        <v>2</v>
      </c>
      <c r="C845" s="88">
        <f>VLOOKUP(A845,'Materiales '!$C$2:$G$396,3,0)</f>
        <v>2</v>
      </c>
      <c r="D845" s="89" t="str">
        <f>VLOOKUP(A845,'Materiales '!$C$2:$G$396,4,0)</f>
        <v>Ml</v>
      </c>
      <c r="E845" s="90">
        <v>1</v>
      </c>
      <c r="F845" s="508" t="e">
        <f t="shared" si="49"/>
        <v>#VALUE!</v>
      </c>
      <c r="G845" s="519"/>
      <c r="H845" s="111"/>
      <c r="I845">
        <f>E845*G831</f>
        <v>0</v>
      </c>
      <c r="J845" s="58"/>
      <c r="K845" s="50"/>
      <c r="L845" s="50"/>
      <c r="M845" s="50"/>
      <c r="N845" s="50"/>
      <c r="O845" s="50"/>
    </row>
    <row r="846" spans="1:15">
      <c r="A846" s="517" t="s">
        <v>4482</v>
      </c>
      <c r="B846" s="518">
        <f>VLOOKUP(A846,'Materiales '!$C$2:$G$396,3,0)</f>
        <v>4</v>
      </c>
      <c r="C846" s="88">
        <f>VLOOKUP(A846,'Materiales '!$C$2:$G$396,3,0)</f>
        <v>4</v>
      </c>
      <c r="D846" s="89" t="str">
        <f>VLOOKUP(A846,'Materiales '!$C$2:$G$396,4,0)</f>
        <v>Und</v>
      </c>
      <c r="E846" s="90">
        <v>3</v>
      </c>
      <c r="F846" s="508" t="e">
        <f t="shared" si="49"/>
        <v>#VALUE!</v>
      </c>
      <c r="G846" s="519"/>
      <c r="H846" s="111"/>
      <c r="I846">
        <f>E846*G831</f>
        <v>0</v>
      </c>
      <c r="J846" s="58"/>
      <c r="K846" s="50"/>
      <c r="L846" s="50"/>
      <c r="M846" s="50"/>
      <c r="N846" s="50"/>
      <c r="O846" s="50"/>
    </row>
    <row r="847" spans="1:15" ht="21.75" customHeight="1">
      <c r="A847" s="517" t="s">
        <v>4487</v>
      </c>
      <c r="B847" s="518">
        <f>VLOOKUP(A847,'Materiales '!$C$2:$G$396,3,0)</f>
        <v>4</v>
      </c>
      <c r="C847" s="88">
        <f>VLOOKUP(A847,'Materiales '!$C$2:$G$396,3,0)</f>
        <v>4</v>
      </c>
      <c r="D847" s="89" t="str">
        <f>VLOOKUP(A847,'Materiales '!$C$2:$G$396,4,0)</f>
        <v>Und</v>
      </c>
      <c r="E847" s="90">
        <v>0.5</v>
      </c>
      <c r="F847" s="508" t="e">
        <f t="shared" si="49"/>
        <v>#VALUE!</v>
      </c>
      <c r="G847" s="519"/>
      <c r="H847" s="111"/>
      <c r="I847">
        <f>E847*G831</f>
        <v>0</v>
      </c>
      <c r="J847" s="58"/>
      <c r="K847" s="50"/>
      <c r="L847" s="50"/>
      <c r="M847" s="50"/>
      <c r="N847" s="50"/>
      <c r="O847" s="50"/>
    </row>
    <row r="848" spans="1:15">
      <c r="A848" s="517" t="s">
        <v>8</v>
      </c>
      <c r="B848" s="518">
        <f>VLOOKUP(A848,'Materiales '!$C$2:$G$396,3,0)</f>
        <v>0</v>
      </c>
      <c r="C848" s="88">
        <f>VLOOKUP(A848,'Materiales '!$C$2:$G$396,3,0)</f>
        <v>0</v>
      </c>
      <c r="D848" s="89" t="str">
        <f>VLOOKUP(A848,'Materiales '!$C$2:$G$396,4,0)</f>
        <v>-</v>
      </c>
      <c r="E848" s="90"/>
      <c r="F848" s="508" t="e">
        <f>E848*D848</f>
        <v>#VALUE!</v>
      </c>
      <c r="G848" s="519"/>
      <c r="H848" s="110"/>
      <c r="I848">
        <f>E848*G831</f>
        <v>0</v>
      </c>
      <c r="J848" s="58"/>
      <c r="K848" s="50"/>
      <c r="L848" s="50"/>
      <c r="M848" s="50"/>
      <c r="N848" s="50"/>
      <c r="O848" s="50"/>
    </row>
    <row r="849" spans="1:15">
      <c r="A849" s="517" t="s">
        <v>8</v>
      </c>
      <c r="B849" s="518">
        <f>VLOOKUP(A849,'Materiales '!$C$2:$G$396,3,0)</f>
        <v>0</v>
      </c>
      <c r="C849" s="88">
        <f>VLOOKUP(A849,'Materiales '!$C$2:$G$396,3,0)</f>
        <v>0</v>
      </c>
      <c r="D849" s="89" t="str">
        <f>VLOOKUP(A849,'Materiales '!$C$2:$G$396,4,0)</f>
        <v>-</v>
      </c>
      <c r="E849" s="90"/>
      <c r="F849" s="508" t="e">
        <f t="shared" ref="F849:F852" si="50">E849*D849</f>
        <v>#VALUE!</v>
      </c>
      <c r="G849" s="519"/>
      <c r="H849" s="111"/>
      <c r="I849">
        <f>E849*G831</f>
        <v>0</v>
      </c>
      <c r="J849" s="58"/>
      <c r="K849" s="50"/>
      <c r="L849" s="50"/>
      <c r="M849" s="50"/>
      <c r="N849" s="50"/>
      <c r="O849" s="50"/>
    </row>
    <row r="850" spans="1:15">
      <c r="A850" s="517" t="s">
        <v>8</v>
      </c>
      <c r="B850" s="518">
        <f>VLOOKUP(A850,'Materiales '!$C$2:$G$396,3,0)</f>
        <v>0</v>
      </c>
      <c r="C850" s="88">
        <f>VLOOKUP(A850,'Materiales '!$C$2:$G$396,3,0)</f>
        <v>0</v>
      </c>
      <c r="D850" s="89" t="str">
        <f>VLOOKUP(A850,'Materiales '!$C$2:$G$396,4,0)</f>
        <v>-</v>
      </c>
      <c r="E850" s="90"/>
      <c r="F850" s="508" t="e">
        <f t="shared" si="50"/>
        <v>#VALUE!</v>
      </c>
      <c r="G850" s="519"/>
      <c r="H850" s="111"/>
      <c r="I850">
        <f>E850*G831</f>
        <v>0</v>
      </c>
      <c r="J850" s="58"/>
      <c r="K850" s="50"/>
      <c r="L850" s="50"/>
      <c r="M850" s="50"/>
      <c r="N850" s="50"/>
      <c r="O850" s="50"/>
    </row>
    <row r="851" spans="1:15">
      <c r="A851" s="517" t="s">
        <v>8</v>
      </c>
      <c r="B851" s="518">
        <f>VLOOKUP(A851,'Materiales '!$C$2:$G$396,3,0)</f>
        <v>0</v>
      </c>
      <c r="C851" s="88">
        <f>VLOOKUP(A851,'Materiales '!$C$2:$G$396,3,0)</f>
        <v>0</v>
      </c>
      <c r="D851" s="89" t="str">
        <f>VLOOKUP(A851,'Materiales '!$C$2:$G$396,4,0)</f>
        <v>-</v>
      </c>
      <c r="E851" s="90"/>
      <c r="F851" s="508" t="e">
        <f t="shared" si="50"/>
        <v>#VALUE!</v>
      </c>
      <c r="G851" s="519"/>
      <c r="H851" s="111"/>
      <c r="I851">
        <f>E851*G831</f>
        <v>0</v>
      </c>
      <c r="J851" s="58"/>
      <c r="K851" s="50"/>
      <c r="L851" s="50"/>
      <c r="M851" s="50"/>
      <c r="N851" s="50"/>
      <c r="O851" s="50"/>
    </row>
    <row r="852" spans="1:15">
      <c r="A852" s="517" t="s">
        <v>8</v>
      </c>
      <c r="B852" s="518">
        <f>VLOOKUP(A852,'Materiales '!$C$2:$G$396,3,0)</f>
        <v>0</v>
      </c>
      <c r="C852" s="88">
        <f>VLOOKUP(A852,'Materiales '!$C$2:$G$396,3,0)</f>
        <v>0</v>
      </c>
      <c r="D852" s="89" t="str">
        <f>VLOOKUP(A852,'Materiales '!$C$2:$G$396,4,0)</f>
        <v>-</v>
      </c>
      <c r="E852" s="90"/>
      <c r="F852" s="508" t="e">
        <f t="shared" si="50"/>
        <v>#VALUE!</v>
      </c>
      <c r="G852" s="519"/>
      <c r="H852" s="111"/>
      <c r="I852">
        <f>E852*G831</f>
        <v>0</v>
      </c>
      <c r="J852" s="58"/>
      <c r="K852" s="50"/>
      <c r="L852" s="50"/>
      <c r="M852" s="50"/>
      <c r="N852" s="50"/>
      <c r="O852" s="50"/>
    </row>
    <row r="853" spans="1:15">
      <c r="A853" s="517" t="s">
        <v>8</v>
      </c>
      <c r="B853" s="518">
        <f>VLOOKUP(A853,'Materiales '!$C$2:$G$396,3,0)</f>
        <v>0</v>
      </c>
      <c r="C853" s="88">
        <f>VLOOKUP(A853,'Materiales '!$C$2:$G$396,3,0)</f>
        <v>0</v>
      </c>
      <c r="D853" s="89" t="str">
        <f>VLOOKUP(A853,'Materiales '!$C$2:$G$396,4,0)</f>
        <v>-</v>
      </c>
      <c r="E853" s="90"/>
      <c r="F853" s="508" t="e">
        <f>E853*D853</f>
        <v>#VALUE!</v>
      </c>
      <c r="G853" s="519"/>
      <c r="H853" s="110"/>
      <c r="I853">
        <f>E853*G831</f>
        <v>0</v>
      </c>
      <c r="J853" s="58"/>
      <c r="K853" s="50"/>
      <c r="L853" s="50"/>
      <c r="M853" s="50"/>
      <c r="N853" s="50"/>
      <c r="O853" s="50"/>
    </row>
    <row r="854" spans="1:15">
      <c r="A854" s="520" t="s">
        <v>4098</v>
      </c>
      <c r="B854" s="521"/>
      <c r="C854" s="521"/>
      <c r="D854" s="521"/>
      <c r="E854" s="521"/>
      <c r="F854" s="521"/>
      <c r="G854" s="522"/>
      <c r="H854" s="106" t="e">
        <f>SUM(F840:F853)</f>
        <v>#VALUE!</v>
      </c>
      <c r="J854" s="58"/>
      <c r="K854" s="50"/>
      <c r="L854" s="50"/>
      <c r="M854" s="50"/>
      <c r="N854" s="50"/>
      <c r="O854" s="50"/>
    </row>
    <row r="855" spans="1:15">
      <c r="A855" s="523" t="s">
        <v>4220</v>
      </c>
      <c r="B855" s="524"/>
      <c r="C855" s="524"/>
      <c r="D855" s="524"/>
      <c r="E855" s="525"/>
      <c r="F855" s="524"/>
      <c r="G855" s="524"/>
      <c r="H855" s="526"/>
      <c r="J855" s="58"/>
      <c r="K855" s="50"/>
      <c r="L855" s="50"/>
      <c r="M855" s="50"/>
      <c r="N855" s="50"/>
      <c r="O855" s="50"/>
    </row>
    <row r="856" spans="1:15">
      <c r="A856" s="527" t="s">
        <v>7</v>
      </c>
      <c r="B856" s="528"/>
      <c r="C856" s="98" t="s">
        <v>4221</v>
      </c>
      <c r="D856" s="97" t="s">
        <v>4222</v>
      </c>
      <c r="E856" s="187" t="s">
        <v>4223</v>
      </c>
      <c r="F856" s="529" t="s">
        <v>4207</v>
      </c>
      <c r="G856" s="529"/>
      <c r="H856" s="109"/>
      <c r="K856" s="50"/>
      <c r="L856" s="50"/>
      <c r="M856" s="50"/>
      <c r="N856" s="50"/>
      <c r="O856" s="50"/>
    </row>
    <row r="857" spans="1:15">
      <c r="A857" s="506" t="s">
        <v>3928</v>
      </c>
      <c r="B857" s="507"/>
      <c r="C857" s="213">
        <v>1</v>
      </c>
      <c r="D857" s="92">
        <v>0.03</v>
      </c>
      <c r="E857" s="93" t="str">
        <f>VLOOKUP(A857,'Equip, Herr y Transp'!$B$2:$E$217,3,0)</f>
        <v>TR</v>
      </c>
      <c r="F857" s="530" t="e">
        <f>E857*D857*C857</f>
        <v>#VALUE!</v>
      </c>
      <c r="G857" s="531"/>
      <c r="H857" s="107"/>
      <c r="M857" s="50"/>
    </row>
    <row r="858" spans="1:15">
      <c r="A858" s="532" t="s">
        <v>4205</v>
      </c>
      <c r="B858" s="533"/>
      <c r="C858" s="533"/>
      <c r="D858" s="533"/>
      <c r="E858" s="533"/>
      <c r="F858" s="533"/>
      <c r="G858" s="533"/>
      <c r="H858" s="95" t="e">
        <f>F857</f>
        <v>#VALUE!</v>
      </c>
    </row>
    <row r="859" spans="1:15">
      <c r="A859" s="523" t="s">
        <v>4224</v>
      </c>
      <c r="B859" s="524"/>
      <c r="C859" s="524"/>
      <c r="D859" s="524"/>
      <c r="E859" s="524"/>
      <c r="F859" s="524"/>
      <c r="G859" s="524"/>
      <c r="H859" s="526"/>
    </row>
    <row r="860" spans="1:15">
      <c r="A860" s="527" t="s">
        <v>7</v>
      </c>
      <c r="B860" s="528"/>
      <c r="C860" s="96" t="s">
        <v>1</v>
      </c>
      <c r="D860" s="97" t="s">
        <v>4225</v>
      </c>
      <c r="E860" s="98" t="s">
        <v>4204</v>
      </c>
      <c r="F860" s="527" t="s">
        <v>5</v>
      </c>
      <c r="G860" s="534"/>
      <c r="H860" s="109"/>
    </row>
    <row r="861" spans="1:15">
      <c r="A861" s="506" t="s">
        <v>4191</v>
      </c>
      <c r="B861" s="507"/>
      <c r="C861" s="91">
        <v>1</v>
      </c>
      <c r="D861" s="94">
        <f>VLOOKUP(A861,'Mano Obra'!$B$2:$T$117,19,0)</f>
        <v>152456</v>
      </c>
      <c r="E861" s="218">
        <f>H824</f>
        <v>6.25E-2</v>
      </c>
      <c r="F861" s="508">
        <f>E861*D861*C861</f>
        <v>9528.5</v>
      </c>
      <c r="G861" s="509"/>
      <c r="H861" s="111"/>
      <c r="I861" s="59"/>
      <c r="J861" s="117">
        <f>((('Mano Obra'!$M$4/30)*F861)/D861)*G831</f>
        <v>0</v>
      </c>
    </row>
    <row r="862" spans="1:15">
      <c r="A862" s="510" t="s">
        <v>4192</v>
      </c>
      <c r="B862" s="511">
        <f>VLOOKUP(A862,'Mano Obra'!$B$3:$D$290,2,0)</f>
        <v>1900000</v>
      </c>
      <c r="C862" s="91">
        <v>1</v>
      </c>
      <c r="D862" s="94">
        <f>VLOOKUP(A862,'Mano Obra'!$B$2:$T$117,19,0)</f>
        <v>110488</v>
      </c>
      <c r="E862" s="218">
        <f>H824</f>
        <v>6.25E-2</v>
      </c>
      <c r="F862" s="508">
        <f t="shared" ref="F862:F863" si="51">E862*D862*C862</f>
        <v>6905.5</v>
      </c>
      <c r="G862" s="509"/>
      <c r="H862" s="111"/>
      <c r="J862" s="117">
        <f>((('Mano Obra'!$M$5/30)*F862)/D862)*G831</f>
        <v>0</v>
      </c>
    </row>
    <row r="863" spans="1:15">
      <c r="A863" s="510" t="s">
        <v>4181</v>
      </c>
      <c r="B863" s="511">
        <f>VLOOKUP(A863,'Mano Obra'!$B$3:$D$290,2,0)</f>
        <v>1000000</v>
      </c>
      <c r="C863" s="91">
        <v>1</v>
      </c>
      <c r="D863" s="94">
        <f>VLOOKUP(A863,'Mano Obra'!$B$2:$T$117,19,0)</f>
        <v>67424</v>
      </c>
      <c r="E863" s="218">
        <f>H824</f>
        <v>6.25E-2</v>
      </c>
      <c r="F863" s="508">
        <f t="shared" si="51"/>
        <v>4214</v>
      </c>
      <c r="G863" s="509"/>
      <c r="H863" s="110"/>
      <c r="J863" s="117">
        <f>((('Mano Obra'!$M$6/30)*F863)/D863)*G831</f>
        <v>0</v>
      </c>
    </row>
    <row r="864" spans="1:15">
      <c r="A864" s="512" t="s">
        <v>4100</v>
      </c>
      <c r="B864" s="512"/>
      <c r="C864" s="512"/>
      <c r="D864" s="512"/>
      <c r="E864" s="512"/>
      <c r="F864" s="512"/>
      <c r="G864" s="512"/>
      <c r="H864" s="95">
        <f>SUM(F861:F863)</f>
        <v>20648</v>
      </c>
      <c r="J864" s="117"/>
    </row>
    <row r="865" spans="1:14">
      <c r="A865" s="208" t="s">
        <v>4226</v>
      </c>
      <c r="B865" s="186"/>
      <c r="C865" s="186"/>
      <c r="D865" s="183"/>
      <c r="E865" s="184"/>
      <c r="F865" s="185"/>
      <c r="G865" s="184"/>
      <c r="H865" s="193"/>
    </row>
    <row r="866" spans="1:14">
      <c r="A866" s="513" t="s">
        <v>4213</v>
      </c>
      <c r="B866" s="514"/>
      <c r="C866" s="514"/>
      <c r="D866" s="514"/>
      <c r="E866" s="181"/>
      <c r="F866" s="182" t="s">
        <v>4227</v>
      </c>
      <c r="G866" s="181" t="s">
        <v>4228</v>
      </c>
      <c r="H866" s="194"/>
    </row>
    <row r="867" spans="1:14">
      <c r="A867" s="204" t="s">
        <v>4096</v>
      </c>
      <c r="B867" s="62"/>
      <c r="C867" s="62"/>
      <c r="D867" s="63"/>
      <c r="E867" s="68"/>
      <c r="F867" s="69">
        <v>0</v>
      </c>
      <c r="G867" s="70" t="e">
        <f>F867*H832</f>
        <v>#VALUE!</v>
      </c>
      <c r="H867" s="193"/>
    </row>
    <row r="868" spans="1:14">
      <c r="A868" s="205" t="s">
        <v>4229</v>
      </c>
      <c r="B868" s="71"/>
      <c r="C868" s="71"/>
      <c r="D868" s="72"/>
      <c r="E868" s="68"/>
      <c r="F868" s="69">
        <v>0</v>
      </c>
      <c r="G868" s="70" t="e">
        <f>F868*H832</f>
        <v>#VALUE!</v>
      </c>
      <c r="H868" s="193"/>
    </row>
    <row r="869" spans="1:14">
      <c r="A869" s="205" t="s">
        <v>4</v>
      </c>
      <c r="B869" s="71"/>
      <c r="C869" s="71"/>
      <c r="D869" s="72"/>
      <c r="E869" s="68"/>
      <c r="F869" s="69">
        <v>0</v>
      </c>
      <c r="G869" s="70" t="e">
        <f>F869*H832</f>
        <v>#VALUE!</v>
      </c>
      <c r="H869" s="193"/>
    </row>
    <row r="870" spans="1:14">
      <c r="A870" s="206"/>
      <c r="B870" s="73"/>
      <c r="C870" s="65"/>
      <c r="D870" s="74"/>
      <c r="E870" s="75"/>
      <c r="F870" s="76"/>
      <c r="G870" s="77"/>
      <c r="H870" s="195"/>
    </row>
    <row r="871" spans="1:14">
      <c r="A871" s="207"/>
      <c r="B871" s="73"/>
      <c r="C871" s="73"/>
      <c r="D871" s="74"/>
      <c r="E871" s="78"/>
      <c r="F871" s="515" t="s">
        <v>4230</v>
      </c>
      <c r="G871" s="516"/>
      <c r="H871" s="214" t="e">
        <f>H832+G867+G868+G869</f>
        <v>#VALUE!</v>
      </c>
    </row>
    <row r="872" spans="1:14">
      <c r="A872" s="73"/>
      <c r="B872" s="73"/>
      <c r="C872" s="73"/>
      <c r="D872" s="74"/>
      <c r="E872" s="360"/>
      <c r="F872" s="361"/>
      <c r="G872" s="361"/>
      <c r="H872" s="362"/>
    </row>
    <row r="873" spans="1:14">
      <c r="A873" s="80"/>
      <c r="B873" s="80"/>
      <c r="C873" s="80"/>
      <c r="D873" s="80"/>
      <c r="E873" s="80"/>
      <c r="F873" s="80"/>
      <c r="G873" s="80"/>
      <c r="H873" s="353"/>
    </row>
    <row r="874" spans="1:14">
      <c r="A874" s="537" t="s">
        <v>4214</v>
      </c>
      <c r="B874" s="538"/>
      <c r="C874" s="538"/>
      <c r="D874" s="538"/>
      <c r="E874" s="538"/>
      <c r="F874" s="538"/>
      <c r="G874" s="538"/>
      <c r="H874" s="539"/>
    </row>
    <row r="875" spans="1:14">
      <c r="A875" s="81"/>
      <c r="B875" s="82"/>
      <c r="C875" s="82"/>
      <c r="D875" s="82"/>
      <c r="E875" s="82"/>
      <c r="F875" s="83"/>
      <c r="G875" s="84"/>
      <c r="H875" s="352">
        <f>ROUND((30/60)/8,4)</f>
        <v>6.25E-2</v>
      </c>
      <c r="I875" s="105"/>
    </row>
    <row r="876" spans="1:14">
      <c r="A876" s="540" t="s">
        <v>4209</v>
      </c>
      <c r="B876" s="542" t="str">
        <f>COSTOS!$C$14</f>
        <v>MODERNIZACION A TECNOLOGIA LED</v>
      </c>
      <c r="C876" s="542"/>
      <c r="D876" s="542"/>
      <c r="E876" s="542"/>
      <c r="F876" s="542"/>
      <c r="G876" s="542"/>
      <c r="H876" s="543" t="s">
        <v>4210</v>
      </c>
    </row>
    <row r="877" spans="1:14">
      <c r="A877" s="541"/>
      <c r="B877" s="542"/>
      <c r="C877" s="542"/>
      <c r="D877" s="542"/>
      <c r="E877" s="542"/>
      <c r="F877" s="542"/>
      <c r="G877" s="542"/>
      <c r="H877" s="543"/>
    </row>
    <row r="878" spans="1:14">
      <c r="A878" s="541"/>
      <c r="B878" s="542"/>
      <c r="C878" s="542"/>
      <c r="D878" s="542"/>
      <c r="E878" s="542"/>
      <c r="F878" s="542"/>
      <c r="G878" s="542"/>
      <c r="H878" s="543"/>
    </row>
    <row r="879" spans="1:14" ht="15" customHeight="1">
      <c r="A879" s="541"/>
      <c r="B879" s="542"/>
      <c r="C879" s="542"/>
      <c r="D879" s="542"/>
      <c r="E879" s="542"/>
      <c r="F879" s="542"/>
      <c r="G879" s="542"/>
      <c r="H879" s="197">
        <f ca="1">TODAY()</f>
        <v>44889</v>
      </c>
      <c r="K879" t="s">
        <v>4380</v>
      </c>
      <c r="L879" t="s">
        <v>4381</v>
      </c>
      <c r="M879" t="s">
        <v>4382</v>
      </c>
      <c r="N879" t="s">
        <v>4383</v>
      </c>
    </row>
    <row r="880" spans="1:14" ht="60.75" customHeight="1">
      <c r="A880" s="209" t="s">
        <v>4211</v>
      </c>
      <c r="B880" s="544" t="str">
        <f>COSTOS!$D$16</f>
        <v>Luminarias</v>
      </c>
      <c r="C880" s="544"/>
      <c r="D880" s="544"/>
      <c r="E880" s="544"/>
      <c r="F880" s="544"/>
      <c r="G880" s="60" t="s">
        <v>4212</v>
      </c>
      <c r="H880" s="363">
        <v>1.18</v>
      </c>
      <c r="K880" s="55" t="e">
        <f>H905</f>
        <v>#VALUE!</v>
      </c>
      <c r="L880" s="55">
        <f>H915</f>
        <v>20648</v>
      </c>
      <c r="M880" s="55" t="e">
        <f>H888</f>
        <v>#VALUE!</v>
      </c>
      <c r="N880" s="55" t="e">
        <f>H909</f>
        <v>#VALUE!</v>
      </c>
    </row>
    <row r="881" spans="1:15" ht="43.2" customHeight="1">
      <c r="A881" s="210" t="s">
        <v>4213</v>
      </c>
      <c r="B881" s="545" t="str">
        <f>VLOOKUP(H880,COSTOS!C:M,2,0)</f>
        <v>Reflector Metal Halide 150w</v>
      </c>
      <c r="C881" s="546"/>
      <c r="D881" s="546"/>
      <c r="E881" s="547"/>
      <c r="F881" s="61" t="s">
        <v>0</v>
      </c>
      <c r="G881" s="328" t="str">
        <f>VLOOKUP(H880,COSTOS!C:M,8,0)</f>
        <v>Und</v>
      </c>
      <c r="H881" s="248"/>
      <c r="I881" s="278"/>
      <c r="J881" s="280"/>
      <c r="K881" s="280"/>
      <c r="L881" s="280"/>
    </row>
    <row r="882" spans="1:15">
      <c r="A882" s="211"/>
      <c r="B882" s="102"/>
      <c r="C882" s="102"/>
      <c r="D882" s="102"/>
      <c r="E882" s="103"/>
      <c r="F882" s="104" t="s">
        <v>1</v>
      </c>
      <c r="G882" s="328">
        <f>VLOOKUP(H880,COSTOS!C:M,9,0)</f>
        <v>0</v>
      </c>
      <c r="H882" s="329"/>
      <c r="I882" s="279"/>
    </row>
    <row r="883" spans="1:15">
      <c r="A883" s="212" t="s">
        <v>4215</v>
      </c>
      <c r="B883" s="65"/>
      <c r="C883" s="65"/>
      <c r="D883" s="66"/>
      <c r="E883" s="190"/>
      <c r="F883" s="191"/>
      <c r="G883" s="192" t="s">
        <v>4216</v>
      </c>
      <c r="H883" s="198" t="e">
        <f>H888+H905+H909+H915</f>
        <v>#VALUE!</v>
      </c>
    </row>
    <row r="884" spans="1:15" ht="41.4">
      <c r="A884" s="548" t="s">
        <v>4213</v>
      </c>
      <c r="B884" s="548"/>
      <c r="C884" s="548"/>
      <c r="D884" s="67" t="s">
        <v>0</v>
      </c>
      <c r="E884" s="188" t="s">
        <v>4217</v>
      </c>
      <c r="F884" s="189" t="s">
        <v>4204</v>
      </c>
      <c r="G884" s="64" t="s">
        <v>2</v>
      </c>
      <c r="H884" s="199" t="s">
        <v>4218</v>
      </c>
      <c r="K884" s="281"/>
    </row>
    <row r="885" spans="1:15">
      <c r="A885" s="517" t="s">
        <v>3946</v>
      </c>
      <c r="B885" s="549">
        <f>VLOOKUP(A885,'Equip, Herr y Transp'!$B$2:$E$738,2,0)</f>
        <v>2</v>
      </c>
      <c r="C885" s="549"/>
      <c r="D885" s="85">
        <f>VLOOKUP(A885,'Equip, Herr y Transp'!$B$2:$E$217,2,0)</f>
        <v>2</v>
      </c>
      <c r="E885" s="85" t="str">
        <f>VLOOKUP(A885,'Equip, Herr y Transp'!$B$2:$E$217,3,0)</f>
        <v>EQU</v>
      </c>
      <c r="F885" s="86">
        <f>H875</f>
        <v>6.25E-2</v>
      </c>
      <c r="G885" s="112" t="e">
        <f>F885*E885</f>
        <v>#VALUE!</v>
      </c>
      <c r="H885" s="108"/>
    </row>
    <row r="886" spans="1:15">
      <c r="A886" s="517" t="s">
        <v>3904</v>
      </c>
      <c r="B886" s="549">
        <f>VLOOKUP(A886,'Equip, Herr y Transp'!$B$2:$E$738,2,0)</f>
        <v>2</v>
      </c>
      <c r="C886" s="549"/>
      <c r="D886" s="85">
        <f>VLOOKUP(A886,'Equip, Herr y Transp'!$B$2:$E$217,2,0)</f>
        <v>2</v>
      </c>
      <c r="E886" s="85" t="str">
        <f>VLOOKUP(A886,'Equip, Herr y Transp'!$B$2:$E$217,3,0)</f>
        <v>EQU</v>
      </c>
      <c r="F886" s="86">
        <f>H875</f>
        <v>6.25E-2</v>
      </c>
      <c r="G886" s="112" t="e">
        <f>F886*E886</f>
        <v>#VALUE!</v>
      </c>
      <c r="H886" s="107"/>
    </row>
    <row r="887" spans="1:15">
      <c r="A887" s="517" t="s">
        <v>3937</v>
      </c>
      <c r="B887" s="549">
        <f>VLOOKUP(A887,'Equip, Herr y Transp'!$B$2:$E$738,2,0)</f>
        <v>2</v>
      </c>
      <c r="C887" s="549"/>
      <c r="D887" s="85">
        <f>VLOOKUP(A887,'Equip, Herr y Transp'!$B$2:$E$217,2,0)</f>
        <v>2</v>
      </c>
      <c r="E887" s="85" t="str">
        <f>VLOOKUP(A887,'Equip, Herr y Transp'!$B$2:$E$217,3,0)</f>
        <v>EQU</v>
      </c>
      <c r="F887" s="86">
        <f>H875</f>
        <v>6.25E-2</v>
      </c>
      <c r="G887" s="112" t="e">
        <f>F887*E887</f>
        <v>#VALUE!</v>
      </c>
      <c r="H887" s="107"/>
    </row>
    <row r="888" spans="1:15">
      <c r="A888" s="520" t="s">
        <v>4099</v>
      </c>
      <c r="B888" s="521"/>
      <c r="C888" s="521"/>
      <c r="D888" s="521"/>
      <c r="E888" s="521"/>
      <c r="F888" s="521"/>
      <c r="G888" s="521"/>
      <c r="H888" s="87" t="e">
        <f>SUM(G885:G887)</f>
        <v>#VALUE!</v>
      </c>
    </row>
    <row r="889" spans="1:15">
      <c r="A889" s="550" t="s">
        <v>4219</v>
      </c>
      <c r="B889" s="551"/>
      <c r="C889" s="551"/>
      <c r="D889" s="551"/>
      <c r="E889" s="551"/>
      <c r="F889" s="551"/>
      <c r="G889" s="551"/>
      <c r="H889" s="552"/>
      <c r="K889" s="50"/>
      <c r="L889" s="50"/>
      <c r="M889" s="50"/>
      <c r="N889" s="50"/>
      <c r="O889" s="50"/>
    </row>
    <row r="890" spans="1:15" ht="30" customHeight="1">
      <c r="A890" s="553" t="s">
        <v>7</v>
      </c>
      <c r="B890" s="554"/>
      <c r="C890" s="99" t="s">
        <v>0</v>
      </c>
      <c r="D890" s="100" t="s">
        <v>4097</v>
      </c>
      <c r="E890" s="101" t="s">
        <v>1</v>
      </c>
      <c r="F890" s="555" t="s">
        <v>4207</v>
      </c>
      <c r="G890" s="555"/>
      <c r="H890" s="196"/>
      <c r="K890" s="50"/>
      <c r="L890" s="50"/>
      <c r="M890" s="50"/>
      <c r="N890" s="50"/>
      <c r="O890" s="50"/>
    </row>
    <row r="891" spans="1:15">
      <c r="A891" s="535" t="s">
        <v>4659</v>
      </c>
      <c r="B891" s="536"/>
      <c r="C891" s="88">
        <f>VLOOKUP(A891,'Materiales '!$C$2:$G$396,3,0)</f>
        <v>4</v>
      </c>
      <c r="D891" s="89" t="str">
        <f>VLOOKUP(A891,'Materiales '!$C$2:$G$396,4,0)</f>
        <v>Und</v>
      </c>
      <c r="E891" s="90">
        <v>1</v>
      </c>
      <c r="F891" s="508" t="e">
        <f>E891*D891</f>
        <v>#VALUE!</v>
      </c>
      <c r="G891" s="519"/>
      <c r="H891" s="111"/>
      <c r="I891">
        <f>E891*G882</f>
        <v>0</v>
      </c>
      <c r="J891" s="57"/>
      <c r="K891" s="50"/>
      <c r="L891" s="50"/>
      <c r="M891" s="50"/>
      <c r="N891" s="50"/>
      <c r="O891" s="50"/>
    </row>
    <row r="892" spans="1:15">
      <c r="A892" s="535" t="s">
        <v>4203</v>
      </c>
      <c r="B892" s="536"/>
      <c r="C892" s="88">
        <f>VLOOKUP(A892,'Materiales '!$C$2:$G$396,3,0)</f>
        <v>4</v>
      </c>
      <c r="D892" s="89" t="str">
        <f>VLOOKUP(A892,'Materiales '!$C$2:$G$396,4,0)</f>
        <v>Und</v>
      </c>
      <c r="E892" s="90">
        <v>1</v>
      </c>
      <c r="F892" s="508" t="e">
        <f t="shared" ref="F892:F898" si="52">E892*D892</f>
        <v>#VALUE!</v>
      </c>
      <c r="G892" s="519"/>
      <c r="H892" s="111"/>
      <c r="I892">
        <f>E892*G882</f>
        <v>0</v>
      </c>
      <c r="J892" s="57"/>
      <c r="K892" s="50"/>
      <c r="L892" s="50"/>
      <c r="M892" s="50"/>
      <c r="N892" s="50"/>
      <c r="O892" s="50"/>
    </row>
    <row r="893" spans="1:15">
      <c r="A893" s="517" t="s">
        <v>4473</v>
      </c>
      <c r="B893" s="518">
        <f>VLOOKUP(A893,'Materiales '!$C$2:$G$396,3,0)</f>
        <v>4</v>
      </c>
      <c r="C893" s="88">
        <f>VLOOKUP(A893,'Materiales '!$C$2:$G$396,3,0)</f>
        <v>4</v>
      </c>
      <c r="D893" s="89" t="str">
        <f>VLOOKUP(A893,'Materiales '!$C$2:$G$396,4,0)</f>
        <v>Und</v>
      </c>
      <c r="E893" s="90">
        <v>2</v>
      </c>
      <c r="F893" s="508" t="e">
        <f t="shared" si="52"/>
        <v>#VALUE!</v>
      </c>
      <c r="G893" s="519"/>
      <c r="H893" s="111"/>
      <c r="I893">
        <f>E893*G882</f>
        <v>0</v>
      </c>
      <c r="J893" s="58"/>
      <c r="K893" s="50"/>
      <c r="L893" s="50"/>
      <c r="M893" s="50"/>
      <c r="N893" s="50"/>
      <c r="O893" s="50"/>
    </row>
    <row r="894" spans="1:15">
      <c r="A894" s="517" t="s">
        <v>4478</v>
      </c>
      <c r="B894" s="518">
        <f>VLOOKUP(A894,'Materiales '!$C$2:$G$396,3,0)</f>
        <v>4</v>
      </c>
      <c r="C894" s="88">
        <f>VLOOKUP(A894,'Materiales '!$C$2:$G$396,3,0)</f>
        <v>4</v>
      </c>
      <c r="D894" s="89" t="str">
        <f>VLOOKUP(A894,'Materiales '!$C$2:$G$396,4,0)</f>
        <v>Und</v>
      </c>
      <c r="E894" s="90">
        <v>3</v>
      </c>
      <c r="F894" s="508" t="e">
        <f t="shared" si="52"/>
        <v>#VALUE!</v>
      </c>
      <c r="G894" s="519"/>
      <c r="H894" s="111"/>
      <c r="I894">
        <f>E894*G882</f>
        <v>0</v>
      </c>
      <c r="J894" s="58"/>
      <c r="K894" s="50"/>
      <c r="L894" s="50"/>
      <c r="M894" s="50"/>
      <c r="N894" s="50"/>
      <c r="O894" s="50"/>
    </row>
    <row r="895" spans="1:15">
      <c r="A895" s="517" t="s">
        <v>4543</v>
      </c>
      <c r="B895" s="518">
        <f>VLOOKUP(A895,'Materiales '!$C$2:$G$396,3,0)</f>
        <v>4</v>
      </c>
      <c r="C895" s="88">
        <f>VLOOKUP(A895,'Materiales '!$C$2:$G$396,3,0)</f>
        <v>4</v>
      </c>
      <c r="D895" s="89" t="str">
        <f>VLOOKUP(A895,'Materiales '!$C$2:$G$396,4,0)</f>
        <v>Und</v>
      </c>
      <c r="E895" s="90">
        <v>2</v>
      </c>
      <c r="F895" s="508" t="e">
        <f t="shared" si="52"/>
        <v>#VALUE!</v>
      </c>
      <c r="G895" s="519"/>
      <c r="H895" s="111"/>
      <c r="I895">
        <f>E895*G882</f>
        <v>0</v>
      </c>
      <c r="J895" s="58"/>
      <c r="K895" s="50"/>
      <c r="L895" s="50"/>
      <c r="M895" s="50"/>
      <c r="N895" s="50"/>
      <c r="O895" s="50"/>
    </row>
    <row r="896" spans="1:15">
      <c r="A896" s="517" t="s">
        <v>4439</v>
      </c>
      <c r="B896" s="518">
        <f>VLOOKUP(A896,'Materiales '!$C$2:$G$396,3,0)</f>
        <v>2</v>
      </c>
      <c r="C896" s="88">
        <f>VLOOKUP(A896,'Materiales '!$C$2:$G$396,3,0)</f>
        <v>2</v>
      </c>
      <c r="D896" s="89" t="str">
        <f>VLOOKUP(A896,'Materiales '!$C$2:$G$396,4,0)</f>
        <v>Ml</v>
      </c>
      <c r="E896" s="90">
        <v>1</v>
      </c>
      <c r="F896" s="508" t="e">
        <f t="shared" si="52"/>
        <v>#VALUE!</v>
      </c>
      <c r="G896" s="519"/>
      <c r="H896" s="111"/>
      <c r="I896">
        <f>E896*G882</f>
        <v>0</v>
      </c>
      <c r="J896" s="58"/>
      <c r="K896" s="50"/>
      <c r="L896" s="50"/>
      <c r="M896" s="50"/>
      <c r="N896" s="50"/>
      <c r="O896" s="50"/>
    </row>
    <row r="897" spans="1:15">
      <c r="A897" s="517" t="s">
        <v>4482</v>
      </c>
      <c r="B897" s="518">
        <f>VLOOKUP(A897,'Materiales '!$C$2:$G$396,3,0)</f>
        <v>4</v>
      </c>
      <c r="C897" s="88">
        <f>VLOOKUP(A897,'Materiales '!$C$2:$G$396,3,0)</f>
        <v>4</v>
      </c>
      <c r="D897" s="89" t="str">
        <f>VLOOKUP(A897,'Materiales '!$C$2:$G$396,4,0)</f>
        <v>Und</v>
      </c>
      <c r="E897" s="90">
        <v>3</v>
      </c>
      <c r="F897" s="508" t="e">
        <f t="shared" si="52"/>
        <v>#VALUE!</v>
      </c>
      <c r="G897" s="519"/>
      <c r="H897" s="111"/>
      <c r="I897">
        <f>E897*G882</f>
        <v>0</v>
      </c>
      <c r="J897" s="58"/>
      <c r="K897" s="50"/>
      <c r="L897" s="50"/>
      <c r="M897" s="50"/>
      <c r="N897" s="50"/>
      <c r="O897" s="50"/>
    </row>
    <row r="898" spans="1:15" ht="21.75" customHeight="1">
      <c r="A898" s="517" t="s">
        <v>4487</v>
      </c>
      <c r="B898" s="518">
        <f>VLOOKUP(A898,'Materiales '!$C$2:$G$396,3,0)</f>
        <v>4</v>
      </c>
      <c r="C898" s="88">
        <f>VLOOKUP(A898,'Materiales '!$C$2:$G$396,3,0)</f>
        <v>4</v>
      </c>
      <c r="D898" s="89" t="str">
        <f>VLOOKUP(A898,'Materiales '!$C$2:$G$396,4,0)</f>
        <v>Und</v>
      </c>
      <c r="E898" s="90">
        <v>0.5</v>
      </c>
      <c r="F898" s="508" t="e">
        <f t="shared" si="52"/>
        <v>#VALUE!</v>
      </c>
      <c r="G898" s="519"/>
      <c r="H898" s="111"/>
      <c r="I898">
        <f>E898*G882</f>
        <v>0</v>
      </c>
      <c r="J898" s="58"/>
      <c r="K898" s="50"/>
      <c r="L898" s="50"/>
      <c r="M898" s="50"/>
      <c r="N898" s="50"/>
      <c r="O898" s="50"/>
    </row>
    <row r="899" spans="1:15">
      <c r="A899" s="517" t="s">
        <v>8</v>
      </c>
      <c r="B899" s="518">
        <f>VLOOKUP(A899,'Materiales '!$C$2:$G$396,3,0)</f>
        <v>0</v>
      </c>
      <c r="C899" s="88">
        <f>VLOOKUP(A899,'Materiales '!$C$2:$G$396,3,0)</f>
        <v>0</v>
      </c>
      <c r="D899" s="89" t="str">
        <f>VLOOKUP(A899,'Materiales '!$C$2:$G$396,4,0)</f>
        <v>-</v>
      </c>
      <c r="E899" s="90"/>
      <c r="F899" s="508" t="e">
        <f>E899*D899</f>
        <v>#VALUE!</v>
      </c>
      <c r="G899" s="519"/>
      <c r="H899" s="110"/>
      <c r="I899">
        <f>E899*G882</f>
        <v>0</v>
      </c>
      <c r="J899" s="58"/>
      <c r="K899" s="50"/>
      <c r="L899" s="50"/>
      <c r="M899" s="50"/>
      <c r="N899" s="50"/>
      <c r="O899" s="50"/>
    </row>
    <row r="900" spans="1:15">
      <c r="A900" s="517" t="s">
        <v>8</v>
      </c>
      <c r="B900" s="518">
        <f>VLOOKUP(A900,'Materiales '!$C$2:$G$396,3,0)</f>
        <v>0</v>
      </c>
      <c r="C900" s="88">
        <f>VLOOKUP(A900,'Materiales '!$C$2:$G$396,3,0)</f>
        <v>0</v>
      </c>
      <c r="D900" s="89" t="str">
        <f>VLOOKUP(A900,'Materiales '!$C$2:$G$396,4,0)</f>
        <v>-</v>
      </c>
      <c r="E900" s="90"/>
      <c r="F900" s="508" t="e">
        <f t="shared" ref="F900:F903" si="53">E900*D900</f>
        <v>#VALUE!</v>
      </c>
      <c r="G900" s="519"/>
      <c r="H900" s="111"/>
      <c r="I900">
        <f>E900*G882</f>
        <v>0</v>
      </c>
      <c r="J900" s="58"/>
      <c r="K900" s="50"/>
      <c r="L900" s="50"/>
      <c r="M900" s="50"/>
      <c r="N900" s="50"/>
      <c r="O900" s="50"/>
    </row>
    <row r="901" spans="1:15">
      <c r="A901" s="517" t="s">
        <v>8</v>
      </c>
      <c r="B901" s="518">
        <f>VLOOKUP(A901,'Materiales '!$C$2:$G$396,3,0)</f>
        <v>0</v>
      </c>
      <c r="C901" s="88">
        <f>VLOOKUP(A901,'Materiales '!$C$2:$G$396,3,0)</f>
        <v>0</v>
      </c>
      <c r="D901" s="89" t="str">
        <f>VLOOKUP(A901,'Materiales '!$C$2:$G$396,4,0)</f>
        <v>-</v>
      </c>
      <c r="E901" s="90"/>
      <c r="F901" s="508" t="e">
        <f t="shared" si="53"/>
        <v>#VALUE!</v>
      </c>
      <c r="G901" s="519"/>
      <c r="H901" s="111"/>
      <c r="I901">
        <f>E901*G882</f>
        <v>0</v>
      </c>
      <c r="J901" s="58"/>
      <c r="K901" s="50"/>
      <c r="L901" s="50"/>
      <c r="M901" s="50"/>
      <c r="N901" s="50"/>
      <c r="O901" s="50"/>
    </row>
    <row r="902" spans="1:15">
      <c r="A902" s="517" t="s">
        <v>8</v>
      </c>
      <c r="B902" s="518">
        <f>VLOOKUP(A902,'Materiales '!$C$2:$G$396,3,0)</f>
        <v>0</v>
      </c>
      <c r="C902" s="88">
        <f>VLOOKUP(A902,'Materiales '!$C$2:$G$396,3,0)</f>
        <v>0</v>
      </c>
      <c r="D902" s="89" t="str">
        <f>VLOOKUP(A902,'Materiales '!$C$2:$G$396,4,0)</f>
        <v>-</v>
      </c>
      <c r="E902" s="90"/>
      <c r="F902" s="508" t="e">
        <f t="shared" si="53"/>
        <v>#VALUE!</v>
      </c>
      <c r="G902" s="519"/>
      <c r="H902" s="111"/>
      <c r="I902">
        <f>E902*G882</f>
        <v>0</v>
      </c>
      <c r="J902" s="58"/>
      <c r="K902" s="50"/>
      <c r="L902" s="50"/>
      <c r="M902" s="50"/>
      <c r="N902" s="50"/>
      <c r="O902" s="50"/>
    </row>
    <row r="903" spans="1:15">
      <c r="A903" s="517" t="s">
        <v>8</v>
      </c>
      <c r="B903" s="518">
        <f>VLOOKUP(A903,'Materiales '!$C$2:$G$396,3,0)</f>
        <v>0</v>
      </c>
      <c r="C903" s="88">
        <f>VLOOKUP(A903,'Materiales '!$C$2:$G$396,3,0)</f>
        <v>0</v>
      </c>
      <c r="D903" s="89" t="str">
        <f>VLOOKUP(A903,'Materiales '!$C$2:$G$396,4,0)</f>
        <v>-</v>
      </c>
      <c r="E903" s="90"/>
      <c r="F903" s="508" t="e">
        <f t="shared" si="53"/>
        <v>#VALUE!</v>
      </c>
      <c r="G903" s="519"/>
      <c r="H903" s="111"/>
      <c r="I903">
        <f>E903*G882</f>
        <v>0</v>
      </c>
      <c r="J903" s="58"/>
      <c r="K903" s="50"/>
      <c r="L903" s="50"/>
      <c r="M903" s="50"/>
      <c r="N903" s="50"/>
      <c r="O903" s="50"/>
    </row>
    <row r="904" spans="1:15">
      <c r="A904" s="517" t="s">
        <v>8</v>
      </c>
      <c r="B904" s="518">
        <f>VLOOKUP(A904,'Materiales '!$C$2:$G$396,3,0)</f>
        <v>0</v>
      </c>
      <c r="C904" s="88">
        <f>VLOOKUP(A904,'Materiales '!$C$2:$G$396,3,0)</f>
        <v>0</v>
      </c>
      <c r="D904" s="89" t="str">
        <f>VLOOKUP(A904,'Materiales '!$C$2:$G$396,4,0)</f>
        <v>-</v>
      </c>
      <c r="E904" s="90"/>
      <c r="F904" s="508" t="e">
        <f>E904*D904</f>
        <v>#VALUE!</v>
      </c>
      <c r="G904" s="519"/>
      <c r="H904" s="110"/>
      <c r="I904">
        <f>E904*G882</f>
        <v>0</v>
      </c>
      <c r="J904" s="58"/>
      <c r="K904" s="50"/>
      <c r="L904" s="50"/>
      <c r="M904" s="50"/>
      <c r="N904" s="50"/>
      <c r="O904" s="50"/>
    </row>
    <row r="905" spans="1:15">
      <c r="A905" s="520" t="s">
        <v>4098</v>
      </c>
      <c r="B905" s="521"/>
      <c r="C905" s="521"/>
      <c r="D905" s="521"/>
      <c r="E905" s="521"/>
      <c r="F905" s="521"/>
      <c r="G905" s="522"/>
      <c r="H905" s="106" t="e">
        <f>SUM(F891:F904)</f>
        <v>#VALUE!</v>
      </c>
      <c r="J905" s="58"/>
      <c r="K905" s="50"/>
      <c r="L905" s="50"/>
      <c r="M905" s="50"/>
      <c r="N905" s="50"/>
      <c r="O905" s="50"/>
    </row>
    <row r="906" spans="1:15">
      <c r="A906" s="523" t="s">
        <v>4220</v>
      </c>
      <c r="B906" s="524"/>
      <c r="C906" s="524"/>
      <c r="D906" s="524"/>
      <c r="E906" s="525"/>
      <c r="F906" s="524"/>
      <c r="G906" s="524"/>
      <c r="H906" s="526"/>
      <c r="J906" s="58"/>
      <c r="K906" s="50"/>
      <c r="L906" s="50"/>
      <c r="M906" s="50"/>
      <c r="N906" s="50"/>
      <c r="O906" s="50"/>
    </row>
    <row r="907" spans="1:15">
      <c r="A907" s="527" t="s">
        <v>7</v>
      </c>
      <c r="B907" s="528"/>
      <c r="C907" s="98" t="s">
        <v>4221</v>
      </c>
      <c r="D907" s="97" t="s">
        <v>4222</v>
      </c>
      <c r="E907" s="187" t="s">
        <v>4223</v>
      </c>
      <c r="F907" s="529" t="s">
        <v>4207</v>
      </c>
      <c r="G907" s="529"/>
      <c r="H907" s="109"/>
      <c r="K907" s="50"/>
      <c r="L907" s="50"/>
      <c r="M907" s="50"/>
      <c r="N907" s="50"/>
      <c r="O907" s="50"/>
    </row>
    <row r="908" spans="1:15">
      <c r="A908" s="506" t="s">
        <v>3928</v>
      </c>
      <c r="B908" s="507"/>
      <c r="C908" s="213">
        <v>1</v>
      </c>
      <c r="D908" s="92">
        <v>0.03</v>
      </c>
      <c r="E908" s="93" t="str">
        <f>VLOOKUP(A908,'Equip, Herr y Transp'!$B$2:$E$217,3,0)</f>
        <v>TR</v>
      </c>
      <c r="F908" s="530" t="e">
        <f>E908*D908*C908</f>
        <v>#VALUE!</v>
      </c>
      <c r="G908" s="531"/>
      <c r="H908" s="107"/>
      <c r="M908" s="50"/>
    </row>
    <row r="909" spans="1:15">
      <c r="A909" s="532" t="s">
        <v>4205</v>
      </c>
      <c r="B909" s="533"/>
      <c r="C909" s="533"/>
      <c r="D909" s="533"/>
      <c r="E909" s="533"/>
      <c r="F909" s="533"/>
      <c r="G909" s="533"/>
      <c r="H909" s="95" t="e">
        <f>F908</f>
        <v>#VALUE!</v>
      </c>
    </row>
    <row r="910" spans="1:15">
      <c r="A910" s="523" t="s">
        <v>4224</v>
      </c>
      <c r="B910" s="524"/>
      <c r="C910" s="524"/>
      <c r="D910" s="524"/>
      <c r="E910" s="524"/>
      <c r="F910" s="524"/>
      <c r="G910" s="524"/>
      <c r="H910" s="526"/>
    </row>
    <row r="911" spans="1:15">
      <c r="A911" s="527" t="s">
        <v>7</v>
      </c>
      <c r="B911" s="528"/>
      <c r="C911" s="96" t="s">
        <v>1</v>
      </c>
      <c r="D911" s="97" t="s">
        <v>4225</v>
      </c>
      <c r="E911" s="98" t="s">
        <v>4204</v>
      </c>
      <c r="F911" s="527" t="s">
        <v>5</v>
      </c>
      <c r="G911" s="534"/>
      <c r="H911" s="109"/>
    </row>
    <row r="912" spans="1:15">
      <c r="A912" s="506" t="s">
        <v>4191</v>
      </c>
      <c r="B912" s="507"/>
      <c r="C912" s="91">
        <v>1</v>
      </c>
      <c r="D912" s="94">
        <f>VLOOKUP(A912,'Mano Obra'!$B$2:$T$117,19,0)</f>
        <v>152456</v>
      </c>
      <c r="E912" s="218">
        <f>H875</f>
        <v>6.25E-2</v>
      </c>
      <c r="F912" s="508">
        <f>E912*D912*C912</f>
        <v>9528.5</v>
      </c>
      <c r="G912" s="509"/>
      <c r="H912" s="111"/>
      <c r="I912" s="59"/>
      <c r="J912" s="117">
        <f>((('Mano Obra'!$M$4/30)*F912)/D912)*G882</f>
        <v>0</v>
      </c>
    </row>
    <row r="913" spans="1:10">
      <c r="A913" s="510" t="s">
        <v>4192</v>
      </c>
      <c r="B913" s="511">
        <f>VLOOKUP(A913,'Mano Obra'!$B$3:$D$290,2,0)</f>
        <v>1900000</v>
      </c>
      <c r="C913" s="91">
        <v>1</v>
      </c>
      <c r="D913" s="94">
        <f>VLOOKUP(A913,'Mano Obra'!$B$2:$T$117,19,0)</f>
        <v>110488</v>
      </c>
      <c r="E913" s="218">
        <f>H875</f>
        <v>6.25E-2</v>
      </c>
      <c r="F913" s="508">
        <f t="shared" ref="F913:F914" si="54">E913*D913*C913</f>
        <v>6905.5</v>
      </c>
      <c r="G913" s="509"/>
      <c r="H913" s="111"/>
      <c r="J913" s="117">
        <f>((('Mano Obra'!$M$5/30)*F913)/D913)*G882</f>
        <v>0</v>
      </c>
    </row>
    <row r="914" spans="1:10">
      <c r="A914" s="510" t="s">
        <v>4181</v>
      </c>
      <c r="B914" s="511">
        <f>VLOOKUP(A914,'Mano Obra'!$B$3:$D$290,2,0)</f>
        <v>1000000</v>
      </c>
      <c r="C914" s="91">
        <v>1</v>
      </c>
      <c r="D914" s="94">
        <f>VLOOKUP(A914,'Mano Obra'!$B$2:$T$117,19,0)</f>
        <v>67424</v>
      </c>
      <c r="E914" s="218">
        <f>H875</f>
        <v>6.25E-2</v>
      </c>
      <c r="F914" s="508">
        <f t="shared" si="54"/>
        <v>4214</v>
      </c>
      <c r="G914" s="509"/>
      <c r="H914" s="110"/>
      <c r="J914" s="117">
        <f>((('Mano Obra'!$M$6/30)*F914)/D914)*G882</f>
        <v>0</v>
      </c>
    </row>
    <row r="915" spans="1:10">
      <c r="A915" s="512" t="s">
        <v>4100</v>
      </c>
      <c r="B915" s="512"/>
      <c r="C915" s="512"/>
      <c r="D915" s="512"/>
      <c r="E915" s="512"/>
      <c r="F915" s="512"/>
      <c r="G915" s="512"/>
      <c r="H915" s="95">
        <f>SUM(F912:F914)</f>
        <v>20648</v>
      </c>
      <c r="J915" s="117"/>
    </row>
    <row r="916" spans="1:10">
      <c r="A916" s="208" t="s">
        <v>4226</v>
      </c>
      <c r="B916" s="186"/>
      <c r="C916" s="186"/>
      <c r="D916" s="183"/>
      <c r="E916" s="184"/>
      <c r="F916" s="185"/>
      <c r="G916" s="184"/>
      <c r="H916" s="193"/>
    </row>
    <row r="917" spans="1:10">
      <c r="A917" s="513" t="s">
        <v>4213</v>
      </c>
      <c r="B917" s="514"/>
      <c r="C917" s="514"/>
      <c r="D917" s="514"/>
      <c r="E917" s="181"/>
      <c r="F917" s="182" t="s">
        <v>4227</v>
      </c>
      <c r="G917" s="181" t="s">
        <v>4228</v>
      </c>
      <c r="H917" s="194"/>
    </row>
    <row r="918" spans="1:10">
      <c r="A918" s="204" t="s">
        <v>4096</v>
      </c>
      <c r="B918" s="62"/>
      <c r="C918" s="62"/>
      <c r="D918" s="63"/>
      <c r="E918" s="68"/>
      <c r="F918" s="69">
        <v>0</v>
      </c>
      <c r="G918" s="70" t="e">
        <f>F918*H883</f>
        <v>#VALUE!</v>
      </c>
      <c r="H918" s="193"/>
    </row>
    <row r="919" spans="1:10">
      <c r="A919" s="205" t="s">
        <v>4229</v>
      </c>
      <c r="B919" s="71"/>
      <c r="C919" s="71"/>
      <c r="D919" s="72"/>
      <c r="E919" s="68"/>
      <c r="F919" s="69">
        <v>0</v>
      </c>
      <c r="G919" s="70" t="e">
        <f>F919*H883</f>
        <v>#VALUE!</v>
      </c>
      <c r="H919" s="193"/>
    </row>
    <row r="920" spans="1:10">
      <c r="A920" s="205" t="s">
        <v>4</v>
      </c>
      <c r="B920" s="71"/>
      <c r="C920" s="71"/>
      <c r="D920" s="72"/>
      <c r="E920" s="68"/>
      <c r="F920" s="69">
        <v>0</v>
      </c>
      <c r="G920" s="70" t="e">
        <f>F920*H883</f>
        <v>#VALUE!</v>
      </c>
      <c r="H920" s="193"/>
    </row>
    <row r="921" spans="1:10">
      <c r="A921" s="206"/>
      <c r="B921" s="73"/>
      <c r="C921" s="65"/>
      <c r="D921" s="74"/>
      <c r="E921" s="75"/>
      <c r="F921" s="76"/>
      <c r="G921" s="77"/>
      <c r="H921" s="195"/>
    </row>
    <row r="922" spans="1:10">
      <c r="A922" s="207"/>
      <c r="B922" s="73"/>
      <c r="C922" s="73"/>
      <c r="D922" s="74"/>
      <c r="E922" s="78"/>
      <c r="F922" s="515" t="s">
        <v>4230</v>
      </c>
      <c r="G922" s="516"/>
      <c r="H922" s="214" t="e">
        <f>H883+G918+G919+G920</f>
        <v>#VALUE!</v>
      </c>
    </row>
    <row r="923" spans="1:10">
      <c r="A923" s="73"/>
      <c r="B923" s="73"/>
      <c r="C923" s="73"/>
      <c r="D923" s="74"/>
      <c r="E923" s="360"/>
      <c r="F923" s="361"/>
      <c r="G923" s="361"/>
      <c r="H923" s="362"/>
    </row>
    <row r="924" spans="1:10">
      <c r="A924" s="80"/>
      <c r="B924" s="80"/>
      <c r="C924" s="80"/>
      <c r="D924" s="80"/>
      <c r="E924" s="80"/>
      <c r="F924" s="80"/>
      <c r="G924" s="80"/>
      <c r="H924" s="353"/>
    </row>
    <row r="925" spans="1:10">
      <c r="A925" s="537" t="s">
        <v>4214</v>
      </c>
      <c r="B925" s="538"/>
      <c r="C925" s="538"/>
      <c r="D925" s="538"/>
      <c r="E925" s="538"/>
      <c r="F925" s="538"/>
      <c r="G925" s="538"/>
      <c r="H925" s="539"/>
    </row>
    <row r="926" spans="1:10">
      <c r="A926" s="81"/>
      <c r="B926" s="82"/>
      <c r="C926" s="82"/>
      <c r="D926" s="82"/>
      <c r="E926" s="82"/>
      <c r="F926" s="83"/>
      <c r="G926" s="84"/>
      <c r="H926" s="352">
        <f>ROUND((30/60)/8,4)</f>
        <v>6.25E-2</v>
      </c>
      <c r="I926" s="105"/>
    </row>
    <row r="927" spans="1:10">
      <c r="A927" s="540" t="s">
        <v>4209</v>
      </c>
      <c r="B927" s="542" t="str">
        <f>COSTOS!$C$14</f>
        <v>MODERNIZACION A TECNOLOGIA LED</v>
      </c>
      <c r="C927" s="542"/>
      <c r="D927" s="542"/>
      <c r="E927" s="542"/>
      <c r="F927" s="542"/>
      <c r="G927" s="542"/>
      <c r="H927" s="543" t="s">
        <v>4210</v>
      </c>
    </row>
    <row r="928" spans="1:10">
      <c r="A928" s="541"/>
      <c r="B928" s="542"/>
      <c r="C928" s="542"/>
      <c r="D928" s="542"/>
      <c r="E928" s="542"/>
      <c r="F928" s="542"/>
      <c r="G928" s="542"/>
      <c r="H928" s="543"/>
    </row>
    <row r="929" spans="1:15">
      <c r="A929" s="541"/>
      <c r="B929" s="542"/>
      <c r="C929" s="542"/>
      <c r="D929" s="542"/>
      <c r="E929" s="542"/>
      <c r="F929" s="542"/>
      <c r="G929" s="542"/>
      <c r="H929" s="543"/>
    </row>
    <row r="930" spans="1:15" ht="15" customHeight="1">
      <c r="A930" s="541"/>
      <c r="B930" s="542"/>
      <c r="C930" s="542"/>
      <c r="D930" s="542"/>
      <c r="E930" s="542"/>
      <c r="F930" s="542"/>
      <c r="G930" s="542"/>
      <c r="H930" s="197">
        <f ca="1">TODAY()</f>
        <v>44889</v>
      </c>
      <c r="K930" t="s">
        <v>4380</v>
      </c>
      <c r="L930" t="s">
        <v>4381</v>
      </c>
      <c r="M930" t="s">
        <v>4382</v>
      </c>
      <c r="N930" t="s">
        <v>4383</v>
      </c>
    </row>
    <row r="931" spans="1:15" ht="60.75" customHeight="1">
      <c r="A931" s="209" t="s">
        <v>4211</v>
      </c>
      <c r="B931" s="544" t="str">
        <f>COSTOS!$D$16</f>
        <v>Luminarias</v>
      </c>
      <c r="C931" s="544"/>
      <c r="D931" s="544"/>
      <c r="E931" s="544"/>
      <c r="F931" s="544"/>
      <c r="G931" s="60" t="s">
        <v>4212</v>
      </c>
      <c r="H931" s="363">
        <v>1.19</v>
      </c>
      <c r="K931" s="55" t="e">
        <f>H956</f>
        <v>#VALUE!</v>
      </c>
      <c r="L931" s="55">
        <f>H966</f>
        <v>20648</v>
      </c>
      <c r="M931" s="55" t="e">
        <f>H939</f>
        <v>#VALUE!</v>
      </c>
      <c r="N931" s="55" t="e">
        <f>H960</f>
        <v>#VALUE!</v>
      </c>
    </row>
    <row r="932" spans="1:15" ht="43.2" customHeight="1">
      <c r="A932" s="210" t="s">
        <v>4213</v>
      </c>
      <c r="B932" s="545" t="str">
        <f>VLOOKUP(H931,COSTOS!C:M,2,0)</f>
        <v>Reflector Metal Halide 250w</v>
      </c>
      <c r="C932" s="546"/>
      <c r="D932" s="546"/>
      <c r="E932" s="547"/>
      <c r="F932" s="61" t="s">
        <v>0</v>
      </c>
      <c r="G932" s="328" t="str">
        <f>VLOOKUP(H931,COSTOS!C:M,8,0)</f>
        <v>Und</v>
      </c>
      <c r="H932" s="248"/>
      <c r="I932" s="278"/>
      <c r="J932" s="280"/>
      <c r="K932" s="280"/>
      <c r="L932" s="280"/>
    </row>
    <row r="933" spans="1:15">
      <c r="A933" s="211"/>
      <c r="B933" s="102"/>
      <c r="C933" s="102"/>
      <c r="D933" s="102"/>
      <c r="E933" s="103"/>
      <c r="F933" s="104" t="s">
        <v>1</v>
      </c>
      <c r="G933" s="328">
        <f>VLOOKUP(H931,COSTOS!C:M,9,0)</f>
        <v>0</v>
      </c>
      <c r="H933" s="329"/>
      <c r="I933" s="279"/>
    </row>
    <row r="934" spans="1:15">
      <c r="A934" s="212" t="s">
        <v>4215</v>
      </c>
      <c r="B934" s="65"/>
      <c r="C934" s="65"/>
      <c r="D934" s="66"/>
      <c r="E934" s="190"/>
      <c r="F934" s="191"/>
      <c r="G934" s="192" t="s">
        <v>4216</v>
      </c>
      <c r="H934" s="198" t="e">
        <f>H939+H956+H960+H966</f>
        <v>#VALUE!</v>
      </c>
    </row>
    <row r="935" spans="1:15" ht="41.4">
      <c r="A935" s="548" t="s">
        <v>4213</v>
      </c>
      <c r="B935" s="548"/>
      <c r="C935" s="548"/>
      <c r="D935" s="67" t="s">
        <v>0</v>
      </c>
      <c r="E935" s="188" t="s">
        <v>4217</v>
      </c>
      <c r="F935" s="189" t="s">
        <v>4204</v>
      </c>
      <c r="G935" s="64" t="s">
        <v>2</v>
      </c>
      <c r="H935" s="199" t="s">
        <v>4218</v>
      </c>
      <c r="K935" s="281"/>
    </row>
    <row r="936" spans="1:15">
      <c r="A936" s="517" t="s">
        <v>3946</v>
      </c>
      <c r="B936" s="549">
        <f>VLOOKUP(A936,'Equip, Herr y Transp'!$B$2:$E$738,2,0)</f>
        <v>2</v>
      </c>
      <c r="C936" s="549"/>
      <c r="D936" s="85">
        <f>VLOOKUP(A936,'Equip, Herr y Transp'!$B$2:$E$217,2,0)</f>
        <v>2</v>
      </c>
      <c r="E936" s="85" t="str">
        <f>VLOOKUP(A936,'Equip, Herr y Transp'!$B$2:$E$217,3,0)</f>
        <v>EQU</v>
      </c>
      <c r="F936" s="86">
        <f>H926</f>
        <v>6.25E-2</v>
      </c>
      <c r="G936" s="112" t="e">
        <f>F936*E936</f>
        <v>#VALUE!</v>
      </c>
      <c r="H936" s="108"/>
    </row>
    <row r="937" spans="1:15">
      <c r="A937" s="517" t="s">
        <v>3904</v>
      </c>
      <c r="B937" s="549">
        <f>VLOOKUP(A937,'Equip, Herr y Transp'!$B$2:$E$738,2,0)</f>
        <v>2</v>
      </c>
      <c r="C937" s="549"/>
      <c r="D937" s="85">
        <f>VLOOKUP(A937,'Equip, Herr y Transp'!$B$2:$E$217,2,0)</f>
        <v>2</v>
      </c>
      <c r="E937" s="85" t="str">
        <f>VLOOKUP(A937,'Equip, Herr y Transp'!$B$2:$E$217,3,0)</f>
        <v>EQU</v>
      </c>
      <c r="F937" s="86">
        <f>H926</f>
        <v>6.25E-2</v>
      </c>
      <c r="G937" s="112" t="e">
        <f>F937*E937</f>
        <v>#VALUE!</v>
      </c>
      <c r="H937" s="107"/>
    </row>
    <row r="938" spans="1:15">
      <c r="A938" s="517" t="s">
        <v>3937</v>
      </c>
      <c r="B938" s="549">
        <f>VLOOKUP(A938,'Equip, Herr y Transp'!$B$2:$E$738,2,0)</f>
        <v>2</v>
      </c>
      <c r="C938" s="549"/>
      <c r="D938" s="85">
        <f>VLOOKUP(A938,'Equip, Herr y Transp'!$B$2:$E$217,2,0)</f>
        <v>2</v>
      </c>
      <c r="E938" s="85" t="str">
        <f>VLOOKUP(A938,'Equip, Herr y Transp'!$B$2:$E$217,3,0)</f>
        <v>EQU</v>
      </c>
      <c r="F938" s="86">
        <f>H926</f>
        <v>6.25E-2</v>
      </c>
      <c r="G938" s="112" t="e">
        <f>F938*E938</f>
        <v>#VALUE!</v>
      </c>
      <c r="H938" s="107"/>
    </row>
    <row r="939" spans="1:15">
      <c r="A939" s="520" t="s">
        <v>4099</v>
      </c>
      <c r="B939" s="521"/>
      <c r="C939" s="521"/>
      <c r="D939" s="521"/>
      <c r="E939" s="521"/>
      <c r="F939" s="521"/>
      <c r="G939" s="521"/>
      <c r="H939" s="87" t="e">
        <f>SUM(G936:G938)</f>
        <v>#VALUE!</v>
      </c>
    </row>
    <row r="940" spans="1:15">
      <c r="A940" s="550" t="s">
        <v>4219</v>
      </c>
      <c r="B940" s="551"/>
      <c r="C940" s="551"/>
      <c r="D940" s="551"/>
      <c r="E940" s="551"/>
      <c r="F940" s="551"/>
      <c r="G940" s="551"/>
      <c r="H940" s="552"/>
      <c r="K940" s="50"/>
      <c r="L940" s="50"/>
      <c r="M940" s="50"/>
      <c r="N940" s="50"/>
      <c r="O940" s="50"/>
    </row>
    <row r="941" spans="1:15" ht="30" customHeight="1">
      <c r="A941" s="553" t="s">
        <v>7</v>
      </c>
      <c r="B941" s="554"/>
      <c r="C941" s="99" t="s">
        <v>0</v>
      </c>
      <c r="D941" s="100" t="s">
        <v>4097</v>
      </c>
      <c r="E941" s="101" t="s">
        <v>1</v>
      </c>
      <c r="F941" s="555" t="s">
        <v>4207</v>
      </c>
      <c r="G941" s="555"/>
      <c r="H941" s="196"/>
      <c r="K941" s="50"/>
      <c r="L941" s="50"/>
      <c r="M941" s="50"/>
      <c r="N941" s="50"/>
      <c r="O941" s="50"/>
    </row>
    <row r="942" spans="1:15">
      <c r="A942" s="535" t="s">
        <v>4660</v>
      </c>
      <c r="B942" s="536"/>
      <c r="C942" s="88">
        <f>VLOOKUP(A942,'Materiales '!$C$2:$G$396,3,0)</f>
        <v>4</v>
      </c>
      <c r="D942" s="89" t="str">
        <f>VLOOKUP(A942,'Materiales '!$C$2:$G$396,4,0)</f>
        <v>Und</v>
      </c>
      <c r="E942" s="90">
        <v>1</v>
      </c>
      <c r="F942" s="508" t="e">
        <f>E942*D942</f>
        <v>#VALUE!</v>
      </c>
      <c r="G942" s="519"/>
      <c r="H942" s="111"/>
      <c r="I942">
        <f>E942*G933</f>
        <v>0</v>
      </c>
      <c r="J942" s="57"/>
      <c r="K942" s="50"/>
      <c r="L942" s="50"/>
      <c r="M942" s="50"/>
      <c r="N942" s="50"/>
      <c r="O942" s="50"/>
    </row>
    <row r="943" spans="1:15">
      <c r="A943" s="535" t="s">
        <v>4203</v>
      </c>
      <c r="B943" s="536"/>
      <c r="C943" s="88">
        <f>VLOOKUP(A943,'Materiales '!$C$2:$G$396,3,0)</f>
        <v>4</v>
      </c>
      <c r="D943" s="89" t="str">
        <f>VLOOKUP(A943,'Materiales '!$C$2:$G$396,4,0)</f>
        <v>Und</v>
      </c>
      <c r="E943" s="90">
        <v>1</v>
      </c>
      <c r="F943" s="508" t="e">
        <f t="shared" ref="F943:F949" si="55">E943*D943</f>
        <v>#VALUE!</v>
      </c>
      <c r="G943" s="519"/>
      <c r="H943" s="111"/>
      <c r="I943">
        <f>E943*G933</f>
        <v>0</v>
      </c>
      <c r="J943" s="57"/>
      <c r="K943" s="50"/>
      <c r="L943" s="50"/>
      <c r="M943" s="50"/>
      <c r="N943" s="50"/>
      <c r="O943" s="50"/>
    </row>
    <row r="944" spans="1:15">
      <c r="A944" s="517" t="s">
        <v>4473</v>
      </c>
      <c r="B944" s="518">
        <f>VLOOKUP(A944,'Materiales '!$C$2:$G$396,3,0)</f>
        <v>4</v>
      </c>
      <c r="C944" s="88">
        <f>VLOOKUP(A944,'Materiales '!$C$2:$G$396,3,0)</f>
        <v>4</v>
      </c>
      <c r="D944" s="89" t="str">
        <f>VLOOKUP(A944,'Materiales '!$C$2:$G$396,4,0)</f>
        <v>Und</v>
      </c>
      <c r="E944" s="90">
        <v>2</v>
      </c>
      <c r="F944" s="508" t="e">
        <f t="shared" si="55"/>
        <v>#VALUE!</v>
      </c>
      <c r="G944" s="519"/>
      <c r="H944" s="111"/>
      <c r="I944">
        <f>E944*G933</f>
        <v>0</v>
      </c>
      <c r="J944" s="58"/>
      <c r="K944" s="50"/>
      <c r="L944" s="50"/>
      <c r="M944" s="50"/>
      <c r="N944" s="50"/>
      <c r="O944" s="50"/>
    </row>
    <row r="945" spans="1:15">
      <c r="A945" s="517" t="s">
        <v>4478</v>
      </c>
      <c r="B945" s="518">
        <f>VLOOKUP(A945,'Materiales '!$C$2:$G$396,3,0)</f>
        <v>4</v>
      </c>
      <c r="C945" s="88">
        <f>VLOOKUP(A945,'Materiales '!$C$2:$G$396,3,0)</f>
        <v>4</v>
      </c>
      <c r="D945" s="89" t="str">
        <f>VLOOKUP(A945,'Materiales '!$C$2:$G$396,4,0)</f>
        <v>Und</v>
      </c>
      <c r="E945" s="90">
        <v>3</v>
      </c>
      <c r="F945" s="508" t="e">
        <f t="shared" si="55"/>
        <v>#VALUE!</v>
      </c>
      <c r="G945" s="519"/>
      <c r="H945" s="111"/>
      <c r="I945">
        <f>E945*G933</f>
        <v>0</v>
      </c>
      <c r="J945" s="58"/>
      <c r="K945" s="50"/>
      <c r="L945" s="50"/>
      <c r="M945" s="50"/>
      <c r="N945" s="50"/>
      <c r="O945" s="50"/>
    </row>
    <row r="946" spans="1:15">
      <c r="A946" s="517" t="s">
        <v>4543</v>
      </c>
      <c r="B946" s="518">
        <f>VLOOKUP(A946,'Materiales '!$C$2:$G$396,3,0)</f>
        <v>4</v>
      </c>
      <c r="C946" s="88">
        <f>VLOOKUP(A946,'Materiales '!$C$2:$G$396,3,0)</f>
        <v>4</v>
      </c>
      <c r="D946" s="89" t="str">
        <f>VLOOKUP(A946,'Materiales '!$C$2:$G$396,4,0)</f>
        <v>Und</v>
      </c>
      <c r="E946" s="90">
        <v>2</v>
      </c>
      <c r="F946" s="508" t="e">
        <f t="shared" si="55"/>
        <v>#VALUE!</v>
      </c>
      <c r="G946" s="519"/>
      <c r="H946" s="111"/>
      <c r="I946">
        <f>E946*G933</f>
        <v>0</v>
      </c>
      <c r="J946" s="58"/>
      <c r="K946" s="50"/>
      <c r="L946" s="50"/>
      <c r="M946" s="50"/>
      <c r="N946" s="50"/>
      <c r="O946" s="50"/>
    </row>
    <row r="947" spans="1:15">
      <c r="A947" s="517" t="s">
        <v>4439</v>
      </c>
      <c r="B947" s="518">
        <f>VLOOKUP(A947,'Materiales '!$C$2:$G$396,3,0)</f>
        <v>2</v>
      </c>
      <c r="C947" s="88">
        <f>VLOOKUP(A947,'Materiales '!$C$2:$G$396,3,0)</f>
        <v>2</v>
      </c>
      <c r="D947" s="89" t="str">
        <f>VLOOKUP(A947,'Materiales '!$C$2:$G$396,4,0)</f>
        <v>Ml</v>
      </c>
      <c r="E947" s="90">
        <v>1</v>
      </c>
      <c r="F947" s="508" t="e">
        <f t="shared" si="55"/>
        <v>#VALUE!</v>
      </c>
      <c r="G947" s="519"/>
      <c r="H947" s="111"/>
      <c r="I947">
        <f>E947*G933</f>
        <v>0</v>
      </c>
      <c r="J947" s="58"/>
      <c r="K947" s="50"/>
      <c r="L947" s="50"/>
      <c r="M947" s="50"/>
      <c r="N947" s="50"/>
      <c r="O947" s="50"/>
    </row>
    <row r="948" spans="1:15">
      <c r="A948" s="517" t="s">
        <v>4482</v>
      </c>
      <c r="B948" s="518">
        <f>VLOOKUP(A948,'Materiales '!$C$2:$G$396,3,0)</f>
        <v>4</v>
      </c>
      <c r="C948" s="88">
        <f>VLOOKUP(A948,'Materiales '!$C$2:$G$396,3,0)</f>
        <v>4</v>
      </c>
      <c r="D948" s="89" t="str">
        <f>VLOOKUP(A948,'Materiales '!$C$2:$G$396,4,0)</f>
        <v>Und</v>
      </c>
      <c r="E948" s="90">
        <v>3</v>
      </c>
      <c r="F948" s="508" t="e">
        <f t="shared" si="55"/>
        <v>#VALUE!</v>
      </c>
      <c r="G948" s="519"/>
      <c r="H948" s="111"/>
      <c r="I948">
        <f>E948*G933</f>
        <v>0</v>
      </c>
      <c r="J948" s="58"/>
      <c r="K948" s="50"/>
      <c r="L948" s="50"/>
      <c r="M948" s="50"/>
      <c r="N948" s="50"/>
      <c r="O948" s="50"/>
    </row>
    <row r="949" spans="1:15" ht="21.75" customHeight="1">
      <c r="A949" s="517" t="s">
        <v>4487</v>
      </c>
      <c r="B949" s="518">
        <f>VLOOKUP(A949,'Materiales '!$C$2:$G$396,3,0)</f>
        <v>4</v>
      </c>
      <c r="C949" s="88">
        <f>VLOOKUP(A949,'Materiales '!$C$2:$G$396,3,0)</f>
        <v>4</v>
      </c>
      <c r="D949" s="89" t="str">
        <f>VLOOKUP(A949,'Materiales '!$C$2:$G$396,4,0)</f>
        <v>Und</v>
      </c>
      <c r="E949" s="90">
        <v>0.5</v>
      </c>
      <c r="F949" s="508" t="e">
        <f t="shared" si="55"/>
        <v>#VALUE!</v>
      </c>
      <c r="G949" s="519"/>
      <c r="H949" s="111"/>
      <c r="I949">
        <f>E949*G933</f>
        <v>0</v>
      </c>
      <c r="J949" s="58"/>
      <c r="K949" s="50"/>
      <c r="L949" s="50"/>
      <c r="M949" s="50"/>
      <c r="N949" s="50"/>
      <c r="O949" s="50"/>
    </row>
    <row r="950" spans="1:15">
      <c r="A950" s="517" t="s">
        <v>8</v>
      </c>
      <c r="B950" s="518">
        <f>VLOOKUP(A950,'Materiales '!$C$2:$G$396,3,0)</f>
        <v>0</v>
      </c>
      <c r="C950" s="88">
        <f>VLOOKUP(A950,'Materiales '!$C$2:$G$396,3,0)</f>
        <v>0</v>
      </c>
      <c r="D950" s="89" t="str">
        <f>VLOOKUP(A950,'Materiales '!$C$2:$G$396,4,0)</f>
        <v>-</v>
      </c>
      <c r="E950" s="90"/>
      <c r="F950" s="508" t="e">
        <f>E950*D950</f>
        <v>#VALUE!</v>
      </c>
      <c r="G950" s="519"/>
      <c r="H950" s="110"/>
      <c r="I950">
        <f>E950*G933</f>
        <v>0</v>
      </c>
      <c r="J950" s="58"/>
      <c r="K950" s="50"/>
      <c r="L950" s="50"/>
      <c r="M950" s="50"/>
      <c r="N950" s="50"/>
      <c r="O950" s="50"/>
    </row>
    <row r="951" spans="1:15">
      <c r="A951" s="517" t="s">
        <v>8</v>
      </c>
      <c r="B951" s="518">
        <f>VLOOKUP(A951,'Materiales '!$C$2:$G$396,3,0)</f>
        <v>0</v>
      </c>
      <c r="C951" s="88">
        <f>VLOOKUP(A951,'Materiales '!$C$2:$G$396,3,0)</f>
        <v>0</v>
      </c>
      <c r="D951" s="89" t="str">
        <f>VLOOKUP(A951,'Materiales '!$C$2:$G$396,4,0)</f>
        <v>-</v>
      </c>
      <c r="E951" s="90"/>
      <c r="F951" s="508" t="e">
        <f t="shared" ref="F951:F954" si="56">E951*D951</f>
        <v>#VALUE!</v>
      </c>
      <c r="G951" s="519"/>
      <c r="H951" s="111"/>
      <c r="I951">
        <f>E951*G933</f>
        <v>0</v>
      </c>
      <c r="J951" s="58"/>
      <c r="K951" s="50"/>
      <c r="L951" s="50"/>
      <c r="M951" s="50"/>
      <c r="N951" s="50"/>
      <c r="O951" s="50"/>
    </row>
    <row r="952" spans="1:15">
      <c r="A952" s="517" t="s">
        <v>8</v>
      </c>
      <c r="B952" s="518">
        <f>VLOOKUP(A952,'Materiales '!$C$2:$G$396,3,0)</f>
        <v>0</v>
      </c>
      <c r="C952" s="88">
        <f>VLOOKUP(A952,'Materiales '!$C$2:$G$396,3,0)</f>
        <v>0</v>
      </c>
      <c r="D952" s="89" t="str">
        <f>VLOOKUP(A952,'Materiales '!$C$2:$G$396,4,0)</f>
        <v>-</v>
      </c>
      <c r="E952" s="90"/>
      <c r="F952" s="508" t="e">
        <f t="shared" si="56"/>
        <v>#VALUE!</v>
      </c>
      <c r="G952" s="519"/>
      <c r="H952" s="111"/>
      <c r="I952">
        <f>E952*G933</f>
        <v>0</v>
      </c>
      <c r="J952" s="58"/>
      <c r="K952" s="50"/>
      <c r="L952" s="50"/>
      <c r="M952" s="50"/>
      <c r="N952" s="50"/>
      <c r="O952" s="50"/>
    </row>
    <row r="953" spans="1:15">
      <c r="A953" s="517" t="s">
        <v>8</v>
      </c>
      <c r="B953" s="518">
        <f>VLOOKUP(A953,'Materiales '!$C$2:$G$396,3,0)</f>
        <v>0</v>
      </c>
      <c r="C953" s="88">
        <f>VLOOKUP(A953,'Materiales '!$C$2:$G$396,3,0)</f>
        <v>0</v>
      </c>
      <c r="D953" s="89" t="str">
        <f>VLOOKUP(A953,'Materiales '!$C$2:$G$396,4,0)</f>
        <v>-</v>
      </c>
      <c r="E953" s="90"/>
      <c r="F953" s="508" t="e">
        <f t="shared" si="56"/>
        <v>#VALUE!</v>
      </c>
      <c r="G953" s="519"/>
      <c r="H953" s="111"/>
      <c r="I953">
        <f>E953*G933</f>
        <v>0</v>
      </c>
      <c r="J953" s="58"/>
      <c r="K953" s="50"/>
      <c r="L953" s="50"/>
      <c r="M953" s="50"/>
      <c r="N953" s="50"/>
      <c r="O953" s="50"/>
    </row>
    <row r="954" spans="1:15">
      <c r="A954" s="517" t="s">
        <v>8</v>
      </c>
      <c r="B954" s="518">
        <f>VLOOKUP(A954,'Materiales '!$C$2:$G$396,3,0)</f>
        <v>0</v>
      </c>
      <c r="C954" s="88">
        <f>VLOOKUP(A954,'Materiales '!$C$2:$G$396,3,0)</f>
        <v>0</v>
      </c>
      <c r="D954" s="89" t="str">
        <f>VLOOKUP(A954,'Materiales '!$C$2:$G$396,4,0)</f>
        <v>-</v>
      </c>
      <c r="E954" s="90"/>
      <c r="F954" s="508" t="e">
        <f t="shared" si="56"/>
        <v>#VALUE!</v>
      </c>
      <c r="G954" s="519"/>
      <c r="H954" s="111"/>
      <c r="I954">
        <f>E954*G933</f>
        <v>0</v>
      </c>
      <c r="J954" s="58"/>
      <c r="K954" s="50"/>
      <c r="L954" s="50"/>
      <c r="M954" s="50"/>
      <c r="N954" s="50"/>
      <c r="O954" s="50"/>
    </row>
    <row r="955" spans="1:15">
      <c r="A955" s="517" t="s">
        <v>8</v>
      </c>
      <c r="B955" s="518">
        <f>VLOOKUP(A955,'Materiales '!$C$2:$G$396,3,0)</f>
        <v>0</v>
      </c>
      <c r="C955" s="88">
        <f>VLOOKUP(A955,'Materiales '!$C$2:$G$396,3,0)</f>
        <v>0</v>
      </c>
      <c r="D955" s="89" t="str">
        <f>VLOOKUP(A955,'Materiales '!$C$2:$G$396,4,0)</f>
        <v>-</v>
      </c>
      <c r="E955" s="90"/>
      <c r="F955" s="508" t="e">
        <f>E955*D955</f>
        <v>#VALUE!</v>
      </c>
      <c r="G955" s="519"/>
      <c r="H955" s="110"/>
      <c r="I955">
        <f>E955*G933</f>
        <v>0</v>
      </c>
      <c r="J955" s="58"/>
      <c r="K955" s="50"/>
      <c r="L955" s="50"/>
      <c r="M955" s="50"/>
      <c r="N955" s="50"/>
      <c r="O955" s="50"/>
    </row>
    <row r="956" spans="1:15">
      <c r="A956" s="520" t="s">
        <v>4098</v>
      </c>
      <c r="B956" s="521"/>
      <c r="C956" s="521"/>
      <c r="D956" s="521"/>
      <c r="E956" s="521"/>
      <c r="F956" s="521"/>
      <c r="G956" s="522"/>
      <c r="H956" s="106" t="e">
        <f>SUM(F942:F955)</f>
        <v>#VALUE!</v>
      </c>
      <c r="J956" s="58"/>
      <c r="K956" s="50"/>
      <c r="L956" s="50"/>
      <c r="M956" s="50"/>
      <c r="N956" s="50"/>
      <c r="O956" s="50"/>
    </row>
    <row r="957" spans="1:15">
      <c r="A957" s="523" t="s">
        <v>4220</v>
      </c>
      <c r="B957" s="524"/>
      <c r="C957" s="524"/>
      <c r="D957" s="524"/>
      <c r="E957" s="525"/>
      <c r="F957" s="524"/>
      <c r="G957" s="524"/>
      <c r="H957" s="526"/>
      <c r="J957" s="58"/>
      <c r="K957" s="50"/>
      <c r="L957" s="50"/>
      <c r="M957" s="50"/>
      <c r="N957" s="50"/>
      <c r="O957" s="50"/>
    </row>
    <row r="958" spans="1:15">
      <c r="A958" s="527" t="s">
        <v>7</v>
      </c>
      <c r="B958" s="528"/>
      <c r="C958" s="98" t="s">
        <v>4221</v>
      </c>
      <c r="D958" s="97" t="s">
        <v>4222</v>
      </c>
      <c r="E958" s="187" t="s">
        <v>4223</v>
      </c>
      <c r="F958" s="529" t="s">
        <v>4207</v>
      </c>
      <c r="G958" s="529"/>
      <c r="H958" s="109"/>
      <c r="K958" s="50"/>
      <c r="L958" s="50"/>
      <c r="M958" s="50"/>
      <c r="N958" s="50"/>
      <c r="O958" s="50"/>
    </row>
    <row r="959" spans="1:15">
      <c r="A959" s="506" t="s">
        <v>3928</v>
      </c>
      <c r="B959" s="507"/>
      <c r="C959" s="213">
        <v>1</v>
      </c>
      <c r="D959" s="92">
        <v>0.03</v>
      </c>
      <c r="E959" s="93" t="str">
        <f>VLOOKUP(A959,'Equip, Herr y Transp'!$B$2:$E$217,3,0)</f>
        <v>TR</v>
      </c>
      <c r="F959" s="530" t="e">
        <f>E959*D959*C959</f>
        <v>#VALUE!</v>
      </c>
      <c r="G959" s="531"/>
      <c r="H959" s="107"/>
      <c r="M959" s="50"/>
    </row>
    <row r="960" spans="1:15">
      <c r="A960" s="532" t="s">
        <v>4205</v>
      </c>
      <c r="B960" s="533"/>
      <c r="C960" s="533"/>
      <c r="D960" s="533"/>
      <c r="E960" s="533"/>
      <c r="F960" s="533"/>
      <c r="G960" s="533"/>
      <c r="H960" s="95" t="e">
        <f>F959</f>
        <v>#VALUE!</v>
      </c>
    </row>
    <row r="961" spans="1:10">
      <c r="A961" s="523" t="s">
        <v>4224</v>
      </c>
      <c r="B961" s="524"/>
      <c r="C961" s="524"/>
      <c r="D961" s="524"/>
      <c r="E961" s="524"/>
      <c r="F961" s="524"/>
      <c r="G961" s="524"/>
      <c r="H961" s="526"/>
    </row>
    <row r="962" spans="1:10">
      <c r="A962" s="527" t="s">
        <v>7</v>
      </c>
      <c r="B962" s="528"/>
      <c r="C962" s="96" t="s">
        <v>1</v>
      </c>
      <c r="D962" s="97" t="s">
        <v>4225</v>
      </c>
      <c r="E962" s="98" t="s">
        <v>4204</v>
      </c>
      <c r="F962" s="527" t="s">
        <v>5</v>
      </c>
      <c r="G962" s="534"/>
      <c r="H962" s="109"/>
    </row>
    <row r="963" spans="1:10">
      <c r="A963" s="506" t="s">
        <v>4191</v>
      </c>
      <c r="B963" s="507"/>
      <c r="C963" s="91">
        <v>1</v>
      </c>
      <c r="D963" s="94">
        <f>VLOOKUP(A963,'Mano Obra'!$B$2:$T$117,19,0)</f>
        <v>152456</v>
      </c>
      <c r="E963" s="218">
        <f>H926</f>
        <v>6.25E-2</v>
      </c>
      <c r="F963" s="508">
        <f>E963*D963*C963</f>
        <v>9528.5</v>
      </c>
      <c r="G963" s="509"/>
      <c r="H963" s="111"/>
      <c r="I963" s="59"/>
      <c r="J963" s="117">
        <f>((('Mano Obra'!$M$4/30)*F963)/D963)*G933</f>
        <v>0</v>
      </c>
    </row>
    <row r="964" spans="1:10">
      <c r="A964" s="510" t="s">
        <v>4192</v>
      </c>
      <c r="B964" s="511">
        <f>VLOOKUP(A964,'Mano Obra'!$B$3:$D$290,2,0)</f>
        <v>1900000</v>
      </c>
      <c r="C964" s="91">
        <v>1</v>
      </c>
      <c r="D964" s="94">
        <f>VLOOKUP(A964,'Mano Obra'!$B$2:$T$117,19,0)</f>
        <v>110488</v>
      </c>
      <c r="E964" s="218">
        <f>H926</f>
        <v>6.25E-2</v>
      </c>
      <c r="F964" s="508">
        <f t="shared" ref="F964:F965" si="57">E964*D964*C964</f>
        <v>6905.5</v>
      </c>
      <c r="G964" s="509"/>
      <c r="H964" s="111"/>
      <c r="J964" s="117">
        <f>((('Mano Obra'!$M$5/30)*F964)/D964)*G933</f>
        <v>0</v>
      </c>
    </row>
    <row r="965" spans="1:10">
      <c r="A965" s="510" t="s">
        <v>4181</v>
      </c>
      <c r="B965" s="511">
        <f>VLOOKUP(A965,'Mano Obra'!$B$3:$D$290,2,0)</f>
        <v>1000000</v>
      </c>
      <c r="C965" s="91">
        <v>1</v>
      </c>
      <c r="D965" s="94">
        <f>VLOOKUP(A965,'Mano Obra'!$B$2:$T$117,19,0)</f>
        <v>67424</v>
      </c>
      <c r="E965" s="218">
        <f>H926</f>
        <v>6.25E-2</v>
      </c>
      <c r="F965" s="508">
        <f t="shared" si="57"/>
        <v>4214</v>
      </c>
      <c r="G965" s="509"/>
      <c r="H965" s="110"/>
      <c r="J965" s="117">
        <f>((('Mano Obra'!$M$6/30)*F965)/D965)*G933</f>
        <v>0</v>
      </c>
    </row>
    <row r="966" spans="1:10">
      <c r="A966" s="512" t="s">
        <v>4100</v>
      </c>
      <c r="B966" s="512"/>
      <c r="C966" s="512"/>
      <c r="D966" s="512"/>
      <c r="E966" s="512"/>
      <c r="F966" s="512"/>
      <c r="G966" s="512"/>
      <c r="H966" s="95">
        <f>SUM(F963:F965)</f>
        <v>20648</v>
      </c>
      <c r="J966" s="117"/>
    </row>
    <row r="967" spans="1:10">
      <c r="A967" s="208" t="s">
        <v>4226</v>
      </c>
      <c r="B967" s="186"/>
      <c r="C967" s="186"/>
      <c r="D967" s="183"/>
      <c r="E967" s="184"/>
      <c r="F967" s="185"/>
      <c r="G967" s="184"/>
      <c r="H967" s="193"/>
    </row>
    <row r="968" spans="1:10">
      <c r="A968" s="513" t="s">
        <v>4213</v>
      </c>
      <c r="B968" s="514"/>
      <c r="C968" s="514"/>
      <c r="D968" s="514"/>
      <c r="E968" s="181"/>
      <c r="F968" s="182" t="s">
        <v>4227</v>
      </c>
      <c r="G968" s="181" t="s">
        <v>4228</v>
      </c>
      <c r="H968" s="194"/>
    </row>
    <row r="969" spans="1:10">
      <c r="A969" s="204" t="s">
        <v>4096</v>
      </c>
      <c r="B969" s="62"/>
      <c r="C969" s="62"/>
      <c r="D969" s="63"/>
      <c r="E969" s="68"/>
      <c r="F969" s="69">
        <v>0</v>
      </c>
      <c r="G969" s="70" t="e">
        <f>F969*H934</f>
        <v>#VALUE!</v>
      </c>
      <c r="H969" s="193"/>
    </row>
    <row r="970" spans="1:10">
      <c r="A970" s="205" t="s">
        <v>4229</v>
      </c>
      <c r="B970" s="71"/>
      <c r="C970" s="71"/>
      <c r="D970" s="72"/>
      <c r="E970" s="68"/>
      <c r="F970" s="69">
        <v>0</v>
      </c>
      <c r="G970" s="70" t="e">
        <f>F970*H934</f>
        <v>#VALUE!</v>
      </c>
      <c r="H970" s="193"/>
    </row>
    <row r="971" spans="1:10">
      <c r="A971" s="205" t="s">
        <v>4</v>
      </c>
      <c r="B971" s="71"/>
      <c r="C971" s="71"/>
      <c r="D971" s="72"/>
      <c r="E971" s="68"/>
      <c r="F971" s="69">
        <v>0</v>
      </c>
      <c r="G971" s="70" t="e">
        <f>F971*H934</f>
        <v>#VALUE!</v>
      </c>
      <c r="H971" s="193"/>
    </row>
    <row r="972" spans="1:10">
      <c r="A972" s="206"/>
      <c r="B972" s="73"/>
      <c r="C972" s="65"/>
      <c r="D972" s="74"/>
      <c r="E972" s="75"/>
      <c r="F972" s="76"/>
      <c r="G972" s="77"/>
      <c r="H972" s="195"/>
    </row>
    <row r="973" spans="1:10">
      <c r="A973" s="207"/>
      <c r="B973" s="73"/>
      <c r="C973" s="73"/>
      <c r="D973" s="74"/>
      <c r="E973" s="78"/>
      <c r="F973" s="515" t="s">
        <v>4230</v>
      </c>
      <c r="G973" s="516"/>
      <c r="H973" s="214" t="e">
        <f>H934+G969+G970+G971</f>
        <v>#VALUE!</v>
      </c>
    </row>
    <row r="974" spans="1:10" ht="15.75" customHeight="1">
      <c r="A974" s="73"/>
      <c r="B974" s="73"/>
      <c r="C974" s="73"/>
      <c r="D974" s="74"/>
      <c r="E974" s="360"/>
      <c r="F974" s="361"/>
      <c r="G974" s="361"/>
      <c r="H974" s="362"/>
    </row>
    <row r="975" spans="1:10">
      <c r="A975" s="80"/>
      <c r="B975" s="80"/>
      <c r="C975" s="80"/>
      <c r="D975" s="80"/>
      <c r="E975" s="80"/>
      <c r="F975" s="80"/>
      <c r="G975" s="80"/>
      <c r="H975" s="353"/>
    </row>
    <row r="976" spans="1:10">
      <c r="A976" s="537" t="s">
        <v>4214</v>
      </c>
      <c r="B976" s="538"/>
      <c r="C976" s="538"/>
      <c r="D976" s="538"/>
      <c r="E976" s="538"/>
      <c r="F976" s="538"/>
      <c r="G976" s="538"/>
      <c r="H976" s="539"/>
    </row>
    <row r="977" spans="1:15">
      <c r="A977" s="81"/>
      <c r="B977" s="82"/>
      <c r="C977" s="82"/>
      <c r="D977" s="82"/>
      <c r="E977" s="82"/>
      <c r="F977" s="83"/>
      <c r="G977" s="84"/>
      <c r="H977" s="352">
        <f>ROUND((30/60)/8,4)</f>
        <v>6.25E-2</v>
      </c>
      <c r="I977" s="105"/>
    </row>
    <row r="978" spans="1:15">
      <c r="A978" s="540" t="s">
        <v>4209</v>
      </c>
      <c r="B978" s="542" t="str">
        <f>COSTOS!$C$14</f>
        <v>MODERNIZACION A TECNOLOGIA LED</v>
      </c>
      <c r="C978" s="542"/>
      <c r="D978" s="542"/>
      <c r="E978" s="542"/>
      <c r="F978" s="542"/>
      <c r="G978" s="542"/>
      <c r="H978" s="543" t="s">
        <v>4210</v>
      </c>
    </row>
    <row r="979" spans="1:15">
      <c r="A979" s="541"/>
      <c r="B979" s="542"/>
      <c r="C979" s="542"/>
      <c r="D979" s="542"/>
      <c r="E979" s="542"/>
      <c r="F979" s="542"/>
      <c r="G979" s="542"/>
      <c r="H979" s="543"/>
    </row>
    <row r="980" spans="1:15">
      <c r="A980" s="541"/>
      <c r="B980" s="542"/>
      <c r="C980" s="542"/>
      <c r="D980" s="542"/>
      <c r="E980" s="542"/>
      <c r="F980" s="542"/>
      <c r="G980" s="542"/>
      <c r="H980" s="543"/>
    </row>
    <row r="981" spans="1:15" ht="15" customHeight="1">
      <c r="A981" s="541"/>
      <c r="B981" s="542"/>
      <c r="C981" s="542"/>
      <c r="D981" s="542"/>
      <c r="E981" s="542"/>
      <c r="F981" s="542"/>
      <c r="G981" s="542"/>
      <c r="H981" s="197">
        <f ca="1">TODAY()</f>
        <v>44889</v>
      </c>
      <c r="K981" t="s">
        <v>4380</v>
      </c>
      <c r="L981" t="s">
        <v>4381</v>
      </c>
      <c r="M981" t="s">
        <v>4382</v>
      </c>
      <c r="N981" t="s">
        <v>4383</v>
      </c>
    </row>
    <row r="982" spans="1:15" ht="60.75" customHeight="1">
      <c r="A982" s="209" t="s">
        <v>4211</v>
      </c>
      <c r="B982" s="544" t="str">
        <f>COSTOS!$D$16</f>
        <v>Luminarias</v>
      </c>
      <c r="C982" s="544"/>
      <c r="D982" s="544"/>
      <c r="E982" s="544"/>
      <c r="F982" s="544"/>
      <c r="G982" s="60" t="s">
        <v>4212</v>
      </c>
      <c r="H982" s="363" t="s">
        <v>4677</v>
      </c>
      <c r="K982" s="55" t="e">
        <f>H1007</f>
        <v>#VALUE!</v>
      </c>
      <c r="L982" s="55">
        <f>H1017</f>
        <v>20648</v>
      </c>
      <c r="M982" s="55" t="e">
        <f>H990</f>
        <v>#VALUE!</v>
      </c>
      <c r="N982" s="55" t="e">
        <f>H1011</f>
        <v>#VALUE!</v>
      </c>
    </row>
    <row r="983" spans="1:15" ht="43.2" customHeight="1">
      <c r="A983" s="210" t="s">
        <v>4213</v>
      </c>
      <c r="B983" s="545" t="str">
        <f>VLOOKUP(H982,COSTOS!C:M,2,0)</f>
        <v>Reflector Metal Halide 400w</v>
      </c>
      <c r="C983" s="546"/>
      <c r="D983" s="546"/>
      <c r="E983" s="547"/>
      <c r="F983" s="61" t="s">
        <v>0</v>
      </c>
      <c r="G983" s="328" t="str">
        <f>VLOOKUP(H982,COSTOS!C:M,8,0)</f>
        <v>Und</v>
      </c>
      <c r="H983" s="248"/>
      <c r="I983" s="278"/>
      <c r="J983" s="280"/>
      <c r="K983" s="280"/>
      <c r="L983" s="280"/>
    </row>
    <row r="984" spans="1:15">
      <c r="A984" s="211"/>
      <c r="B984" s="102"/>
      <c r="C984" s="102"/>
      <c r="D984" s="102"/>
      <c r="E984" s="103"/>
      <c r="F984" s="104" t="s">
        <v>1</v>
      </c>
      <c r="G984" s="328">
        <f>VLOOKUP(H982,COSTOS!C:M,9,0)</f>
        <v>0</v>
      </c>
      <c r="H984" s="329"/>
      <c r="I984" s="279"/>
    </row>
    <row r="985" spans="1:15">
      <c r="A985" s="212" t="s">
        <v>4215</v>
      </c>
      <c r="B985" s="65"/>
      <c r="C985" s="65"/>
      <c r="D985" s="66"/>
      <c r="E985" s="190"/>
      <c r="F985" s="191"/>
      <c r="G985" s="192" t="s">
        <v>4216</v>
      </c>
      <c r="H985" s="198" t="e">
        <f>H990+H1007+H1011+H1017</f>
        <v>#VALUE!</v>
      </c>
    </row>
    <row r="986" spans="1:15" ht="41.4">
      <c r="A986" s="548" t="s">
        <v>4213</v>
      </c>
      <c r="B986" s="548"/>
      <c r="C986" s="548"/>
      <c r="D986" s="67" t="s">
        <v>0</v>
      </c>
      <c r="E986" s="188" t="s">
        <v>4217</v>
      </c>
      <c r="F986" s="189" t="s">
        <v>4204</v>
      </c>
      <c r="G986" s="64" t="s">
        <v>2</v>
      </c>
      <c r="H986" s="199" t="s">
        <v>4218</v>
      </c>
      <c r="K986" s="281"/>
    </row>
    <row r="987" spans="1:15">
      <c r="A987" s="517" t="s">
        <v>3946</v>
      </c>
      <c r="B987" s="549">
        <f>VLOOKUP(A987,'Equip, Herr y Transp'!$B$2:$E$738,2,0)</f>
        <v>2</v>
      </c>
      <c r="C987" s="549"/>
      <c r="D987" s="85">
        <f>VLOOKUP(A987,'Equip, Herr y Transp'!$B$2:$E$217,2,0)</f>
        <v>2</v>
      </c>
      <c r="E987" s="85" t="str">
        <f>VLOOKUP(A987,'Equip, Herr y Transp'!$B$2:$E$217,3,0)</f>
        <v>EQU</v>
      </c>
      <c r="F987" s="86">
        <f>H977</f>
        <v>6.25E-2</v>
      </c>
      <c r="G987" s="112" t="e">
        <f>F987*E987</f>
        <v>#VALUE!</v>
      </c>
      <c r="H987" s="108"/>
    </row>
    <row r="988" spans="1:15">
      <c r="A988" s="517" t="s">
        <v>3904</v>
      </c>
      <c r="B988" s="549">
        <f>VLOOKUP(A988,'Equip, Herr y Transp'!$B$2:$E$738,2,0)</f>
        <v>2</v>
      </c>
      <c r="C988" s="549"/>
      <c r="D988" s="85">
        <f>VLOOKUP(A988,'Equip, Herr y Transp'!$B$2:$E$217,2,0)</f>
        <v>2</v>
      </c>
      <c r="E988" s="85" t="str">
        <f>VLOOKUP(A988,'Equip, Herr y Transp'!$B$2:$E$217,3,0)</f>
        <v>EQU</v>
      </c>
      <c r="F988" s="86">
        <f>H977</f>
        <v>6.25E-2</v>
      </c>
      <c r="G988" s="112" t="e">
        <f>F988*E988</f>
        <v>#VALUE!</v>
      </c>
      <c r="H988" s="107"/>
    </row>
    <row r="989" spans="1:15">
      <c r="A989" s="517" t="s">
        <v>3937</v>
      </c>
      <c r="B989" s="549">
        <f>VLOOKUP(A989,'Equip, Herr y Transp'!$B$2:$E$738,2,0)</f>
        <v>2</v>
      </c>
      <c r="C989" s="549"/>
      <c r="D989" s="85">
        <f>VLOOKUP(A989,'Equip, Herr y Transp'!$B$2:$E$217,2,0)</f>
        <v>2</v>
      </c>
      <c r="E989" s="85" t="str">
        <f>VLOOKUP(A989,'Equip, Herr y Transp'!$B$2:$E$217,3,0)</f>
        <v>EQU</v>
      </c>
      <c r="F989" s="86">
        <f>H977</f>
        <v>6.25E-2</v>
      </c>
      <c r="G989" s="112" t="e">
        <f>F989*E989</f>
        <v>#VALUE!</v>
      </c>
      <c r="H989" s="107"/>
    </row>
    <row r="990" spans="1:15">
      <c r="A990" s="520" t="s">
        <v>4099</v>
      </c>
      <c r="B990" s="521"/>
      <c r="C990" s="521"/>
      <c r="D990" s="521"/>
      <c r="E990" s="521"/>
      <c r="F990" s="521"/>
      <c r="G990" s="521"/>
      <c r="H990" s="87" t="e">
        <f>SUM(G987:G989)</f>
        <v>#VALUE!</v>
      </c>
    </row>
    <row r="991" spans="1:15">
      <c r="A991" s="550" t="s">
        <v>4219</v>
      </c>
      <c r="B991" s="551"/>
      <c r="C991" s="551"/>
      <c r="D991" s="551"/>
      <c r="E991" s="551"/>
      <c r="F991" s="551"/>
      <c r="G991" s="551"/>
      <c r="H991" s="552"/>
      <c r="K991" s="50"/>
      <c r="L991" s="50"/>
      <c r="M991" s="50"/>
      <c r="N991" s="50"/>
      <c r="O991" s="50"/>
    </row>
    <row r="992" spans="1:15" ht="30" customHeight="1">
      <c r="A992" s="553" t="s">
        <v>7</v>
      </c>
      <c r="B992" s="554"/>
      <c r="C992" s="99" t="s">
        <v>0</v>
      </c>
      <c r="D992" s="100" t="s">
        <v>4097</v>
      </c>
      <c r="E992" s="101" t="s">
        <v>1</v>
      </c>
      <c r="F992" s="555" t="s">
        <v>4207</v>
      </c>
      <c r="G992" s="555"/>
      <c r="H992" s="196"/>
      <c r="K992" s="50"/>
      <c r="L992" s="50"/>
      <c r="M992" s="50"/>
      <c r="N992" s="50"/>
      <c r="O992" s="50"/>
    </row>
    <row r="993" spans="1:15">
      <c r="A993" s="535" t="s">
        <v>4661</v>
      </c>
      <c r="B993" s="536"/>
      <c r="C993" s="88">
        <f>VLOOKUP(A993,'Materiales '!$C$2:$G$396,3,0)</f>
        <v>4</v>
      </c>
      <c r="D993" s="89" t="str">
        <f>VLOOKUP(A993,'Materiales '!$C$2:$G$396,4,0)</f>
        <v>Und</v>
      </c>
      <c r="E993" s="90">
        <v>1</v>
      </c>
      <c r="F993" s="508" t="e">
        <f>E993*D993</f>
        <v>#VALUE!</v>
      </c>
      <c r="G993" s="519"/>
      <c r="H993" s="111"/>
      <c r="I993">
        <f>E993*G984</f>
        <v>0</v>
      </c>
      <c r="J993" s="57"/>
      <c r="K993" s="50"/>
      <c r="L993" s="50"/>
      <c r="M993" s="50"/>
      <c r="N993" s="50"/>
      <c r="O993" s="50"/>
    </row>
    <row r="994" spans="1:15">
      <c r="A994" s="535" t="s">
        <v>4203</v>
      </c>
      <c r="B994" s="536"/>
      <c r="C994" s="88">
        <f>VLOOKUP(A994,'Materiales '!$C$2:$G$396,3,0)</f>
        <v>4</v>
      </c>
      <c r="D994" s="89" t="str">
        <f>VLOOKUP(A994,'Materiales '!$C$2:$G$396,4,0)</f>
        <v>Und</v>
      </c>
      <c r="E994" s="90">
        <v>1</v>
      </c>
      <c r="F994" s="508" t="e">
        <f t="shared" ref="F994:F1000" si="58">E994*D994</f>
        <v>#VALUE!</v>
      </c>
      <c r="G994" s="519"/>
      <c r="H994" s="111"/>
      <c r="I994">
        <f>E994*G984</f>
        <v>0</v>
      </c>
      <c r="J994" s="57"/>
      <c r="K994" s="50"/>
      <c r="L994" s="50"/>
      <c r="M994" s="50"/>
      <c r="N994" s="50"/>
      <c r="O994" s="50"/>
    </row>
    <row r="995" spans="1:15">
      <c r="A995" s="517" t="s">
        <v>4473</v>
      </c>
      <c r="B995" s="518">
        <f>VLOOKUP(A995,'Materiales '!$C$2:$G$396,3,0)</f>
        <v>4</v>
      </c>
      <c r="C995" s="88">
        <f>VLOOKUP(A995,'Materiales '!$C$2:$G$396,3,0)</f>
        <v>4</v>
      </c>
      <c r="D995" s="89" t="str">
        <f>VLOOKUP(A995,'Materiales '!$C$2:$G$396,4,0)</f>
        <v>Und</v>
      </c>
      <c r="E995" s="90">
        <v>2</v>
      </c>
      <c r="F995" s="508" t="e">
        <f t="shared" si="58"/>
        <v>#VALUE!</v>
      </c>
      <c r="G995" s="519"/>
      <c r="H995" s="111"/>
      <c r="I995">
        <f>E995*G984</f>
        <v>0</v>
      </c>
      <c r="J995" s="58"/>
      <c r="K995" s="50"/>
      <c r="L995" s="50"/>
      <c r="M995" s="50"/>
      <c r="N995" s="50"/>
      <c r="O995" s="50"/>
    </row>
    <row r="996" spans="1:15">
      <c r="A996" s="517" t="s">
        <v>4478</v>
      </c>
      <c r="B996" s="518">
        <f>VLOOKUP(A996,'Materiales '!$C$2:$G$396,3,0)</f>
        <v>4</v>
      </c>
      <c r="C996" s="88">
        <f>VLOOKUP(A996,'Materiales '!$C$2:$G$396,3,0)</f>
        <v>4</v>
      </c>
      <c r="D996" s="89" t="str">
        <f>VLOOKUP(A996,'Materiales '!$C$2:$G$396,4,0)</f>
        <v>Und</v>
      </c>
      <c r="E996" s="90">
        <v>3</v>
      </c>
      <c r="F996" s="508" t="e">
        <f t="shared" si="58"/>
        <v>#VALUE!</v>
      </c>
      <c r="G996" s="519"/>
      <c r="H996" s="111"/>
      <c r="I996">
        <f>E996*G984</f>
        <v>0</v>
      </c>
      <c r="J996" s="58"/>
      <c r="K996" s="50"/>
      <c r="L996" s="50"/>
      <c r="M996" s="50"/>
      <c r="N996" s="50"/>
      <c r="O996" s="50"/>
    </row>
    <row r="997" spans="1:15">
      <c r="A997" s="517" t="s">
        <v>4543</v>
      </c>
      <c r="B997" s="518">
        <f>VLOOKUP(A997,'Materiales '!$C$2:$G$396,3,0)</f>
        <v>4</v>
      </c>
      <c r="C997" s="88">
        <f>VLOOKUP(A997,'Materiales '!$C$2:$G$396,3,0)</f>
        <v>4</v>
      </c>
      <c r="D997" s="89" t="str">
        <f>VLOOKUP(A997,'Materiales '!$C$2:$G$396,4,0)</f>
        <v>Und</v>
      </c>
      <c r="E997" s="90">
        <v>2</v>
      </c>
      <c r="F997" s="508" t="e">
        <f t="shared" si="58"/>
        <v>#VALUE!</v>
      </c>
      <c r="G997" s="519"/>
      <c r="H997" s="111"/>
      <c r="I997">
        <f>E997*G984</f>
        <v>0</v>
      </c>
      <c r="J997" s="58"/>
      <c r="K997" s="50"/>
      <c r="L997" s="50"/>
      <c r="M997" s="50"/>
      <c r="N997" s="50"/>
      <c r="O997" s="50"/>
    </row>
    <row r="998" spans="1:15">
      <c r="A998" s="517" t="s">
        <v>4439</v>
      </c>
      <c r="B998" s="518">
        <f>VLOOKUP(A998,'Materiales '!$C$2:$G$396,3,0)</f>
        <v>2</v>
      </c>
      <c r="C998" s="88">
        <f>VLOOKUP(A998,'Materiales '!$C$2:$G$396,3,0)</f>
        <v>2</v>
      </c>
      <c r="D998" s="89" t="str">
        <f>VLOOKUP(A998,'Materiales '!$C$2:$G$396,4,0)</f>
        <v>Ml</v>
      </c>
      <c r="E998" s="90">
        <v>1</v>
      </c>
      <c r="F998" s="508" t="e">
        <f t="shared" si="58"/>
        <v>#VALUE!</v>
      </c>
      <c r="G998" s="519"/>
      <c r="H998" s="111"/>
      <c r="I998">
        <f>E998*G984</f>
        <v>0</v>
      </c>
      <c r="J998" s="58"/>
      <c r="K998" s="50"/>
      <c r="L998" s="50"/>
      <c r="M998" s="50"/>
      <c r="N998" s="50"/>
      <c r="O998" s="50"/>
    </row>
    <row r="999" spans="1:15">
      <c r="A999" s="517" t="s">
        <v>4482</v>
      </c>
      <c r="B999" s="518">
        <f>VLOOKUP(A999,'Materiales '!$C$2:$G$396,3,0)</f>
        <v>4</v>
      </c>
      <c r="C999" s="88">
        <f>VLOOKUP(A999,'Materiales '!$C$2:$G$396,3,0)</f>
        <v>4</v>
      </c>
      <c r="D999" s="89" t="str">
        <f>VLOOKUP(A999,'Materiales '!$C$2:$G$396,4,0)</f>
        <v>Und</v>
      </c>
      <c r="E999" s="90">
        <v>3</v>
      </c>
      <c r="F999" s="508" t="e">
        <f t="shared" si="58"/>
        <v>#VALUE!</v>
      </c>
      <c r="G999" s="519"/>
      <c r="H999" s="111"/>
      <c r="I999">
        <f>E999*G984</f>
        <v>0</v>
      </c>
      <c r="J999" s="58"/>
      <c r="K999" s="50"/>
      <c r="L999" s="50"/>
      <c r="M999" s="50"/>
      <c r="N999" s="50"/>
      <c r="O999" s="50"/>
    </row>
    <row r="1000" spans="1:15" ht="21.75" customHeight="1">
      <c r="A1000" s="517" t="s">
        <v>4487</v>
      </c>
      <c r="B1000" s="518">
        <f>VLOOKUP(A1000,'Materiales '!$C$2:$G$396,3,0)</f>
        <v>4</v>
      </c>
      <c r="C1000" s="88">
        <f>VLOOKUP(A1000,'Materiales '!$C$2:$G$396,3,0)</f>
        <v>4</v>
      </c>
      <c r="D1000" s="89" t="str">
        <f>VLOOKUP(A1000,'Materiales '!$C$2:$G$396,4,0)</f>
        <v>Und</v>
      </c>
      <c r="E1000" s="90">
        <v>0.5</v>
      </c>
      <c r="F1000" s="508" t="e">
        <f t="shared" si="58"/>
        <v>#VALUE!</v>
      </c>
      <c r="G1000" s="519"/>
      <c r="H1000" s="111"/>
      <c r="I1000">
        <f>E1000*G984</f>
        <v>0</v>
      </c>
      <c r="J1000" s="58"/>
      <c r="K1000" s="50"/>
      <c r="L1000" s="50"/>
      <c r="M1000" s="50"/>
      <c r="N1000" s="50"/>
      <c r="O1000" s="50"/>
    </row>
    <row r="1001" spans="1:15">
      <c r="A1001" s="517" t="s">
        <v>8</v>
      </c>
      <c r="B1001" s="518">
        <f>VLOOKUP(A1001,'Materiales '!$C$2:$G$396,3,0)</f>
        <v>0</v>
      </c>
      <c r="C1001" s="88">
        <f>VLOOKUP(A1001,'Materiales '!$C$2:$G$396,3,0)</f>
        <v>0</v>
      </c>
      <c r="D1001" s="89" t="str">
        <f>VLOOKUP(A1001,'Materiales '!$C$2:$G$396,4,0)</f>
        <v>-</v>
      </c>
      <c r="E1001" s="90"/>
      <c r="F1001" s="508" t="e">
        <f>E1001*D1001</f>
        <v>#VALUE!</v>
      </c>
      <c r="G1001" s="519"/>
      <c r="H1001" s="110"/>
      <c r="I1001">
        <f>E1001*G984</f>
        <v>0</v>
      </c>
      <c r="J1001" s="58"/>
      <c r="K1001" s="50"/>
      <c r="L1001" s="50"/>
      <c r="M1001" s="50"/>
      <c r="N1001" s="50"/>
      <c r="O1001" s="50"/>
    </row>
    <row r="1002" spans="1:15">
      <c r="A1002" s="517" t="s">
        <v>8</v>
      </c>
      <c r="B1002" s="518">
        <f>VLOOKUP(A1002,'Materiales '!$C$2:$G$396,3,0)</f>
        <v>0</v>
      </c>
      <c r="C1002" s="88">
        <f>VLOOKUP(A1002,'Materiales '!$C$2:$G$396,3,0)</f>
        <v>0</v>
      </c>
      <c r="D1002" s="89" t="str">
        <f>VLOOKUP(A1002,'Materiales '!$C$2:$G$396,4,0)</f>
        <v>-</v>
      </c>
      <c r="E1002" s="90"/>
      <c r="F1002" s="508" t="e">
        <f t="shared" ref="F1002:F1005" si="59">E1002*D1002</f>
        <v>#VALUE!</v>
      </c>
      <c r="G1002" s="519"/>
      <c r="H1002" s="111"/>
      <c r="I1002">
        <f>E1002*G984</f>
        <v>0</v>
      </c>
      <c r="J1002" s="58"/>
      <c r="K1002" s="50"/>
      <c r="L1002" s="50"/>
      <c r="M1002" s="50"/>
      <c r="N1002" s="50"/>
      <c r="O1002" s="50"/>
    </row>
    <row r="1003" spans="1:15">
      <c r="A1003" s="517" t="s">
        <v>8</v>
      </c>
      <c r="B1003" s="518">
        <f>VLOOKUP(A1003,'Materiales '!$C$2:$G$396,3,0)</f>
        <v>0</v>
      </c>
      <c r="C1003" s="88">
        <f>VLOOKUP(A1003,'Materiales '!$C$2:$G$396,3,0)</f>
        <v>0</v>
      </c>
      <c r="D1003" s="89" t="str">
        <f>VLOOKUP(A1003,'Materiales '!$C$2:$G$396,4,0)</f>
        <v>-</v>
      </c>
      <c r="E1003" s="90"/>
      <c r="F1003" s="508" t="e">
        <f t="shared" si="59"/>
        <v>#VALUE!</v>
      </c>
      <c r="G1003" s="519"/>
      <c r="H1003" s="111"/>
      <c r="I1003">
        <f>E1003*G984</f>
        <v>0</v>
      </c>
      <c r="J1003" s="58"/>
      <c r="K1003" s="50"/>
      <c r="L1003" s="50"/>
      <c r="M1003" s="50"/>
      <c r="N1003" s="50"/>
      <c r="O1003" s="50"/>
    </row>
    <row r="1004" spans="1:15">
      <c r="A1004" s="517" t="s">
        <v>8</v>
      </c>
      <c r="B1004" s="518">
        <f>VLOOKUP(A1004,'Materiales '!$C$2:$G$396,3,0)</f>
        <v>0</v>
      </c>
      <c r="C1004" s="88">
        <f>VLOOKUP(A1004,'Materiales '!$C$2:$G$396,3,0)</f>
        <v>0</v>
      </c>
      <c r="D1004" s="89" t="str">
        <f>VLOOKUP(A1004,'Materiales '!$C$2:$G$396,4,0)</f>
        <v>-</v>
      </c>
      <c r="E1004" s="90"/>
      <c r="F1004" s="508" t="e">
        <f t="shared" si="59"/>
        <v>#VALUE!</v>
      </c>
      <c r="G1004" s="519"/>
      <c r="H1004" s="111"/>
      <c r="I1004">
        <f>E1004*G984</f>
        <v>0</v>
      </c>
      <c r="J1004" s="58"/>
      <c r="K1004" s="50"/>
      <c r="L1004" s="50"/>
      <c r="M1004" s="50"/>
      <c r="N1004" s="50"/>
      <c r="O1004" s="50"/>
    </row>
    <row r="1005" spans="1:15">
      <c r="A1005" s="517" t="s">
        <v>8</v>
      </c>
      <c r="B1005" s="518">
        <f>VLOOKUP(A1005,'Materiales '!$C$2:$G$396,3,0)</f>
        <v>0</v>
      </c>
      <c r="C1005" s="88">
        <f>VLOOKUP(A1005,'Materiales '!$C$2:$G$396,3,0)</f>
        <v>0</v>
      </c>
      <c r="D1005" s="89" t="str">
        <f>VLOOKUP(A1005,'Materiales '!$C$2:$G$396,4,0)</f>
        <v>-</v>
      </c>
      <c r="E1005" s="90"/>
      <c r="F1005" s="508" t="e">
        <f t="shared" si="59"/>
        <v>#VALUE!</v>
      </c>
      <c r="G1005" s="519"/>
      <c r="H1005" s="111"/>
      <c r="I1005">
        <f>E1005*G984</f>
        <v>0</v>
      </c>
      <c r="J1005" s="58"/>
      <c r="K1005" s="50"/>
      <c r="L1005" s="50"/>
      <c r="M1005" s="50"/>
      <c r="N1005" s="50"/>
      <c r="O1005" s="50"/>
    </row>
    <row r="1006" spans="1:15">
      <c r="A1006" s="517" t="s">
        <v>8</v>
      </c>
      <c r="B1006" s="518">
        <f>VLOOKUP(A1006,'Materiales '!$C$2:$G$396,3,0)</f>
        <v>0</v>
      </c>
      <c r="C1006" s="88">
        <f>VLOOKUP(A1006,'Materiales '!$C$2:$G$396,3,0)</f>
        <v>0</v>
      </c>
      <c r="D1006" s="89" t="str">
        <f>VLOOKUP(A1006,'Materiales '!$C$2:$G$396,4,0)</f>
        <v>-</v>
      </c>
      <c r="E1006" s="90"/>
      <c r="F1006" s="508" t="e">
        <f>E1006*D1006</f>
        <v>#VALUE!</v>
      </c>
      <c r="G1006" s="519"/>
      <c r="H1006" s="110"/>
      <c r="I1006">
        <f>E1006*G984</f>
        <v>0</v>
      </c>
      <c r="J1006" s="58"/>
      <c r="K1006" s="50"/>
      <c r="L1006" s="50"/>
      <c r="M1006" s="50"/>
      <c r="N1006" s="50"/>
      <c r="O1006" s="50"/>
    </row>
    <row r="1007" spans="1:15">
      <c r="A1007" s="520" t="s">
        <v>4098</v>
      </c>
      <c r="B1007" s="521"/>
      <c r="C1007" s="521"/>
      <c r="D1007" s="521"/>
      <c r="E1007" s="521"/>
      <c r="F1007" s="521"/>
      <c r="G1007" s="522"/>
      <c r="H1007" s="106" t="e">
        <f>SUM(F993:F1006)</f>
        <v>#VALUE!</v>
      </c>
      <c r="J1007" s="58"/>
      <c r="K1007" s="50"/>
      <c r="L1007" s="50"/>
      <c r="M1007" s="50"/>
      <c r="N1007" s="50"/>
      <c r="O1007" s="50"/>
    </row>
    <row r="1008" spans="1:15">
      <c r="A1008" s="523" t="s">
        <v>4220</v>
      </c>
      <c r="B1008" s="524"/>
      <c r="C1008" s="524"/>
      <c r="D1008" s="524"/>
      <c r="E1008" s="525"/>
      <c r="F1008" s="524"/>
      <c r="G1008" s="524"/>
      <c r="H1008" s="526"/>
      <c r="J1008" s="58"/>
      <c r="K1008" s="50"/>
      <c r="L1008" s="50"/>
      <c r="M1008" s="50"/>
      <c r="N1008" s="50"/>
      <c r="O1008" s="50"/>
    </row>
    <row r="1009" spans="1:15">
      <c r="A1009" s="527" t="s">
        <v>7</v>
      </c>
      <c r="B1009" s="528"/>
      <c r="C1009" s="98" t="s">
        <v>4221</v>
      </c>
      <c r="D1009" s="97" t="s">
        <v>4222</v>
      </c>
      <c r="E1009" s="187" t="s">
        <v>4223</v>
      </c>
      <c r="F1009" s="529" t="s">
        <v>4207</v>
      </c>
      <c r="G1009" s="529"/>
      <c r="H1009" s="109"/>
      <c r="K1009" s="50"/>
      <c r="L1009" s="50"/>
      <c r="M1009" s="50"/>
      <c r="N1009" s="50"/>
      <c r="O1009" s="50"/>
    </row>
    <row r="1010" spans="1:15">
      <c r="A1010" s="506" t="s">
        <v>3928</v>
      </c>
      <c r="B1010" s="507"/>
      <c r="C1010" s="213">
        <v>1</v>
      </c>
      <c r="D1010" s="92">
        <v>0.03</v>
      </c>
      <c r="E1010" s="93" t="str">
        <f>VLOOKUP(A1010,'Equip, Herr y Transp'!$B$2:$E$217,3,0)</f>
        <v>TR</v>
      </c>
      <c r="F1010" s="530" t="e">
        <f>E1010*D1010*C1010</f>
        <v>#VALUE!</v>
      </c>
      <c r="G1010" s="531"/>
      <c r="H1010" s="107"/>
      <c r="M1010" s="50"/>
    </row>
    <row r="1011" spans="1:15">
      <c r="A1011" s="532" t="s">
        <v>4205</v>
      </c>
      <c r="B1011" s="533"/>
      <c r="C1011" s="533"/>
      <c r="D1011" s="533"/>
      <c r="E1011" s="533"/>
      <c r="F1011" s="533"/>
      <c r="G1011" s="533"/>
      <c r="H1011" s="95" t="e">
        <f>F1010</f>
        <v>#VALUE!</v>
      </c>
    </row>
    <row r="1012" spans="1:15">
      <c r="A1012" s="523" t="s">
        <v>4224</v>
      </c>
      <c r="B1012" s="524"/>
      <c r="C1012" s="524"/>
      <c r="D1012" s="524"/>
      <c r="E1012" s="524"/>
      <c r="F1012" s="524"/>
      <c r="G1012" s="524"/>
      <c r="H1012" s="526"/>
    </row>
    <row r="1013" spans="1:15">
      <c r="A1013" s="527" t="s">
        <v>7</v>
      </c>
      <c r="B1013" s="528"/>
      <c r="C1013" s="96" t="s">
        <v>1</v>
      </c>
      <c r="D1013" s="97" t="s">
        <v>4225</v>
      </c>
      <c r="E1013" s="98" t="s">
        <v>4204</v>
      </c>
      <c r="F1013" s="527" t="s">
        <v>5</v>
      </c>
      <c r="G1013" s="534"/>
      <c r="H1013" s="109"/>
    </row>
    <row r="1014" spans="1:15">
      <c r="A1014" s="506" t="s">
        <v>4191</v>
      </c>
      <c r="B1014" s="507"/>
      <c r="C1014" s="91">
        <v>1</v>
      </c>
      <c r="D1014" s="94">
        <f>VLOOKUP(A1014,'Mano Obra'!$B$2:$T$117,19,0)</f>
        <v>152456</v>
      </c>
      <c r="E1014" s="218">
        <f>H977</f>
        <v>6.25E-2</v>
      </c>
      <c r="F1014" s="508">
        <f>E1014*D1014*C1014</f>
        <v>9528.5</v>
      </c>
      <c r="G1014" s="509"/>
      <c r="H1014" s="111"/>
      <c r="I1014" s="59"/>
      <c r="J1014" s="117">
        <f>((('Mano Obra'!$M$4/30)*F1014)/D1014)*G984</f>
        <v>0</v>
      </c>
    </row>
    <row r="1015" spans="1:15">
      <c r="A1015" s="510" t="s">
        <v>4192</v>
      </c>
      <c r="B1015" s="511">
        <f>VLOOKUP(A1015,'Mano Obra'!$B$3:$D$290,2,0)</f>
        <v>1900000</v>
      </c>
      <c r="C1015" s="91">
        <v>1</v>
      </c>
      <c r="D1015" s="94">
        <f>VLOOKUP(A1015,'Mano Obra'!$B$2:$T$117,19,0)</f>
        <v>110488</v>
      </c>
      <c r="E1015" s="218">
        <f>H977</f>
        <v>6.25E-2</v>
      </c>
      <c r="F1015" s="508">
        <f t="shared" ref="F1015:F1016" si="60">E1015*D1015*C1015</f>
        <v>6905.5</v>
      </c>
      <c r="G1015" s="509"/>
      <c r="H1015" s="111"/>
      <c r="J1015" s="117">
        <f>((('Mano Obra'!$M$5/30)*F1015)/D1015)*G984</f>
        <v>0</v>
      </c>
    </row>
    <row r="1016" spans="1:15">
      <c r="A1016" s="510" t="s">
        <v>4181</v>
      </c>
      <c r="B1016" s="511">
        <f>VLOOKUP(A1016,'Mano Obra'!$B$3:$D$290,2,0)</f>
        <v>1000000</v>
      </c>
      <c r="C1016" s="91">
        <v>1</v>
      </c>
      <c r="D1016" s="94">
        <f>VLOOKUP(A1016,'Mano Obra'!$B$2:$T$117,19,0)</f>
        <v>67424</v>
      </c>
      <c r="E1016" s="218">
        <f>H977</f>
        <v>6.25E-2</v>
      </c>
      <c r="F1016" s="508">
        <f t="shared" si="60"/>
        <v>4214</v>
      </c>
      <c r="G1016" s="509"/>
      <c r="H1016" s="110"/>
      <c r="J1016" s="117">
        <f>((('Mano Obra'!$M$6/30)*F1016)/D1016)*G984</f>
        <v>0</v>
      </c>
    </row>
    <row r="1017" spans="1:15">
      <c r="A1017" s="512" t="s">
        <v>4100</v>
      </c>
      <c r="B1017" s="512"/>
      <c r="C1017" s="512"/>
      <c r="D1017" s="512"/>
      <c r="E1017" s="512"/>
      <c r="F1017" s="512"/>
      <c r="G1017" s="512"/>
      <c r="H1017" s="95">
        <f>SUM(F1014:F1016)</f>
        <v>20648</v>
      </c>
      <c r="J1017" s="117"/>
    </row>
    <row r="1018" spans="1:15">
      <c r="A1018" s="208" t="s">
        <v>4226</v>
      </c>
      <c r="B1018" s="186"/>
      <c r="C1018" s="186"/>
      <c r="D1018" s="183"/>
      <c r="E1018" s="184"/>
      <c r="F1018" s="185"/>
      <c r="G1018" s="184"/>
      <c r="H1018" s="193"/>
    </row>
    <row r="1019" spans="1:15">
      <c r="A1019" s="513" t="s">
        <v>4213</v>
      </c>
      <c r="B1019" s="514"/>
      <c r="C1019" s="514"/>
      <c r="D1019" s="514"/>
      <c r="E1019" s="181"/>
      <c r="F1019" s="182" t="s">
        <v>4227</v>
      </c>
      <c r="G1019" s="181" t="s">
        <v>4228</v>
      </c>
      <c r="H1019" s="194"/>
    </row>
    <row r="1020" spans="1:15">
      <c r="A1020" s="204" t="s">
        <v>4096</v>
      </c>
      <c r="B1020" s="62"/>
      <c r="C1020" s="62"/>
      <c r="D1020" s="63"/>
      <c r="E1020" s="68"/>
      <c r="F1020" s="69">
        <v>0</v>
      </c>
      <c r="G1020" s="70" t="e">
        <f>F1020*H985</f>
        <v>#VALUE!</v>
      </c>
      <c r="H1020" s="193"/>
    </row>
    <row r="1021" spans="1:15">
      <c r="A1021" s="205" t="s">
        <v>4229</v>
      </c>
      <c r="B1021" s="71"/>
      <c r="C1021" s="71"/>
      <c r="D1021" s="72"/>
      <c r="E1021" s="68"/>
      <c r="F1021" s="69">
        <v>0</v>
      </c>
      <c r="G1021" s="70" t="e">
        <f>F1021*H985</f>
        <v>#VALUE!</v>
      </c>
      <c r="H1021" s="193"/>
    </row>
    <row r="1022" spans="1:15">
      <c r="A1022" s="205" t="s">
        <v>4</v>
      </c>
      <c r="B1022" s="71"/>
      <c r="C1022" s="71"/>
      <c r="D1022" s="72"/>
      <c r="E1022" s="68"/>
      <c r="F1022" s="69">
        <v>0</v>
      </c>
      <c r="G1022" s="70" t="e">
        <f>F1022*H985</f>
        <v>#VALUE!</v>
      </c>
      <c r="H1022" s="193"/>
    </row>
    <row r="1023" spans="1:15">
      <c r="A1023" s="206"/>
      <c r="B1023" s="73"/>
      <c r="C1023" s="65"/>
      <c r="D1023" s="74"/>
      <c r="E1023" s="75"/>
      <c r="F1023" s="76"/>
      <c r="G1023" s="77"/>
      <c r="H1023" s="195"/>
    </row>
    <row r="1024" spans="1:15">
      <c r="A1024" s="207"/>
      <c r="B1024" s="73"/>
      <c r="C1024" s="73"/>
      <c r="D1024" s="74"/>
      <c r="E1024" s="78"/>
      <c r="F1024" s="515" t="s">
        <v>4230</v>
      </c>
      <c r="G1024" s="516"/>
      <c r="H1024" s="214" t="e">
        <f>H985+G1020+G1021+G1022</f>
        <v>#VALUE!</v>
      </c>
    </row>
    <row r="1025" spans="1:14" ht="15.75" customHeight="1">
      <c r="A1025" s="73"/>
      <c r="B1025" s="73"/>
      <c r="C1025" s="73"/>
      <c r="D1025" s="74"/>
      <c r="E1025" s="360"/>
      <c r="F1025" s="361"/>
      <c r="G1025" s="361"/>
      <c r="H1025" s="362"/>
    </row>
    <row r="1026" spans="1:14">
      <c r="A1026" s="80"/>
      <c r="B1026" s="80"/>
      <c r="C1026" s="80"/>
      <c r="D1026" s="80"/>
      <c r="E1026" s="80"/>
      <c r="F1026" s="80"/>
      <c r="G1026" s="80"/>
      <c r="H1026" s="353"/>
    </row>
    <row r="1027" spans="1:14">
      <c r="A1027" s="537" t="s">
        <v>4214</v>
      </c>
      <c r="B1027" s="538"/>
      <c r="C1027" s="538"/>
      <c r="D1027" s="538"/>
      <c r="E1027" s="538"/>
      <c r="F1027" s="538"/>
      <c r="G1027" s="538"/>
      <c r="H1027" s="539"/>
    </row>
    <row r="1028" spans="1:14">
      <c r="A1028" s="81"/>
      <c r="B1028" s="82"/>
      <c r="C1028" s="82"/>
      <c r="D1028" s="82"/>
      <c r="E1028" s="82"/>
      <c r="F1028" s="83"/>
      <c r="G1028" s="84"/>
      <c r="H1028" s="352">
        <f>ROUND((30/60)/8,4)</f>
        <v>6.25E-2</v>
      </c>
      <c r="I1028" s="105"/>
    </row>
    <row r="1029" spans="1:14">
      <c r="A1029" s="540" t="s">
        <v>4209</v>
      </c>
      <c r="B1029" s="542" t="str">
        <f>COSTOS!$C$14</f>
        <v>MODERNIZACION A TECNOLOGIA LED</v>
      </c>
      <c r="C1029" s="542"/>
      <c r="D1029" s="542"/>
      <c r="E1029" s="542"/>
      <c r="F1029" s="542"/>
      <c r="G1029" s="542"/>
      <c r="H1029" s="543" t="s">
        <v>4210</v>
      </c>
    </row>
    <row r="1030" spans="1:14">
      <c r="A1030" s="541"/>
      <c r="B1030" s="542"/>
      <c r="C1030" s="542"/>
      <c r="D1030" s="542"/>
      <c r="E1030" s="542"/>
      <c r="F1030" s="542"/>
      <c r="G1030" s="542"/>
      <c r="H1030" s="543"/>
    </row>
    <row r="1031" spans="1:14">
      <c r="A1031" s="541"/>
      <c r="B1031" s="542"/>
      <c r="C1031" s="542"/>
      <c r="D1031" s="542"/>
      <c r="E1031" s="542"/>
      <c r="F1031" s="542"/>
      <c r="G1031" s="542"/>
      <c r="H1031" s="543"/>
    </row>
    <row r="1032" spans="1:14" ht="15" customHeight="1">
      <c r="A1032" s="541"/>
      <c r="B1032" s="542"/>
      <c r="C1032" s="542"/>
      <c r="D1032" s="542"/>
      <c r="E1032" s="542"/>
      <c r="F1032" s="542"/>
      <c r="G1032" s="542"/>
      <c r="H1032" s="197">
        <f ca="1">TODAY()</f>
        <v>44889</v>
      </c>
      <c r="K1032" t="s">
        <v>4380</v>
      </c>
      <c r="L1032" t="s">
        <v>4381</v>
      </c>
      <c r="M1032" t="s">
        <v>4382</v>
      </c>
      <c r="N1032" t="s">
        <v>4383</v>
      </c>
    </row>
    <row r="1033" spans="1:14" ht="60.75" customHeight="1">
      <c r="A1033" s="209" t="s">
        <v>4211</v>
      </c>
      <c r="B1033" s="544" t="str">
        <f>COSTOS!$D$16</f>
        <v>Luminarias</v>
      </c>
      <c r="C1033" s="544"/>
      <c r="D1033" s="544"/>
      <c r="E1033" s="544"/>
      <c r="F1033" s="544"/>
      <c r="G1033" s="60" t="s">
        <v>4212</v>
      </c>
      <c r="H1033" s="363">
        <v>1.21</v>
      </c>
      <c r="K1033" s="55" t="e">
        <f>H1058</f>
        <v>#VALUE!</v>
      </c>
      <c r="L1033" s="55">
        <f>H1068</f>
        <v>20648</v>
      </c>
      <c r="M1033" s="55" t="e">
        <f>H1041</f>
        <v>#VALUE!</v>
      </c>
      <c r="N1033" s="55" t="e">
        <f>H1062</f>
        <v>#VALUE!</v>
      </c>
    </row>
    <row r="1034" spans="1:14" ht="43.2" customHeight="1">
      <c r="A1034" s="210" t="s">
        <v>4213</v>
      </c>
      <c r="B1034" s="545" t="str">
        <f>VLOOKUP(H1033,COSTOS!C:M,2,0)</f>
        <v>Reflector Metal Halide 1000w</v>
      </c>
      <c r="C1034" s="546"/>
      <c r="D1034" s="546"/>
      <c r="E1034" s="547"/>
      <c r="F1034" s="61" t="s">
        <v>0</v>
      </c>
      <c r="G1034" s="328" t="str">
        <f>VLOOKUP(H1033,COSTOS!C:M,8,0)</f>
        <v>Und</v>
      </c>
      <c r="H1034" s="248"/>
      <c r="I1034" s="278"/>
      <c r="J1034" s="280"/>
      <c r="K1034" s="280"/>
      <c r="L1034" s="280"/>
    </row>
    <row r="1035" spans="1:14">
      <c r="A1035" s="211"/>
      <c r="B1035" s="102"/>
      <c r="C1035" s="102"/>
      <c r="D1035" s="102"/>
      <c r="E1035" s="103"/>
      <c r="F1035" s="104" t="s">
        <v>1</v>
      </c>
      <c r="G1035" s="328">
        <f>VLOOKUP(H1033,COSTOS!C:M,9,0)</f>
        <v>0</v>
      </c>
      <c r="H1035" s="329"/>
      <c r="I1035" s="279"/>
    </row>
    <row r="1036" spans="1:14">
      <c r="A1036" s="212" t="s">
        <v>4215</v>
      </c>
      <c r="B1036" s="65"/>
      <c r="C1036" s="65"/>
      <c r="D1036" s="66"/>
      <c r="E1036" s="190"/>
      <c r="F1036" s="191"/>
      <c r="G1036" s="192" t="s">
        <v>4216</v>
      </c>
      <c r="H1036" s="198" t="e">
        <f>H1041+H1058+H1062+H1068</f>
        <v>#VALUE!</v>
      </c>
    </row>
    <row r="1037" spans="1:14" ht="41.4">
      <c r="A1037" s="548" t="s">
        <v>4213</v>
      </c>
      <c r="B1037" s="548"/>
      <c r="C1037" s="548"/>
      <c r="D1037" s="67" t="s">
        <v>0</v>
      </c>
      <c r="E1037" s="188" t="s">
        <v>4217</v>
      </c>
      <c r="F1037" s="189" t="s">
        <v>4204</v>
      </c>
      <c r="G1037" s="64" t="s">
        <v>2</v>
      </c>
      <c r="H1037" s="199" t="s">
        <v>4218</v>
      </c>
      <c r="K1037" s="281"/>
    </row>
    <row r="1038" spans="1:14">
      <c r="A1038" s="517" t="s">
        <v>3946</v>
      </c>
      <c r="B1038" s="549">
        <f>VLOOKUP(A1038,'Equip, Herr y Transp'!$B$2:$E$738,2,0)</f>
        <v>2</v>
      </c>
      <c r="C1038" s="549"/>
      <c r="D1038" s="85">
        <f>VLOOKUP(A1038,'Equip, Herr y Transp'!$B$2:$E$217,2,0)</f>
        <v>2</v>
      </c>
      <c r="E1038" s="85" t="str">
        <f>VLOOKUP(A1038,'Equip, Herr y Transp'!$B$2:$E$217,3,0)</f>
        <v>EQU</v>
      </c>
      <c r="F1038" s="86">
        <f>H1028</f>
        <v>6.25E-2</v>
      </c>
      <c r="G1038" s="112" t="e">
        <f>F1038*E1038</f>
        <v>#VALUE!</v>
      </c>
      <c r="H1038" s="108"/>
    </row>
    <row r="1039" spans="1:14">
      <c r="A1039" s="517" t="s">
        <v>3904</v>
      </c>
      <c r="B1039" s="549">
        <f>VLOOKUP(A1039,'Equip, Herr y Transp'!$B$2:$E$738,2,0)</f>
        <v>2</v>
      </c>
      <c r="C1039" s="549"/>
      <c r="D1039" s="85">
        <f>VLOOKUP(A1039,'Equip, Herr y Transp'!$B$2:$E$217,2,0)</f>
        <v>2</v>
      </c>
      <c r="E1039" s="85" t="str">
        <f>VLOOKUP(A1039,'Equip, Herr y Transp'!$B$2:$E$217,3,0)</f>
        <v>EQU</v>
      </c>
      <c r="F1039" s="86">
        <f>H1028</f>
        <v>6.25E-2</v>
      </c>
      <c r="G1039" s="112" t="e">
        <f>F1039*E1039</f>
        <v>#VALUE!</v>
      </c>
      <c r="H1039" s="107"/>
    </row>
    <row r="1040" spans="1:14">
      <c r="A1040" s="517" t="s">
        <v>3937</v>
      </c>
      <c r="B1040" s="549">
        <f>VLOOKUP(A1040,'Equip, Herr y Transp'!$B$2:$E$738,2,0)</f>
        <v>2</v>
      </c>
      <c r="C1040" s="549"/>
      <c r="D1040" s="85">
        <f>VLOOKUP(A1040,'Equip, Herr y Transp'!$B$2:$E$217,2,0)</f>
        <v>2</v>
      </c>
      <c r="E1040" s="85" t="str">
        <f>VLOOKUP(A1040,'Equip, Herr y Transp'!$B$2:$E$217,3,0)</f>
        <v>EQU</v>
      </c>
      <c r="F1040" s="86">
        <f>H1028</f>
        <v>6.25E-2</v>
      </c>
      <c r="G1040" s="112" t="e">
        <f>F1040*E1040</f>
        <v>#VALUE!</v>
      </c>
      <c r="H1040" s="107"/>
    </row>
    <row r="1041" spans="1:15">
      <c r="A1041" s="520" t="s">
        <v>4099</v>
      </c>
      <c r="B1041" s="521"/>
      <c r="C1041" s="521"/>
      <c r="D1041" s="521"/>
      <c r="E1041" s="521"/>
      <c r="F1041" s="521"/>
      <c r="G1041" s="521"/>
      <c r="H1041" s="87" t="e">
        <f>SUM(G1038:G1040)</f>
        <v>#VALUE!</v>
      </c>
    </row>
    <row r="1042" spans="1:15">
      <c r="A1042" s="550" t="s">
        <v>4219</v>
      </c>
      <c r="B1042" s="551"/>
      <c r="C1042" s="551"/>
      <c r="D1042" s="551"/>
      <c r="E1042" s="551"/>
      <c r="F1042" s="551"/>
      <c r="G1042" s="551"/>
      <c r="H1042" s="552"/>
      <c r="K1042" s="50"/>
      <c r="L1042" s="50"/>
      <c r="M1042" s="50"/>
      <c r="N1042" s="50"/>
      <c r="O1042" s="50"/>
    </row>
    <row r="1043" spans="1:15" ht="30" customHeight="1">
      <c r="A1043" s="553" t="s">
        <v>7</v>
      </c>
      <c r="B1043" s="554"/>
      <c r="C1043" s="99" t="s">
        <v>0</v>
      </c>
      <c r="D1043" s="100" t="s">
        <v>4097</v>
      </c>
      <c r="E1043" s="101" t="s">
        <v>1</v>
      </c>
      <c r="F1043" s="555" t="s">
        <v>4207</v>
      </c>
      <c r="G1043" s="555"/>
      <c r="H1043" s="196"/>
      <c r="K1043" s="50"/>
      <c r="L1043" s="50"/>
      <c r="M1043" s="50"/>
      <c r="N1043" s="50"/>
      <c r="O1043" s="50"/>
    </row>
    <row r="1044" spans="1:15">
      <c r="A1044" s="535" t="s">
        <v>4662</v>
      </c>
      <c r="B1044" s="536"/>
      <c r="C1044" s="88">
        <f>VLOOKUP(A1044,'Materiales '!$C$2:$G$396,3,0)</f>
        <v>4</v>
      </c>
      <c r="D1044" s="89" t="str">
        <f>VLOOKUP(A1044,'Materiales '!$C$2:$G$396,4,0)</f>
        <v>Und</v>
      </c>
      <c r="E1044" s="90">
        <v>1</v>
      </c>
      <c r="F1044" s="508" t="e">
        <f>E1044*D1044</f>
        <v>#VALUE!</v>
      </c>
      <c r="G1044" s="519"/>
      <c r="H1044" s="111"/>
      <c r="I1044">
        <f>E1044*G1035</f>
        <v>0</v>
      </c>
      <c r="J1044" s="57"/>
      <c r="K1044" s="50"/>
      <c r="L1044" s="50"/>
      <c r="M1044" s="50"/>
      <c r="N1044" s="50"/>
      <c r="O1044" s="50"/>
    </row>
    <row r="1045" spans="1:15">
      <c r="A1045" s="535" t="s">
        <v>4203</v>
      </c>
      <c r="B1045" s="536"/>
      <c r="C1045" s="88">
        <f>VLOOKUP(A1045,'Materiales '!$C$2:$G$396,3,0)</f>
        <v>4</v>
      </c>
      <c r="D1045" s="89" t="str">
        <f>VLOOKUP(A1045,'Materiales '!$C$2:$G$396,4,0)</f>
        <v>Und</v>
      </c>
      <c r="E1045" s="90">
        <v>1</v>
      </c>
      <c r="F1045" s="508" t="e">
        <f t="shared" ref="F1045:F1051" si="61">E1045*D1045</f>
        <v>#VALUE!</v>
      </c>
      <c r="G1045" s="519"/>
      <c r="H1045" s="111"/>
      <c r="I1045">
        <f>E1045*G1035</f>
        <v>0</v>
      </c>
      <c r="J1045" s="57"/>
      <c r="K1045" s="50"/>
      <c r="L1045" s="50"/>
      <c r="M1045" s="50"/>
      <c r="N1045" s="50"/>
      <c r="O1045" s="50"/>
    </row>
    <row r="1046" spans="1:15">
      <c r="A1046" s="517" t="s">
        <v>4473</v>
      </c>
      <c r="B1046" s="518">
        <f>VLOOKUP(A1046,'Materiales '!$C$2:$G$396,3,0)</f>
        <v>4</v>
      </c>
      <c r="C1046" s="88">
        <f>VLOOKUP(A1046,'Materiales '!$C$2:$G$396,3,0)</f>
        <v>4</v>
      </c>
      <c r="D1046" s="89" t="str">
        <f>VLOOKUP(A1046,'Materiales '!$C$2:$G$396,4,0)</f>
        <v>Und</v>
      </c>
      <c r="E1046" s="90">
        <v>2</v>
      </c>
      <c r="F1046" s="508" t="e">
        <f t="shared" si="61"/>
        <v>#VALUE!</v>
      </c>
      <c r="G1046" s="519"/>
      <c r="H1046" s="111"/>
      <c r="I1046">
        <f>E1046*G1035</f>
        <v>0</v>
      </c>
      <c r="J1046" s="58"/>
      <c r="K1046" s="50"/>
      <c r="L1046" s="50"/>
      <c r="M1046" s="50"/>
      <c r="N1046" s="50"/>
      <c r="O1046" s="50"/>
    </row>
    <row r="1047" spans="1:15">
      <c r="A1047" s="517" t="s">
        <v>4478</v>
      </c>
      <c r="B1047" s="518">
        <f>VLOOKUP(A1047,'Materiales '!$C$2:$G$396,3,0)</f>
        <v>4</v>
      </c>
      <c r="C1047" s="88">
        <f>VLOOKUP(A1047,'Materiales '!$C$2:$G$396,3,0)</f>
        <v>4</v>
      </c>
      <c r="D1047" s="89" t="str">
        <f>VLOOKUP(A1047,'Materiales '!$C$2:$G$396,4,0)</f>
        <v>Und</v>
      </c>
      <c r="E1047" s="90">
        <v>3</v>
      </c>
      <c r="F1047" s="508" t="e">
        <f t="shared" si="61"/>
        <v>#VALUE!</v>
      </c>
      <c r="G1047" s="519"/>
      <c r="H1047" s="111"/>
      <c r="I1047">
        <f>E1047*G1035</f>
        <v>0</v>
      </c>
      <c r="J1047" s="58"/>
      <c r="K1047" s="50"/>
      <c r="L1047" s="50"/>
      <c r="M1047" s="50"/>
      <c r="N1047" s="50"/>
      <c r="O1047" s="50"/>
    </row>
    <row r="1048" spans="1:15">
      <c r="A1048" s="517" t="s">
        <v>4543</v>
      </c>
      <c r="B1048" s="518">
        <f>VLOOKUP(A1048,'Materiales '!$C$2:$G$396,3,0)</f>
        <v>4</v>
      </c>
      <c r="C1048" s="88">
        <f>VLOOKUP(A1048,'Materiales '!$C$2:$G$396,3,0)</f>
        <v>4</v>
      </c>
      <c r="D1048" s="89" t="str">
        <f>VLOOKUP(A1048,'Materiales '!$C$2:$G$396,4,0)</f>
        <v>Und</v>
      </c>
      <c r="E1048" s="90">
        <v>2</v>
      </c>
      <c r="F1048" s="508" t="e">
        <f t="shared" si="61"/>
        <v>#VALUE!</v>
      </c>
      <c r="G1048" s="519"/>
      <c r="H1048" s="111"/>
      <c r="I1048">
        <f>E1048*G1035</f>
        <v>0</v>
      </c>
      <c r="J1048" s="58"/>
      <c r="K1048" s="50"/>
      <c r="L1048" s="50"/>
      <c r="M1048" s="50"/>
      <c r="N1048" s="50"/>
      <c r="O1048" s="50"/>
    </row>
    <row r="1049" spans="1:15">
      <c r="A1049" s="517" t="s">
        <v>4439</v>
      </c>
      <c r="B1049" s="518">
        <f>VLOOKUP(A1049,'Materiales '!$C$2:$G$396,3,0)</f>
        <v>2</v>
      </c>
      <c r="C1049" s="88">
        <f>VLOOKUP(A1049,'Materiales '!$C$2:$G$396,3,0)</f>
        <v>2</v>
      </c>
      <c r="D1049" s="89" t="str">
        <f>VLOOKUP(A1049,'Materiales '!$C$2:$G$396,4,0)</f>
        <v>Ml</v>
      </c>
      <c r="E1049" s="90">
        <v>1</v>
      </c>
      <c r="F1049" s="508" t="e">
        <f t="shared" si="61"/>
        <v>#VALUE!</v>
      </c>
      <c r="G1049" s="519"/>
      <c r="H1049" s="111"/>
      <c r="I1049">
        <f>E1049*G1035</f>
        <v>0</v>
      </c>
      <c r="J1049" s="58"/>
      <c r="K1049" s="50"/>
      <c r="L1049" s="50"/>
      <c r="M1049" s="50"/>
      <c r="N1049" s="50"/>
      <c r="O1049" s="50"/>
    </row>
    <row r="1050" spans="1:15">
      <c r="A1050" s="517" t="s">
        <v>4482</v>
      </c>
      <c r="B1050" s="518">
        <f>VLOOKUP(A1050,'Materiales '!$C$2:$G$396,3,0)</f>
        <v>4</v>
      </c>
      <c r="C1050" s="88">
        <f>VLOOKUP(A1050,'Materiales '!$C$2:$G$396,3,0)</f>
        <v>4</v>
      </c>
      <c r="D1050" s="89" t="str">
        <f>VLOOKUP(A1050,'Materiales '!$C$2:$G$396,4,0)</f>
        <v>Und</v>
      </c>
      <c r="E1050" s="90">
        <v>3</v>
      </c>
      <c r="F1050" s="508" t="e">
        <f t="shared" si="61"/>
        <v>#VALUE!</v>
      </c>
      <c r="G1050" s="519"/>
      <c r="H1050" s="111"/>
      <c r="I1050">
        <f>E1050*G1035</f>
        <v>0</v>
      </c>
      <c r="J1050" s="58"/>
      <c r="K1050" s="50"/>
      <c r="L1050" s="50"/>
      <c r="M1050" s="50"/>
      <c r="N1050" s="50"/>
      <c r="O1050" s="50"/>
    </row>
    <row r="1051" spans="1:15" ht="21.75" customHeight="1">
      <c r="A1051" s="517" t="s">
        <v>4487</v>
      </c>
      <c r="B1051" s="518">
        <f>VLOOKUP(A1051,'Materiales '!$C$2:$G$396,3,0)</f>
        <v>4</v>
      </c>
      <c r="C1051" s="88">
        <f>VLOOKUP(A1051,'Materiales '!$C$2:$G$396,3,0)</f>
        <v>4</v>
      </c>
      <c r="D1051" s="89" t="str">
        <f>VLOOKUP(A1051,'Materiales '!$C$2:$G$396,4,0)</f>
        <v>Und</v>
      </c>
      <c r="E1051" s="90">
        <v>0.5</v>
      </c>
      <c r="F1051" s="508" t="e">
        <f t="shared" si="61"/>
        <v>#VALUE!</v>
      </c>
      <c r="G1051" s="519"/>
      <c r="H1051" s="111"/>
      <c r="I1051">
        <f>E1051*G1035</f>
        <v>0</v>
      </c>
      <c r="J1051" s="58"/>
      <c r="K1051" s="50"/>
      <c r="L1051" s="50"/>
      <c r="M1051" s="50"/>
      <c r="N1051" s="50"/>
      <c r="O1051" s="50"/>
    </row>
    <row r="1052" spans="1:15">
      <c r="A1052" s="517" t="s">
        <v>8</v>
      </c>
      <c r="B1052" s="518">
        <f>VLOOKUP(A1052,'Materiales '!$C$2:$G$396,3,0)</f>
        <v>0</v>
      </c>
      <c r="C1052" s="88">
        <f>VLOOKUP(A1052,'Materiales '!$C$2:$G$396,3,0)</f>
        <v>0</v>
      </c>
      <c r="D1052" s="89" t="str">
        <f>VLOOKUP(A1052,'Materiales '!$C$2:$G$396,4,0)</f>
        <v>-</v>
      </c>
      <c r="E1052" s="90"/>
      <c r="F1052" s="508" t="e">
        <f>E1052*D1052</f>
        <v>#VALUE!</v>
      </c>
      <c r="G1052" s="519"/>
      <c r="H1052" s="110"/>
      <c r="I1052">
        <f>E1052*G1035</f>
        <v>0</v>
      </c>
      <c r="J1052" s="58"/>
      <c r="K1052" s="50"/>
      <c r="L1052" s="50"/>
      <c r="M1052" s="50"/>
      <c r="N1052" s="50"/>
      <c r="O1052" s="50"/>
    </row>
    <row r="1053" spans="1:15">
      <c r="A1053" s="517" t="s">
        <v>8</v>
      </c>
      <c r="B1053" s="518">
        <f>VLOOKUP(A1053,'Materiales '!$C$2:$G$396,3,0)</f>
        <v>0</v>
      </c>
      <c r="C1053" s="88">
        <f>VLOOKUP(A1053,'Materiales '!$C$2:$G$396,3,0)</f>
        <v>0</v>
      </c>
      <c r="D1053" s="89" t="str">
        <f>VLOOKUP(A1053,'Materiales '!$C$2:$G$396,4,0)</f>
        <v>-</v>
      </c>
      <c r="E1053" s="90"/>
      <c r="F1053" s="508" t="e">
        <f t="shared" ref="F1053:F1056" si="62">E1053*D1053</f>
        <v>#VALUE!</v>
      </c>
      <c r="G1053" s="519"/>
      <c r="H1053" s="111"/>
      <c r="I1053">
        <f>E1053*G1035</f>
        <v>0</v>
      </c>
      <c r="J1053" s="58"/>
      <c r="K1053" s="50"/>
      <c r="L1053" s="50"/>
      <c r="M1053" s="50"/>
      <c r="N1053" s="50"/>
      <c r="O1053" s="50"/>
    </row>
    <row r="1054" spans="1:15">
      <c r="A1054" s="517" t="s">
        <v>8</v>
      </c>
      <c r="B1054" s="518">
        <f>VLOOKUP(A1054,'Materiales '!$C$2:$G$396,3,0)</f>
        <v>0</v>
      </c>
      <c r="C1054" s="88">
        <f>VLOOKUP(A1054,'Materiales '!$C$2:$G$396,3,0)</f>
        <v>0</v>
      </c>
      <c r="D1054" s="89" t="str">
        <f>VLOOKUP(A1054,'Materiales '!$C$2:$G$396,4,0)</f>
        <v>-</v>
      </c>
      <c r="E1054" s="90"/>
      <c r="F1054" s="508" t="e">
        <f t="shared" si="62"/>
        <v>#VALUE!</v>
      </c>
      <c r="G1054" s="519"/>
      <c r="H1054" s="111"/>
      <c r="I1054">
        <f>E1054*G1035</f>
        <v>0</v>
      </c>
      <c r="J1054" s="58"/>
      <c r="K1054" s="50"/>
      <c r="L1054" s="50"/>
      <c r="M1054" s="50"/>
      <c r="N1054" s="50"/>
      <c r="O1054" s="50"/>
    </row>
    <row r="1055" spans="1:15">
      <c r="A1055" s="517" t="s">
        <v>8</v>
      </c>
      <c r="B1055" s="518">
        <f>VLOOKUP(A1055,'Materiales '!$C$2:$G$396,3,0)</f>
        <v>0</v>
      </c>
      <c r="C1055" s="88">
        <f>VLOOKUP(A1055,'Materiales '!$C$2:$G$396,3,0)</f>
        <v>0</v>
      </c>
      <c r="D1055" s="89" t="str">
        <f>VLOOKUP(A1055,'Materiales '!$C$2:$G$396,4,0)</f>
        <v>-</v>
      </c>
      <c r="E1055" s="90"/>
      <c r="F1055" s="508" t="e">
        <f t="shared" si="62"/>
        <v>#VALUE!</v>
      </c>
      <c r="G1055" s="519"/>
      <c r="H1055" s="111"/>
      <c r="I1055">
        <f>E1055*G1035</f>
        <v>0</v>
      </c>
      <c r="J1055" s="58"/>
      <c r="K1055" s="50"/>
      <c r="L1055" s="50"/>
      <c r="M1055" s="50"/>
      <c r="N1055" s="50"/>
      <c r="O1055" s="50"/>
    </row>
    <row r="1056" spans="1:15">
      <c r="A1056" s="517" t="s">
        <v>8</v>
      </c>
      <c r="B1056" s="518">
        <f>VLOOKUP(A1056,'Materiales '!$C$2:$G$396,3,0)</f>
        <v>0</v>
      </c>
      <c r="C1056" s="88">
        <f>VLOOKUP(A1056,'Materiales '!$C$2:$G$396,3,0)</f>
        <v>0</v>
      </c>
      <c r="D1056" s="89" t="str">
        <f>VLOOKUP(A1056,'Materiales '!$C$2:$G$396,4,0)</f>
        <v>-</v>
      </c>
      <c r="E1056" s="90"/>
      <c r="F1056" s="508" t="e">
        <f t="shared" si="62"/>
        <v>#VALUE!</v>
      </c>
      <c r="G1056" s="519"/>
      <c r="H1056" s="111"/>
      <c r="I1056">
        <f>E1056*G1035</f>
        <v>0</v>
      </c>
      <c r="J1056" s="58"/>
      <c r="K1056" s="50"/>
      <c r="L1056" s="50"/>
      <c r="M1056" s="50"/>
      <c r="N1056" s="50"/>
      <c r="O1056" s="50"/>
    </row>
    <row r="1057" spans="1:15">
      <c r="A1057" s="517" t="s">
        <v>8</v>
      </c>
      <c r="B1057" s="518">
        <f>VLOOKUP(A1057,'Materiales '!$C$2:$G$396,3,0)</f>
        <v>0</v>
      </c>
      <c r="C1057" s="88">
        <f>VLOOKUP(A1057,'Materiales '!$C$2:$G$396,3,0)</f>
        <v>0</v>
      </c>
      <c r="D1057" s="89" t="str">
        <f>VLOOKUP(A1057,'Materiales '!$C$2:$G$396,4,0)</f>
        <v>-</v>
      </c>
      <c r="E1057" s="90"/>
      <c r="F1057" s="508" t="e">
        <f>E1057*D1057</f>
        <v>#VALUE!</v>
      </c>
      <c r="G1057" s="519"/>
      <c r="H1057" s="110"/>
      <c r="I1057">
        <f>E1057*G1035</f>
        <v>0</v>
      </c>
      <c r="J1057" s="58"/>
      <c r="K1057" s="50"/>
      <c r="L1057" s="50"/>
      <c r="M1057" s="50"/>
      <c r="N1057" s="50"/>
      <c r="O1057" s="50"/>
    </row>
    <row r="1058" spans="1:15">
      <c r="A1058" s="520" t="s">
        <v>4098</v>
      </c>
      <c r="B1058" s="521"/>
      <c r="C1058" s="521"/>
      <c r="D1058" s="521"/>
      <c r="E1058" s="521"/>
      <c r="F1058" s="521"/>
      <c r="G1058" s="522"/>
      <c r="H1058" s="106" t="e">
        <f>SUM(F1044:F1057)</f>
        <v>#VALUE!</v>
      </c>
      <c r="J1058" s="58"/>
      <c r="K1058" s="50"/>
      <c r="L1058" s="50"/>
      <c r="M1058" s="50"/>
      <c r="N1058" s="50"/>
      <c r="O1058" s="50"/>
    </row>
    <row r="1059" spans="1:15">
      <c r="A1059" s="523" t="s">
        <v>4220</v>
      </c>
      <c r="B1059" s="524"/>
      <c r="C1059" s="524"/>
      <c r="D1059" s="524"/>
      <c r="E1059" s="525"/>
      <c r="F1059" s="524"/>
      <c r="G1059" s="524"/>
      <c r="H1059" s="526"/>
      <c r="J1059" s="58"/>
      <c r="K1059" s="50"/>
      <c r="L1059" s="50"/>
      <c r="M1059" s="50"/>
      <c r="N1059" s="50"/>
      <c r="O1059" s="50"/>
    </row>
    <row r="1060" spans="1:15">
      <c r="A1060" s="527" t="s">
        <v>7</v>
      </c>
      <c r="B1060" s="528"/>
      <c r="C1060" s="98" t="s">
        <v>4221</v>
      </c>
      <c r="D1060" s="97" t="s">
        <v>4222</v>
      </c>
      <c r="E1060" s="187" t="s">
        <v>4223</v>
      </c>
      <c r="F1060" s="529" t="s">
        <v>4207</v>
      </c>
      <c r="G1060" s="529"/>
      <c r="H1060" s="109"/>
      <c r="K1060" s="50"/>
      <c r="L1060" s="50"/>
      <c r="M1060" s="50"/>
      <c r="N1060" s="50"/>
      <c r="O1060" s="50"/>
    </row>
    <row r="1061" spans="1:15">
      <c r="A1061" s="506" t="s">
        <v>3928</v>
      </c>
      <c r="B1061" s="507"/>
      <c r="C1061" s="213">
        <v>1</v>
      </c>
      <c r="D1061" s="92">
        <v>0.03</v>
      </c>
      <c r="E1061" s="93" t="str">
        <f>VLOOKUP(A1061,'Equip, Herr y Transp'!$B$2:$E$217,3,0)</f>
        <v>TR</v>
      </c>
      <c r="F1061" s="530" t="e">
        <f>E1061*D1061*C1061</f>
        <v>#VALUE!</v>
      </c>
      <c r="G1061" s="531"/>
      <c r="H1061" s="107"/>
      <c r="M1061" s="50"/>
    </row>
    <row r="1062" spans="1:15">
      <c r="A1062" s="532" t="s">
        <v>4205</v>
      </c>
      <c r="B1062" s="533"/>
      <c r="C1062" s="533"/>
      <c r="D1062" s="533"/>
      <c r="E1062" s="533"/>
      <c r="F1062" s="533"/>
      <c r="G1062" s="533"/>
      <c r="H1062" s="95" t="e">
        <f>F1061</f>
        <v>#VALUE!</v>
      </c>
    </row>
    <row r="1063" spans="1:15">
      <c r="A1063" s="523" t="s">
        <v>4224</v>
      </c>
      <c r="B1063" s="524"/>
      <c r="C1063" s="524"/>
      <c r="D1063" s="524"/>
      <c r="E1063" s="524"/>
      <c r="F1063" s="524"/>
      <c r="G1063" s="524"/>
      <c r="H1063" s="526"/>
    </row>
    <row r="1064" spans="1:15">
      <c r="A1064" s="527" t="s">
        <v>7</v>
      </c>
      <c r="B1064" s="528"/>
      <c r="C1064" s="96" t="s">
        <v>1</v>
      </c>
      <c r="D1064" s="97" t="s">
        <v>4225</v>
      </c>
      <c r="E1064" s="98" t="s">
        <v>4204</v>
      </c>
      <c r="F1064" s="527" t="s">
        <v>5</v>
      </c>
      <c r="G1064" s="534"/>
      <c r="H1064" s="109"/>
    </row>
    <row r="1065" spans="1:15">
      <c r="A1065" s="506" t="s">
        <v>4191</v>
      </c>
      <c r="B1065" s="507"/>
      <c r="C1065" s="91">
        <v>1</v>
      </c>
      <c r="D1065" s="94">
        <f>VLOOKUP(A1065,'Mano Obra'!$B$2:$T$117,19,0)</f>
        <v>152456</v>
      </c>
      <c r="E1065" s="218">
        <f>H1028</f>
        <v>6.25E-2</v>
      </c>
      <c r="F1065" s="508">
        <f>E1065*D1065*C1065</f>
        <v>9528.5</v>
      </c>
      <c r="G1065" s="509"/>
      <c r="H1065" s="111"/>
      <c r="I1065" s="59"/>
      <c r="J1065" s="117">
        <f>((('Mano Obra'!$M$4/30)*F1065)/D1065)*G1035</f>
        <v>0</v>
      </c>
    </row>
    <row r="1066" spans="1:15">
      <c r="A1066" s="510" t="s">
        <v>4192</v>
      </c>
      <c r="B1066" s="511">
        <f>VLOOKUP(A1066,'Mano Obra'!$B$3:$D$290,2,0)</f>
        <v>1900000</v>
      </c>
      <c r="C1066" s="91">
        <v>1</v>
      </c>
      <c r="D1066" s="94">
        <f>VLOOKUP(A1066,'Mano Obra'!$B$2:$T$117,19,0)</f>
        <v>110488</v>
      </c>
      <c r="E1066" s="218">
        <f>H1028</f>
        <v>6.25E-2</v>
      </c>
      <c r="F1066" s="508">
        <f t="shared" ref="F1066:F1067" si="63">E1066*D1066*C1066</f>
        <v>6905.5</v>
      </c>
      <c r="G1066" s="509"/>
      <c r="H1066" s="111"/>
      <c r="J1066" s="117">
        <f>((('Mano Obra'!$M$5/30)*F1066)/D1066)*G1035</f>
        <v>0</v>
      </c>
    </row>
    <row r="1067" spans="1:15">
      <c r="A1067" s="510" t="s">
        <v>4181</v>
      </c>
      <c r="B1067" s="511">
        <f>VLOOKUP(A1067,'Mano Obra'!$B$3:$D$290,2,0)</f>
        <v>1000000</v>
      </c>
      <c r="C1067" s="91">
        <v>1</v>
      </c>
      <c r="D1067" s="94">
        <f>VLOOKUP(A1067,'Mano Obra'!$B$2:$T$117,19,0)</f>
        <v>67424</v>
      </c>
      <c r="E1067" s="218">
        <f>H1028</f>
        <v>6.25E-2</v>
      </c>
      <c r="F1067" s="508">
        <f t="shared" si="63"/>
        <v>4214</v>
      </c>
      <c r="G1067" s="509"/>
      <c r="H1067" s="110"/>
      <c r="J1067" s="117">
        <f>((('Mano Obra'!$M$6/30)*F1067)/D1067)*G1035</f>
        <v>0</v>
      </c>
    </row>
    <row r="1068" spans="1:15">
      <c r="A1068" s="512" t="s">
        <v>4100</v>
      </c>
      <c r="B1068" s="512"/>
      <c r="C1068" s="512"/>
      <c r="D1068" s="512"/>
      <c r="E1068" s="512"/>
      <c r="F1068" s="512"/>
      <c r="G1068" s="512"/>
      <c r="H1068" s="95">
        <f>SUM(F1065:F1067)</f>
        <v>20648</v>
      </c>
      <c r="J1068" s="117"/>
    </row>
    <row r="1069" spans="1:15">
      <c r="A1069" s="208" t="s">
        <v>4226</v>
      </c>
      <c r="B1069" s="186"/>
      <c r="C1069" s="186"/>
      <c r="D1069" s="183"/>
      <c r="E1069" s="184"/>
      <c r="F1069" s="185"/>
      <c r="G1069" s="184"/>
      <c r="H1069" s="193"/>
    </row>
    <row r="1070" spans="1:15">
      <c r="A1070" s="513" t="s">
        <v>4213</v>
      </c>
      <c r="B1070" s="514"/>
      <c r="C1070" s="514"/>
      <c r="D1070" s="514"/>
      <c r="E1070" s="181"/>
      <c r="F1070" s="182" t="s">
        <v>4227</v>
      </c>
      <c r="G1070" s="181" t="s">
        <v>4228</v>
      </c>
      <c r="H1070" s="194"/>
    </row>
    <row r="1071" spans="1:15">
      <c r="A1071" s="204" t="s">
        <v>4096</v>
      </c>
      <c r="B1071" s="62"/>
      <c r="C1071" s="62"/>
      <c r="D1071" s="63"/>
      <c r="E1071" s="68"/>
      <c r="F1071" s="69">
        <v>0</v>
      </c>
      <c r="G1071" s="70" t="e">
        <f>F1071*H1036</f>
        <v>#VALUE!</v>
      </c>
      <c r="H1071" s="193"/>
    </row>
    <row r="1072" spans="1:15">
      <c r="A1072" s="205" t="s">
        <v>4229</v>
      </c>
      <c r="B1072" s="71"/>
      <c r="C1072" s="71"/>
      <c r="D1072" s="72"/>
      <c r="E1072" s="68"/>
      <c r="F1072" s="69">
        <v>0</v>
      </c>
      <c r="G1072" s="70" t="e">
        <f>F1072*H1036</f>
        <v>#VALUE!</v>
      </c>
      <c r="H1072" s="193"/>
    </row>
    <row r="1073" spans="1:14">
      <c r="A1073" s="205" t="s">
        <v>4</v>
      </c>
      <c r="B1073" s="71"/>
      <c r="C1073" s="71"/>
      <c r="D1073" s="72"/>
      <c r="E1073" s="68"/>
      <c r="F1073" s="69">
        <v>0</v>
      </c>
      <c r="G1073" s="70" t="e">
        <f>F1073*H1036</f>
        <v>#VALUE!</v>
      </c>
      <c r="H1073" s="193"/>
    </row>
    <row r="1074" spans="1:14">
      <c r="A1074" s="206"/>
      <c r="B1074" s="73"/>
      <c r="C1074" s="65"/>
      <c r="D1074" s="74"/>
      <c r="E1074" s="75"/>
      <c r="F1074" s="76"/>
      <c r="G1074" s="77"/>
      <c r="H1074" s="195"/>
    </row>
    <row r="1075" spans="1:14">
      <c r="A1075" s="207"/>
      <c r="B1075" s="73"/>
      <c r="C1075" s="73"/>
      <c r="D1075" s="74"/>
      <c r="E1075" s="78"/>
      <c r="F1075" s="515" t="s">
        <v>4230</v>
      </c>
      <c r="G1075" s="516"/>
      <c r="H1075" s="214" t="e">
        <f>H1036+G1071+G1072+G1073</f>
        <v>#VALUE!</v>
      </c>
    </row>
    <row r="1076" spans="1:14" ht="15.75" customHeight="1">
      <c r="A1076" s="73"/>
      <c r="B1076" s="73"/>
      <c r="C1076" s="73"/>
      <c r="D1076" s="74"/>
      <c r="E1076" s="360"/>
      <c r="F1076" s="361"/>
      <c r="G1076" s="361"/>
      <c r="H1076" s="362"/>
    </row>
    <row r="1077" spans="1:14" ht="15.75" customHeight="1">
      <c r="A1077" s="73"/>
      <c r="B1077" s="73"/>
      <c r="C1077" s="73"/>
      <c r="D1077" s="74"/>
      <c r="E1077" s="360"/>
      <c r="F1077" s="361"/>
      <c r="G1077" s="361"/>
      <c r="H1077" s="362"/>
    </row>
    <row r="1078" spans="1:14" ht="15.75" customHeight="1">
      <c r="A1078" s="73"/>
      <c r="B1078" s="73"/>
      <c r="C1078" s="73"/>
      <c r="D1078" s="74"/>
      <c r="E1078" s="360"/>
      <c r="F1078" s="361"/>
      <c r="G1078" s="361"/>
      <c r="H1078" s="362"/>
    </row>
    <row r="1079" spans="1:14" ht="15.75" customHeight="1">
      <c r="A1079" s="73"/>
      <c r="B1079" s="73"/>
      <c r="C1079" s="73"/>
      <c r="D1079" s="74"/>
      <c r="E1079" s="360"/>
      <c r="F1079" s="361"/>
      <c r="G1079" s="361"/>
      <c r="H1079" s="362"/>
    </row>
    <row r="1080" spans="1:14">
      <c r="A1080" s="73"/>
      <c r="B1080" s="73"/>
      <c r="C1080" s="73"/>
      <c r="D1080" s="74"/>
      <c r="E1080" s="360"/>
      <c r="F1080" s="361"/>
      <c r="G1080" s="361"/>
      <c r="H1080" s="362"/>
    </row>
    <row r="1081" spans="1:14">
      <c r="A1081" s="80"/>
      <c r="B1081" s="80"/>
      <c r="C1081" s="80"/>
      <c r="D1081" s="80"/>
      <c r="E1081" s="80"/>
      <c r="F1081" s="80"/>
      <c r="G1081" s="80"/>
      <c r="H1081" s="353"/>
    </row>
    <row r="1082" spans="1:14">
      <c r="A1082" s="537" t="s">
        <v>4214</v>
      </c>
      <c r="B1082" s="538"/>
      <c r="C1082" s="538"/>
      <c r="D1082" s="538"/>
      <c r="E1082" s="538"/>
      <c r="F1082" s="538"/>
      <c r="G1082" s="538"/>
      <c r="H1082" s="539"/>
    </row>
    <row r="1083" spans="1:14">
      <c r="A1083" s="81"/>
      <c r="B1083" s="82"/>
      <c r="C1083" s="82"/>
      <c r="D1083" s="82"/>
      <c r="E1083" s="82"/>
      <c r="F1083" s="83"/>
      <c r="G1083" s="84"/>
      <c r="H1083" s="352">
        <f>ROUND((25/60)/8,4)</f>
        <v>5.21E-2</v>
      </c>
      <c r="I1083" s="105"/>
    </row>
    <row r="1084" spans="1:14">
      <c r="A1084" s="540" t="s">
        <v>4209</v>
      </c>
      <c r="B1084" s="542" t="str">
        <f>COSTOS!$C$14</f>
        <v>MODERNIZACION A TECNOLOGIA LED</v>
      </c>
      <c r="C1084" s="542"/>
      <c r="D1084" s="542"/>
      <c r="E1084" s="542"/>
      <c r="F1084" s="542"/>
      <c r="G1084" s="542"/>
      <c r="H1084" s="543" t="s">
        <v>4210</v>
      </c>
    </row>
    <row r="1085" spans="1:14">
      <c r="A1085" s="541"/>
      <c r="B1085" s="542"/>
      <c r="C1085" s="542"/>
      <c r="D1085" s="542"/>
      <c r="E1085" s="542"/>
      <c r="F1085" s="542"/>
      <c r="G1085" s="542"/>
      <c r="H1085" s="543"/>
    </row>
    <row r="1086" spans="1:14">
      <c r="A1086" s="541"/>
      <c r="B1086" s="542"/>
      <c r="C1086" s="542"/>
      <c r="D1086" s="542"/>
      <c r="E1086" s="542"/>
      <c r="F1086" s="542"/>
      <c r="G1086" s="542"/>
      <c r="H1086" s="543"/>
    </row>
    <row r="1087" spans="1:14" ht="15" customHeight="1">
      <c r="A1087" s="541"/>
      <c r="B1087" s="542"/>
      <c r="C1087" s="542"/>
      <c r="D1087" s="542"/>
      <c r="E1087" s="542"/>
      <c r="F1087" s="542"/>
      <c r="G1087" s="542"/>
      <c r="H1087" s="197">
        <f ca="1">TODAY()</f>
        <v>44889</v>
      </c>
      <c r="K1087" t="s">
        <v>4380</v>
      </c>
      <c r="L1087" t="s">
        <v>4381</v>
      </c>
      <c r="M1087" t="s">
        <v>4382</v>
      </c>
      <c r="N1087" t="s">
        <v>4383</v>
      </c>
    </row>
    <row r="1088" spans="1:14" ht="60.75" customHeight="1">
      <c r="A1088" s="209" t="s">
        <v>4211</v>
      </c>
      <c r="B1088" s="544" t="str">
        <f>COSTOS!$D$16</f>
        <v>Luminarias</v>
      </c>
      <c r="C1088" s="544"/>
      <c r="D1088" s="544"/>
      <c r="E1088" s="544"/>
      <c r="F1088" s="544"/>
      <c r="G1088" s="60" t="s">
        <v>4212</v>
      </c>
      <c r="H1088" s="363">
        <v>1.22</v>
      </c>
      <c r="K1088" s="55" t="e">
        <f>H1113</f>
        <v>#VALUE!</v>
      </c>
      <c r="L1088" s="55">
        <f>H1123</f>
        <v>17212.1728</v>
      </c>
      <c r="M1088" s="55" t="e">
        <f>H1096</f>
        <v>#VALUE!</v>
      </c>
      <c r="N1088" s="55" t="e">
        <f>H1117</f>
        <v>#VALUE!</v>
      </c>
    </row>
    <row r="1089" spans="1:15" ht="43.2" customHeight="1">
      <c r="A1089" s="210" t="s">
        <v>4213</v>
      </c>
      <c r="B1089" s="545" t="str">
        <f>VLOOKUP(H1088,COSTOS!C:M,2,0)</f>
        <v>Luminaria Sodio 70w</v>
      </c>
      <c r="C1089" s="546"/>
      <c r="D1089" s="546"/>
      <c r="E1089" s="547"/>
      <c r="F1089" s="61" t="s">
        <v>0</v>
      </c>
      <c r="G1089" s="328" t="str">
        <f>VLOOKUP(H1088,COSTOS!C:M,8,0)</f>
        <v>Und</v>
      </c>
      <c r="H1089" s="248"/>
      <c r="I1089" s="278"/>
      <c r="J1089" s="280"/>
      <c r="K1089" s="280"/>
      <c r="L1089" s="280"/>
    </row>
    <row r="1090" spans="1:15">
      <c r="A1090" s="211"/>
      <c r="B1090" s="102"/>
      <c r="C1090" s="102"/>
      <c r="D1090" s="102"/>
      <c r="E1090" s="103"/>
      <c r="F1090" s="104" t="s">
        <v>1</v>
      </c>
      <c r="G1090" s="328">
        <f>VLOOKUP(H1088,COSTOS!C:M,9,0)</f>
        <v>0</v>
      </c>
      <c r="H1090" s="329"/>
      <c r="I1090" s="279"/>
    </row>
    <row r="1091" spans="1:15">
      <c r="A1091" s="212" t="s">
        <v>4215</v>
      </c>
      <c r="B1091" s="65"/>
      <c r="C1091" s="65"/>
      <c r="D1091" s="66"/>
      <c r="E1091" s="190"/>
      <c r="F1091" s="191"/>
      <c r="G1091" s="192" t="s">
        <v>4216</v>
      </c>
      <c r="H1091" s="198" t="e">
        <f>H1096+H1113+H1117+H1123</f>
        <v>#VALUE!</v>
      </c>
    </row>
    <row r="1092" spans="1:15" ht="41.4">
      <c r="A1092" s="548" t="s">
        <v>4213</v>
      </c>
      <c r="B1092" s="548"/>
      <c r="C1092" s="548"/>
      <c r="D1092" s="67" t="s">
        <v>0</v>
      </c>
      <c r="E1092" s="188" t="s">
        <v>4217</v>
      </c>
      <c r="F1092" s="189" t="s">
        <v>4204</v>
      </c>
      <c r="G1092" s="64" t="s">
        <v>2</v>
      </c>
      <c r="H1092" s="199" t="s">
        <v>4218</v>
      </c>
      <c r="K1092" s="281"/>
    </row>
    <row r="1093" spans="1:15">
      <c r="A1093" s="517" t="s">
        <v>3946</v>
      </c>
      <c r="B1093" s="549">
        <f>VLOOKUP(A1093,'Equip, Herr y Transp'!$B$2:$E$738,2,0)</f>
        <v>2</v>
      </c>
      <c r="C1093" s="549"/>
      <c r="D1093" s="85">
        <f>VLOOKUP(A1093,'Equip, Herr y Transp'!$B$2:$E$217,2,0)</f>
        <v>2</v>
      </c>
      <c r="E1093" s="85" t="str">
        <f>VLOOKUP(A1093,'Equip, Herr y Transp'!$B$2:$E$217,3,0)</f>
        <v>EQU</v>
      </c>
      <c r="F1093" s="86">
        <f>H1083</f>
        <v>5.21E-2</v>
      </c>
      <c r="G1093" s="112" t="e">
        <f>F1093*E1093</f>
        <v>#VALUE!</v>
      </c>
      <c r="H1093" s="108"/>
    </row>
    <row r="1094" spans="1:15">
      <c r="A1094" s="517" t="s">
        <v>3904</v>
      </c>
      <c r="B1094" s="549">
        <f>VLOOKUP(A1094,'Equip, Herr y Transp'!$B$2:$E$738,2,0)</f>
        <v>2</v>
      </c>
      <c r="C1094" s="549"/>
      <c r="D1094" s="85">
        <f>VLOOKUP(A1094,'Equip, Herr y Transp'!$B$2:$E$217,2,0)</f>
        <v>2</v>
      </c>
      <c r="E1094" s="85" t="str">
        <f>VLOOKUP(A1094,'Equip, Herr y Transp'!$B$2:$E$217,3,0)</f>
        <v>EQU</v>
      </c>
      <c r="F1094" s="86">
        <f>H1083</f>
        <v>5.21E-2</v>
      </c>
      <c r="G1094" s="112" t="e">
        <f>F1094*E1094</f>
        <v>#VALUE!</v>
      </c>
      <c r="H1094" s="107"/>
    </row>
    <row r="1095" spans="1:15">
      <c r="A1095" s="517" t="s">
        <v>3937</v>
      </c>
      <c r="B1095" s="549">
        <f>VLOOKUP(A1095,'Equip, Herr y Transp'!$B$2:$E$738,2,0)</f>
        <v>2</v>
      </c>
      <c r="C1095" s="549"/>
      <c r="D1095" s="85">
        <f>VLOOKUP(A1095,'Equip, Herr y Transp'!$B$2:$E$217,2,0)</f>
        <v>2</v>
      </c>
      <c r="E1095" s="85" t="str">
        <f>VLOOKUP(A1095,'Equip, Herr y Transp'!$B$2:$E$217,3,0)</f>
        <v>EQU</v>
      </c>
      <c r="F1095" s="86">
        <f>H1083</f>
        <v>5.21E-2</v>
      </c>
      <c r="G1095" s="112" t="e">
        <f>F1095*E1095</f>
        <v>#VALUE!</v>
      </c>
      <c r="H1095" s="107"/>
    </row>
    <row r="1096" spans="1:15">
      <c r="A1096" s="520" t="s">
        <v>4099</v>
      </c>
      <c r="B1096" s="521"/>
      <c r="C1096" s="521"/>
      <c r="D1096" s="521"/>
      <c r="E1096" s="521"/>
      <c r="F1096" s="521"/>
      <c r="G1096" s="521"/>
      <c r="H1096" s="87" t="e">
        <f>SUM(G1093:G1095)</f>
        <v>#VALUE!</v>
      </c>
    </row>
    <row r="1097" spans="1:15">
      <c r="A1097" s="550" t="s">
        <v>4219</v>
      </c>
      <c r="B1097" s="551"/>
      <c r="C1097" s="551"/>
      <c r="D1097" s="551"/>
      <c r="E1097" s="551"/>
      <c r="F1097" s="551"/>
      <c r="G1097" s="551"/>
      <c r="H1097" s="552"/>
      <c r="K1097" s="50"/>
      <c r="L1097" s="50"/>
      <c r="M1097" s="50"/>
      <c r="N1097" s="50"/>
      <c r="O1097" s="50"/>
    </row>
    <row r="1098" spans="1:15" ht="30" customHeight="1">
      <c r="A1098" s="553" t="s">
        <v>7</v>
      </c>
      <c r="B1098" s="554"/>
      <c r="C1098" s="99" t="s">
        <v>0</v>
      </c>
      <c r="D1098" s="100" t="s">
        <v>4097</v>
      </c>
      <c r="E1098" s="101" t="s">
        <v>1</v>
      </c>
      <c r="F1098" s="555" t="s">
        <v>4207</v>
      </c>
      <c r="G1098" s="555"/>
      <c r="H1098" s="196"/>
      <c r="K1098" s="50"/>
      <c r="L1098" s="50"/>
      <c r="M1098" s="50"/>
      <c r="N1098" s="50"/>
      <c r="O1098" s="50"/>
    </row>
    <row r="1099" spans="1:15">
      <c r="A1099" s="535" t="s">
        <v>4663</v>
      </c>
      <c r="B1099" s="536"/>
      <c r="C1099" s="88">
        <f>VLOOKUP(A1099,'Materiales '!$C$2:$G$396,3,0)</f>
        <v>4</v>
      </c>
      <c r="D1099" s="89" t="str">
        <f>VLOOKUP(A1099,'Materiales '!$C$2:$G$396,4,0)</f>
        <v>Und</v>
      </c>
      <c r="E1099" s="90">
        <v>1</v>
      </c>
      <c r="F1099" s="508" t="e">
        <f>E1099*D1099</f>
        <v>#VALUE!</v>
      </c>
      <c r="G1099" s="519"/>
      <c r="H1099" s="111"/>
      <c r="I1099">
        <f>E1099*G1090</f>
        <v>0</v>
      </c>
      <c r="J1099" s="57"/>
      <c r="K1099" s="50"/>
      <c r="L1099" s="50"/>
      <c r="M1099" s="50"/>
      <c r="N1099" s="50"/>
      <c r="O1099" s="50"/>
    </row>
    <row r="1100" spans="1:15">
      <c r="A1100" s="535" t="s">
        <v>4203</v>
      </c>
      <c r="B1100" s="536"/>
      <c r="C1100" s="88">
        <f>VLOOKUP(A1100,'Materiales '!$C$2:$G$396,3,0)</f>
        <v>4</v>
      </c>
      <c r="D1100" s="89" t="str">
        <f>VLOOKUP(A1100,'Materiales '!$C$2:$G$396,4,0)</f>
        <v>Und</v>
      </c>
      <c r="E1100" s="90">
        <v>1</v>
      </c>
      <c r="F1100" s="508" t="e">
        <f t="shared" ref="F1100:F1106" si="64">E1100*D1100</f>
        <v>#VALUE!</v>
      </c>
      <c r="G1100" s="519"/>
      <c r="H1100" s="111"/>
      <c r="I1100">
        <f>E1100*G1090</f>
        <v>0</v>
      </c>
      <c r="J1100" s="57"/>
      <c r="K1100" s="50"/>
      <c r="L1100" s="50"/>
      <c r="M1100" s="50"/>
      <c r="N1100" s="50"/>
      <c r="O1100" s="50"/>
    </row>
    <row r="1101" spans="1:15">
      <c r="A1101" s="517" t="s">
        <v>4473</v>
      </c>
      <c r="B1101" s="518">
        <f>VLOOKUP(A1101,'Materiales '!$C$2:$G$396,3,0)</f>
        <v>4</v>
      </c>
      <c r="C1101" s="88">
        <f>VLOOKUP(A1101,'Materiales '!$C$2:$G$396,3,0)</f>
        <v>4</v>
      </c>
      <c r="D1101" s="89" t="str">
        <f>VLOOKUP(A1101,'Materiales '!$C$2:$G$396,4,0)</f>
        <v>Und</v>
      </c>
      <c r="E1101" s="90">
        <v>2</v>
      </c>
      <c r="F1101" s="508" t="e">
        <f t="shared" si="64"/>
        <v>#VALUE!</v>
      </c>
      <c r="G1101" s="519"/>
      <c r="H1101" s="111"/>
      <c r="I1101">
        <f>E1101*G1090</f>
        <v>0</v>
      </c>
      <c r="J1101" s="58"/>
      <c r="K1101" s="50"/>
      <c r="L1101" s="50"/>
      <c r="M1101" s="50"/>
      <c r="N1101" s="50"/>
      <c r="O1101" s="50"/>
    </row>
    <row r="1102" spans="1:15">
      <c r="A1102" s="517" t="s">
        <v>4478</v>
      </c>
      <c r="B1102" s="518">
        <f>VLOOKUP(A1102,'Materiales '!$C$2:$G$396,3,0)</f>
        <v>4</v>
      </c>
      <c r="C1102" s="88">
        <f>VLOOKUP(A1102,'Materiales '!$C$2:$G$396,3,0)</f>
        <v>4</v>
      </c>
      <c r="D1102" s="89" t="str">
        <f>VLOOKUP(A1102,'Materiales '!$C$2:$G$396,4,0)</f>
        <v>Und</v>
      </c>
      <c r="E1102" s="90">
        <v>3</v>
      </c>
      <c r="F1102" s="508" t="e">
        <f t="shared" si="64"/>
        <v>#VALUE!</v>
      </c>
      <c r="G1102" s="519"/>
      <c r="H1102" s="111"/>
      <c r="I1102">
        <f>E1102*G1090</f>
        <v>0</v>
      </c>
      <c r="J1102" s="58"/>
      <c r="K1102" s="50"/>
      <c r="L1102" s="50"/>
      <c r="M1102" s="50"/>
      <c r="N1102" s="50"/>
      <c r="O1102" s="50"/>
    </row>
    <row r="1103" spans="1:15">
      <c r="A1103" s="517" t="s">
        <v>4543</v>
      </c>
      <c r="B1103" s="518">
        <f>VLOOKUP(A1103,'Materiales '!$C$2:$G$396,3,0)</f>
        <v>4</v>
      </c>
      <c r="C1103" s="88">
        <f>VLOOKUP(A1103,'Materiales '!$C$2:$G$396,3,0)</f>
        <v>4</v>
      </c>
      <c r="D1103" s="89" t="str">
        <f>VLOOKUP(A1103,'Materiales '!$C$2:$G$396,4,0)</f>
        <v>Und</v>
      </c>
      <c r="E1103" s="90">
        <v>2</v>
      </c>
      <c r="F1103" s="508" t="e">
        <f t="shared" si="64"/>
        <v>#VALUE!</v>
      </c>
      <c r="G1103" s="519"/>
      <c r="H1103" s="111"/>
      <c r="I1103">
        <f>E1103*G1090</f>
        <v>0</v>
      </c>
      <c r="J1103" s="58"/>
      <c r="K1103" s="50"/>
      <c r="L1103" s="50"/>
      <c r="M1103" s="50"/>
      <c r="N1103" s="50"/>
      <c r="O1103" s="50"/>
    </row>
    <row r="1104" spans="1:15">
      <c r="A1104" s="517" t="s">
        <v>4439</v>
      </c>
      <c r="B1104" s="518">
        <f>VLOOKUP(A1104,'Materiales '!$C$2:$G$396,3,0)</f>
        <v>2</v>
      </c>
      <c r="C1104" s="88">
        <f>VLOOKUP(A1104,'Materiales '!$C$2:$G$396,3,0)</f>
        <v>2</v>
      </c>
      <c r="D1104" s="89" t="str">
        <f>VLOOKUP(A1104,'Materiales '!$C$2:$G$396,4,0)</f>
        <v>Ml</v>
      </c>
      <c r="E1104" s="90">
        <v>1</v>
      </c>
      <c r="F1104" s="508" t="e">
        <f t="shared" si="64"/>
        <v>#VALUE!</v>
      </c>
      <c r="G1104" s="519"/>
      <c r="H1104" s="111"/>
      <c r="I1104">
        <f>E1104*G1090</f>
        <v>0</v>
      </c>
      <c r="J1104" s="58"/>
      <c r="K1104" s="50"/>
      <c r="L1104" s="50"/>
      <c r="M1104" s="50"/>
      <c r="N1104" s="50"/>
      <c r="O1104" s="50"/>
    </row>
    <row r="1105" spans="1:15">
      <c r="A1105" s="517" t="s">
        <v>4482</v>
      </c>
      <c r="B1105" s="518">
        <f>VLOOKUP(A1105,'Materiales '!$C$2:$G$396,3,0)</f>
        <v>4</v>
      </c>
      <c r="C1105" s="88">
        <f>VLOOKUP(A1105,'Materiales '!$C$2:$G$396,3,0)</f>
        <v>4</v>
      </c>
      <c r="D1105" s="89" t="str">
        <f>VLOOKUP(A1105,'Materiales '!$C$2:$G$396,4,0)</f>
        <v>Und</v>
      </c>
      <c r="E1105" s="90">
        <v>3</v>
      </c>
      <c r="F1105" s="508" t="e">
        <f t="shared" si="64"/>
        <v>#VALUE!</v>
      </c>
      <c r="G1105" s="519"/>
      <c r="H1105" s="111"/>
      <c r="I1105">
        <f>E1105*G1090</f>
        <v>0</v>
      </c>
      <c r="J1105" s="58"/>
      <c r="K1105" s="50"/>
      <c r="L1105" s="50"/>
      <c r="M1105" s="50"/>
      <c r="N1105" s="50"/>
      <c r="O1105" s="50"/>
    </row>
    <row r="1106" spans="1:15" ht="21.75" customHeight="1">
      <c r="A1106" s="517" t="s">
        <v>4424</v>
      </c>
      <c r="B1106" s="518">
        <f>VLOOKUP(A1106,'Materiales '!$C$2:$G$396,3,0)</f>
        <v>4</v>
      </c>
      <c r="C1106" s="88">
        <f>VLOOKUP(A1106,'Materiales '!$C$2:$G$396,3,0)</f>
        <v>4</v>
      </c>
      <c r="D1106" s="89" t="str">
        <f>VLOOKUP(A1106,'Materiales '!$C$2:$G$396,4,0)</f>
        <v>Und</v>
      </c>
      <c r="E1106" s="90">
        <v>1</v>
      </c>
      <c r="F1106" s="508" t="e">
        <f t="shared" si="64"/>
        <v>#VALUE!</v>
      </c>
      <c r="G1106" s="519"/>
      <c r="H1106" s="111"/>
      <c r="I1106">
        <f>E1106*G1090</f>
        <v>0</v>
      </c>
      <c r="J1106" s="58"/>
      <c r="K1106" s="50"/>
      <c r="L1106" s="50"/>
      <c r="M1106" s="50"/>
      <c r="N1106" s="50"/>
      <c r="O1106" s="50"/>
    </row>
    <row r="1107" spans="1:15">
      <c r="A1107" s="517" t="s">
        <v>8</v>
      </c>
      <c r="B1107" s="518">
        <f>VLOOKUP(A1107,'Materiales '!$C$2:$G$396,3,0)</f>
        <v>0</v>
      </c>
      <c r="C1107" s="88">
        <f>VLOOKUP(A1107,'Materiales '!$C$2:$G$396,3,0)</f>
        <v>0</v>
      </c>
      <c r="D1107" s="89" t="str">
        <f>VLOOKUP(A1107,'Materiales '!$C$2:$G$396,4,0)</f>
        <v>-</v>
      </c>
      <c r="E1107" s="90"/>
      <c r="F1107" s="508" t="e">
        <f>E1107*D1107</f>
        <v>#VALUE!</v>
      </c>
      <c r="G1107" s="519"/>
      <c r="H1107" s="110"/>
      <c r="I1107">
        <f>E1107*G1090</f>
        <v>0</v>
      </c>
      <c r="J1107" s="58"/>
      <c r="K1107" s="50"/>
      <c r="L1107" s="50"/>
      <c r="M1107" s="50"/>
      <c r="N1107" s="50"/>
      <c r="O1107" s="50"/>
    </row>
    <row r="1108" spans="1:15">
      <c r="A1108" s="517" t="s">
        <v>8</v>
      </c>
      <c r="B1108" s="518">
        <f>VLOOKUP(A1108,'Materiales '!$C$2:$G$396,3,0)</f>
        <v>0</v>
      </c>
      <c r="C1108" s="88">
        <f>VLOOKUP(A1108,'Materiales '!$C$2:$G$396,3,0)</f>
        <v>0</v>
      </c>
      <c r="D1108" s="89" t="str">
        <f>VLOOKUP(A1108,'Materiales '!$C$2:$G$396,4,0)</f>
        <v>-</v>
      </c>
      <c r="E1108" s="90"/>
      <c r="F1108" s="508" t="e">
        <f t="shared" ref="F1108:F1111" si="65">E1108*D1108</f>
        <v>#VALUE!</v>
      </c>
      <c r="G1108" s="519"/>
      <c r="H1108" s="111"/>
      <c r="I1108">
        <f>E1108*G1090</f>
        <v>0</v>
      </c>
      <c r="J1108" s="58"/>
      <c r="K1108" s="50"/>
      <c r="L1108" s="50"/>
      <c r="M1108" s="50"/>
      <c r="N1108" s="50"/>
      <c r="O1108" s="50"/>
    </row>
    <row r="1109" spans="1:15">
      <c r="A1109" s="517" t="s">
        <v>8</v>
      </c>
      <c r="B1109" s="518">
        <f>VLOOKUP(A1109,'Materiales '!$C$2:$G$396,3,0)</f>
        <v>0</v>
      </c>
      <c r="C1109" s="88">
        <f>VLOOKUP(A1109,'Materiales '!$C$2:$G$396,3,0)</f>
        <v>0</v>
      </c>
      <c r="D1109" s="89" t="str">
        <f>VLOOKUP(A1109,'Materiales '!$C$2:$G$396,4,0)</f>
        <v>-</v>
      </c>
      <c r="E1109" s="90"/>
      <c r="F1109" s="508" t="e">
        <f t="shared" si="65"/>
        <v>#VALUE!</v>
      </c>
      <c r="G1109" s="519"/>
      <c r="H1109" s="111"/>
      <c r="I1109">
        <f>E1109*G1090</f>
        <v>0</v>
      </c>
      <c r="J1109" s="58"/>
      <c r="K1109" s="50"/>
      <c r="L1109" s="50"/>
      <c r="M1109" s="50"/>
      <c r="N1109" s="50"/>
      <c r="O1109" s="50"/>
    </row>
    <row r="1110" spans="1:15">
      <c r="A1110" s="517" t="s">
        <v>8</v>
      </c>
      <c r="B1110" s="518">
        <f>VLOOKUP(A1110,'Materiales '!$C$2:$G$396,3,0)</f>
        <v>0</v>
      </c>
      <c r="C1110" s="88">
        <f>VLOOKUP(A1110,'Materiales '!$C$2:$G$396,3,0)</f>
        <v>0</v>
      </c>
      <c r="D1110" s="89" t="str">
        <f>VLOOKUP(A1110,'Materiales '!$C$2:$G$396,4,0)</f>
        <v>-</v>
      </c>
      <c r="E1110" s="90"/>
      <c r="F1110" s="508" t="e">
        <f t="shared" si="65"/>
        <v>#VALUE!</v>
      </c>
      <c r="G1110" s="519"/>
      <c r="H1110" s="111"/>
      <c r="I1110">
        <f>E1110*G1090</f>
        <v>0</v>
      </c>
      <c r="J1110" s="58"/>
      <c r="K1110" s="50"/>
      <c r="L1110" s="50"/>
      <c r="M1110" s="50"/>
      <c r="N1110" s="50"/>
      <c r="O1110" s="50"/>
    </row>
    <row r="1111" spans="1:15">
      <c r="A1111" s="517" t="s">
        <v>8</v>
      </c>
      <c r="B1111" s="518">
        <f>VLOOKUP(A1111,'Materiales '!$C$2:$G$396,3,0)</f>
        <v>0</v>
      </c>
      <c r="C1111" s="88">
        <f>VLOOKUP(A1111,'Materiales '!$C$2:$G$396,3,0)</f>
        <v>0</v>
      </c>
      <c r="D1111" s="89" t="str">
        <f>VLOOKUP(A1111,'Materiales '!$C$2:$G$396,4,0)</f>
        <v>-</v>
      </c>
      <c r="E1111" s="90"/>
      <c r="F1111" s="508" t="e">
        <f t="shared" si="65"/>
        <v>#VALUE!</v>
      </c>
      <c r="G1111" s="519"/>
      <c r="H1111" s="111"/>
      <c r="I1111">
        <f>E1111*G1090</f>
        <v>0</v>
      </c>
      <c r="J1111" s="58"/>
      <c r="K1111" s="50"/>
      <c r="L1111" s="50"/>
      <c r="M1111" s="50"/>
      <c r="N1111" s="50"/>
      <c r="O1111" s="50"/>
    </row>
    <row r="1112" spans="1:15">
      <c r="A1112" s="517" t="s">
        <v>8</v>
      </c>
      <c r="B1112" s="518">
        <f>VLOOKUP(A1112,'Materiales '!$C$2:$G$396,3,0)</f>
        <v>0</v>
      </c>
      <c r="C1112" s="88">
        <f>VLOOKUP(A1112,'Materiales '!$C$2:$G$396,3,0)</f>
        <v>0</v>
      </c>
      <c r="D1112" s="89" t="str">
        <f>VLOOKUP(A1112,'Materiales '!$C$2:$G$396,4,0)</f>
        <v>-</v>
      </c>
      <c r="E1112" s="90"/>
      <c r="F1112" s="508" t="e">
        <f>E1112*D1112</f>
        <v>#VALUE!</v>
      </c>
      <c r="G1112" s="519"/>
      <c r="H1112" s="110"/>
      <c r="I1112">
        <f>E1112*G1090</f>
        <v>0</v>
      </c>
      <c r="J1112" s="58"/>
      <c r="K1112" s="50"/>
      <c r="L1112" s="50"/>
      <c r="M1112" s="50"/>
      <c r="N1112" s="50"/>
      <c r="O1112" s="50"/>
    </row>
    <row r="1113" spans="1:15">
      <c r="A1113" s="520" t="s">
        <v>4098</v>
      </c>
      <c r="B1113" s="521"/>
      <c r="C1113" s="521"/>
      <c r="D1113" s="521"/>
      <c r="E1113" s="521"/>
      <c r="F1113" s="521"/>
      <c r="G1113" s="522"/>
      <c r="H1113" s="106" t="e">
        <f>SUM(F1099:F1112)</f>
        <v>#VALUE!</v>
      </c>
      <c r="J1113" s="58"/>
      <c r="K1113" s="50"/>
      <c r="L1113" s="50"/>
      <c r="M1113" s="50"/>
      <c r="N1113" s="50"/>
      <c r="O1113" s="50"/>
    </row>
    <row r="1114" spans="1:15">
      <c r="A1114" s="523" t="s">
        <v>4220</v>
      </c>
      <c r="B1114" s="524"/>
      <c r="C1114" s="524"/>
      <c r="D1114" s="524"/>
      <c r="E1114" s="525"/>
      <c r="F1114" s="524"/>
      <c r="G1114" s="524"/>
      <c r="H1114" s="526"/>
      <c r="J1114" s="58"/>
      <c r="K1114" s="50"/>
      <c r="L1114" s="50"/>
      <c r="M1114" s="50"/>
      <c r="N1114" s="50"/>
      <c r="O1114" s="50"/>
    </row>
    <row r="1115" spans="1:15">
      <c r="A1115" s="527" t="s">
        <v>7</v>
      </c>
      <c r="B1115" s="528"/>
      <c r="C1115" s="98" t="s">
        <v>4221</v>
      </c>
      <c r="D1115" s="97" t="s">
        <v>4222</v>
      </c>
      <c r="E1115" s="187" t="s">
        <v>4223</v>
      </c>
      <c r="F1115" s="529" t="s">
        <v>4207</v>
      </c>
      <c r="G1115" s="529"/>
      <c r="H1115" s="109"/>
      <c r="K1115" s="50"/>
      <c r="L1115" s="50"/>
      <c r="M1115" s="50"/>
      <c r="N1115" s="50"/>
      <c r="O1115" s="50"/>
    </row>
    <row r="1116" spans="1:15">
      <c r="A1116" s="506" t="s">
        <v>3928</v>
      </c>
      <c r="B1116" s="507"/>
      <c r="C1116" s="213">
        <v>1</v>
      </c>
      <c r="D1116" s="92">
        <v>0.03</v>
      </c>
      <c r="E1116" s="93" t="str">
        <f>VLOOKUP(A1116,'Equip, Herr y Transp'!$B$2:$E$217,3,0)</f>
        <v>TR</v>
      </c>
      <c r="F1116" s="530" t="e">
        <f>E1116*D1116*C1116</f>
        <v>#VALUE!</v>
      </c>
      <c r="G1116" s="531"/>
      <c r="H1116" s="107"/>
      <c r="M1116" s="50"/>
    </row>
    <row r="1117" spans="1:15">
      <c r="A1117" s="532" t="s">
        <v>4205</v>
      </c>
      <c r="B1117" s="533"/>
      <c r="C1117" s="533"/>
      <c r="D1117" s="533"/>
      <c r="E1117" s="533"/>
      <c r="F1117" s="533"/>
      <c r="G1117" s="533"/>
      <c r="H1117" s="95" t="e">
        <f>F1116</f>
        <v>#VALUE!</v>
      </c>
    </row>
    <row r="1118" spans="1:15">
      <c r="A1118" s="523" t="s">
        <v>4224</v>
      </c>
      <c r="B1118" s="524"/>
      <c r="C1118" s="524"/>
      <c r="D1118" s="524"/>
      <c r="E1118" s="524"/>
      <c r="F1118" s="524"/>
      <c r="G1118" s="524"/>
      <c r="H1118" s="526"/>
    </row>
    <row r="1119" spans="1:15">
      <c r="A1119" s="527" t="s">
        <v>7</v>
      </c>
      <c r="B1119" s="528"/>
      <c r="C1119" s="96" t="s">
        <v>1</v>
      </c>
      <c r="D1119" s="97" t="s">
        <v>4225</v>
      </c>
      <c r="E1119" s="98" t="s">
        <v>4204</v>
      </c>
      <c r="F1119" s="527" t="s">
        <v>5</v>
      </c>
      <c r="G1119" s="534"/>
      <c r="H1119" s="109"/>
    </row>
    <row r="1120" spans="1:15">
      <c r="A1120" s="506" t="s">
        <v>4191</v>
      </c>
      <c r="B1120" s="507"/>
      <c r="C1120" s="91">
        <v>1</v>
      </c>
      <c r="D1120" s="94">
        <f>VLOOKUP(A1120,'Mano Obra'!$B$2:$T$117,19,0)</f>
        <v>152456</v>
      </c>
      <c r="E1120" s="218">
        <f>H1083</f>
        <v>5.21E-2</v>
      </c>
      <c r="F1120" s="508">
        <f>E1120*D1120*C1120</f>
        <v>7942.9575999999997</v>
      </c>
      <c r="G1120" s="509"/>
      <c r="H1120" s="111"/>
      <c r="I1120" s="59"/>
      <c r="J1120" s="117">
        <f>((('Mano Obra'!$M$4/30)*F1120)/D1120)*G1090</f>
        <v>0</v>
      </c>
    </row>
    <row r="1121" spans="1:10">
      <c r="A1121" s="510" t="s">
        <v>4192</v>
      </c>
      <c r="B1121" s="511">
        <f>VLOOKUP(A1121,'Mano Obra'!$B$3:$D$290,2,0)</f>
        <v>1900000</v>
      </c>
      <c r="C1121" s="91">
        <v>1</v>
      </c>
      <c r="D1121" s="94">
        <f>VLOOKUP(A1121,'Mano Obra'!$B$2:$T$117,19,0)</f>
        <v>110488</v>
      </c>
      <c r="E1121" s="218">
        <f>H1083</f>
        <v>5.21E-2</v>
      </c>
      <c r="F1121" s="508">
        <f t="shared" ref="F1121:F1122" si="66">E1121*D1121*C1121</f>
        <v>5756.4247999999998</v>
      </c>
      <c r="G1121" s="509"/>
      <c r="H1121" s="111"/>
      <c r="J1121" s="117">
        <f>((('Mano Obra'!$M$5/30)*F1121)/D1121)*G1090</f>
        <v>0</v>
      </c>
    </row>
    <row r="1122" spans="1:10">
      <c r="A1122" s="510" t="s">
        <v>4181</v>
      </c>
      <c r="B1122" s="511">
        <f>VLOOKUP(A1122,'Mano Obra'!$B$3:$D$290,2,0)</f>
        <v>1000000</v>
      </c>
      <c r="C1122" s="91">
        <v>1</v>
      </c>
      <c r="D1122" s="94">
        <f>VLOOKUP(A1122,'Mano Obra'!$B$2:$T$117,19,0)</f>
        <v>67424</v>
      </c>
      <c r="E1122" s="218">
        <f>H1083</f>
        <v>5.21E-2</v>
      </c>
      <c r="F1122" s="508">
        <f t="shared" si="66"/>
        <v>3512.7903999999999</v>
      </c>
      <c r="G1122" s="509"/>
      <c r="H1122" s="110"/>
      <c r="J1122" s="117">
        <f>((('Mano Obra'!$M$6/30)*F1122)/D1122)*G1090</f>
        <v>0</v>
      </c>
    </row>
    <row r="1123" spans="1:10">
      <c r="A1123" s="512" t="s">
        <v>4100</v>
      </c>
      <c r="B1123" s="512"/>
      <c r="C1123" s="512"/>
      <c r="D1123" s="512"/>
      <c r="E1123" s="512"/>
      <c r="F1123" s="512"/>
      <c r="G1123" s="512"/>
      <c r="H1123" s="95">
        <f>SUM(F1120:F1122)</f>
        <v>17212.1728</v>
      </c>
      <c r="J1123" s="117"/>
    </row>
    <row r="1124" spans="1:10">
      <c r="A1124" s="208" t="s">
        <v>4226</v>
      </c>
      <c r="B1124" s="186"/>
      <c r="C1124" s="186"/>
      <c r="D1124" s="183"/>
      <c r="E1124" s="184"/>
      <c r="F1124" s="185"/>
      <c r="G1124" s="184"/>
      <c r="H1124" s="193"/>
    </row>
    <row r="1125" spans="1:10">
      <c r="A1125" s="513" t="s">
        <v>4213</v>
      </c>
      <c r="B1125" s="514"/>
      <c r="C1125" s="514"/>
      <c r="D1125" s="514"/>
      <c r="E1125" s="181"/>
      <c r="F1125" s="182" t="s">
        <v>4227</v>
      </c>
      <c r="G1125" s="181" t="s">
        <v>4228</v>
      </c>
      <c r="H1125" s="194"/>
    </row>
    <row r="1126" spans="1:10">
      <c r="A1126" s="204" t="s">
        <v>4096</v>
      </c>
      <c r="B1126" s="62"/>
      <c r="C1126" s="62"/>
      <c r="D1126" s="63"/>
      <c r="E1126" s="68"/>
      <c r="F1126" s="69">
        <v>0</v>
      </c>
      <c r="G1126" s="70" t="e">
        <f>F1126*H1091</f>
        <v>#VALUE!</v>
      </c>
      <c r="H1126" s="193"/>
    </row>
    <row r="1127" spans="1:10">
      <c r="A1127" s="205" t="s">
        <v>4229</v>
      </c>
      <c r="B1127" s="71"/>
      <c r="C1127" s="71"/>
      <c r="D1127" s="72"/>
      <c r="E1127" s="68"/>
      <c r="F1127" s="69">
        <v>0</v>
      </c>
      <c r="G1127" s="70" t="e">
        <f>F1127*H1091</f>
        <v>#VALUE!</v>
      </c>
      <c r="H1127" s="193"/>
    </row>
    <row r="1128" spans="1:10">
      <c r="A1128" s="205" t="s">
        <v>4</v>
      </c>
      <c r="B1128" s="71"/>
      <c r="C1128" s="71"/>
      <c r="D1128" s="72"/>
      <c r="E1128" s="68"/>
      <c r="F1128" s="69">
        <v>0</v>
      </c>
      <c r="G1128" s="70" t="e">
        <f>F1128*H1091</f>
        <v>#VALUE!</v>
      </c>
      <c r="H1128" s="193"/>
    </row>
    <row r="1129" spans="1:10">
      <c r="A1129" s="206"/>
      <c r="B1129" s="73"/>
      <c r="C1129" s="65"/>
      <c r="D1129" s="74"/>
      <c r="E1129" s="75"/>
      <c r="F1129" s="76"/>
      <c r="G1129" s="77"/>
      <c r="H1129" s="195"/>
    </row>
    <row r="1130" spans="1:10">
      <c r="A1130" s="207"/>
      <c r="B1130" s="73"/>
      <c r="C1130" s="73"/>
      <c r="D1130" s="74"/>
      <c r="E1130" s="78"/>
      <c r="F1130" s="515" t="s">
        <v>4230</v>
      </c>
      <c r="G1130" s="516"/>
      <c r="H1130" s="214" t="e">
        <f>H1091+G1126+G1127+G1128</f>
        <v>#VALUE!</v>
      </c>
    </row>
    <row r="1131" spans="1:10">
      <c r="A1131" s="73"/>
      <c r="B1131" s="73"/>
      <c r="C1131" s="73"/>
      <c r="D1131" s="74"/>
      <c r="E1131" s="360"/>
      <c r="F1131" s="361"/>
      <c r="G1131" s="361"/>
      <c r="H1131" s="362"/>
    </row>
    <row r="1132" spans="1:10">
      <c r="A1132" s="80"/>
      <c r="B1132" s="80"/>
      <c r="C1132" s="80"/>
      <c r="D1132" s="80"/>
      <c r="E1132" s="80"/>
      <c r="F1132" s="80"/>
      <c r="G1132" s="80"/>
      <c r="H1132" s="353"/>
    </row>
    <row r="1133" spans="1:10">
      <c r="A1133" s="537" t="s">
        <v>4214</v>
      </c>
      <c r="B1133" s="538"/>
      <c r="C1133" s="538"/>
      <c r="D1133" s="538"/>
      <c r="E1133" s="538"/>
      <c r="F1133" s="538"/>
      <c r="G1133" s="538"/>
      <c r="H1133" s="539"/>
    </row>
    <row r="1134" spans="1:10">
      <c r="A1134" s="81"/>
      <c r="B1134" s="82"/>
      <c r="C1134" s="82"/>
      <c r="D1134" s="82"/>
      <c r="E1134" s="82"/>
      <c r="F1134" s="83"/>
      <c r="G1134" s="84"/>
      <c r="H1134" s="352">
        <f>ROUND((25/60)/8,4)</f>
        <v>5.21E-2</v>
      </c>
      <c r="I1134" s="105"/>
    </row>
    <row r="1135" spans="1:10">
      <c r="A1135" s="540" t="s">
        <v>4209</v>
      </c>
      <c r="B1135" s="542" t="str">
        <f>COSTOS!$C$14</f>
        <v>MODERNIZACION A TECNOLOGIA LED</v>
      </c>
      <c r="C1135" s="542"/>
      <c r="D1135" s="542"/>
      <c r="E1135" s="542"/>
      <c r="F1135" s="542"/>
      <c r="G1135" s="542"/>
      <c r="H1135" s="543" t="s">
        <v>4210</v>
      </c>
    </row>
    <row r="1136" spans="1:10">
      <c r="A1136" s="541"/>
      <c r="B1136" s="542"/>
      <c r="C1136" s="542"/>
      <c r="D1136" s="542"/>
      <c r="E1136" s="542"/>
      <c r="F1136" s="542"/>
      <c r="G1136" s="542"/>
      <c r="H1136" s="543"/>
    </row>
    <row r="1137" spans="1:15">
      <c r="A1137" s="541"/>
      <c r="B1137" s="542"/>
      <c r="C1137" s="542"/>
      <c r="D1137" s="542"/>
      <c r="E1137" s="542"/>
      <c r="F1137" s="542"/>
      <c r="G1137" s="542"/>
      <c r="H1137" s="543"/>
    </row>
    <row r="1138" spans="1:15" ht="15" customHeight="1">
      <c r="A1138" s="541"/>
      <c r="B1138" s="542"/>
      <c r="C1138" s="542"/>
      <c r="D1138" s="542"/>
      <c r="E1138" s="542"/>
      <c r="F1138" s="542"/>
      <c r="G1138" s="542"/>
      <c r="H1138" s="197">
        <f ca="1">TODAY()</f>
        <v>44889</v>
      </c>
      <c r="K1138" t="s">
        <v>4380</v>
      </c>
      <c r="L1138" t="s">
        <v>4381</v>
      </c>
      <c r="M1138" t="s">
        <v>4382</v>
      </c>
      <c r="N1138" t="s">
        <v>4383</v>
      </c>
    </row>
    <row r="1139" spans="1:15" ht="60.75" customHeight="1">
      <c r="A1139" s="209" t="s">
        <v>4211</v>
      </c>
      <c r="B1139" s="544" t="str">
        <f>COSTOS!$D$16</f>
        <v>Luminarias</v>
      </c>
      <c r="C1139" s="544"/>
      <c r="D1139" s="544"/>
      <c r="E1139" s="544"/>
      <c r="F1139" s="544"/>
      <c r="G1139" s="60" t="s">
        <v>4212</v>
      </c>
      <c r="H1139" s="363">
        <v>1.23</v>
      </c>
      <c r="K1139" s="55" t="e">
        <f>H1164</f>
        <v>#VALUE!</v>
      </c>
      <c r="L1139" s="55">
        <f>H1174</f>
        <v>17212.1728</v>
      </c>
      <c r="M1139" s="55" t="e">
        <f>H1147</f>
        <v>#VALUE!</v>
      </c>
      <c r="N1139" s="55" t="e">
        <f>H1168</f>
        <v>#VALUE!</v>
      </c>
    </row>
    <row r="1140" spans="1:15" ht="43.2" customHeight="1">
      <c r="A1140" s="210" t="s">
        <v>4213</v>
      </c>
      <c r="B1140" s="545" t="str">
        <f>VLOOKUP(H1139,COSTOS!C:M,2,0)</f>
        <v>Luminaria Sodio 150w</v>
      </c>
      <c r="C1140" s="546"/>
      <c r="D1140" s="546"/>
      <c r="E1140" s="547"/>
      <c r="F1140" s="61" t="s">
        <v>0</v>
      </c>
      <c r="G1140" s="328" t="str">
        <f>VLOOKUP(H1139,COSTOS!C:M,8,0)</f>
        <v>Und</v>
      </c>
      <c r="H1140" s="248"/>
      <c r="I1140" s="278"/>
      <c r="J1140" s="280"/>
      <c r="K1140" s="280"/>
      <c r="L1140" s="280"/>
    </row>
    <row r="1141" spans="1:15">
      <c r="A1141" s="211"/>
      <c r="B1141" s="102"/>
      <c r="C1141" s="102"/>
      <c r="D1141" s="102"/>
      <c r="E1141" s="103"/>
      <c r="F1141" s="104" t="s">
        <v>1</v>
      </c>
      <c r="G1141" s="328">
        <f>VLOOKUP(H1139,COSTOS!C:M,9,0)</f>
        <v>0</v>
      </c>
      <c r="H1141" s="329"/>
      <c r="I1141" s="279"/>
    </row>
    <row r="1142" spans="1:15">
      <c r="A1142" s="212" t="s">
        <v>4215</v>
      </c>
      <c r="B1142" s="65"/>
      <c r="C1142" s="65"/>
      <c r="D1142" s="66"/>
      <c r="E1142" s="190"/>
      <c r="F1142" s="191"/>
      <c r="G1142" s="192" t="s">
        <v>4216</v>
      </c>
      <c r="H1142" s="198" t="e">
        <f>H1147+H1164+H1168+H1174</f>
        <v>#VALUE!</v>
      </c>
    </row>
    <row r="1143" spans="1:15" ht="41.4">
      <c r="A1143" s="548" t="s">
        <v>4213</v>
      </c>
      <c r="B1143" s="548"/>
      <c r="C1143" s="548"/>
      <c r="D1143" s="67" t="s">
        <v>0</v>
      </c>
      <c r="E1143" s="188" t="s">
        <v>4217</v>
      </c>
      <c r="F1143" s="189" t="s">
        <v>4204</v>
      </c>
      <c r="G1143" s="64" t="s">
        <v>2</v>
      </c>
      <c r="H1143" s="199" t="s">
        <v>4218</v>
      </c>
      <c r="K1143" s="281"/>
    </row>
    <row r="1144" spans="1:15">
      <c r="A1144" s="517" t="s">
        <v>3946</v>
      </c>
      <c r="B1144" s="549">
        <f>VLOOKUP(A1144,'Equip, Herr y Transp'!$B$2:$E$738,2,0)</f>
        <v>2</v>
      </c>
      <c r="C1144" s="549"/>
      <c r="D1144" s="85">
        <f>VLOOKUP(A1144,'Equip, Herr y Transp'!$B$2:$E$217,2,0)</f>
        <v>2</v>
      </c>
      <c r="E1144" s="85" t="str">
        <f>VLOOKUP(A1144,'Equip, Herr y Transp'!$B$2:$E$217,3,0)</f>
        <v>EQU</v>
      </c>
      <c r="F1144" s="86">
        <f>H1134</f>
        <v>5.21E-2</v>
      </c>
      <c r="G1144" s="112" t="e">
        <f>F1144*E1144</f>
        <v>#VALUE!</v>
      </c>
      <c r="H1144" s="108"/>
    </row>
    <row r="1145" spans="1:15">
      <c r="A1145" s="517" t="s">
        <v>3904</v>
      </c>
      <c r="B1145" s="549">
        <f>VLOOKUP(A1145,'Equip, Herr y Transp'!$B$2:$E$738,2,0)</f>
        <v>2</v>
      </c>
      <c r="C1145" s="549"/>
      <c r="D1145" s="85">
        <f>VLOOKUP(A1145,'Equip, Herr y Transp'!$B$2:$E$217,2,0)</f>
        <v>2</v>
      </c>
      <c r="E1145" s="85" t="str">
        <f>VLOOKUP(A1145,'Equip, Herr y Transp'!$B$2:$E$217,3,0)</f>
        <v>EQU</v>
      </c>
      <c r="F1145" s="86">
        <f>H1134</f>
        <v>5.21E-2</v>
      </c>
      <c r="G1145" s="112" t="e">
        <f>F1145*E1145</f>
        <v>#VALUE!</v>
      </c>
      <c r="H1145" s="107"/>
    </row>
    <row r="1146" spans="1:15">
      <c r="A1146" s="517" t="s">
        <v>3937</v>
      </c>
      <c r="B1146" s="549">
        <f>VLOOKUP(A1146,'Equip, Herr y Transp'!$B$2:$E$738,2,0)</f>
        <v>2</v>
      </c>
      <c r="C1146" s="549"/>
      <c r="D1146" s="85">
        <f>VLOOKUP(A1146,'Equip, Herr y Transp'!$B$2:$E$217,2,0)</f>
        <v>2</v>
      </c>
      <c r="E1146" s="85" t="str">
        <f>VLOOKUP(A1146,'Equip, Herr y Transp'!$B$2:$E$217,3,0)</f>
        <v>EQU</v>
      </c>
      <c r="F1146" s="86">
        <f>H1134</f>
        <v>5.21E-2</v>
      </c>
      <c r="G1146" s="112" t="e">
        <f>F1146*E1146</f>
        <v>#VALUE!</v>
      </c>
      <c r="H1146" s="107"/>
    </row>
    <row r="1147" spans="1:15">
      <c r="A1147" s="520" t="s">
        <v>4099</v>
      </c>
      <c r="B1147" s="521"/>
      <c r="C1147" s="521"/>
      <c r="D1147" s="521"/>
      <c r="E1147" s="521"/>
      <c r="F1147" s="521"/>
      <c r="G1147" s="521"/>
      <c r="H1147" s="87" t="e">
        <f>SUM(G1144:G1146)</f>
        <v>#VALUE!</v>
      </c>
    </row>
    <row r="1148" spans="1:15">
      <c r="A1148" s="550" t="s">
        <v>4219</v>
      </c>
      <c r="B1148" s="551"/>
      <c r="C1148" s="551"/>
      <c r="D1148" s="551"/>
      <c r="E1148" s="551"/>
      <c r="F1148" s="551"/>
      <c r="G1148" s="551"/>
      <c r="H1148" s="552"/>
      <c r="K1148" s="50"/>
      <c r="L1148" s="50"/>
      <c r="M1148" s="50"/>
      <c r="N1148" s="50"/>
      <c r="O1148" s="50"/>
    </row>
    <row r="1149" spans="1:15" ht="30" customHeight="1">
      <c r="A1149" s="553" t="s">
        <v>7</v>
      </c>
      <c r="B1149" s="554"/>
      <c r="C1149" s="99" t="s">
        <v>0</v>
      </c>
      <c r="D1149" s="100" t="s">
        <v>4097</v>
      </c>
      <c r="E1149" s="101" t="s">
        <v>1</v>
      </c>
      <c r="F1149" s="555" t="s">
        <v>4207</v>
      </c>
      <c r="G1149" s="555"/>
      <c r="H1149" s="196"/>
      <c r="K1149" s="50"/>
      <c r="L1149" s="50"/>
      <c r="M1149" s="50"/>
      <c r="N1149" s="50"/>
      <c r="O1149" s="50"/>
    </row>
    <row r="1150" spans="1:15">
      <c r="A1150" s="535" t="s">
        <v>4664</v>
      </c>
      <c r="B1150" s="536"/>
      <c r="C1150" s="88">
        <f>VLOOKUP(A1150,'Materiales '!$C$2:$G$396,3,0)</f>
        <v>4</v>
      </c>
      <c r="D1150" s="89" t="str">
        <f>VLOOKUP(A1150,'Materiales '!$C$2:$G$396,4,0)</f>
        <v>Und</v>
      </c>
      <c r="E1150" s="90">
        <v>1</v>
      </c>
      <c r="F1150" s="508" t="e">
        <f>E1150*D1150</f>
        <v>#VALUE!</v>
      </c>
      <c r="G1150" s="519"/>
      <c r="H1150" s="111"/>
      <c r="I1150">
        <f>E1150*G1141</f>
        <v>0</v>
      </c>
      <c r="J1150" s="57"/>
      <c r="K1150" s="50"/>
      <c r="L1150" s="50"/>
      <c r="M1150" s="50"/>
      <c r="N1150" s="50"/>
      <c r="O1150" s="50"/>
    </row>
    <row r="1151" spans="1:15">
      <c r="A1151" s="535" t="s">
        <v>4203</v>
      </c>
      <c r="B1151" s="536"/>
      <c r="C1151" s="88">
        <f>VLOOKUP(A1151,'Materiales '!$C$2:$G$396,3,0)</f>
        <v>4</v>
      </c>
      <c r="D1151" s="89" t="str">
        <f>VLOOKUP(A1151,'Materiales '!$C$2:$G$396,4,0)</f>
        <v>Und</v>
      </c>
      <c r="E1151" s="90">
        <v>1</v>
      </c>
      <c r="F1151" s="508" t="e">
        <f t="shared" ref="F1151:F1157" si="67">E1151*D1151</f>
        <v>#VALUE!</v>
      </c>
      <c r="G1151" s="519"/>
      <c r="H1151" s="111"/>
      <c r="I1151">
        <f>E1151*G1141</f>
        <v>0</v>
      </c>
      <c r="J1151" s="57"/>
      <c r="K1151" s="50"/>
      <c r="L1151" s="50"/>
      <c r="M1151" s="50"/>
      <c r="N1151" s="50"/>
      <c r="O1151" s="50"/>
    </row>
    <row r="1152" spans="1:15">
      <c r="A1152" s="517" t="s">
        <v>4473</v>
      </c>
      <c r="B1152" s="518">
        <f>VLOOKUP(A1152,'Materiales '!$C$2:$G$396,3,0)</f>
        <v>4</v>
      </c>
      <c r="C1152" s="88">
        <f>VLOOKUP(A1152,'Materiales '!$C$2:$G$396,3,0)</f>
        <v>4</v>
      </c>
      <c r="D1152" s="89" t="str">
        <f>VLOOKUP(A1152,'Materiales '!$C$2:$G$396,4,0)</f>
        <v>Und</v>
      </c>
      <c r="E1152" s="90">
        <v>2</v>
      </c>
      <c r="F1152" s="508" t="e">
        <f t="shared" si="67"/>
        <v>#VALUE!</v>
      </c>
      <c r="G1152" s="519"/>
      <c r="H1152" s="111"/>
      <c r="I1152">
        <f>E1152*G1141</f>
        <v>0</v>
      </c>
      <c r="J1152" s="58"/>
      <c r="K1152" s="50"/>
      <c r="L1152" s="50"/>
      <c r="M1152" s="50"/>
      <c r="N1152" s="50"/>
      <c r="O1152" s="50"/>
    </row>
    <row r="1153" spans="1:15">
      <c r="A1153" s="517" t="s">
        <v>4478</v>
      </c>
      <c r="B1153" s="518">
        <f>VLOOKUP(A1153,'Materiales '!$C$2:$G$396,3,0)</f>
        <v>4</v>
      </c>
      <c r="C1153" s="88">
        <f>VLOOKUP(A1153,'Materiales '!$C$2:$G$396,3,0)</f>
        <v>4</v>
      </c>
      <c r="D1153" s="89" t="str">
        <f>VLOOKUP(A1153,'Materiales '!$C$2:$G$396,4,0)</f>
        <v>Und</v>
      </c>
      <c r="E1153" s="90">
        <v>3</v>
      </c>
      <c r="F1153" s="508" t="e">
        <f t="shared" si="67"/>
        <v>#VALUE!</v>
      </c>
      <c r="G1153" s="519"/>
      <c r="H1153" s="111"/>
      <c r="I1153">
        <f>E1153*G1141</f>
        <v>0</v>
      </c>
      <c r="J1153" s="58"/>
      <c r="K1153" s="50"/>
      <c r="L1153" s="50"/>
      <c r="M1153" s="50"/>
      <c r="N1153" s="50"/>
      <c r="O1153" s="50"/>
    </row>
    <row r="1154" spans="1:15">
      <c r="A1154" s="517" t="s">
        <v>4543</v>
      </c>
      <c r="B1154" s="518">
        <f>VLOOKUP(A1154,'Materiales '!$C$2:$G$396,3,0)</f>
        <v>4</v>
      </c>
      <c r="C1154" s="88">
        <f>VLOOKUP(A1154,'Materiales '!$C$2:$G$396,3,0)</f>
        <v>4</v>
      </c>
      <c r="D1154" s="89" t="str">
        <f>VLOOKUP(A1154,'Materiales '!$C$2:$G$396,4,0)</f>
        <v>Und</v>
      </c>
      <c r="E1154" s="90">
        <v>2</v>
      </c>
      <c r="F1154" s="508" t="e">
        <f t="shared" si="67"/>
        <v>#VALUE!</v>
      </c>
      <c r="G1154" s="519"/>
      <c r="H1154" s="111"/>
      <c r="I1154">
        <f>E1154*G1141</f>
        <v>0</v>
      </c>
      <c r="J1154" s="58"/>
      <c r="K1154" s="50"/>
      <c r="L1154" s="50"/>
      <c r="M1154" s="50"/>
      <c r="N1154" s="50"/>
      <c r="O1154" s="50"/>
    </row>
    <row r="1155" spans="1:15">
      <c r="A1155" s="517" t="s">
        <v>4439</v>
      </c>
      <c r="B1155" s="518">
        <f>VLOOKUP(A1155,'Materiales '!$C$2:$G$396,3,0)</f>
        <v>2</v>
      </c>
      <c r="C1155" s="88">
        <f>VLOOKUP(A1155,'Materiales '!$C$2:$G$396,3,0)</f>
        <v>2</v>
      </c>
      <c r="D1155" s="89" t="str">
        <f>VLOOKUP(A1155,'Materiales '!$C$2:$G$396,4,0)</f>
        <v>Ml</v>
      </c>
      <c r="E1155" s="90">
        <v>1</v>
      </c>
      <c r="F1155" s="508" t="e">
        <f t="shared" si="67"/>
        <v>#VALUE!</v>
      </c>
      <c r="G1155" s="519"/>
      <c r="H1155" s="111"/>
      <c r="I1155">
        <f>E1155*G1141</f>
        <v>0</v>
      </c>
      <c r="J1155" s="58"/>
      <c r="K1155" s="50"/>
      <c r="L1155" s="50"/>
      <c r="M1155" s="50"/>
      <c r="N1155" s="50"/>
      <c r="O1155" s="50"/>
    </row>
    <row r="1156" spans="1:15">
      <c r="A1156" s="517" t="s">
        <v>4482</v>
      </c>
      <c r="B1156" s="518">
        <f>VLOOKUP(A1156,'Materiales '!$C$2:$G$396,3,0)</f>
        <v>4</v>
      </c>
      <c r="C1156" s="88">
        <f>VLOOKUP(A1156,'Materiales '!$C$2:$G$396,3,0)</f>
        <v>4</v>
      </c>
      <c r="D1156" s="89" t="str">
        <f>VLOOKUP(A1156,'Materiales '!$C$2:$G$396,4,0)</f>
        <v>Und</v>
      </c>
      <c r="E1156" s="90">
        <v>3</v>
      </c>
      <c r="F1156" s="508" t="e">
        <f t="shared" si="67"/>
        <v>#VALUE!</v>
      </c>
      <c r="G1156" s="519"/>
      <c r="H1156" s="111"/>
      <c r="I1156">
        <f>E1156*G1141</f>
        <v>0</v>
      </c>
      <c r="J1156" s="58"/>
      <c r="K1156" s="50"/>
      <c r="L1156" s="50"/>
      <c r="M1156" s="50"/>
      <c r="N1156" s="50"/>
      <c r="O1156" s="50"/>
    </row>
    <row r="1157" spans="1:15" ht="21.75" customHeight="1">
      <c r="A1157" s="517" t="s">
        <v>4424</v>
      </c>
      <c r="B1157" s="518">
        <f>VLOOKUP(A1157,'Materiales '!$C$2:$G$396,3,0)</f>
        <v>4</v>
      </c>
      <c r="C1157" s="88">
        <f>VLOOKUP(A1157,'Materiales '!$C$2:$G$396,3,0)</f>
        <v>4</v>
      </c>
      <c r="D1157" s="89" t="str">
        <f>VLOOKUP(A1157,'Materiales '!$C$2:$G$396,4,0)</f>
        <v>Und</v>
      </c>
      <c r="E1157" s="90">
        <v>1</v>
      </c>
      <c r="F1157" s="508" t="e">
        <f t="shared" si="67"/>
        <v>#VALUE!</v>
      </c>
      <c r="G1157" s="519"/>
      <c r="H1157" s="111"/>
      <c r="I1157">
        <f>E1157*G1141</f>
        <v>0</v>
      </c>
      <c r="J1157" s="58"/>
      <c r="K1157" s="50"/>
      <c r="L1157" s="50"/>
      <c r="M1157" s="50"/>
      <c r="N1157" s="50"/>
      <c r="O1157" s="50"/>
    </row>
    <row r="1158" spans="1:15">
      <c r="A1158" s="517" t="s">
        <v>8</v>
      </c>
      <c r="B1158" s="518">
        <f>VLOOKUP(A1158,'Materiales '!$C$2:$G$396,3,0)</f>
        <v>0</v>
      </c>
      <c r="C1158" s="88">
        <f>VLOOKUP(A1158,'Materiales '!$C$2:$G$396,3,0)</f>
        <v>0</v>
      </c>
      <c r="D1158" s="89" t="str">
        <f>VLOOKUP(A1158,'Materiales '!$C$2:$G$396,4,0)</f>
        <v>-</v>
      </c>
      <c r="E1158" s="90"/>
      <c r="F1158" s="508" t="e">
        <f>E1158*D1158</f>
        <v>#VALUE!</v>
      </c>
      <c r="G1158" s="519"/>
      <c r="H1158" s="110"/>
      <c r="I1158">
        <f>E1158*G1141</f>
        <v>0</v>
      </c>
      <c r="J1158" s="58"/>
      <c r="K1158" s="50"/>
      <c r="L1158" s="50"/>
      <c r="M1158" s="50"/>
      <c r="N1158" s="50"/>
      <c r="O1158" s="50"/>
    </row>
    <row r="1159" spans="1:15">
      <c r="A1159" s="517" t="s">
        <v>8</v>
      </c>
      <c r="B1159" s="518">
        <f>VLOOKUP(A1159,'Materiales '!$C$2:$G$396,3,0)</f>
        <v>0</v>
      </c>
      <c r="C1159" s="88">
        <f>VLOOKUP(A1159,'Materiales '!$C$2:$G$396,3,0)</f>
        <v>0</v>
      </c>
      <c r="D1159" s="89" t="str">
        <f>VLOOKUP(A1159,'Materiales '!$C$2:$G$396,4,0)</f>
        <v>-</v>
      </c>
      <c r="E1159" s="90"/>
      <c r="F1159" s="508" t="e">
        <f t="shared" ref="F1159:F1162" si="68">E1159*D1159</f>
        <v>#VALUE!</v>
      </c>
      <c r="G1159" s="519"/>
      <c r="H1159" s="111"/>
      <c r="I1159">
        <f>E1159*G1141</f>
        <v>0</v>
      </c>
      <c r="J1159" s="58"/>
      <c r="K1159" s="50"/>
      <c r="L1159" s="50"/>
      <c r="M1159" s="50"/>
      <c r="N1159" s="50"/>
      <c r="O1159" s="50"/>
    </row>
    <row r="1160" spans="1:15">
      <c r="A1160" s="517" t="s">
        <v>8</v>
      </c>
      <c r="B1160" s="518">
        <f>VLOOKUP(A1160,'Materiales '!$C$2:$G$396,3,0)</f>
        <v>0</v>
      </c>
      <c r="C1160" s="88">
        <f>VLOOKUP(A1160,'Materiales '!$C$2:$G$396,3,0)</f>
        <v>0</v>
      </c>
      <c r="D1160" s="89" t="str">
        <f>VLOOKUP(A1160,'Materiales '!$C$2:$G$396,4,0)</f>
        <v>-</v>
      </c>
      <c r="E1160" s="90"/>
      <c r="F1160" s="508" t="e">
        <f t="shared" si="68"/>
        <v>#VALUE!</v>
      </c>
      <c r="G1160" s="519"/>
      <c r="H1160" s="111"/>
      <c r="I1160">
        <f>E1160*G1141</f>
        <v>0</v>
      </c>
      <c r="J1160" s="58"/>
      <c r="K1160" s="50"/>
      <c r="L1160" s="50"/>
      <c r="M1160" s="50"/>
      <c r="N1160" s="50"/>
      <c r="O1160" s="50"/>
    </row>
    <row r="1161" spans="1:15">
      <c r="A1161" s="517" t="s">
        <v>8</v>
      </c>
      <c r="B1161" s="518">
        <f>VLOOKUP(A1161,'Materiales '!$C$2:$G$396,3,0)</f>
        <v>0</v>
      </c>
      <c r="C1161" s="88">
        <f>VLOOKUP(A1161,'Materiales '!$C$2:$G$396,3,0)</f>
        <v>0</v>
      </c>
      <c r="D1161" s="89" t="str">
        <f>VLOOKUP(A1161,'Materiales '!$C$2:$G$396,4,0)</f>
        <v>-</v>
      </c>
      <c r="E1161" s="90"/>
      <c r="F1161" s="508" t="e">
        <f t="shared" si="68"/>
        <v>#VALUE!</v>
      </c>
      <c r="G1161" s="519"/>
      <c r="H1161" s="111"/>
      <c r="I1161">
        <f>E1161*G1141</f>
        <v>0</v>
      </c>
      <c r="J1161" s="58"/>
      <c r="K1161" s="50"/>
      <c r="L1161" s="50"/>
      <c r="M1161" s="50"/>
      <c r="N1161" s="50"/>
      <c r="O1161" s="50"/>
    </row>
    <row r="1162" spans="1:15">
      <c r="A1162" s="517" t="s">
        <v>8</v>
      </c>
      <c r="B1162" s="518">
        <f>VLOOKUP(A1162,'Materiales '!$C$2:$G$396,3,0)</f>
        <v>0</v>
      </c>
      <c r="C1162" s="88">
        <f>VLOOKUP(A1162,'Materiales '!$C$2:$G$396,3,0)</f>
        <v>0</v>
      </c>
      <c r="D1162" s="89" t="str">
        <f>VLOOKUP(A1162,'Materiales '!$C$2:$G$396,4,0)</f>
        <v>-</v>
      </c>
      <c r="E1162" s="90"/>
      <c r="F1162" s="508" t="e">
        <f t="shared" si="68"/>
        <v>#VALUE!</v>
      </c>
      <c r="G1162" s="519"/>
      <c r="H1162" s="111"/>
      <c r="I1162">
        <f>E1162*G1141</f>
        <v>0</v>
      </c>
      <c r="J1162" s="58"/>
      <c r="K1162" s="50"/>
      <c r="L1162" s="50"/>
      <c r="M1162" s="50"/>
      <c r="N1162" s="50"/>
      <c r="O1162" s="50"/>
    </row>
    <row r="1163" spans="1:15">
      <c r="A1163" s="517" t="s">
        <v>8</v>
      </c>
      <c r="B1163" s="518">
        <f>VLOOKUP(A1163,'Materiales '!$C$2:$G$396,3,0)</f>
        <v>0</v>
      </c>
      <c r="C1163" s="88">
        <f>VLOOKUP(A1163,'Materiales '!$C$2:$G$396,3,0)</f>
        <v>0</v>
      </c>
      <c r="D1163" s="89" t="str">
        <f>VLOOKUP(A1163,'Materiales '!$C$2:$G$396,4,0)</f>
        <v>-</v>
      </c>
      <c r="E1163" s="90"/>
      <c r="F1163" s="508" t="e">
        <f>E1163*D1163</f>
        <v>#VALUE!</v>
      </c>
      <c r="G1163" s="519"/>
      <c r="H1163" s="110"/>
      <c r="I1163">
        <f>E1163*G1141</f>
        <v>0</v>
      </c>
      <c r="J1163" s="58"/>
      <c r="K1163" s="50"/>
      <c r="L1163" s="50"/>
      <c r="M1163" s="50"/>
      <c r="N1163" s="50"/>
      <c r="O1163" s="50"/>
    </row>
    <row r="1164" spans="1:15">
      <c r="A1164" s="520" t="s">
        <v>4098</v>
      </c>
      <c r="B1164" s="521"/>
      <c r="C1164" s="521"/>
      <c r="D1164" s="521"/>
      <c r="E1164" s="521"/>
      <c r="F1164" s="521"/>
      <c r="G1164" s="522"/>
      <c r="H1164" s="106" t="e">
        <f>SUM(F1150:F1163)</f>
        <v>#VALUE!</v>
      </c>
      <c r="J1164" s="58"/>
      <c r="K1164" s="50"/>
      <c r="L1164" s="50"/>
      <c r="M1164" s="50"/>
      <c r="N1164" s="50"/>
      <c r="O1164" s="50"/>
    </row>
    <row r="1165" spans="1:15">
      <c r="A1165" s="523" t="s">
        <v>4220</v>
      </c>
      <c r="B1165" s="524"/>
      <c r="C1165" s="524"/>
      <c r="D1165" s="524"/>
      <c r="E1165" s="525"/>
      <c r="F1165" s="524"/>
      <c r="G1165" s="524"/>
      <c r="H1165" s="526"/>
      <c r="J1165" s="58"/>
      <c r="K1165" s="50"/>
      <c r="L1165" s="50"/>
      <c r="M1165" s="50"/>
      <c r="N1165" s="50"/>
      <c r="O1165" s="50"/>
    </row>
    <row r="1166" spans="1:15">
      <c r="A1166" s="527" t="s">
        <v>7</v>
      </c>
      <c r="B1166" s="528"/>
      <c r="C1166" s="98" t="s">
        <v>4221</v>
      </c>
      <c r="D1166" s="97" t="s">
        <v>4222</v>
      </c>
      <c r="E1166" s="187" t="s">
        <v>4223</v>
      </c>
      <c r="F1166" s="529" t="s">
        <v>4207</v>
      </c>
      <c r="G1166" s="529"/>
      <c r="H1166" s="109"/>
      <c r="K1166" s="50"/>
      <c r="L1166" s="50"/>
      <c r="M1166" s="50"/>
      <c r="N1166" s="50"/>
      <c r="O1166" s="50"/>
    </row>
    <row r="1167" spans="1:15">
      <c r="A1167" s="506" t="s">
        <v>3928</v>
      </c>
      <c r="B1167" s="507"/>
      <c r="C1167" s="213">
        <v>1</v>
      </c>
      <c r="D1167" s="92">
        <v>0.03</v>
      </c>
      <c r="E1167" s="93" t="str">
        <f>VLOOKUP(A1167,'Equip, Herr y Transp'!$B$2:$E$217,3,0)</f>
        <v>TR</v>
      </c>
      <c r="F1167" s="530" t="e">
        <f>E1167*D1167*C1167</f>
        <v>#VALUE!</v>
      </c>
      <c r="G1167" s="531"/>
      <c r="H1167" s="107"/>
      <c r="M1167" s="50"/>
    </row>
    <row r="1168" spans="1:15">
      <c r="A1168" s="532" t="s">
        <v>4205</v>
      </c>
      <c r="B1168" s="533"/>
      <c r="C1168" s="533"/>
      <c r="D1168" s="533"/>
      <c r="E1168" s="533"/>
      <c r="F1168" s="533"/>
      <c r="G1168" s="533"/>
      <c r="H1168" s="95" t="e">
        <f>F1167</f>
        <v>#VALUE!</v>
      </c>
    </row>
    <row r="1169" spans="1:10">
      <c r="A1169" s="523" t="s">
        <v>4224</v>
      </c>
      <c r="B1169" s="524"/>
      <c r="C1169" s="524"/>
      <c r="D1169" s="524"/>
      <c r="E1169" s="524"/>
      <c r="F1169" s="524"/>
      <c r="G1169" s="524"/>
      <c r="H1169" s="526"/>
    </row>
    <row r="1170" spans="1:10">
      <c r="A1170" s="527" t="s">
        <v>7</v>
      </c>
      <c r="B1170" s="528"/>
      <c r="C1170" s="96" t="s">
        <v>1</v>
      </c>
      <c r="D1170" s="97" t="s">
        <v>4225</v>
      </c>
      <c r="E1170" s="98" t="s">
        <v>4204</v>
      </c>
      <c r="F1170" s="527" t="s">
        <v>5</v>
      </c>
      <c r="G1170" s="534"/>
      <c r="H1170" s="109"/>
    </row>
    <row r="1171" spans="1:10">
      <c r="A1171" s="506" t="s">
        <v>4191</v>
      </c>
      <c r="B1171" s="507"/>
      <c r="C1171" s="91">
        <v>1</v>
      </c>
      <c r="D1171" s="94">
        <f>VLOOKUP(A1171,'Mano Obra'!$B$2:$T$117,19,0)</f>
        <v>152456</v>
      </c>
      <c r="E1171" s="218">
        <f>H1134</f>
        <v>5.21E-2</v>
      </c>
      <c r="F1171" s="508">
        <f>E1171*D1171*C1171</f>
        <v>7942.9575999999997</v>
      </c>
      <c r="G1171" s="509"/>
      <c r="H1171" s="111"/>
      <c r="I1171" s="59"/>
      <c r="J1171" s="117">
        <f>((('Mano Obra'!$M$4/30)*F1171)/D1171)*G1141</f>
        <v>0</v>
      </c>
    </row>
    <row r="1172" spans="1:10">
      <c r="A1172" s="510" t="s">
        <v>4192</v>
      </c>
      <c r="B1172" s="511">
        <f>VLOOKUP(A1172,'Mano Obra'!$B$3:$D$290,2,0)</f>
        <v>1900000</v>
      </c>
      <c r="C1172" s="91">
        <v>1</v>
      </c>
      <c r="D1172" s="94">
        <f>VLOOKUP(A1172,'Mano Obra'!$B$2:$T$117,19,0)</f>
        <v>110488</v>
      </c>
      <c r="E1172" s="218">
        <f>H1134</f>
        <v>5.21E-2</v>
      </c>
      <c r="F1172" s="508">
        <f t="shared" ref="F1172:F1173" si="69">E1172*D1172*C1172</f>
        <v>5756.4247999999998</v>
      </c>
      <c r="G1172" s="509"/>
      <c r="H1172" s="111"/>
      <c r="J1172" s="117">
        <f>((('Mano Obra'!$M$5/30)*F1172)/D1172)*G1141</f>
        <v>0</v>
      </c>
    </row>
    <row r="1173" spans="1:10">
      <c r="A1173" s="510" t="s">
        <v>4181</v>
      </c>
      <c r="B1173" s="511">
        <f>VLOOKUP(A1173,'Mano Obra'!$B$3:$D$290,2,0)</f>
        <v>1000000</v>
      </c>
      <c r="C1173" s="91">
        <v>1</v>
      </c>
      <c r="D1173" s="94">
        <f>VLOOKUP(A1173,'Mano Obra'!$B$2:$T$117,19,0)</f>
        <v>67424</v>
      </c>
      <c r="E1173" s="218">
        <f>H1134</f>
        <v>5.21E-2</v>
      </c>
      <c r="F1173" s="508">
        <f t="shared" si="69"/>
        <v>3512.7903999999999</v>
      </c>
      <c r="G1173" s="509"/>
      <c r="H1173" s="110"/>
      <c r="J1173" s="117">
        <f>((('Mano Obra'!$M$6/30)*F1173)/D1173)*G1141</f>
        <v>0</v>
      </c>
    </row>
    <row r="1174" spans="1:10">
      <c r="A1174" s="512" t="s">
        <v>4100</v>
      </c>
      <c r="B1174" s="512"/>
      <c r="C1174" s="512"/>
      <c r="D1174" s="512"/>
      <c r="E1174" s="512"/>
      <c r="F1174" s="512"/>
      <c r="G1174" s="512"/>
      <c r="H1174" s="95">
        <f>SUM(F1171:F1173)</f>
        <v>17212.1728</v>
      </c>
      <c r="J1174" s="117"/>
    </row>
    <row r="1175" spans="1:10">
      <c r="A1175" s="208" t="s">
        <v>4226</v>
      </c>
      <c r="B1175" s="186"/>
      <c r="C1175" s="186"/>
      <c r="D1175" s="183"/>
      <c r="E1175" s="184"/>
      <c r="F1175" s="185"/>
      <c r="G1175" s="184"/>
      <c r="H1175" s="193"/>
    </row>
    <row r="1176" spans="1:10">
      <c r="A1176" s="513" t="s">
        <v>4213</v>
      </c>
      <c r="B1176" s="514"/>
      <c r="C1176" s="514"/>
      <c r="D1176" s="514"/>
      <c r="E1176" s="181"/>
      <c r="F1176" s="182" t="s">
        <v>4227</v>
      </c>
      <c r="G1176" s="181" t="s">
        <v>4228</v>
      </c>
      <c r="H1176" s="194"/>
    </row>
    <row r="1177" spans="1:10">
      <c r="A1177" s="204" t="s">
        <v>4096</v>
      </c>
      <c r="B1177" s="62"/>
      <c r="C1177" s="62"/>
      <c r="D1177" s="63"/>
      <c r="E1177" s="68"/>
      <c r="F1177" s="69">
        <v>0</v>
      </c>
      <c r="G1177" s="70" t="e">
        <f>F1177*H1142</f>
        <v>#VALUE!</v>
      </c>
      <c r="H1177" s="193"/>
    </row>
    <row r="1178" spans="1:10">
      <c r="A1178" s="205" t="s">
        <v>4229</v>
      </c>
      <c r="B1178" s="71"/>
      <c r="C1178" s="71"/>
      <c r="D1178" s="72"/>
      <c r="E1178" s="68"/>
      <c r="F1178" s="69">
        <v>0</v>
      </c>
      <c r="G1178" s="70" t="e">
        <f>F1178*H1142</f>
        <v>#VALUE!</v>
      </c>
      <c r="H1178" s="193"/>
    </row>
    <row r="1179" spans="1:10">
      <c r="A1179" s="205" t="s">
        <v>4</v>
      </c>
      <c r="B1179" s="71"/>
      <c r="C1179" s="71"/>
      <c r="D1179" s="72"/>
      <c r="E1179" s="68"/>
      <c r="F1179" s="69">
        <v>0</v>
      </c>
      <c r="G1179" s="70" t="e">
        <f>F1179*H1142</f>
        <v>#VALUE!</v>
      </c>
      <c r="H1179" s="193"/>
    </row>
    <row r="1180" spans="1:10">
      <c r="A1180" s="206"/>
      <c r="B1180" s="73"/>
      <c r="C1180" s="65"/>
      <c r="D1180" s="74"/>
      <c r="E1180" s="75"/>
      <c r="F1180" s="76"/>
      <c r="G1180" s="77"/>
      <c r="H1180" s="195"/>
    </row>
    <row r="1181" spans="1:10">
      <c r="A1181" s="207"/>
      <c r="B1181" s="73"/>
      <c r="C1181" s="73"/>
      <c r="D1181" s="74"/>
      <c r="E1181" s="78"/>
      <c r="F1181" s="515" t="s">
        <v>4230</v>
      </c>
      <c r="G1181" s="516"/>
      <c r="H1181" s="214" t="e">
        <f>H1142+G1177+G1178+G1179</f>
        <v>#VALUE!</v>
      </c>
    </row>
    <row r="1182" spans="1:10">
      <c r="A1182" s="73"/>
      <c r="B1182" s="73"/>
      <c r="C1182" s="73"/>
      <c r="D1182" s="74"/>
      <c r="E1182" s="360"/>
      <c r="F1182" s="361"/>
      <c r="G1182" s="361"/>
      <c r="H1182" s="362"/>
    </row>
    <row r="1183" spans="1:10">
      <c r="A1183" s="80"/>
      <c r="B1183" s="80"/>
      <c r="C1183" s="80"/>
      <c r="D1183" s="80"/>
      <c r="E1183" s="80"/>
      <c r="F1183" s="80"/>
      <c r="G1183" s="80"/>
      <c r="H1183" s="353"/>
    </row>
    <row r="1184" spans="1:10">
      <c r="A1184" s="537" t="s">
        <v>4214</v>
      </c>
      <c r="B1184" s="538"/>
      <c r="C1184" s="538"/>
      <c r="D1184" s="538"/>
      <c r="E1184" s="538"/>
      <c r="F1184" s="538"/>
      <c r="G1184" s="538"/>
      <c r="H1184" s="539"/>
    </row>
    <row r="1185" spans="1:15">
      <c r="A1185" s="81"/>
      <c r="B1185" s="82"/>
      <c r="C1185" s="82"/>
      <c r="D1185" s="82"/>
      <c r="E1185" s="82"/>
      <c r="F1185" s="83"/>
      <c r="G1185" s="84"/>
      <c r="H1185" s="352">
        <f>ROUND((25/60)/8,4)</f>
        <v>5.21E-2</v>
      </c>
      <c r="I1185" s="105"/>
    </row>
    <row r="1186" spans="1:15">
      <c r="A1186" s="540" t="s">
        <v>4209</v>
      </c>
      <c r="B1186" s="542" t="str">
        <f>COSTOS!$C$14</f>
        <v>MODERNIZACION A TECNOLOGIA LED</v>
      </c>
      <c r="C1186" s="542"/>
      <c r="D1186" s="542"/>
      <c r="E1186" s="542"/>
      <c r="F1186" s="542"/>
      <c r="G1186" s="542"/>
      <c r="H1186" s="543" t="s">
        <v>4210</v>
      </c>
    </row>
    <row r="1187" spans="1:15">
      <c r="A1187" s="541"/>
      <c r="B1187" s="542"/>
      <c r="C1187" s="542"/>
      <c r="D1187" s="542"/>
      <c r="E1187" s="542"/>
      <c r="F1187" s="542"/>
      <c r="G1187" s="542"/>
      <c r="H1187" s="543"/>
    </row>
    <row r="1188" spans="1:15">
      <c r="A1188" s="541"/>
      <c r="B1188" s="542"/>
      <c r="C1188" s="542"/>
      <c r="D1188" s="542"/>
      <c r="E1188" s="542"/>
      <c r="F1188" s="542"/>
      <c r="G1188" s="542"/>
      <c r="H1188" s="543"/>
    </row>
    <row r="1189" spans="1:15" ht="15" customHeight="1">
      <c r="A1189" s="541"/>
      <c r="B1189" s="542"/>
      <c r="C1189" s="542"/>
      <c r="D1189" s="542"/>
      <c r="E1189" s="542"/>
      <c r="F1189" s="542"/>
      <c r="G1189" s="542"/>
      <c r="H1189" s="197">
        <f ca="1">TODAY()</f>
        <v>44889</v>
      </c>
      <c r="K1189" t="s">
        <v>4380</v>
      </c>
      <c r="L1189" t="s">
        <v>4381</v>
      </c>
      <c r="M1189" t="s">
        <v>4382</v>
      </c>
      <c r="N1189" t="s">
        <v>4383</v>
      </c>
    </row>
    <row r="1190" spans="1:15" ht="60.75" customHeight="1">
      <c r="A1190" s="209" t="s">
        <v>4211</v>
      </c>
      <c r="B1190" s="544" t="str">
        <f>COSTOS!$D$16</f>
        <v>Luminarias</v>
      </c>
      <c r="C1190" s="544"/>
      <c r="D1190" s="544"/>
      <c r="E1190" s="544"/>
      <c r="F1190" s="544"/>
      <c r="G1190" s="60" t="s">
        <v>4212</v>
      </c>
      <c r="H1190" s="363">
        <v>1.24</v>
      </c>
      <c r="K1190" s="55" t="e">
        <f>H1215</f>
        <v>#VALUE!</v>
      </c>
      <c r="L1190" s="55">
        <f>H1225</f>
        <v>17212.1728</v>
      </c>
      <c r="M1190" s="55" t="e">
        <f>H1198</f>
        <v>#VALUE!</v>
      </c>
      <c r="N1190" s="55" t="e">
        <f>H1219</f>
        <v>#VALUE!</v>
      </c>
    </row>
    <row r="1191" spans="1:15" ht="43.2" customHeight="1">
      <c r="A1191" s="210" t="s">
        <v>4213</v>
      </c>
      <c r="B1191" s="545" t="str">
        <f>VLOOKUP(H1190,COSTOS!C:M,2,0)</f>
        <v>Luminaria Sodio 250w</v>
      </c>
      <c r="C1191" s="546"/>
      <c r="D1191" s="546"/>
      <c r="E1191" s="547"/>
      <c r="F1191" s="61" t="s">
        <v>0</v>
      </c>
      <c r="G1191" s="328" t="str">
        <f>VLOOKUP(H1190,COSTOS!C:M,8,0)</f>
        <v>Und</v>
      </c>
      <c r="H1191" s="248"/>
      <c r="I1191" s="278"/>
      <c r="J1191" s="280"/>
      <c r="K1191" s="280"/>
      <c r="L1191" s="280"/>
    </row>
    <row r="1192" spans="1:15">
      <c r="A1192" s="211"/>
      <c r="B1192" s="102"/>
      <c r="C1192" s="102"/>
      <c r="D1192" s="102"/>
      <c r="E1192" s="103"/>
      <c r="F1192" s="104" t="s">
        <v>1</v>
      </c>
      <c r="G1192" s="328">
        <f>VLOOKUP(H1190,COSTOS!C:M,9,0)</f>
        <v>0</v>
      </c>
      <c r="H1192" s="329"/>
      <c r="I1192" s="279"/>
    </row>
    <row r="1193" spans="1:15">
      <c r="A1193" s="212" t="s">
        <v>4215</v>
      </c>
      <c r="B1193" s="65"/>
      <c r="C1193" s="65"/>
      <c r="D1193" s="66"/>
      <c r="E1193" s="190"/>
      <c r="F1193" s="191"/>
      <c r="G1193" s="192" t="s">
        <v>4216</v>
      </c>
      <c r="H1193" s="198" t="e">
        <f>H1198+H1215+H1219+H1225</f>
        <v>#VALUE!</v>
      </c>
    </row>
    <row r="1194" spans="1:15" ht="41.4">
      <c r="A1194" s="548" t="s">
        <v>4213</v>
      </c>
      <c r="B1194" s="548"/>
      <c r="C1194" s="548"/>
      <c r="D1194" s="67" t="s">
        <v>0</v>
      </c>
      <c r="E1194" s="188" t="s">
        <v>4217</v>
      </c>
      <c r="F1194" s="189" t="s">
        <v>4204</v>
      </c>
      <c r="G1194" s="64" t="s">
        <v>2</v>
      </c>
      <c r="H1194" s="199" t="s">
        <v>4218</v>
      </c>
      <c r="K1194" s="281"/>
    </row>
    <row r="1195" spans="1:15">
      <c r="A1195" s="517" t="s">
        <v>3946</v>
      </c>
      <c r="B1195" s="549">
        <f>VLOOKUP(A1195,'Equip, Herr y Transp'!$B$2:$E$738,2,0)</f>
        <v>2</v>
      </c>
      <c r="C1195" s="549"/>
      <c r="D1195" s="85">
        <f>VLOOKUP(A1195,'Equip, Herr y Transp'!$B$2:$E$217,2,0)</f>
        <v>2</v>
      </c>
      <c r="E1195" s="85" t="str">
        <f>VLOOKUP(A1195,'Equip, Herr y Transp'!$B$2:$E$217,3,0)</f>
        <v>EQU</v>
      </c>
      <c r="F1195" s="86">
        <f>H1185</f>
        <v>5.21E-2</v>
      </c>
      <c r="G1195" s="112" t="e">
        <f>F1195*E1195</f>
        <v>#VALUE!</v>
      </c>
      <c r="H1195" s="108"/>
    </row>
    <row r="1196" spans="1:15">
      <c r="A1196" s="517" t="s">
        <v>3904</v>
      </c>
      <c r="B1196" s="549">
        <f>VLOOKUP(A1196,'Equip, Herr y Transp'!$B$2:$E$738,2,0)</f>
        <v>2</v>
      </c>
      <c r="C1196" s="549"/>
      <c r="D1196" s="85">
        <f>VLOOKUP(A1196,'Equip, Herr y Transp'!$B$2:$E$217,2,0)</f>
        <v>2</v>
      </c>
      <c r="E1196" s="85" t="str">
        <f>VLOOKUP(A1196,'Equip, Herr y Transp'!$B$2:$E$217,3,0)</f>
        <v>EQU</v>
      </c>
      <c r="F1196" s="86">
        <f>H1185</f>
        <v>5.21E-2</v>
      </c>
      <c r="G1196" s="112" t="e">
        <f>F1196*E1196</f>
        <v>#VALUE!</v>
      </c>
      <c r="H1196" s="107"/>
    </row>
    <row r="1197" spans="1:15">
      <c r="A1197" s="517" t="s">
        <v>3937</v>
      </c>
      <c r="B1197" s="549">
        <f>VLOOKUP(A1197,'Equip, Herr y Transp'!$B$2:$E$738,2,0)</f>
        <v>2</v>
      </c>
      <c r="C1197" s="549"/>
      <c r="D1197" s="85">
        <f>VLOOKUP(A1197,'Equip, Herr y Transp'!$B$2:$E$217,2,0)</f>
        <v>2</v>
      </c>
      <c r="E1197" s="85" t="str">
        <f>VLOOKUP(A1197,'Equip, Herr y Transp'!$B$2:$E$217,3,0)</f>
        <v>EQU</v>
      </c>
      <c r="F1197" s="86">
        <f>H1185</f>
        <v>5.21E-2</v>
      </c>
      <c r="G1197" s="112" t="e">
        <f>F1197*E1197</f>
        <v>#VALUE!</v>
      </c>
      <c r="H1197" s="107"/>
    </row>
    <row r="1198" spans="1:15">
      <c r="A1198" s="520" t="s">
        <v>4099</v>
      </c>
      <c r="B1198" s="521"/>
      <c r="C1198" s="521"/>
      <c r="D1198" s="521"/>
      <c r="E1198" s="521"/>
      <c r="F1198" s="521"/>
      <c r="G1198" s="521"/>
      <c r="H1198" s="87" t="e">
        <f>SUM(G1195:G1197)</f>
        <v>#VALUE!</v>
      </c>
    </row>
    <row r="1199" spans="1:15">
      <c r="A1199" s="550" t="s">
        <v>4219</v>
      </c>
      <c r="B1199" s="551"/>
      <c r="C1199" s="551"/>
      <c r="D1199" s="551"/>
      <c r="E1199" s="551"/>
      <c r="F1199" s="551"/>
      <c r="G1199" s="551"/>
      <c r="H1199" s="552"/>
      <c r="K1199" s="50"/>
      <c r="L1199" s="50"/>
      <c r="M1199" s="50"/>
      <c r="N1199" s="50"/>
      <c r="O1199" s="50"/>
    </row>
    <row r="1200" spans="1:15" ht="30" customHeight="1">
      <c r="A1200" s="553" t="s">
        <v>7</v>
      </c>
      <c r="B1200" s="554"/>
      <c r="C1200" s="99" t="s">
        <v>0</v>
      </c>
      <c r="D1200" s="100" t="s">
        <v>4097</v>
      </c>
      <c r="E1200" s="101" t="s">
        <v>1</v>
      </c>
      <c r="F1200" s="555" t="s">
        <v>4207</v>
      </c>
      <c r="G1200" s="555"/>
      <c r="H1200" s="196"/>
      <c r="K1200" s="50"/>
      <c r="L1200" s="50"/>
      <c r="M1200" s="50"/>
      <c r="N1200" s="50"/>
      <c r="O1200" s="50"/>
    </row>
    <row r="1201" spans="1:15">
      <c r="A1201" s="535" t="s">
        <v>4665</v>
      </c>
      <c r="B1201" s="536"/>
      <c r="C1201" s="88">
        <f>VLOOKUP(A1201,'Materiales '!$C$2:$G$396,3,0)</f>
        <v>4</v>
      </c>
      <c r="D1201" s="89" t="str">
        <f>VLOOKUP(A1201,'Materiales '!$C$2:$G$396,4,0)</f>
        <v>Und</v>
      </c>
      <c r="E1201" s="90">
        <v>1</v>
      </c>
      <c r="F1201" s="508" t="e">
        <f>E1201*D1201</f>
        <v>#VALUE!</v>
      </c>
      <c r="G1201" s="519"/>
      <c r="H1201" s="111"/>
      <c r="I1201">
        <f>E1201*G1192</f>
        <v>0</v>
      </c>
      <c r="J1201" s="57"/>
      <c r="K1201" s="50"/>
      <c r="L1201" s="50"/>
      <c r="M1201" s="50"/>
      <c r="N1201" s="50"/>
      <c r="O1201" s="50"/>
    </row>
    <row r="1202" spans="1:15">
      <c r="A1202" s="535" t="s">
        <v>4203</v>
      </c>
      <c r="B1202" s="536"/>
      <c r="C1202" s="88">
        <f>VLOOKUP(A1202,'Materiales '!$C$2:$G$396,3,0)</f>
        <v>4</v>
      </c>
      <c r="D1202" s="89" t="str">
        <f>VLOOKUP(A1202,'Materiales '!$C$2:$G$396,4,0)</f>
        <v>Und</v>
      </c>
      <c r="E1202" s="90">
        <v>1</v>
      </c>
      <c r="F1202" s="508" t="e">
        <f t="shared" ref="F1202:F1208" si="70">E1202*D1202</f>
        <v>#VALUE!</v>
      </c>
      <c r="G1202" s="519"/>
      <c r="H1202" s="111"/>
      <c r="I1202">
        <f>E1202*G1192</f>
        <v>0</v>
      </c>
      <c r="J1202" s="57"/>
      <c r="K1202" s="50"/>
      <c r="L1202" s="50"/>
      <c r="M1202" s="50"/>
      <c r="N1202" s="50"/>
      <c r="O1202" s="50"/>
    </row>
    <row r="1203" spans="1:15">
      <c r="A1203" s="517" t="s">
        <v>4473</v>
      </c>
      <c r="B1203" s="518">
        <f>VLOOKUP(A1203,'Materiales '!$C$2:$G$396,3,0)</f>
        <v>4</v>
      </c>
      <c r="C1203" s="88">
        <f>VLOOKUP(A1203,'Materiales '!$C$2:$G$396,3,0)</f>
        <v>4</v>
      </c>
      <c r="D1203" s="89" t="str">
        <f>VLOOKUP(A1203,'Materiales '!$C$2:$G$396,4,0)</f>
        <v>Und</v>
      </c>
      <c r="E1203" s="90">
        <v>2</v>
      </c>
      <c r="F1203" s="508" t="e">
        <f t="shared" si="70"/>
        <v>#VALUE!</v>
      </c>
      <c r="G1203" s="519"/>
      <c r="H1203" s="111"/>
      <c r="I1203">
        <f>E1203*G1192</f>
        <v>0</v>
      </c>
      <c r="J1203" s="58"/>
      <c r="K1203" s="50"/>
      <c r="L1203" s="50"/>
      <c r="M1203" s="50"/>
      <c r="N1203" s="50"/>
      <c r="O1203" s="50"/>
    </row>
    <row r="1204" spans="1:15">
      <c r="A1204" s="517" t="s">
        <v>4478</v>
      </c>
      <c r="B1204" s="518">
        <f>VLOOKUP(A1204,'Materiales '!$C$2:$G$396,3,0)</f>
        <v>4</v>
      </c>
      <c r="C1204" s="88">
        <f>VLOOKUP(A1204,'Materiales '!$C$2:$G$396,3,0)</f>
        <v>4</v>
      </c>
      <c r="D1204" s="89" t="str">
        <f>VLOOKUP(A1204,'Materiales '!$C$2:$G$396,4,0)</f>
        <v>Und</v>
      </c>
      <c r="E1204" s="90">
        <v>3</v>
      </c>
      <c r="F1204" s="508" t="e">
        <f t="shared" si="70"/>
        <v>#VALUE!</v>
      </c>
      <c r="G1204" s="519"/>
      <c r="H1204" s="111"/>
      <c r="I1204">
        <f>E1204*G1192</f>
        <v>0</v>
      </c>
      <c r="J1204" s="58"/>
      <c r="K1204" s="50"/>
      <c r="L1204" s="50"/>
      <c r="M1204" s="50"/>
      <c r="N1204" s="50"/>
      <c r="O1204" s="50"/>
    </row>
    <row r="1205" spans="1:15">
      <c r="A1205" s="517" t="s">
        <v>4543</v>
      </c>
      <c r="B1205" s="518">
        <f>VLOOKUP(A1205,'Materiales '!$C$2:$G$396,3,0)</f>
        <v>4</v>
      </c>
      <c r="C1205" s="88">
        <f>VLOOKUP(A1205,'Materiales '!$C$2:$G$396,3,0)</f>
        <v>4</v>
      </c>
      <c r="D1205" s="89" t="str">
        <f>VLOOKUP(A1205,'Materiales '!$C$2:$G$396,4,0)</f>
        <v>Und</v>
      </c>
      <c r="E1205" s="90">
        <v>2</v>
      </c>
      <c r="F1205" s="508" t="e">
        <f t="shared" si="70"/>
        <v>#VALUE!</v>
      </c>
      <c r="G1205" s="519"/>
      <c r="H1205" s="111"/>
      <c r="I1205">
        <f>E1205*G1192</f>
        <v>0</v>
      </c>
      <c r="J1205" s="58"/>
      <c r="K1205" s="50"/>
      <c r="L1205" s="50"/>
      <c r="M1205" s="50"/>
      <c r="N1205" s="50"/>
      <c r="O1205" s="50"/>
    </row>
    <row r="1206" spans="1:15">
      <c r="A1206" s="517" t="s">
        <v>4439</v>
      </c>
      <c r="B1206" s="518">
        <f>VLOOKUP(A1206,'Materiales '!$C$2:$G$396,3,0)</f>
        <v>2</v>
      </c>
      <c r="C1206" s="88">
        <f>VLOOKUP(A1206,'Materiales '!$C$2:$G$396,3,0)</f>
        <v>2</v>
      </c>
      <c r="D1206" s="89" t="str">
        <f>VLOOKUP(A1206,'Materiales '!$C$2:$G$396,4,0)</f>
        <v>Ml</v>
      </c>
      <c r="E1206" s="90">
        <v>1</v>
      </c>
      <c r="F1206" s="508" t="e">
        <f t="shared" si="70"/>
        <v>#VALUE!</v>
      </c>
      <c r="G1206" s="519"/>
      <c r="H1206" s="111"/>
      <c r="I1206">
        <f>E1206*G1192</f>
        <v>0</v>
      </c>
      <c r="J1206" s="58"/>
      <c r="K1206" s="50"/>
      <c r="L1206" s="50"/>
      <c r="M1206" s="50"/>
      <c r="N1206" s="50"/>
      <c r="O1206" s="50"/>
    </row>
    <row r="1207" spans="1:15">
      <c r="A1207" s="517" t="s">
        <v>4482</v>
      </c>
      <c r="B1207" s="518">
        <f>VLOOKUP(A1207,'Materiales '!$C$2:$G$396,3,0)</f>
        <v>4</v>
      </c>
      <c r="C1207" s="88">
        <f>VLOOKUP(A1207,'Materiales '!$C$2:$G$396,3,0)</f>
        <v>4</v>
      </c>
      <c r="D1207" s="89" t="str">
        <f>VLOOKUP(A1207,'Materiales '!$C$2:$G$396,4,0)</f>
        <v>Und</v>
      </c>
      <c r="E1207" s="90">
        <v>3</v>
      </c>
      <c r="F1207" s="508" t="e">
        <f t="shared" si="70"/>
        <v>#VALUE!</v>
      </c>
      <c r="G1207" s="519"/>
      <c r="H1207" s="111"/>
      <c r="I1207">
        <f>E1207*G1192</f>
        <v>0</v>
      </c>
      <c r="J1207" s="58"/>
      <c r="K1207" s="50"/>
      <c r="L1207" s="50"/>
      <c r="M1207" s="50"/>
      <c r="N1207" s="50"/>
      <c r="O1207" s="50"/>
    </row>
    <row r="1208" spans="1:15" ht="21.75" customHeight="1">
      <c r="A1208" s="517" t="s">
        <v>4424</v>
      </c>
      <c r="B1208" s="518">
        <f>VLOOKUP(A1208,'Materiales '!$C$2:$G$396,3,0)</f>
        <v>4</v>
      </c>
      <c r="C1208" s="88">
        <f>VLOOKUP(A1208,'Materiales '!$C$2:$G$396,3,0)</f>
        <v>4</v>
      </c>
      <c r="D1208" s="89" t="str">
        <f>VLOOKUP(A1208,'Materiales '!$C$2:$G$396,4,0)</f>
        <v>Und</v>
      </c>
      <c r="E1208" s="90">
        <v>1</v>
      </c>
      <c r="F1208" s="508" t="e">
        <f t="shared" si="70"/>
        <v>#VALUE!</v>
      </c>
      <c r="G1208" s="519"/>
      <c r="H1208" s="111"/>
      <c r="I1208">
        <f>E1208*G1192</f>
        <v>0</v>
      </c>
      <c r="J1208" s="58"/>
      <c r="K1208" s="50"/>
      <c r="L1208" s="50"/>
      <c r="M1208" s="50"/>
      <c r="N1208" s="50"/>
      <c r="O1208" s="50"/>
    </row>
    <row r="1209" spans="1:15">
      <c r="A1209" s="517" t="s">
        <v>8</v>
      </c>
      <c r="B1209" s="518">
        <f>VLOOKUP(A1209,'Materiales '!$C$2:$G$396,3,0)</f>
        <v>0</v>
      </c>
      <c r="C1209" s="88">
        <f>VLOOKUP(A1209,'Materiales '!$C$2:$G$396,3,0)</f>
        <v>0</v>
      </c>
      <c r="D1209" s="89" t="str">
        <f>VLOOKUP(A1209,'Materiales '!$C$2:$G$396,4,0)</f>
        <v>-</v>
      </c>
      <c r="E1209" s="90"/>
      <c r="F1209" s="508" t="e">
        <f>E1209*D1209</f>
        <v>#VALUE!</v>
      </c>
      <c r="G1209" s="519"/>
      <c r="H1209" s="110"/>
      <c r="I1209">
        <f>E1209*G1192</f>
        <v>0</v>
      </c>
      <c r="J1209" s="58"/>
      <c r="K1209" s="50"/>
      <c r="L1209" s="50"/>
      <c r="M1209" s="50"/>
      <c r="N1209" s="50"/>
      <c r="O1209" s="50"/>
    </row>
    <row r="1210" spans="1:15">
      <c r="A1210" s="517" t="s">
        <v>8</v>
      </c>
      <c r="B1210" s="518">
        <f>VLOOKUP(A1210,'Materiales '!$C$2:$G$396,3,0)</f>
        <v>0</v>
      </c>
      <c r="C1210" s="88">
        <f>VLOOKUP(A1210,'Materiales '!$C$2:$G$396,3,0)</f>
        <v>0</v>
      </c>
      <c r="D1210" s="89" t="str">
        <f>VLOOKUP(A1210,'Materiales '!$C$2:$G$396,4,0)</f>
        <v>-</v>
      </c>
      <c r="E1210" s="90"/>
      <c r="F1210" s="508" t="e">
        <f t="shared" ref="F1210:F1213" si="71">E1210*D1210</f>
        <v>#VALUE!</v>
      </c>
      <c r="G1210" s="519"/>
      <c r="H1210" s="111"/>
      <c r="I1210">
        <f>E1210*G1192</f>
        <v>0</v>
      </c>
      <c r="J1210" s="58"/>
      <c r="K1210" s="50"/>
      <c r="L1210" s="50"/>
      <c r="M1210" s="50"/>
      <c r="N1210" s="50"/>
      <c r="O1210" s="50"/>
    </row>
    <row r="1211" spans="1:15">
      <c r="A1211" s="517" t="s">
        <v>8</v>
      </c>
      <c r="B1211" s="518">
        <f>VLOOKUP(A1211,'Materiales '!$C$2:$G$396,3,0)</f>
        <v>0</v>
      </c>
      <c r="C1211" s="88">
        <f>VLOOKUP(A1211,'Materiales '!$C$2:$G$396,3,0)</f>
        <v>0</v>
      </c>
      <c r="D1211" s="89" t="str">
        <f>VLOOKUP(A1211,'Materiales '!$C$2:$G$396,4,0)</f>
        <v>-</v>
      </c>
      <c r="E1211" s="90"/>
      <c r="F1211" s="508" t="e">
        <f t="shared" si="71"/>
        <v>#VALUE!</v>
      </c>
      <c r="G1211" s="519"/>
      <c r="H1211" s="111"/>
      <c r="I1211">
        <f>E1211*G1192</f>
        <v>0</v>
      </c>
      <c r="J1211" s="58"/>
      <c r="K1211" s="50"/>
      <c r="L1211" s="50"/>
      <c r="M1211" s="50"/>
      <c r="N1211" s="50"/>
      <c r="O1211" s="50"/>
    </row>
    <row r="1212" spans="1:15">
      <c r="A1212" s="517" t="s">
        <v>8</v>
      </c>
      <c r="B1212" s="518">
        <f>VLOOKUP(A1212,'Materiales '!$C$2:$G$396,3,0)</f>
        <v>0</v>
      </c>
      <c r="C1212" s="88">
        <f>VLOOKUP(A1212,'Materiales '!$C$2:$G$396,3,0)</f>
        <v>0</v>
      </c>
      <c r="D1212" s="89" t="str">
        <f>VLOOKUP(A1212,'Materiales '!$C$2:$G$396,4,0)</f>
        <v>-</v>
      </c>
      <c r="E1212" s="90"/>
      <c r="F1212" s="508" t="e">
        <f t="shared" si="71"/>
        <v>#VALUE!</v>
      </c>
      <c r="G1212" s="519"/>
      <c r="H1212" s="111"/>
      <c r="I1212">
        <f>E1212*G1192</f>
        <v>0</v>
      </c>
      <c r="J1212" s="58"/>
      <c r="K1212" s="50"/>
      <c r="L1212" s="50"/>
      <c r="M1212" s="50"/>
      <c r="N1212" s="50"/>
      <c r="O1212" s="50"/>
    </row>
    <row r="1213" spans="1:15">
      <c r="A1213" s="517" t="s">
        <v>8</v>
      </c>
      <c r="B1213" s="518">
        <f>VLOOKUP(A1213,'Materiales '!$C$2:$G$396,3,0)</f>
        <v>0</v>
      </c>
      <c r="C1213" s="88">
        <f>VLOOKUP(A1213,'Materiales '!$C$2:$G$396,3,0)</f>
        <v>0</v>
      </c>
      <c r="D1213" s="89" t="str">
        <f>VLOOKUP(A1213,'Materiales '!$C$2:$G$396,4,0)</f>
        <v>-</v>
      </c>
      <c r="E1213" s="90"/>
      <c r="F1213" s="508" t="e">
        <f t="shared" si="71"/>
        <v>#VALUE!</v>
      </c>
      <c r="G1213" s="519"/>
      <c r="H1213" s="111"/>
      <c r="I1213">
        <f>E1213*G1192</f>
        <v>0</v>
      </c>
      <c r="J1213" s="58"/>
      <c r="K1213" s="50"/>
      <c r="L1213" s="50"/>
      <c r="M1213" s="50"/>
      <c r="N1213" s="50"/>
      <c r="O1213" s="50"/>
    </row>
    <row r="1214" spans="1:15">
      <c r="A1214" s="517" t="s">
        <v>8</v>
      </c>
      <c r="B1214" s="518">
        <f>VLOOKUP(A1214,'Materiales '!$C$2:$G$396,3,0)</f>
        <v>0</v>
      </c>
      <c r="C1214" s="88">
        <f>VLOOKUP(A1214,'Materiales '!$C$2:$G$396,3,0)</f>
        <v>0</v>
      </c>
      <c r="D1214" s="89" t="str">
        <f>VLOOKUP(A1214,'Materiales '!$C$2:$G$396,4,0)</f>
        <v>-</v>
      </c>
      <c r="E1214" s="90"/>
      <c r="F1214" s="508" t="e">
        <f>E1214*D1214</f>
        <v>#VALUE!</v>
      </c>
      <c r="G1214" s="519"/>
      <c r="H1214" s="110"/>
      <c r="I1214">
        <f>E1214*G1192</f>
        <v>0</v>
      </c>
      <c r="J1214" s="58"/>
      <c r="K1214" s="50"/>
      <c r="L1214" s="50"/>
      <c r="M1214" s="50"/>
      <c r="N1214" s="50"/>
      <c r="O1214" s="50"/>
    </row>
    <row r="1215" spans="1:15">
      <c r="A1215" s="520" t="s">
        <v>4098</v>
      </c>
      <c r="B1215" s="521"/>
      <c r="C1215" s="521"/>
      <c r="D1215" s="521"/>
      <c r="E1215" s="521"/>
      <c r="F1215" s="521"/>
      <c r="G1215" s="522"/>
      <c r="H1215" s="106" t="e">
        <f>SUM(F1201:F1214)</f>
        <v>#VALUE!</v>
      </c>
      <c r="J1215" s="58"/>
      <c r="K1215" s="50"/>
      <c r="L1215" s="50"/>
      <c r="M1215" s="50"/>
      <c r="N1215" s="50"/>
      <c r="O1215" s="50"/>
    </row>
    <row r="1216" spans="1:15">
      <c r="A1216" s="523" t="s">
        <v>4220</v>
      </c>
      <c r="B1216" s="524"/>
      <c r="C1216" s="524"/>
      <c r="D1216" s="524"/>
      <c r="E1216" s="525"/>
      <c r="F1216" s="524"/>
      <c r="G1216" s="524"/>
      <c r="H1216" s="526"/>
      <c r="J1216" s="58"/>
      <c r="K1216" s="50"/>
      <c r="L1216" s="50"/>
      <c r="M1216" s="50"/>
      <c r="N1216" s="50"/>
      <c r="O1216" s="50"/>
    </row>
    <row r="1217" spans="1:15">
      <c r="A1217" s="527" t="s">
        <v>7</v>
      </c>
      <c r="B1217" s="528"/>
      <c r="C1217" s="98" t="s">
        <v>4221</v>
      </c>
      <c r="D1217" s="97" t="s">
        <v>4222</v>
      </c>
      <c r="E1217" s="187" t="s">
        <v>4223</v>
      </c>
      <c r="F1217" s="529" t="s">
        <v>4207</v>
      </c>
      <c r="G1217" s="529"/>
      <c r="H1217" s="109"/>
      <c r="K1217" s="50"/>
      <c r="L1217" s="50"/>
      <c r="M1217" s="50"/>
      <c r="N1217" s="50"/>
      <c r="O1217" s="50"/>
    </row>
    <row r="1218" spans="1:15">
      <c r="A1218" s="506" t="s">
        <v>3928</v>
      </c>
      <c r="B1218" s="507"/>
      <c r="C1218" s="213">
        <v>1</v>
      </c>
      <c r="D1218" s="92">
        <v>0.03</v>
      </c>
      <c r="E1218" s="93" t="str">
        <f>VLOOKUP(A1218,'Equip, Herr y Transp'!$B$2:$E$217,3,0)</f>
        <v>TR</v>
      </c>
      <c r="F1218" s="530" t="e">
        <f>E1218*D1218*C1218</f>
        <v>#VALUE!</v>
      </c>
      <c r="G1218" s="531"/>
      <c r="H1218" s="107"/>
      <c r="M1218" s="50"/>
    </row>
    <row r="1219" spans="1:15">
      <c r="A1219" s="532" t="s">
        <v>4205</v>
      </c>
      <c r="B1219" s="533"/>
      <c r="C1219" s="533"/>
      <c r="D1219" s="533"/>
      <c r="E1219" s="533"/>
      <c r="F1219" s="533"/>
      <c r="G1219" s="533"/>
      <c r="H1219" s="95" t="e">
        <f>F1218</f>
        <v>#VALUE!</v>
      </c>
    </row>
    <row r="1220" spans="1:15">
      <c r="A1220" s="523" t="s">
        <v>4224</v>
      </c>
      <c r="B1220" s="524"/>
      <c r="C1220" s="524"/>
      <c r="D1220" s="524"/>
      <c r="E1220" s="524"/>
      <c r="F1220" s="524"/>
      <c r="G1220" s="524"/>
      <c r="H1220" s="526"/>
    </row>
    <row r="1221" spans="1:15">
      <c r="A1221" s="527" t="s">
        <v>7</v>
      </c>
      <c r="B1221" s="528"/>
      <c r="C1221" s="96" t="s">
        <v>1</v>
      </c>
      <c r="D1221" s="97" t="s">
        <v>4225</v>
      </c>
      <c r="E1221" s="98" t="s">
        <v>4204</v>
      </c>
      <c r="F1221" s="527" t="s">
        <v>5</v>
      </c>
      <c r="G1221" s="534"/>
      <c r="H1221" s="109"/>
    </row>
    <row r="1222" spans="1:15">
      <c r="A1222" s="506" t="s">
        <v>4191</v>
      </c>
      <c r="B1222" s="507"/>
      <c r="C1222" s="91">
        <v>1</v>
      </c>
      <c r="D1222" s="94">
        <f>VLOOKUP(A1222,'Mano Obra'!$B$2:$T$117,19,0)</f>
        <v>152456</v>
      </c>
      <c r="E1222" s="218">
        <f>H1185</f>
        <v>5.21E-2</v>
      </c>
      <c r="F1222" s="508">
        <f>E1222*D1222*C1222</f>
        <v>7942.9575999999997</v>
      </c>
      <c r="G1222" s="509"/>
      <c r="H1222" s="111"/>
      <c r="I1222" s="59"/>
      <c r="J1222" s="117">
        <f>((('Mano Obra'!$M$4/30)*F1222)/D1222)*G1192</f>
        <v>0</v>
      </c>
    </row>
    <row r="1223" spans="1:15">
      <c r="A1223" s="510" t="s">
        <v>4192</v>
      </c>
      <c r="B1223" s="511">
        <f>VLOOKUP(A1223,'Mano Obra'!$B$3:$D$290,2,0)</f>
        <v>1900000</v>
      </c>
      <c r="C1223" s="91">
        <v>1</v>
      </c>
      <c r="D1223" s="94">
        <f>VLOOKUP(A1223,'Mano Obra'!$B$2:$T$117,19,0)</f>
        <v>110488</v>
      </c>
      <c r="E1223" s="218">
        <f>H1185</f>
        <v>5.21E-2</v>
      </c>
      <c r="F1223" s="508">
        <f t="shared" ref="F1223:F1224" si="72">E1223*D1223*C1223</f>
        <v>5756.4247999999998</v>
      </c>
      <c r="G1223" s="509"/>
      <c r="H1223" s="111"/>
      <c r="J1223" s="117">
        <f>((('Mano Obra'!$M$5/30)*F1223)/D1223)*G1192</f>
        <v>0</v>
      </c>
    </row>
    <row r="1224" spans="1:15">
      <c r="A1224" s="510" t="s">
        <v>4181</v>
      </c>
      <c r="B1224" s="511">
        <f>VLOOKUP(A1224,'Mano Obra'!$B$3:$D$290,2,0)</f>
        <v>1000000</v>
      </c>
      <c r="C1224" s="91">
        <v>1</v>
      </c>
      <c r="D1224" s="94">
        <f>VLOOKUP(A1224,'Mano Obra'!$B$2:$T$117,19,0)</f>
        <v>67424</v>
      </c>
      <c r="E1224" s="218">
        <f>H1185</f>
        <v>5.21E-2</v>
      </c>
      <c r="F1224" s="508">
        <f t="shared" si="72"/>
        <v>3512.7903999999999</v>
      </c>
      <c r="G1224" s="509"/>
      <c r="H1224" s="110"/>
      <c r="J1224" s="117">
        <f>((('Mano Obra'!$M$6/30)*F1224)/D1224)*G1192</f>
        <v>0</v>
      </c>
    </row>
    <row r="1225" spans="1:15">
      <c r="A1225" s="512" t="s">
        <v>4100</v>
      </c>
      <c r="B1225" s="512"/>
      <c r="C1225" s="512"/>
      <c r="D1225" s="512"/>
      <c r="E1225" s="512"/>
      <c r="F1225" s="512"/>
      <c r="G1225" s="512"/>
      <c r="H1225" s="95">
        <f>SUM(F1222:F1224)</f>
        <v>17212.1728</v>
      </c>
      <c r="J1225" s="117"/>
    </row>
    <row r="1226" spans="1:15">
      <c r="A1226" s="208" t="s">
        <v>4226</v>
      </c>
      <c r="B1226" s="186"/>
      <c r="C1226" s="186"/>
      <c r="D1226" s="183"/>
      <c r="E1226" s="184"/>
      <c r="F1226" s="185"/>
      <c r="G1226" s="184"/>
      <c r="H1226" s="193"/>
    </row>
    <row r="1227" spans="1:15">
      <c r="A1227" s="513" t="s">
        <v>4213</v>
      </c>
      <c r="B1227" s="514"/>
      <c r="C1227" s="514"/>
      <c r="D1227" s="514"/>
      <c r="E1227" s="181"/>
      <c r="F1227" s="182" t="s">
        <v>4227</v>
      </c>
      <c r="G1227" s="181" t="s">
        <v>4228</v>
      </c>
      <c r="H1227" s="194"/>
    </row>
    <row r="1228" spans="1:15">
      <c r="A1228" s="204" t="s">
        <v>4096</v>
      </c>
      <c r="B1228" s="62"/>
      <c r="C1228" s="62"/>
      <c r="D1228" s="63"/>
      <c r="E1228" s="68"/>
      <c r="F1228" s="69">
        <v>0</v>
      </c>
      <c r="G1228" s="70" t="e">
        <f>F1228*H1193</f>
        <v>#VALUE!</v>
      </c>
      <c r="H1228" s="193"/>
    </row>
    <row r="1229" spans="1:15">
      <c r="A1229" s="205" t="s">
        <v>4229</v>
      </c>
      <c r="B1229" s="71"/>
      <c r="C1229" s="71"/>
      <c r="D1229" s="72"/>
      <c r="E1229" s="68"/>
      <c r="F1229" s="69">
        <v>0</v>
      </c>
      <c r="G1229" s="70" t="e">
        <f>F1229*H1193</f>
        <v>#VALUE!</v>
      </c>
      <c r="H1229" s="193"/>
    </row>
    <row r="1230" spans="1:15">
      <c r="A1230" s="205" t="s">
        <v>4</v>
      </c>
      <c r="B1230" s="71"/>
      <c r="C1230" s="71"/>
      <c r="D1230" s="72"/>
      <c r="E1230" s="68"/>
      <c r="F1230" s="69">
        <v>0</v>
      </c>
      <c r="G1230" s="70" t="e">
        <f>F1230*H1193</f>
        <v>#VALUE!</v>
      </c>
      <c r="H1230" s="193"/>
    </row>
    <row r="1231" spans="1:15">
      <c r="A1231" s="206"/>
      <c r="B1231" s="73"/>
      <c r="C1231" s="65"/>
      <c r="D1231" s="74"/>
      <c r="E1231" s="75"/>
      <c r="F1231" s="76"/>
      <c r="G1231" s="77"/>
      <c r="H1231" s="195"/>
    </row>
    <row r="1232" spans="1:15">
      <c r="A1232" s="207"/>
      <c r="B1232" s="73"/>
      <c r="C1232" s="73"/>
      <c r="D1232" s="74"/>
      <c r="E1232" s="78"/>
      <c r="F1232" s="515" t="s">
        <v>4230</v>
      </c>
      <c r="G1232" s="516"/>
      <c r="H1232" s="214" t="e">
        <f>H1193+G1228+G1229+G1230</f>
        <v>#VALUE!</v>
      </c>
    </row>
    <row r="1233" spans="1:14">
      <c r="A1233" s="73"/>
      <c r="B1233" s="73"/>
      <c r="C1233" s="73"/>
      <c r="D1233" s="74"/>
      <c r="E1233" s="360"/>
      <c r="F1233" s="361"/>
      <c r="G1233" s="361"/>
      <c r="H1233" s="362"/>
    </row>
    <row r="1234" spans="1:14">
      <c r="A1234" s="80"/>
      <c r="B1234" s="80"/>
      <c r="C1234" s="80"/>
      <c r="D1234" s="80"/>
      <c r="E1234" s="80"/>
      <c r="F1234" s="80"/>
      <c r="G1234" s="80"/>
      <c r="H1234" s="353"/>
    </row>
    <row r="1235" spans="1:14">
      <c r="A1235" s="537" t="s">
        <v>4214</v>
      </c>
      <c r="B1235" s="538"/>
      <c r="C1235" s="538"/>
      <c r="D1235" s="538"/>
      <c r="E1235" s="538"/>
      <c r="F1235" s="538"/>
      <c r="G1235" s="538"/>
      <c r="H1235" s="539"/>
    </row>
    <row r="1236" spans="1:14">
      <c r="A1236" s="81"/>
      <c r="B1236" s="82"/>
      <c r="C1236" s="82"/>
      <c r="D1236" s="82"/>
      <c r="E1236" s="82"/>
      <c r="F1236" s="83"/>
      <c r="G1236" s="84"/>
      <c r="H1236" s="352">
        <f>ROUND((25/60)/8,4)</f>
        <v>5.21E-2</v>
      </c>
      <c r="I1236" s="105"/>
    </row>
    <row r="1237" spans="1:14">
      <c r="A1237" s="540" t="s">
        <v>4209</v>
      </c>
      <c r="B1237" s="542" t="str">
        <f>COSTOS!$C$14</f>
        <v>MODERNIZACION A TECNOLOGIA LED</v>
      </c>
      <c r="C1237" s="542"/>
      <c r="D1237" s="542"/>
      <c r="E1237" s="542"/>
      <c r="F1237" s="542"/>
      <c r="G1237" s="542"/>
      <c r="H1237" s="543" t="s">
        <v>4210</v>
      </c>
    </row>
    <row r="1238" spans="1:14">
      <c r="A1238" s="541"/>
      <c r="B1238" s="542"/>
      <c r="C1238" s="542"/>
      <c r="D1238" s="542"/>
      <c r="E1238" s="542"/>
      <c r="F1238" s="542"/>
      <c r="G1238" s="542"/>
      <c r="H1238" s="543"/>
    </row>
    <row r="1239" spans="1:14">
      <c r="A1239" s="541"/>
      <c r="B1239" s="542"/>
      <c r="C1239" s="542"/>
      <c r="D1239" s="542"/>
      <c r="E1239" s="542"/>
      <c r="F1239" s="542"/>
      <c r="G1239" s="542"/>
      <c r="H1239" s="543"/>
    </row>
    <row r="1240" spans="1:14" ht="15" customHeight="1">
      <c r="A1240" s="541"/>
      <c r="B1240" s="542"/>
      <c r="C1240" s="542"/>
      <c r="D1240" s="542"/>
      <c r="E1240" s="542"/>
      <c r="F1240" s="542"/>
      <c r="G1240" s="542"/>
      <c r="H1240" s="197">
        <f ca="1">TODAY()</f>
        <v>44889</v>
      </c>
      <c r="K1240" t="s">
        <v>4380</v>
      </c>
      <c r="L1240" t="s">
        <v>4381</v>
      </c>
      <c r="M1240" t="s">
        <v>4382</v>
      </c>
      <c r="N1240" t="s">
        <v>4383</v>
      </c>
    </row>
    <row r="1241" spans="1:14" ht="60.75" customHeight="1">
      <c r="A1241" s="209" t="s">
        <v>4211</v>
      </c>
      <c r="B1241" s="544" t="str">
        <f>COSTOS!$D$16</f>
        <v>Luminarias</v>
      </c>
      <c r="C1241" s="544"/>
      <c r="D1241" s="544"/>
      <c r="E1241" s="544"/>
      <c r="F1241" s="544"/>
      <c r="G1241" s="60" t="s">
        <v>4212</v>
      </c>
      <c r="H1241" s="363">
        <v>1.25</v>
      </c>
      <c r="K1241" s="55" t="e">
        <f>H1266</f>
        <v>#VALUE!</v>
      </c>
      <c r="L1241" s="55">
        <f>H1276</f>
        <v>17212.1728</v>
      </c>
      <c r="M1241" s="55" t="e">
        <f>H1249</f>
        <v>#VALUE!</v>
      </c>
      <c r="N1241" s="55" t="e">
        <f>H1270</f>
        <v>#VALUE!</v>
      </c>
    </row>
    <row r="1242" spans="1:14" ht="43.2" customHeight="1">
      <c r="A1242" s="210" t="s">
        <v>4213</v>
      </c>
      <c r="B1242" s="545" t="str">
        <f>VLOOKUP(H1241,COSTOS!C:M,2,0)</f>
        <v>Luminaria Sodio 400w</v>
      </c>
      <c r="C1242" s="546"/>
      <c r="D1242" s="546"/>
      <c r="E1242" s="547"/>
      <c r="F1242" s="61" t="s">
        <v>0</v>
      </c>
      <c r="G1242" s="328" t="str">
        <f>VLOOKUP(H1241,COSTOS!C:M,8,0)</f>
        <v>Und</v>
      </c>
      <c r="H1242" s="248"/>
      <c r="I1242" s="278"/>
      <c r="J1242" s="280"/>
      <c r="K1242" s="280"/>
      <c r="L1242" s="280"/>
    </row>
    <row r="1243" spans="1:14">
      <c r="A1243" s="211"/>
      <c r="B1243" s="102"/>
      <c r="C1243" s="102"/>
      <c r="D1243" s="102"/>
      <c r="E1243" s="103"/>
      <c r="F1243" s="104" t="s">
        <v>1</v>
      </c>
      <c r="G1243" s="328">
        <f>VLOOKUP(H1241,COSTOS!C:M,9,0)</f>
        <v>0</v>
      </c>
      <c r="H1243" s="329"/>
      <c r="I1243" s="279"/>
    </row>
    <row r="1244" spans="1:14">
      <c r="A1244" s="212" t="s">
        <v>4215</v>
      </c>
      <c r="B1244" s="65"/>
      <c r="C1244" s="65"/>
      <c r="D1244" s="66"/>
      <c r="E1244" s="190"/>
      <c r="F1244" s="191"/>
      <c r="G1244" s="192" t="s">
        <v>4216</v>
      </c>
      <c r="H1244" s="198" t="e">
        <f>H1249+H1266+H1270+H1276</f>
        <v>#VALUE!</v>
      </c>
    </row>
    <row r="1245" spans="1:14" ht="41.4">
      <c r="A1245" s="548" t="s">
        <v>4213</v>
      </c>
      <c r="B1245" s="548"/>
      <c r="C1245" s="548"/>
      <c r="D1245" s="67" t="s">
        <v>0</v>
      </c>
      <c r="E1245" s="188" t="s">
        <v>4217</v>
      </c>
      <c r="F1245" s="189" t="s">
        <v>4204</v>
      </c>
      <c r="G1245" s="64" t="s">
        <v>2</v>
      </c>
      <c r="H1245" s="199" t="s">
        <v>4218</v>
      </c>
      <c r="K1245" s="281"/>
    </row>
    <row r="1246" spans="1:14">
      <c r="A1246" s="517" t="s">
        <v>3946</v>
      </c>
      <c r="B1246" s="549">
        <f>VLOOKUP(A1246,'Equip, Herr y Transp'!$B$2:$E$738,2,0)</f>
        <v>2</v>
      </c>
      <c r="C1246" s="549"/>
      <c r="D1246" s="85">
        <f>VLOOKUP(A1246,'Equip, Herr y Transp'!$B$2:$E$217,2,0)</f>
        <v>2</v>
      </c>
      <c r="E1246" s="85" t="str">
        <f>VLOOKUP(A1246,'Equip, Herr y Transp'!$B$2:$E$217,3,0)</f>
        <v>EQU</v>
      </c>
      <c r="F1246" s="86">
        <f>H1236</f>
        <v>5.21E-2</v>
      </c>
      <c r="G1246" s="112" t="e">
        <f>F1246*E1246</f>
        <v>#VALUE!</v>
      </c>
      <c r="H1246" s="108"/>
    </row>
    <row r="1247" spans="1:14">
      <c r="A1247" s="517" t="s">
        <v>3904</v>
      </c>
      <c r="B1247" s="549">
        <f>VLOOKUP(A1247,'Equip, Herr y Transp'!$B$2:$E$738,2,0)</f>
        <v>2</v>
      </c>
      <c r="C1247" s="549"/>
      <c r="D1247" s="85">
        <f>VLOOKUP(A1247,'Equip, Herr y Transp'!$B$2:$E$217,2,0)</f>
        <v>2</v>
      </c>
      <c r="E1247" s="85" t="str">
        <f>VLOOKUP(A1247,'Equip, Herr y Transp'!$B$2:$E$217,3,0)</f>
        <v>EQU</v>
      </c>
      <c r="F1247" s="86">
        <f>H1236</f>
        <v>5.21E-2</v>
      </c>
      <c r="G1247" s="112" t="e">
        <f>F1247*E1247</f>
        <v>#VALUE!</v>
      </c>
      <c r="H1247" s="107"/>
    </row>
    <row r="1248" spans="1:14">
      <c r="A1248" s="517" t="s">
        <v>3937</v>
      </c>
      <c r="B1248" s="549">
        <f>VLOOKUP(A1248,'Equip, Herr y Transp'!$B$2:$E$738,2,0)</f>
        <v>2</v>
      </c>
      <c r="C1248" s="549"/>
      <c r="D1248" s="85">
        <f>VLOOKUP(A1248,'Equip, Herr y Transp'!$B$2:$E$217,2,0)</f>
        <v>2</v>
      </c>
      <c r="E1248" s="85" t="str">
        <f>VLOOKUP(A1248,'Equip, Herr y Transp'!$B$2:$E$217,3,0)</f>
        <v>EQU</v>
      </c>
      <c r="F1248" s="86">
        <f>H1236</f>
        <v>5.21E-2</v>
      </c>
      <c r="G1248" s="112" t="e">
        <f>F1248*E1248</f>
        <v>#VALUE!</v>
      </c>
      <c r="H1248" s="107"/>
    </row>
    <row r="1249" spans="1:15">
      <c r="A1249" s="520" t="s">
        <v>4099</v>
      </c>
      <c r="B1249" s="521"/>
      <c r="C1249" s="521"/>
      <c r="D1249" s="521"/>
      <c r="E1249" s="521"/>
      <c r="F1249" s="521"/>
      <c r="G1249" s="521"/>
      <c r="H1249" s="87" t="e">
        <f>SUM(G1246:G1248)</f>
        <v>#VALUE!</v>
      </c>
    </row>
    <row r="1250" spans="1:15">
      <c r="A1250" s="550" t="s">
        <v>4219</v>
      </c>
      <c r="B1250" s="551"/>
      <c r="C1250" s="551"/>
      <c r="D1250" s="551"/>
      <c r="E1250" s="551"/>
      <c r="F1250" s="551"/>
      <c r="G1250" s="551"/>
      <c r="H1250" s="552"/>
      <c r="K1250" s="50"/>
      <c r="L1250" s="50"/>
      <c r="M1250" s="50"/>
      <c r="N1250" s="50"/>
      <c r="O1250" s="50"/>
    </row>
    <row r="1251" spans="1:15" ht="30" customHeight="1">
      <c r="A1251" s="553" t="s">
        <v>7</v>
      </c>
      <c r="B1251" s="554"/>
      <c r="C1251" s="99" t="s">
        <v>0</v>
      </c>
      <c r="D1251" s="100" t="s">
        <v>4097</v>
      </c>
      <c r="E1251" s="101" t="s">
        <v>1</v>
      </c>
      <c r="F1251" s="555" t="s">
        <v>4207</v>
      </c>
      <c r="G1251" s="555"/>
      <c r="H1251" s="196"/>
      <c r="K1251" s="50"/>
      <c r="L1251" s="50"/>
      <c r="M1251" s="50"/>
      <c r="N1251" s="50"/>
      <c r="O1251" s="50"/>
    </row>
    <row r="1252" spans="1:15">
      <c r="A1252" s="535" t="s">
        <v>4666</v>
      </c>
      <c r="B1252" s="536"/>
      <c r="C1252" s="88">
        <f>VLOOKUP(A1252,'Materiales '!$C$2:$G$396,3,0)</f>
        <v>4</v>
      </c>
      <c r="D1252" s="89" t="str">
        <f>VLOOKUP(A1252,'Materiales '!$C$2:$G$396,4,0)</f>
        <v>Und</v>
      </c>
      <c r="E1252" s="90">
        <v>1</v>
      </c>
      <c r="F1252" s="508" t="e">
        <f>E1252*D1252</f>
        <v>#VALUE!</v>
      </c>
      <c r="G1252" s="519"/>
      <c r="H1252" s="111"/>
      <c r="I1252">
        <f>E1252*G1243</f>
        <v>0</v>
      </c>
      <c r="J1252" s="57"/>
      <c r="K1252" s="50"/>
      <c r="L1252" s="50"/>
      <c r="M1252" s="50"/>
      <c r="N1252" s="50"/>
      <c r="O1252" s="50"/>
    </row>
    <row r="1253" spans="1:15">
      <c r="A1253" s="535" t="s">
        <v>4203</v>
      </c>
      <c r="B1253" s="536"/>
      <c r="C1253" s="88">
        <f>VLOOKUP(A1253,'Materiales '!$C$2:$G$396,3,0)</f>
        <v>4</v>
      </c>
      <c r="D1253" s="89" t="str">
        <f>VLOOKUP(A1253,'Materiales '!$C$2:$G$396,4,0)</f>
        <v>Und</v>
      </c>
      <c r="E1253" s="90">
        <v>1</v>
      </c>
      <c r="F1253" s="508" t="e">
        <f t="shared" ref="F1253:F1259" si="73">E1253*D1253</f>
        <v>#VALUE!</v>
      </c>
      <c r="G1253" s="519"/>
      <c r="H1253" s="111"/>
      <c r="I1253">
        <f>E1253*G1243</f>
        <v>0</v>
      </c>
      <c r="J1253" s="57"/>
      <c r="K1253" s="50"/>
      <c r="L1253" s="50"/>
      <c r="M1253" s="50"/>
      <c r="N1253" s="50"/>
      <c r="O1253" s="50"/>
    </row>
    <row r="1254" spans="1:15">
      <c r="A1254" s="517" t="s">
        <v>4473</v>
      </c>
      <c r="B1254" s="518">
        <f>VLOOKUP(A1254,'Materiales '!$C$2:$G$396,3,0)</f>
        <v>4</v>
      </c>
      <c r="C1254" s="88">
        <f>VLOOKUP(A1254,'Materiales '!$C$2:$G$396,3,0)</f>
        <v>4</v>
      </c>
      <c r="D1254" s="89" t="str">
        <f>VLOOKUP(A1254,'Materiales '!$C$2:$G$396,4,0)</f>
        <v>Und</v>
      </c>
      <c r="E1254" s="90">
        <v>2</v>
      </c>
      <c r="F1254" s="508" t="e">
        <f t="shared" si="73"/>
        <v>#VALUE!</v>
      </c>
      <c r="G1254" s="519"/>
      <c r="H1254" s="111"/>
      <c r="I1254">
        <f>E1254*G1243</f>
        <v>0</v>
      </c>
      <c r="J1254" s="58"/>
      <c r="K1254" s="50"/>
      <c r="L1254" s="50"/>
      <c r="M1254" s="50"/>
      <c r="N1254" s="50"/>
      <c r="O1254" s="50"/>
    </row>
    <row r="1255" spans="1:15">
      <c r="A1255" s="517" t="s">
        <v>4478</v>
      </c>
      <c r="B1255" s="518">
        <f>VLOOKUP(A1255,'Materiales '!$C$2:$G$396,3,0)</f>
        <v>4</v>
      </c>
      <c r="C1255" s="88">
        <f>VLOOKUP(A1255,'Materiales '!$C$2:$G$396,3,0)</f>
        <v>4</v>
      </c>
      <c r="D1255" s="89" t="str">
        <f>VLOOKUP(A1255,'Materiales '!$C$2:$G$396,4,0)</f>
        <v>Und</v>
      </c>
      <c r="E1255" s="90">
        <v>3</v>
      </c>
      <c r="F1255" s="508" t="e">
        <f t="shared" si="73"/>
        <v>#VALUE!</v>
      </c>
      <c r="G1255" s="519"/>
      <c r="H1255" s="111"/>
      <c r="I1255">
        <f>E1255*G1243</f>
        <v>0</v>
      </c>
      <c r="J1255" s="58"/>
      <c r="K1255" s="50"/>
      <c r="L1255" s="50"/>
      <c r="M1255" s="50"/>
      <c r="N1255" s="50"/>
      <c r="O1255" s="50"/>
    </row>
    <row r="1256" spans="1:15">
      <c r="A1256" s="517" t="s">
        <v>4543</v>
      </c>
      <c r="B1256" s="518">
        <f>VLOOKUP(A1256,'Materiales '!$C$2:$G$396,3,0)</f>
        <v>4</v>
      </c>
      <c r="C1256" s="88">
        <f>VLOOKUP(A1256,'Materiales '!$C$2:$G$396,3,0)</f>
        <v>4</v>
      </c>
      <c r="D1256" s="89" t="str">
        <f>VLOOKUP(A1256,'Materiales '!$C$2:$G$396,4,0)</f>
        <v>Und</v>
      </c>
      <c r="E1256" s="90">
        <v>2</v>
      </c>
      <c r="F1256" s="508" t="e">
        <f t="shared" si="73"/>
        <v>#VALUE!</v>
      </c>
      <c r="G1256" s="519"/>
      <c r="H1256" s="111"/>
      <c r="I1256">
        <f>E1256*G1243</f>
        <v>0</v>
      </c>
      <c r="J1256" s="58"/>
      <c r="K1256" s="50"/>
      <c r="L1256" s="50"/>
      <c r="M1256" s="50"/>
      <c r="N1256" s="50"/>
      <c r="O1256" s="50"/>
    </row>
    <row r="1257" spans="1:15">
      <c r="A1257" s="517" t="s">
        <v>4439</v>
      </c>
      <c r="B1257" s="518">
        <f>VLOOKUP(A1257,'Materiales '!$C$2:$G$396,3,0)</f>
        <v>2</v>
      </c>
      <c r="C1257" s="88">
        <f>VLOOKUP(A1257,'Materiales '!$C$2:$G$396,3,0)</f>
        <v>2</v>
      </c>
      <c r="D1257" s="89" t="str">
        <f>VLOOKUP(A1257,'Materiales '!$C$2:$G$396,4,0)</f>
        <v>Ml</v>
      </c>
      <c r="E1257" s="90">
        <v>1</v>
      </c>
      <c r="F1257" s="508" t="e">
        <f t="shared" si="73"/>
        <v>#VALUE!</v>
      </c>
      <c r="G1257" s="519"/>
      <c r="H1257" s="111"/>
      <c r="I1257">
        <f>E1257*G1243</f>
        <v>0</v>
      </c>
      <c r="J1257" s="58"/>
      <c r="K1257" s="50"/>
      <c r="L1257" s="50"/>
      <c r="M1257" s="50"/>
      <c r="N1257" s="50"/>
      <c r="O1257" s="50"/>
    </row>
    <row r="1258" spans="1:15">
      <c r="A1258" s="517" t="s">
        <v>4482</v>
      </c>
      <c r="B1258" s="518">
        <f>VLOOKUP(A1258,'Materiales '!$C$2:$G$396,3,0)</f>
        <v>4</v>
      </c>
      <c r="C1258" s="88">
        <f>VLOOKUP(A1258,'Materiales '!$C$2:$G$396,3,0)</f>
        <v>4</v>
      </c>
      <c r="D1258" s="89" t="str">
        <f>VLOOKUP(A1258,'Materiales '!$C$2:$G$396,4,0)</f>
        <v>Und</v>
      </c>
      <c r="E1258" s="90">
        <v>3</v>
      </c>
      <c r="F1258" s="508" t="e">
        <f t="shared" si="73"/>
        <v>#VALUE!</v>
      </c>
      <c r="G1258" s="519"/>
      <c r="H1258" s="111"/>
      <c r="I1258">
        <f>E1258*G1243</f>
        <v>0</v>
      </c>
      <c r="J1258" s="58"/>
      <c r="K1258" s="50"/>
      <c r="L1258" s="50"/>
      <c r="M1258" s="50"/>
      <c r="N1258" s="50"/>
      <c r="O1258" s="50"/>
    </row>
    <row r="1259" spans="1:15" ht="21.75" customHeight="1">
      <c r="A1259" s="517" t="s">
        <v>4424</v>
      </c>
      <c r="B1259" s="518">
        <f>VLOOKUP(A1259,'Materiales '!$C$2:$G$396,3,0)</f>
        <v>4</v>
      </c>
      <c r="C1259" s="88">
        <f>VLOOKUP(A1259,'Materiales '!$C$2:$G$396,3,0)</f>
        <v>4</v>
      </c>
      <c r="D1259" s="89" t="str">
        <f>VLOOKUP(A1259,'Materiales '!$C$2:$G$396,4,0)</f>
        <v>Und</v>
      </c>
      <c r="E1259" s="90">
        <v>1</v>
      </c>
      <c r="F1259" s="508" t="e">
        <f t="shared" si="73"/>
        <v>#VALUE!</v>
      </c>
      <c r="G1259" s="519"/>
      <c r="H1259" s="111"/>
      <c r="I1259">
        <f>E1259*G1243</f>
        <v>0</v>
      </c>
      <c r="J1259" s="58"/>
      <c r="K1259" s="50"/>
      <c r="L1259" s="50"/>
      <c r="M1259" s="50"/>
      <c r="N1259" s="50"/>
      <c r="O1259" s="50"/>
    </row>
    <row r="1260" spans="1:15">
      <c r="A1260" s="517" t="s">
        <v>8</v>
      </c>
      <c r="B1260" s="518">
        <f>VLOOKUP(A1260,'Materiales '!$C$2:$G$396,3,0)</f>
        <v>0</v>
      </c>
      <c r="C1260" s="88">
        <f>VLOOKUP(A1260,'Materiales '!$C$2:$G$396,3,0)</f>
        <v>0</v>
      </c>
      <c r="D1260" s="89" t="str">
        <f>VLOOKUP(A1260,'Materiales '!$C$2:$G$396,4,0)</f>
        <v>-</v>
      </c>
      <c r="E1260" s="90"/>
      <c r="F1260" s="508" t="e">
        <f>E1260*D1260</f>
        <v>#VALUE!</v>
      </c>
      <c r="G1260" s="519"/>
      <c r="H1260" s="110"/>
      <c r="I1260">
        <f>E1260*G1243</f>
        <v>0</v>
      </c>
      <c r="J1260" s="58"/>
      <c r="K1260" s="50"/>
      <c r="L1260" s="50"/>
      <c r="M1260" s="50"/>
      <c r="N1260" s="50"/>
      <c r="O1260" s="50"/>
    </row>
    <row r="1261" spans="1:15">
      <c r="A1261" s="517" t="s">
        <v>8</v>
      </c>
      <c r="B1261" s="518">
        <f>VLOOKUP(A1261,'Materiales '!$C$2:$G$396,3,0)</f>
        <v>0</v>
      </c>
      <c r="C1261" s="88">
        <f>VLOOKUP(A1261,'Materiales '!$C$2:$G$396,3,0)</f>
        <v>0</v>
      </c>
      <c r="D1261" s="89" t="str">
        <f>VLOOKUP(A1261,'Materiales '!$C$2:$G$396,4,0)</f>
        <v>-</v>
      </c>
      <c r="E1261" s="90"/>
      <c r="F1261" s="508" t="e">
        <f t="shared" ref="F1261:F1264" si="74">E1261*D1261</f>
        <v>#VALUE!</v>
      </c>
      <c r="G1261" s="519"/>
      <c r="H1261" s="111"/>
      <c r="I1261">
        <f>E1261*G1243</f>
        <v>0</v>
      </c>
      <c r="J1261" s="58"/>
      <c r="K1261" s="50"/>
      <c r="L1261" s="50"/>
      <c r="M1261" s="50"/>
      <c r="N1261" s="50"/>
      <c r="O1261" s="50"/>
    </row>
    <row r="1262" spans="1:15">
      <c r="A1262" s="517" t="s">
        <v>8</v>
      </c>
      <c r="B1262" s="518">
        <f>VLOOKUP(A1262,'Materiales '!$C$2:$G$396,3,0)</f>
        <v>0</v>
      </c>
      <c r="C1262" s="88">
        <f>VLOOKUP(A1262,'Materiales '!$C$2:$G$396,3,0)</f>
        <v>0</v>
      </c>
      <c r="D1262" s="89" t="str">
        <f>VLOOKUP(A1262,'Materiales '!$C$2:$G$396,4,0)</f>
        <v>-</v>
      </c>
      <c r="E1262" s="90"/>
      <c r="F1262" s="508" t="e">
        <f t="shared" si="74"/>
        <v>#VALUE!</v>
      </c>
      <c r="G1262" s="519"/>
      <c r="H1262" s="111"/>
      <c r="I1262">
        <f>E1262*G1243</f>
        <v>0</v>
      </c>
      <c r="J1262" s="58"/>
      <c r="K1262" s="50"/>
      <c r="L1262" s="50"/>
      <c r="M1262" s="50"/>
      <c r="N1262" s="50"/>
      <c r="O1262" s="50"/>
    </row>
    <row r="1263" spans="1:15">
      <c r="A1263" s="517" t="s">
        <v>8</v>
      </c>
      <c r="B1263" s="518">
        <f>VLOOKUP(A1263,'Materiales '!$C$2:$G$396,3,0)</f>
        <v>0</v>
      </c>
      <c r="C1263" s="88">
        <f>VLOOKUP(A1263,'Materiales '!$C$2:$G$396,3,0)</f>
        <v>0</v>
      </c>
      <c r="D1263" s="89" t="str">
        <f>VLOOKUP(A1263,'Materiales '!$C$2:$G$396,4,0)</f>
        <v>-</v>
      </c>
      <c r="E1263" s="90"/>
      <c r="F1263" s="508" t="e">
        <f t="shared" si="74"/>
        <v>#VALUE!</v>
      </c>
      <c r="G1263" s="519"/>
      <c r="H1263" s="111"/>
      <c r="I1263">
        <f>E1263*G1243</f>
        <v>0</v>
      </c>
      <c r="J1263" s="58"/>
      <c r="K1263" s="50"/>
      <c r="L1263" s="50"/>
      <c r="M1263" s="50"/>
      <c r="N1263" s="50"/>
      <c r="O1263" s="50"/>
    </row>
    <row r="1264" spans="1:15">
      <c r="A1264" s="517" t="s">
        <v>8</v>
      </c>
      <c r="B1264" s="518">
        <f>VLOOKUP(A1264,'Materiales '!$C$2:$G$396,3,0)</f>
        <v>0</v>
      </c>
      <c r="C1264" s="88">
        <f>VLOOKUP(A1264,'Materiales '!$C$2:$G$396,3,0)</f>
        <v>0</v>
      </c>
      <c r="D1264" s="89" t="str">
        <f>VLOOKUP(A1264,'Materiales '!$C$2:$G$396,4,0)</f>
        <v>-</v>
      </c>
      <c r="E1264" s="90"/>
      <c r="F1264" s="508" t="e">
        <f t="shared" si="74"/>
        <v>#VALUE!</v>
      </c>
      <c r="G1264" s="519"/>
      <c r="H1264" s="111"/>
      <c r="I1264">
        <f>E1264*G1243</f>
        <v>0</v>
      </c>
      <c r="J1264" s="58"/>
      <c r="K1264" s="50"/>
      <c r="L1264" s="50"/>
      <c r="M1264" s="50"/>
      <c r="N1264" s="50"/>
      <c r="O1264" s="50"/>
    </row>
    <row r="1265" spans="1:15">
      <c r="A1265" s="517" t="s">
        <v>8</v>
      </c>
      <c r="B1265" s="518">
        <f>VLOOKUP(A1265,'Materiales '!$C$2:$G$396,3,0)</f>
        <v>0</v>
      </c>
      <c r="C1265" s="88">
        <f>VLOOKUP(A1265,'Materiales '!$C$2:$G$396,3,0)</f>
        <v>0</v>
      </c>
      <c r="D1265" s="89" t="str">
        <f>VLOOKUP(A1265,'Materiales '!$C$2:$G$396,4,0)</f>
        <v>-</v>
      </c>
      <c r="E1265" s="90"/>
      <c r="F1265" s="508" t="e">
        <f>E1265*D1265</f>
        <v>#VALUE!</v>
      </c>
      <c r="G1265" s="519"/>
      <c r="H1265" s="110"/>
      <c r="I1265">
        <f>E1265*G1243</f>
        <v>0</v>
      </c>
      <c r="J1265" s="58"/>
      <c r="K1265" s="50"/>
      <c r="L1265" s="50"/>
      <c r="M1265" s="50"/>
      <c r="N1265" s="50"/>
      <c r="O1265" s="50"/>
    </row>
    <row r="1266" spans="1:15">
      <c r="A1266" s="520" t="s">
        <v>4098</v>
      </c>
      <c r="B1266" s="521"/>
      <c r="C1266" s="521"/>
      <c r="D1266" s="521"/>
      <c r="E1266" s="521"/>
      <c r="F1266" s="521"/>
      <c r="G1266" s="522"/>
      <c r="H1266" s="106" t="e">
        <f>SUM(F1252:F1265)</f>
        <v>#VALUE!</v>
      </c>
      <c r="J1266" s="58"/>
      <c r="K1266" s="50"/>
      <c r="L1266" s="50"/>
      <c r="M1266" s="50"/>
      <c r="N1266" s="50"/>
      <c r="O1266" s="50"/>
    </row>
    <row r="1267" spans="1:15">
      <c r="A1267" s="523" t="s">
        <v>4220</v>
      </c>
      <c r="B1267" s="524"/>
      <c r="C1267" s="524"/>
      <c r="D1267" s="524"/>
      <c r="E1267" s="525"/>
      <c r="F1267" s="524"/>
      <c r="G1267" s="524"/>
      <c r="H1267" s="526"/>
      <c r="J1267" s="58"/>
      <c r="K1267" s="50"/>
      <c r="L1267" s="50"/>
      <c r="M1267" s="50"/>
      <c r="N1267" s="50"/>
      <c r="O1267" s="50"/>
    </row>
    <row r="1268" spans="1:15">
      <c r="A1268" s="527" t="s">
        <v>7</v>
      </c>
      <c r="B1268" s="528"/>
      <c r="C1268" s="98" t="s">
        <v>4221</v>
      </c>
      <c r="D1268" s="97" t="s">
        <v>4222</v>
      </c>
      <c r="E1268" s="187" t="s">
        <v>4223</v>
      </c>
      <c r="F1268" s="529" t="s">
        <v>4207</v>
      </c>
      <c r="G1268" s="529"/>
      <c r="H1268" s="109"/>
      <c r="K1268" s="50"/>
      <c r="L1268" s="50"/>
      <c r="M1268" s="50"/>
      <c r="N1268" s="50"/>
      <c r="O1268" s="50"/>
    </row>
    <row r="1269" spans="1:15">
      <c r="A1269" s="506" t="s">
        <v>3928</v>
      </c>
      <c r="B1269" s="507"/>
      <c r="C1269" s="213">
        <v>1</v>
      </c>
      <c r="D1269" s="92">
        <v>0.03</v>
      </c>
      <c r="E1269" s="93" t="str">
        <f>VLOOKUP(A1269,'Equip, Herr y Transp'!$B$2:$E$217,3,0)</f>
        <v>TR</v>
      </c>
      <c r="F1269" s="530" t="e">
        <f>E1269*D1269*C1269</f>
        <v>#VALUE!</v>
      </c>
      <c r="G1269" s="531"/>
      <c r="H1269" s="107"/>
      <c r="M1269" s="50"/>
    </row>
    <row r="1270" spans="1:15">
      <c r="A1270" s="532" t="s">
        <v>4205</v>
      </c>
      <c r="B1270" s="533"/>
      <c r="C1270" s="533"/>
      <c r="D1270" s="533"/>
      <c r="E1270" s="533"/>
      <c r="F1270" s="533"/>
      <c r="G1270" s="533"/>
      <c r="H1270" s="95" t="e">
        <f>F1269</f>
        <v>#VALUE!</v>
      </c>
    </row>
    <row r="1271" spans="1:15">
      <c r="A1271" s="523" t="s">
        <v>4224</v>
      </c>
      <c r="B1271" s="524"/>
      <c r="C1271" s="524"/>
      <c r="D1271" s="524"/>
      <c r="E1271" s="524"/>
      <c r="F1271" s="524"/>
      <c r="G1271" s="524"/>
      <c r="H1271" s="526"/>
    </row>
    <row r="1272" spans="1:15">
      <c r="A1272" s="527" t="s">
        <v>7</v>
      </c>
      <c r="B1272" s="528"/>
      <c r="C1272" s="96" t="s">
        <v>1</v>
      </c>
      <c r="D1272" s="97" t="s">
        <v>4225</v>
      </c>
      <c r="E1272" s="98" t="s">
        <v>4204</v>
      </c>
      <c r="F1272" s="527" t="s">
        <v>5</v>
      </c>
      <c r="G1272" s="534"/>
      <c r="H1272" s="109"/>
    </row>
    <row r="1273" spans="1:15">
      <c r="A1273" s="506" t="s">
        <v>4191</v>
      </c>
      <c r="B1273" s="507"/>
      <c r="C1273" s="91">
        <v>1</v>
      </c>
      <c r="D1273" s="94">
        <f>VLOOKUP(A1273,'Mano Obra'!$B$2:$T$117,19,0)</f>
        <v>152456</v>
      </c>
      <c r="E1273" s="218">
        <f>H1236</f>
        <v>5.21E-2</v>
      </c>
      <c r="F1273" s="508">
        <f>E1273*D1273*C1273</f>
        <v>7942.9575999999997</v>
      </c>
      <c r="G1273" s="509"/>
      <c r="H1273" s="111"/>
      <c r="I1273" s="59"/>
      <c r="J1273" s="117">
        <f>((('Mano Obra'!$M$4/30)*F1273)/D1273)*G1243</f>
        <v>0</v>
      </c>
    </row>
    <row r="1274" spans="1:15">
      <c r="A1274" s="510" t="s">
        <v>4192</v>
      </c>
      <c r="B1274" s="511">
        <f>VLOOKUP(A1274,'Mano Obra'!$B$3:$D$290,2,0)</f>
        <v>1900000</v>
      </c>
      <c r="C1274" s="91">
        <v>1</v>
      </c>
      <c r="D1274" s="94">
        <f>VLOOKUP(A1274,'Mano Obra'!$B$2:$T$117,19,0)</f>
        <v>110488</v>
      </c>
      <c r="E1274" s="218">
        <f>H1236</f>
        <v>5.21E-2</v>
      </c>
      <c r="F1274" s="508">
        <f t="shared" ref="F1274:F1275" si="75">E1274*D1274*C1274</f>
        <v>5756.4247999999998</v>
      </c>
      <c r="G1274" s="509"/>
      <c r="H1274" s="111"/>
      <c r="J1274" s="117">
        <f>((('Mano Obra'!$M$5/30)*F1274)/D1274)*G1243</f>
        <v>0</v>
      </c>
    </row>
    <row r="1275" spans="1:15">
      <c r="A1275" s="510" t="s">
        <v>4181</v>
      </c>
      <c r="B1275" s="511">
        <f>VLOOKUP(A1275,'Mano Obra'!$B$3:$D$290,2,0)</f>
        <v>1000000</v>
      </c>
      <c r="C1275" s="91">
        <v>1</v>
      </c>
      <c r="D1275" s="94">
        <f>VLOOKUP(A1275,'Mano Obra'!$B$2:$T$117,19,0)</f>
        <v>67424</v>
      </c>
      <c r="E1275" s="218">
        <f>H1236</f>
        <v>5.21E-2</v>
      </c>
      <c r="F1275" s="508">
        <f t="shared" si="75"/>
        <v>3512.7903999999999</v>
      </c>
      <c r="G1275" s="509"/>
      <c r="H1275" s="110"/>
      <c r="J1275" s="117">
        <f>((('Mano Obra'!$M$6/30)*F1275)/D1275)*G1243</f>
        <v>0</v>
      </c>
    </row>
    <row r="1276" spans="1:15">
      <c r="A1276" s="512" t="s">
        <v>4100</v>
      </c>
      <c r="B1276" s="512"/>
      <c r="C1276" s="512"/>
      <c r="D1276" s="512"/>
      <c r="E1276" s="512"/>
      <c r="F1276" s="512"/>
      <c r="G1276" s="512"/>
      <c r="H1276" s="95">
        <f>SUM(F1273:F1275)</f>
        <v>17212.1728</v>
      </c>
      <c r="J1276" s="117"/>
    </row>
    <row r="1277" spans="1:15">
      <c r="A1277" s="208" t="s">
        <v>4226</v>
      </c>
      <c r="B1277" s="186"/>
      <c r="C1277" s="186"/>
      <c r="D1277" s="183"/>
      <c r="E1277" s="184"/>
      <c r="F1277" s="185"/>
      <c r="G1277" s="184"/>
      <c r="H1277" s="193"/>
    </row>
    <row r="1278" spans="1:15">
      <c r="A1278" s="513" t="s">
        <v>4213</v>
      </c>
      <c r="B1278" s="514"/>
      <c r="C1278" s="514"/>
      <c r="D1278" s="514"/>
      <c r="E1278" s="181"/>
      <c r="F1278" s="182" t="s">
        <v>4227</v>
      </c>
      <c r="G1278" s="181" t="s">
        <v>4228</v>
      </c>
      <c r="H1278" s="194"/>
    </row>
    <row r="1279" spans="1:15">
      <c r="A1279" s="204" t="s">
        <v>4096</v>
      </c>
      <c r="B1279" s="62"/>
      <c r="C1279" s="62"/>
      <c r="D1279" s="63"/>
      <c r="E1279" s="68"/>
      <c r="F1279" s="69">
        <v>0</v>
      </c>
      <c r="G1279" s="70" t="e">
        <f>F1279*H1244</f>
        <v>#VALUE!</v>
      </c>
      <c r="H1279" s="193"/>
    </row>
    <row r="1280" spans="1:15">
      <c r="A1280" s="205" t="s">
        <v>4229</v>
      </c>
      <c r="B1280" s="71"/>
      <c r="C1280" s="71"/>
      <c r="D1280" s="72"/>
      <c r="E1280" s="68"/>
      <c r="F1280" s="69">
        <v>0</v>
      </c>
      <c r="G1280" s="70" t="e">
        <f>F1280*H1244</f>
        <v>#VALUE!</v>
      </c>
      <c r="H1280" s="193"/>
    </row>
    <row r="1281" spans="1:14">
      <c r="A1281" s="205" t="s">
        <v>4</v>
      </c>
      <c r="B1281" s="71"/>
      <c r="C1281" s="71"/>
      <c r="D1281" s="72"/>
      <c r="E1281" s="68"/>
      <c r="F1281" s="69">
        <v>0</v>
      </c>
      <c r="G1281" s="70" t="e">
        <f>F1281*H1244</f>
        <v>#VALUE!</v>
      </c>
      <c r="H1281" s="193"/>
    </row>
    <row r="1282" spans="1:14">
      <c r="A1282" s="206"/>
      <c r="B1282" s="73"/>
      <c r="C1282" s="65"/>
      <c r="D1282" s="74"/>
      <c r="E1282" s="75"/>
      <c r="F1282" s="76"/>
      <c r="G1282" s="77"/>
      <c r="H1282" s="195"/>
    </row>
    <row r="1283" spans="1:14">
      <c r="A1283" s="207"/>
      <c r="B1283" s="73"/>
      <c r="C1283" s="73"/>
      <c r="D1283" s="74"/>
      <c r="E1283" s="78"/>
      <c r="F1283" s="515" t="s">
        <v>4230</v>
      </c>
      <c r="G1283" s="516"/>
      <c r="H1283" s="214" t="e">
        <f>H1244+G1279+G1280+G1281</f>
        <v>#VALUE!</v>
      </c>
    </row>
    <row r="1284" spans="1:14">
      <c r="A1284" s="73"/>
      <c r="B1284" s="73"/>
      <c r="C1284" s="73"/>
      <c r="D1284" s="74"/>
      <c r="E1284" s="360"/>
      <c r="F1284" s="361"/>
      <c r="G1284" s="361"/>
      <c r="H1284" s="362"/>
    </row>
    <row r="1285" spans="1:14">
      <c r="A1285" s="80"/>
      <c r="B1285" s="80"/>
      <c r="C1285" s="80"/>
      <c r="D1285" s="80"/>
      <c r="E1285" s="80"/>
      <c r="F1285" s="80"/>
      <c r="G1285" s="80"/>
      <c r="H1285" s="353"/>
    </row>
    <row r="1286" spans="1:14">
      <c r="A1286" s="537" t="s">
        <v>4214</v>
      </c>
      <c r="B1286" s="538"/>
      <c r="C1286" s="538"/>
      <c r="D1286" s="538"/>
      <c r="E1286" s="538"/>
      <c r="F1286" s="538"/>
      <c r="G1286" s="538"/>
      <c r="H1286" s="539"/>
    </row>
    <row r="1287" spans="1:14">
      <c r="A1287" s="81"/>
      <c r="B1287" s="82"/>
      <c r="C1287" s="82"/>
      <c r="D1287" s="82"/>
      <c r="E1287" s="82"/>
      <c r="F1287" s="83"/>
      <c r="G1287" s="84"/>
      <c r="H1287" s="352">
        <f>ROUND((45/60)/8,4)</f>
        <v>9.3799999999999994E-2</v>
      </c>
      <c r="I1287" s="105"/>
    </row>
    <row r="1288" spans="1:14">
      <c r="A1288" s="540" t="s">
        <v>4209</v>
      </c>
      <c r="B1288" s="542" t="str">
        <f>COSTOS!$C$14</f>
        <v>MODERNIZACION A TECNOLOGIA LED</v>
      </c>
      <c r="C1288" s="542"/>
      <c r="D1288" s="542"/>
      <c r="E1288" s="542"/>
      <c r="F1288" s="542"/>
      <c r="G1288" s="542"/>
      <c r="H1288" s="543" t="s">
        <v>4210</v>
      </c>
    </row>
    <row r="1289" spans="1:14">
      <c r="A1289" s="541"/>
      <c r="B1289" s="542"/>
      <c r="C1289" s="542"/>
      <c r="D1289" s="542"/>
      <c r="E1289" s="542"/>
      <c r="F1289" s="542"/>
      <c r="G1289" s="542"/>
      <c r="H1289" s="543"/>
    </row>
    <row r="1290" spans="1:14">
      <c r="A1290" s="541"/>
      <c r="B1290" s="542"/>
      <c r="C1290" s="542"/>
      <c r="D1290" s="542"/>
      <c r="E1290" s="542"/>
      <c r="F1290" s="542"/>
      <c r="G1290" s="542"/>
      <c r="H1290" s="543"/>
    </row>
    <row r="1291" spans="1:14" ht="15" customHeight="1">
      <c r="A1291" s="541"/>
      <c r="B1291" s="542"/>
      <c r="C1291" s="542"/>
      <c r="D1291" s="542"/>
      <c r="E1291" s="542"/>
      <c r="F1291" s="542"/>
      <c r="G1291" s="542"/>
      <c r="H1291" s="197">
        <f ca="1">TODAY()</f>
        <v>44889</v>
      </c>
      <c r="K1291" t="s">
        <v>4380</v>
      </c>
      <c r="L1291" t="s">
        <v>4381</v>
      </c>
      <c r="M1291" t="s">
        <v>4382</v>
      </c>
      <c r="N1291" t="s">
        <v>4383</v>
      </c>
    </row>
    <row r="1292" spans="1:14" ht="60.75" customHeight="1">
      <c r="A1292" s="209" t="s">
        <v>4211</v>
      </c>
      <c r="B1292" s="544" t="str">
        <f>COSTOS!$D$16</f>
        <v>Luminarias</v>
      </c>
      <c r="C1292" s="544"/>
      <c r="D1292" s="544"/>
      <c r="E1292" s="544"/>
      <c r="F1292" s="544"/>
      <c r="G1292" s="60" t="s">
        <v>4212</v>
      </c>
      <c r="H1292" s="363">
        <v>1.26</v>
      </c>
      <c r="K1292" s="55" t="e">
        <f>H1317</f>
        <v>#VALUE!</v>
      </c>
      <c r="L1292" s="55">
        <f>H1327</f>
        <v>30988.518400000001</v>
      </c>
      <c r="M1292" s="55" t="e">
        <f>H1300</f>
        <v>#VALUE!</v>
      </c>
      <c r="N1292" s="55" t="e">
        <f>H1321</f>
        <v>#VALUE!</v>
      </c>
    </row>
    <row r="1293" spans="1:14" ht="43.2" customHeight="1">
      <c r="A1293" s="210" t="s">
        <v>4213</v>
      </c>
      <c r="B1293" s="545" t="str">
        <f>VLOOKUP(H1292,COSTOS!C:M,2,0)</f>
        <v>Farol con luminaria sodio 70w</v>
      </c>
      <c r="C1293" s="546"/>
      <c r="D1293" s="546"/>
      <c r="E1293" s="547"/>
      <c r="F1293" s="61" t="s">
        <v>0</v>
      </c>
      <c r="G1293" s="328" t="str">
        <f>VLOOKUP(H1292,COSTOS!C:M,8,0)</f>
        <v>Und</v>
      </c>
      <c r="H1293" s="248"/>
      <c r="I1293" s="278"/>
      <c r="J1293" s="280"/>
      <c r="K1293" s="280"/>
      <c r="L1293" s="280"/>
    </row>
    <row r="1294" spans="1:14">
      <c r="A1294" s="211"/>
      <c r="B1294" s="102"/>
      <c r="C1294" s="102"/>
      <c r="D1294" s="102"/>
      <c r="E1294" s="103"/>
      <c r="F1294" s="104" t="s">
        <v>1</v>
      </c>
      <c r="G1294" s="328">
        <f>VLOOKUP(H1292,COSTOS!C:M,9,0)</f>
        <v>0</v>
      </c>
      <c r="H1294" s="329"/>
      <c r="I1294" s="279"/>
    </row>
    <row r="1295" spans="1:14">
      <c r="A1295" s="212" t="s">
        <v>4215</v>
      </c>
      <c r="B1295" s="65"/>
      <c r="C1295" s="65"/>
      <c r="D1295" s="66"/>
      <c r="E1295" s="190"/>
      <c r="F1295" s="191"/>
      <c r="G1295" s="192" t="s">
        <v>4216</v>
      </c>
      <c r="H1295" s="198" t="e">
        <f>H1300+H1317+H1321+H1327</f>
        <v>#VALUE!</v>
      </c>
    </row>
    <row r="1296" spans="1:14" ht="41.4">
      <c r="A1296" s="548" t="s">
        <v>4213</v>
      </c>
      <c r="B1296" s="548"/>
      <c r="C1296" s="548"/>
      <c r="D1296" s="67" t="s">
        <v>0</v>
      </c>
      <c r="E1296" s="188" t="s">
        <v>4217</v>
      </c>
      <c r="F1296" s="189" t="s">
        <v>4204</v>
      </c>
      <c r="G1296" s="64" t="s">
        <v>2</v>
      </c>
      <c r="H1296" s="199" t="s">
        <v>4218</v>
      </c>
      <c r="K1296" s="281"/>
    </row>
    <row r="1297" spans="1:15">
      <c r="A1297" s="517" t="s">
        <v>3946</v>
      </c>
      <c r="B1297" s="549">
        <f>VLOOKUP(A1297,'Equip, Herr y Transp'!$B$2:$E$738,2,0)</f>
        <v>2</v>
      </c>
      <c r="C1297" s="549"/>
      <c r="D1297" s="85">
        <f>VLOOKUP(A1297,'Equip, Herr y Transp'!$B$2:$E$217,2,0)</f>
        <v>2</v>
      </c>
      <c r="E1297" s="85" t="str">
        <f>VLOOKUP(A1297,'Equip, Herr y Transp'!$B$2:$E$217,3,0)</f>
        <v>EQU</v>
      </c>
      <c r="F1297" s="86">
        <f>H1287</f>
        <v>9.3799999999999994E-2</v>
      </c>
      <c r="G1297" s="112" t="e">
        <f>F1297*E1297</f>
        <v>#VALUE!</v>
      </c>
      <c r="H1297" s="108"/>
    </row>
    <row r="1298" spans="1:15">
      <c r="A1298" s="517" t="s">
        <v>3904</v>
      </c>
      <c r="B1298" s="549">
        <f>VLOOKUP(A1298,'Equip, Herr y Transp'!$B$2:$E$738,2,0)</f>
        <v>2</v>
      </c>
      <c r="C1298" s="549"/>
      <c r="D1298" s="85">
        <f>VLOOKUP(A1298,'Equip, Herr y Transp'!$B$2:$E$217,2,0)</f>
        <v>2</v>
      </c>
      <c r="E1298" s="85" t="str">
        <f>VLOOKUP(A1298,'Equip, Herr y Transp'!$B$2:$E$217,3,0)</f>
        <v>EQU</v>
      </c>
      <c r="F1298" s="86">
        <f>H1287</f>
        <v>9.3799999999999994E-2</v>
      </c>
      <c r="G1298" s="112" t="e">
        <f>F1298*E1298</f>
        <v>#VALUE!</v>
      </c>
      <c r="H1298" s="107"/>
    </row>
    <row r="1299" spans="1:15">
      <c r="A1299" s="517" t="s">
        <v>3937</v>
      </c>
      <c r="B1299" s="549">
        <f>VLOOKUP(A1299,'Equip, Herr y Transp'!$B$2:$E$738,2,0)</f>
        <v>2</v>
      </c>
      <c r="C1299" s="549"/>
      <c r="D1299" s="85">
        <f>VLOOKUP(A1299,'Equip, Herr y Transp'!$B$2:$E$217,2,0)</f>
        <v>2</v>
      </c>
      <c r="E1299" s="85" t="str">
        <f>VLOOKUP(A1299,'Equip, Herr y Transp'!$B$2:$E$217,3,0)</f>
        <v>EQU</v>
      </c>
      <c r="F1299" s="86">
        <f>H1287</f>
        <v>9.3799999999999994E-2</v>
      </c>
      <c r="G1299" s="112" t="e">
        <f>F1299*E1299</f>
        <v>#VALUE!</v>
      </c>
      <c r="H1299" s="107"/>
    </row>
    <row r="1300" spans="1:15">
      <c r="A1300" s="520" t="s">
        <v>4099</v>
      </c>
      <c r="B1300" s="521"/>
      <c r="C1300" s="521"/>
      <c r="D1300" s="521"/>
      <c r="E1300" s="521"/>
      <c r="F1300" s="521"/>
      <c r="G1300" s="521"/>
      <c r="H1300" s="87" t="e">
        <f>SUM(G1297:G1299)</f>
        <v>#VALUE!</v>
      </c>
    </row>
    <row r="1301" spans="1:15">
      <c r="A1301" s="550" t="s">
        <v>4219</v>
      </c>
      <c r="B1301" s="551"/>
      <c r="C1301" s="551"/>
      <c r="D1301" s="551"/>
      <c r="E1301" s="551"/>
      <c r="F1301" s="551"/>
      <c r="G1301" s="551"/>
      <c r="H1301" s="552"/>
      <c r="K1301" s="50"/>
      <c r="L1301" s="50"/>
      <c r="M1301" s="50"/>
      <c r="N1301" s="50"/>
      <c r="O1301" s="50"/>
    </row>
    <row r="1302" spans="1:15" ht="30" customHeight="1">
      <c r="A1302" s="553" t="s">
        <v>7</v>
      </c>
      <c r="B1302" s="554"/>
      <c r="C1302" s="99" t="s">
        <v>0</v>
      </c>
      <c r="D1302" s="100" t="s">
        <v>4097</v>
      </c>
      <c r="E1302" s="101" t="s">
        <v>1</v>
      </c>
      <c r="F1302" s="555" t="s">
        <v>4207</v>
      </c>
      <c r="G1302" s="555"/>
      <c r="H1302" s="196"/>
      <c r="K1302" s="50"/>
      <c r="L1302" s="50"/>
      <c r="M1302" s="50"/>
      <c r="N1302" s="50"/>
      <c r="O1302" s="50"/>
    </row>
    <row r="1303" spans="1:15">
      <c r="A1303" s="535" t="s">
        <v>4667</v>
      </c>
      <c r="B1303" s="536"/>
      <c r="C1303" s="88">
        <f>VLOOKUP(A1303,'Materiales '!$C$2:$G$396,3,0)</f>
        <v>4</v>
      </c>
      <c r="D1303" s="89" t="str">
        <f>VLOOKUP(A1303,'Materiales '!$C$2:$G$396,4,0)</f>
        <v>Und</v>
      </c>
      <c r="E1303" s="90">
        <v>1</v>
      </c>
      <c r="F1303" s="508" t="e">
        <f>E1303*D1303</f>
        <v>#VALUE!</v>
      </c>
      <c r="G1303" s="519"/>
      <c r="H1303" s="111"/>
      <c r="I1303">
        <f>E1303*G1294</f>
        <v>0</v>
      </c>
      <c r="J1303" s="57"/>
      <c r="K1303" s="50"/>
      <c r="L1303" s="50"/>
      <c r="M1303" s="50"/>
      <c r="N1303" s="50"/>
      <c r="O1303" s="50"/>
    </row>
    <row r="1304" spans="1:15">
      <c r="A1304" s="535" t="s">
        <v>4203</v>
      </c>
      <c r="B1304" s="536"/>
      <c r="C1304" s="88">
        <f>VLOOKUP(A1304,'Materiales '!$C$2:$G$396,3,0)</f>
        <v>4</v>
      </c>
      <c r="D1304" s="89" t="str">
        <f>VLOOKUP(A1304,'Materiales '!$C$2:$G$396,4,0)</f>
        <v>Und</v>
      </c>
      <c r="E1304" s="90">
        <v>1</v>
      </c>
      <c r="F1304" s="508" t="e">
        <f t="shared" ref="F1304:F1310" si="76">E1304*D1304</f>
        <v>#VALUE!</v>
      </c>
      <c r="G1304" s="519"/>
      <c r="H1304" s="111"/>
      <c r="I1304">
        <f>E1304*G1294</f>
        <v>0</v>
      </c>
      <c r="J1304" s="57"/>
      <c r="K1304" s="50"/>
      <c r="L1304" s="50"/>
      <c r="M1304" s="50"/>
      <c r="N1304" s="50"/>
      <c r="O1304" s="50"/>
    </row>
    <row r="1305" spans="1:15">
      <c r="A1305" s="517" t="s">
        <v>4463</v>
      </c>
      <c r="B1305" s="518">
        <f>VLOOKUP(A1305,'Materiales '!$C$2:$G$396,3,0)</f>
        <v>2</v>
      </c>
      <c r="C1305" s="88">
        <f>VLOOKUP(A1305,'Materiales '!$C$2:$G$396,3,0)</f>
        <v>2</v>
      </c>
      <c r="D1305" s="89" t="str">
        <f>VLOOKUP(A1305,'Materiales '!$C$2:$G$396,4,0)</f>
        <v>Ml</v>
      </c>
      <c r="E1305" s="90">
        <v>1</v>
      </c>
      <c r="F1305" s="508" t="e">
        <f t="shared" si="76"/>
        <v>#VALUE!</v>
      </c>
      <c r="G1305" s="519"/>
      <c r="H1305" s="111"/>
      <c r="I1305">
        <f>E1305*G1294</f>
        <v>0</v>
      </c>
      <c r="J1305" s="58"/>
      <c r="K1305" s="50"/>
      <c r="L1305" s="50"/>
      <c r="M1305" s="50"/>
      <c r="N1305" s="50"/>
      <c r="O1305" s="50"/>
    </row>
    <row r="1306" spans="1:15">
      <c r="A1306" s="517" t="s">
        <v>4481</v>
      </c>
      <c r="B1306" s="518">
        <f>VLOOKUP(A1306,'Materiales '!$C$2:$G$396,3,0)</f>
        <v>4</v>
      </c>
      <c r="C1306" s="88">
        <f>VLOOKUP(A1306,'Materiales '!$C$2:$G$396,3,0)</f>
        <v>4</v>
      </c>
      <c r="D1306" s="89" t="str">
        <f>VLOOKUP(A1306,'Materiales '!$C$2:$G$396,4,0)</f>
        <v>Und</v>
      </c>
      <c r="E1306" s="90">
        <v>3</v>
      </c>
      <c r="F1306" s="508" t="e">
        <f t="shared" si="76"/>
        <v>#VALUE!</v>
      </c>
      <c r="G1306" s="519"/>
      <c r="H1306" s="111"/>
      <c r="I1306">
        <f>E1306*G1294</f>
        <v>0</v>
      </c>
      <c r="J1306" s="58"/>
      <c r="K1306" s="50"/>
      <c r="L1306" s="50"/>
      <c r="M1306" s="50"/>
      <c r="N1306" s="50"/>
      <c r="O1306" s="50"/>
    </row>
    <row r="1307" spans="1:15">
      <c r="A1307" s="517" t="s">
        <v>4528</v>
      </c>
      <c r="B1307" s="518">
        <f>VLOOKUP(A1307,'Materiales '!$C$2:$G$396,3,0)</f>
        <v>4</v>
      </c>
      <c r="C1307" s="88">
        <f>VLOOKUP(A1307,'Materiales '!$C$2:$G$396,3,0)</f>
        <v>4</v>
      </c>
      <c r="D1307" s="89" t="str">
        <f>VLOOKUP(A1307,'Materiales '!$C$2:$G$396,4,0)</f>
        <v>Und</v>
      </c>
      <c r="E1307" s="90">
        <v>2</v>
      </c>
      <c r="F1307" s="508" t="e">
        <f t="shared" si="76"/>
        <v>#VALUE!</v>
      </c>
      <c r="G1307" s="519"/>
      <c r="H1307" s="111"/>
      <c r="I1307">
        <f>E1307*G1294</f>
        <v>0</v>
      </c>
      <c r="J1307" s="58"/>
      <c r="K1307" s="50"/>
      <c r="L1307" s="50"/>
      <c r="M1307" s="50"/>
      <c r="N1307" s="50"/>
      <c r="O1307" s="50"/>
    </row>
    <row r="1308" spans="1:15">
      <c r="A1308" s="517" t="s">
        <v>4439</v>
      </c>
      <c r="B1308" s="518">
        <f>VLOOKUP(A1308,'Materiales '!$C$2:$G$396,3,0)</f>
        <v>2</v>
      </c>
      <c r="C1308" s="88">
        <f>VLOOKUP(A1308,'Materiales '!$C$2:$G$396,3,0)</f>
        <v>2</v>
      </c>
      <c r="D1308" s="89" t="str">
        <f>VLOOKUP(A1308,'Materiales '!$C$2:$G$396,4,0)</f>
        <v>Ml</v>
      </c>
      <c r="E1308" s="90">
        <v>8</v>
      </c>
      <c r="F1308" s="508" t="e">
        <f t="shared" si="76"/>
        <v>#VALUE!</v>
      </c>
      <c r="G1308" s="519"/>
      <c r="H1308" s="111"/>
      <c r="I1308">
        <f>E1308*G1294</f>
        <v>0</v>
      </c>
      <c r="J1308" s="58"/>
      <c r="K1308" s="50"/>
      <c r="L1308" s="50"/>
      <c r="M1308" s="50"/>
      <c r="N1308" s="50"/>
      <c r="O1308" s="50"/>
    </row>
    <row r="1309" spans="1:15">
      <c r="A1309" s="517" t="s">
        <v>4482</v>
      </c>
      <c r="B1309" s="518">
        <f>VLOOKUP(A1309,'Materiales '!$C$2:$G$396,3,0)</f>
        <v>4</v>
      </c>
      <c r="C1309" s="88">
        <f>VLOOKUP(A1309,'Materiales '!$C$2:$G$396,3,0)</f>
        <v>4</v>
      </c>
      <c r="D1309" s="89" t="str">
        <f>VLOOKUP(A1309,'Materiales '!$C$2:$G$396,4,0)</f>
        <v>Und</v>
      </c>
      <c r="E1309" s="90">
        <v>3</v>
      </c>
      <c r="F1309" s="508" t="e">
        <f t="shared" si="76"/>
        <v>#VALUE!</v>
      </c>
      <c r="G1309" s="519"/>
      <c r="H1309" s="111"/>
      <c r="I1309">
        <f>E1309*G1294</f>
        <v>0</v>
      </c>
      <c r="J1309" s="58"/>
      <c r="K1309" s="50"/>
      <c r="L1309" s="50"/>
      <c r="M1309" s="50"/>
      <c r="N1309" s="50"/>
      <c r="O1309" s="50"/>
    </row>
    <row r="1310" spans="1:15" ht="21.75" customHeight="1">
      <c r="A1310" s="517" t="s">
        <v>8</v>
      </c>
      <c r="B1310" s="518">
        <f>VLOOKUP(A1310,'Materiales '!$C$2:$G$396,3,0)</f>
        <v>0</v>
      </c>
      <c r="C1310" s="88">
        <f>VLOOKUP(A1310,'Materiales '!$C$2:$G$396,3,0)</f>
        <v>0</v>
      </c>
      <c r="D1310" s="89" t="str">
        <f>VLOOKUP(A1310,'Materiales '!$C$2:$G$396,4,0)</f>
        <v>-</v>
      </c>
      <c r="E1310" s="90">
        <v>0.5</v>
      </c>
      <c r="F1310" s="508" t="e">
        <f t="shared" si="76"/>
        <v>#VALUE!</v>
      </c>
      <c r="G1310" s="519"/>
      <c r="H1310" s="111"/>
      <c r="I1310">
        <f>E1310*G1294</f>
        <v>0</v>
      </c>
      <c r="J1310" s="58"/>
      <c r="K1310" s="50"/>
      <c r="L1310" s="50"/>
      <c r="M1310" s="50"/>
      <c r="N1310" s="50"/>
      <c r="O1310" s="50"/>
    </row>
    <row r="1311" spans="1:15">
      <c r="A1311" s="517" t="s">
        <v>8</v>
      </c>
      <c r="B1311" s="518">
        <f>VLOOKUP(A1311,'Materiales '!$C$2:$G$396,3,0)</f>
        <v>0</v>
      </c>
      <c r="C1311" s="88">
        <f>VLOOKUP(A1311,'Materiales '!$C$2:$G$396,3,0)</f>
        <v>0</v>
      </c>
      <c r="D1311" s="89" t="str">
        <f>VLOOKUP(A1311,'Materiales '!$C$2:$G$396,4,0)</f>
        <v>-</v>
      </c>
      <c r="E1311" s="90"/>
      <c r="F1311" s="508" t="e">
        <f>E1311*D1311</f>
        <v>#VALUE!</v>
      </c>
      <c r="G1311" s="519"/>
      <c r="H1311" s="110"/>
      <c r="I1311">
        <f>E1311*G1294</f>
        <v>0</v>
      </c>
      <c r="J1311" s="58"/>
      <c r="K1311" s="50"/>
      <c r="L1311" s="50"/>
      <c r="M1311" s="50"/>
      <c r="N1311" s="50"/>
      <c r="O1311" s="50"/>
    </row>
    <row r="1312" spans="1:15">
      <c r="A1312" s="517" t="s">
        <v>8</v>
      </c>
      <c r="B1312" s="518">
        <f>VLOOKUP(A1312,'Materiales '!$C$2:$G$396,3,0)</f>
        <v>0</v>
      </c>
      <c r="C1312" s="88">
        <f>VLOOKUP(A1312,'Materiales '!$C$2:$G$396,3,0)</f>
        <v>0</v>
      </c>
      <c r="D1312" s="89" t="str">
        <f>VLOOKUP(A1312,'Materiales '!$C$2:$G$396,4,0)</f>
        <v>-</v>
      </c>
      <c r="E1312" s="90"/>
      <c r="F1312" s="508" t="e">
        <f t="shared" ref="F1312:F1315" si="77">E1312*D1312</f>
        <v>#VALUE!</v>
      </c>
      <c r="G1312" s="519"/>
      <c r="H1312" s="111"/>
      <c r="I1312">
        <f>E1312*G1294</f>
        <v>0</v>
      </c>
      <c r="J1312" s="58"/>
      <c r="K1312" s="50"/>
      <c r="L1312" s="50"/>
      <c r="M1312" s="50"/>
      <c r="N1312" s="50"/>
      <c r="O1312" s="50"/>
    </row>
    <row r="1313" spans="1:15">
      <c r="A1313" s="517" t="s">
        <v>8</v>
      </c>
      <c r="B1313" s="518">
        <f>VLOOKUP(A1313,'Materiales '!$C$2:$G$396,3,0)</f>
        <v>0</v>
      </c>
      <c r="C1313" s="88">
        <f>VLOOKUP(A1313,'Materiales '!$C$2:$G$396,3,0)</f>
        <v>0</v>
      </c>
      <c r="D1313" s="89" t="str">
        <f>VLOOKUP(A1313,'Materiales '!$C$2:$G$396,4,0)</f>
        <v>-</v>
      </c>
      <c r="E1313" s="90"/>
      <c r="F1313" s="508" t="e">
        <f t="shared" si="77"/>
        <v>#VALUE!</v>
      </c>
      <c r="G1313" s="519"/>
      <c r="H1313" s="111"/>
      <c r="I1313">
        <f>E1313*G1294</f>
        <v>0</v>
      </c>
      <c r="J1313" s="58"/>
      <c r="K1313" s="50"/>
      <c r="L1313" s="50"/>
      <c r="M1313" s="50"/>
      <c r="N1313" s="50"/>
      <c r="O1313" s="50"/>
    </row>
    <row r="1314" spans="1:15">
      <c r="A1314" s="517" t="s">
        <v>8</v>
      </c>
      <c r="B1314" s="518">
        <f>VLOOKUP(A1314,'Materiales '!$C$2:$G$396,3,0)</f>
        <v>0</v>
      </c>
      <c r="C1314" s="88">
        <f>VLOOKUP(A1314,'Materiales '!$C$2:$G$396,3,0)</f>
        <v>0</v>
      </c>
      <c r="D1314" s="89" t="str">
        <f>VLOOKUP(A1314,'Materiales '!$C$2:$G$396,4,0)</f>
        <v>-</v>
      </c>
      <c r="E1314" s="90"/>
      <c r="F1314" s="508" t="e">
        <f t="shared" si="77"/>
        <v>#VALUE!</v>
      </c>
      <c r="G1314" s="519"/>
      <c r="H1314" s="111"/>
      <c r="I1314">
        <f>E1314*G1294</f>
        <v>0</v>
      </c>
      <c r="J1314" s="58"/>
      <c r="K1314" s="50"/>
      <c r="L1314" s="50"/>
      <c r="M1314" s="50"/>
      <c r="N1314" s="50"/>
      <c r="O1314" s="50"/>
    </row>
    <row r="1315" spans="1:15">
      <c r="A1315" s="517" t="s">
        <v>8</v>
      </c>
      <c r="B1315" s="518">
        <f>VLOOKUP(A1315,'Materiales '!$C$2:$G$396,3,0)</f>
        <v>0</v>
      </c>
      <c r="C1315" s="88">
        <f>VLOOKUP(A1315,'Materiales '!$C$2:$G$396,3,0)</f>
        <v>0</v>
      </c>
      <c r="D1315" s="89" t="str">
        <f>VLOOKUP(A1315,'Materiales '!$C$2:$G$396,4,0)</f>
        <v>-</v>
      </c>
      <c r="E1315" s="90"/>
      <c r="F1315" s="508" t="e">
        <f t="shared" si="77"/>
        <v>#VALUE!</v>
      </c>
      <c r="G1315" s="519"/>
      <c r="H1315" s="111"/>
      <c r="I1315">
        <f>E1315*G1294</f>
        <v>0</v>
      </c>
      <c r="J1315" s="58"/>
      <c r="K1315" s="50"/>
      <c r="L1315" s="50"/>
      <c r="M1315" s="50"/>
      <c r="N1315" s="50"/>
      <c r="O1315" s="50"/>
    </row>
    <row r="1316" spans="1:15">
      <c r="A1316" s="517" t="s">
        <v>8</v>
      </c>
      <c r="B1316" s="518">
        <f>VLOOKUP(A1316,'Materiales '!$C$2:$G$396,3,0)</f>
        <v>0</v>
      </c>
      <c r="C1316" s="88">
        <f>VLOOKUP(A1316,'Materiales '!$C$2:$G$396,3,0)</f>
        <v>0</v>
      </c>
      <c r="D1316" s="89" t="str">
        <f>VLOOKUP(A1316,'Materiales '!$C$2:$G$396,4,0)</f>
        <v>-</v>
      </c>
      <c r="E1316" s="90"/>
      <c r="F1316" s="508" t="e">
        <f>E1316*D1316</f>
        <v>#VALUE!</v>
      </c>
      <c r="G1316" s="519"/>
      <c r="H1316" s="110"/>
      <c r="I1316">
        <f>E1316*G1294</f>
        <v>0</v>
      </c>
      <c r="J1316" s="58"/>
      <c r="K1316" s="50"/>
      <c r="L1316" s="50"/>
      <c r="M1316" s="50"/>
      <c r="N1316" s="50"/>
      <c r="O1316" s="50"/>
    </row>
    <row r="1317" spans="1:15">
      <c r="A1317" s="520" t="s">
        <v>4098</v>
      </c>
      <c r="B1317" s="521"/>
      <c r="C1317" s="521"/>
      <c r="D1317" s="521"/>
      <c r="E1317" s="521"/>
      <c r="F1317" s="521"/>
      <c r="G1317" s="522"/>
      <c r="H1317" s="106" t="e">
        <f>SUM(F1303:F1316)</f>
        <v>#VALUE!</v>
      </c>
      <c r="J1317" s="58"/>
      <c r="K1317" s="50"/>
      <c r="L1317" s="50"/>
      <c r="M1317" s="50"/>
      <c r="N1317" s="50"/>
      <c r="O1317" s="50"/>
    </row>
    <row r="1318" spans="1:15">
      <c r="A1318" s="523" t="s">
        <v>4220</v>
      </c>
      <c r="B1318" s="524"/>
      <c r="C1318" s="524"/>
      <c r="D1318" s="524"/>
      <c r="E1318" s="525"/>
      <c r="F1318" s="524"/>
      <c r="G1318" s="524"/>
      <c r="H1318" s="526"/>
      <c r="J1318" s="58"/>
      <c r="K1318" s="50"/>
      <c r="L1318" s="50"/>
      <c r="M1318" s="50"/>
      <c r="N1318" s="50"/>
      <c r="O1318" s="50"/>
    </row>
    <row r="1319" spans="1:15">
      <c r="A1319" s="527" t="s">
        <v>7</v>
      </c>
      <c r="B1319" s="528"/>
      <c r="C1319" s="98" t="s">
        <v>4221</v>
      </c>
      <c r="D1319" s="97" t="s">
        <v>4222</v>
      </c>
      <c r="E1319" s="187" t="s">
        <v>4223</v>
      </c>
      <c r="F1319" s="529" t="s">
        <v>4207</v>
      </c>
      <c r="G1319" s="529"/>
      <c r="H1319" s="109"/>
      <c r="K1319" s="50"/>
      <c r="L1319" s="50"/>
      <c r="M1319" s="50"/>
      <c r="N1319" s="50"/>
      <c r="O1319" s="50"/>
    </row>
    <row r="1320" spans="1:15">
      <c r="A1320" s="506" t="s">
        <v>3928</v>
      </c>
      <c r="B1320" s="507"/>
      <c r="C1320" s="213">
        <v>1</v>
      </c>
      <c r="D1320" s="92">
        <v>0.03</v>
      </c>
      <c r="E1320" s="93" t="str">
        <f>VLOOKUP(A1320,'Equip, Herr y Transp'!$B$2:$E$217,3,0)</f>
        <v>TR</v>
      </c>
      <c r="F1320" s="530" t="e">
        <f>E1320*D1320*C1320</f>
        <v>#VALUE!</v>
      </c>
      <c r="G1320" s="531"/>
      <c r="H1320" s="107"/>
      <c r="M1320" s="50"/>
    </row>
    <row r="1321" spans="1:15">
      <c r="A1321" s="532" t="s">
        <v>4205</v>
      </c>
      <c r="B1321" s="533"/>
      <c r="C1321" s="533"/>
      <c r="D1321" s="533"/>
      <c r="E1321" s="533"/>
      <c r="F1321" s="533"/>
      <c r="G1321" s="533"/>
      <c r="H1321" s="95" t="e">
        <f>F1320</f>
        <v>#VALUE!</v>
      </c>
    </row>
    <row r="1322" spans="1:15">
      <c r="A1322" s="523" t="s">
        <v>4224</v>
      </c>
      <c r="B1322" s="524"/>
      <c r="C1322" s="524"/>
      <c r="D1322" s="524"/>
      <c r="E1322" s="524"/>
      <c r="F1322" s="524"/>
      <c r="G1322" s="524"/>
      <c r="H1322" s="526"/>
    </row>
    <row r="1323" spans="1:15">
      <c r="A1323" s="527" t="s">
        <v>7</v>
      </c>
      <c r="B1323" s="528"/>
      <c r="C1323" s="96" t="s">
        <v>1</v>
      </c>
      <c r="D1323" s="97" t="s">
        <v>4225</v>
      </c>
      <c r="E1323" s="98" t="s">
        <v>4204</v>
      </c>
      <c r="F1323" s="527" t="s">
        <v>5</v>
      </c>
      <c r="G1323" s="534"/>
      <c r="H1323" s="109"/>
    </row>
    <row r="1324" spans="1:15">
      <c r="A1324" s="506" t="s">
        <v>4191</v>
      </c>
      <c r="B1324" s="507"/>
      <c r="C1324" s="91">
        <v>1</v>
      </c>
      <c r="D1324" s="94">
        <f>VLOOKUP(A1324,'Mano Obra'!$B$2:$T$117,19,0)</f>
        <v>152456</v>
      </c>
      <c r="E1324" s="218">
        <f>H1287</f>
        <v>9.3799999999999994E-2</v>
      </c>
      <c r="F1324" s="508">
        <f>E1324*D1324*C1324</f>
        <v>14300.372799999999</v>
      </c>
      <c r="G1324" s="509"/>
      <c r="H1324" s="111"/>
      <c r="I1324" s="59"/>
      <c r="J1324" s="117">
        <f>((('Mano Obra'!$M$4/30)*F1324)/D1324)*G1294</f>
        <v>0</v>
      </c>
    </row>
    <row r="1325" spans="1:15">
      <c r="A1325" s="510" t="s">
        <v>4192</v>
      </c>
      <c r="B1325" s="511">
        <f>VLOOKUP(A1325,'Mano Obra'!$B$3:$D$290,2,0)</f>
        <v>1900000</v>
      </c>
      <c r="C1325" s="91">
        <v>1</v>
      </c>
      <c r="D1325" s="94">
        <f>VLOOKUP(A1325,'Mano Obra'!$B$2:$T$117,19,0)</f>
        <v>110488</v>
      </c>
      <c r="E1325" s="218">
        <f>H1287</f>
        <v>9.3799999999999994E-2</v>
      </c>
      <c r="F1325" s="508">
        <f t="shared" ref="F1325:F1326" si="78">E1325*D1325*C1325</f>
        <v>10363.7744</v>
      </c>
      <c r="G1325" s="509"/>
      <c r="H1325" s="111"/>
      <c r="J1325" s="117">
        <f>((('Mano Obra'!$M$5/30)*F1325)/D1325)*G1294</f>
        <v>0</v>
      </c>
    </row>
    <row r="1326" spans="1:15">
      <c r="A1326" s="510" t="s">
        <v>4181</v>
      </c>
      <c r="B1326" s="511">
        <f>VLOOKUP(A1326,'Mano Obra'!$B$3:$D$290,2,0)</f>
        <v>1000000</v>
      </c>
      <c r="C1326" s="91">
        <v>1</v>
      </c>
      <c r="D1326" s="94">
        <f>VLOOKUP(A1326,'Mano Obra'!$B$2:$T$117,19,0)</f>
        <v>67424</v>
      </c>
      <c r="E1326" s="218">
        <f>H1287</f>
        <v>9.3799999999999994E-2</v>
      </c>
      <c r="F1326" s="508">
        <f t="shared" si="78"/>
        <v>6324.3711999999996</v>
      </c>
      <c r="G1326" s="509"/>
      <c r="H1326" s="110"/>
      <c r="J1326" s="117">
        <f>((('Mano Obra'!$M$6/30)*F1326)/D1326)*G1294</f>
        <v>0</v>
      </c>
    </row>
    <row r="1327" spans="1:15">
      <c r="A1327" s="512" t="s">
        <v>4100</v>
      </c>
      <c r="B1327" s="512"/>
      <c r="C1327" s="512"/>
      <c r="D1327" s="512"/>
      <c r="E1327" s="512"/>
      <c r="F1327" s="512"/>
      <c r="G1327" s="512"/>
      <c r="H1327" s="95">
        <f>SUM(F1324:F1326)</f>
        <v>30988.518400000001</v>
      </c>
      <c r="J1327" s="117"/>
    </row>
    <row r="1328" spans="1:15">
      <c r="A1328" s="208" t="s">
        <v>4226</v>
      </c>
      <c r="B1328" s="186"/>
      <c r="C1328" s="186"/>
      <c r="D1328" s="183"/>
      <c r="E1328" s="184"/>
      <c r="F1328" s="185"/>
      <c r="G1328" s="184"/>
      <c r="H1328" s="193"/>
    </row>
    <row r="1329" spans="1:14">
      <c r="A1329" s="513" t="s">
        <v>4213</v>
      </c>
      <c r="B1329" s="514"/>
      <c r="C1329" s="514"/>
      <c r="D1329" s="514"/>
      <c r="E1329" s="181"/>
      <c r="F1329" s="182" t="s">
        <v>4227</v>
      </c>
      <c r="G1329" s="181" t="s">
        <v>4228</v>
      </c>
      <c r="H1329" s="194"/>
    </row>
    <row r="1330" spans="1:14">
      <c r="A1330" s="204" t="s">
        <v>4096</v>
      </c>
      <c r="B1330" s="62"/>
      <c r="C1330" s="62"/>
      <c r="D1330" s="63"/>
      <c r="E1330" s="68"/>
      <c r="F1330" s="69">
        <v>0</v>
      </c>
      <c r="G1330" s="70" t="e">
        <f>F1330*H1295</f>
        <v>#VALUE!</v>
      </c>
      <c r="H1330" s="193"/>
    </row>
    <row r="1331" spans="1:14">
      <c r="A1331" s="205" t="s">
        <v>4229</v>
      </c>
      <c r="B1331" s="71"/>
      <c r="C1331" s="71"/>
      <c r="D1331" s="72"/>
      <c r="E1331" s="68"/>
      <c r="F1331" s="69">
        <v>0</v>
      </c>
      <c r="G1331" s="70" t="e">
        <f>F1331*H1295</f>
        <v>#VALUE!</v>
      </c>
      <c r="H1331" s="193"/>
    </row>
    <row r="1332" spans="1:14">
      <c r="A1332" s="205" t="s">
        <v>4</v>
      </c>
      <c r="B1332" s="71"/>
      <c r="C1332" s="71"/>
      <c r="D1332" s="72"/>
      <c r="E1332" s="68"/>
      <c r="F1332" s="69">
        <v>0</v>
      </c>
      <c r="G1332" s="70" t="e">
        <f>F1332*H1295</f>
        <v>#VALUE!</v>
      </c>
      <c r="H1332" s="193"/>
    </row>
    <row r="1333" spans="1:14">
      <c r="A1333" s="206"/>
      <c r="B1333" s="73"/>
      <c r="C1333" s="65"/>
      <c r="D1333" s="74"/>
      <c r="E1333" s="75"/>
      <c r="F1333" s="76"/>
      <c r="G1333" s="77"/>
      <c r="H1333" s="195"/>
    </row>
    <row r="1334" spans="1:14">
      <c r="A1334" s="207"/>
      <c r="B1334" s="73"/>
      <c r="C1334" s="73"/>
      <c r="D1334" s="74"/>
      <c r="E1334" s="78"/>
      <c r="F1334" s="515" t="s">
        <v>4230</v>
      </c>
      <c r="G1334" s="516"/>
      <c r="H1334" s="214" t="e">
        <f>H1295+G1330+G1331+G1332</f>
        <v>#VALUE!</v>
      </c>
    </row>
    <row r="1335" spans="1:14">
      <c r="A1335" s="73"/>
      <c r="B1335" s="73"/>
      <c r="C1335" s="73"/>
      <c r="D1335" s="74"/>
      <c r="E1335" s="360"/>
      <c r="F1335" s="361"/>
      <c r="G1335" s="361"/>
      <c r="H1335" s="362"/>
    </row>
    <row r="1336" spans="1:14">
      <c r="A1336" s="80"/>
      <c r="B1336" s="80"/>
      <c r="C1336" s="80"/>
      <c r="D1336" s="80"/>
      <c r="E1336" s="80"/>
      <c r="F1336" s="80"/>
      <c r="G1336" s="80"/>
      <c r="H1336" s="353"/>
    </row>
    <row r="1337" spans="1:14">
      <c r="A1337" s="537" t="s">
        <v>4214</v>
      </c>
      <c r="B1337" s="538"/>
      <c r="C1337" s="538"/>
      <c r="D1337" s="538"/>
      <c r="E1337" s="538"/>
      <c r="F1337" s="538"/>
      <c r="G1337" s="538"/>
      <c r="H1337" s="539"/>
    </row>
    <row r="1338" spans="1:14">
      <c r="A1338" s="81"/>
      <c r="B1338" s="82"/>
      <c r="C1338" s="82"/>
      <c r="D1338" s="82"/>
      <c r="E1338" s="82"/>
      <c r="F1338" s="83"/>
      <c r="G1338" s="84"/>
      <c r="H1338" s="352">
        <f>ROUND((45/60)/8,4)</f>
        <v>9.3799999999999994E-2</v>
      </c>
      <c r="I1338" s="105"/>
    </row>
    <row r="1339" spans="1:14">
      <c r="A1339" s="540" t="s">
        <v>4209</v>
      </c>
      <c r="B1339" s="542" t="str">
        <f>COSTOS!$C$14</f>
        <v>MODERNIZACION A TECNOLOGIA LED</v>
      </c>
      <c r="C1339" s="542"/>
      <c r="D1339" s="542"/>
      <c r="E1339" s="542"/>
      <c r="F1339" s="542"/>
      <c r="G1339" s="542"/>
      <c r="H1339" s="543" t="s">
        <v>4210</v>
      </c>
    </row>
    <row r="1340" spans="1:14">
      <c r="A1340" s="541"/>
      <c r="B1340" s="542"/>
      <c r="C1340" s="542"/>
      <c r="D1340" s="542"/>
      <c r="E1340" s="542"/>
      <c r="F1340" s="542"/>
      <c r="G1340" s="542"/>
      <c r="H1340" s="543"/>
    </row>
    <row r="1341" spans="1:14">
      <c r="A1341" s="541"/>
      <c r="B1341" s="542"/>
      <c r="C1341" s="542"/>
      <c r="D1341" s="542"/>
      <c r="E1341" s="542"/>
      <c r="F1341" s="542"/>
      <c r="G1341" s="542"/>
      <c r="H1341" s="543"/>
    </row>
    <row r="1342" spans="1:14" ht="15" customHeight="1">
      <c r="A1342" s="541"/>
      <c r="B1342" s="542"/>
      <c r="C1342" s="542"/>
      <c r="D1342" s="542"/>
      <c r="E1342" s="542"/>
      <c r="F1342" s="542"/>
      <c r="G1342" s="542"/>
      <c r="H1342" s="197">
        <f ca="1">TODAY()</f>
        <v>44889</v>
      </c>
      <c r="K1342" t="s">
        <v>4380</v>
      </c>
      <c r="L1342" t="s">
        <v>4381</v>
      </c>
      <c r="M1342" t="s">
        <v>4382</v>
      </c>
      <c r="N1342" t="s">
        <v>4383</v>
      </c>
    </row>
    <row r="1343" spans="1:14" ht="60.75" customHeight="1">
      <c r="A1343" s="209" t="s">
        <v>4211</v>
      </c>
      <c r="B1343" s="544" t="str">
        <f>COSTOS!$D$16</f>
        <v>Luminarias</v>
      </c>
      <c r="C1343" s="544"/>
      <c r="D1343" s="544"/>
      <c r="E1343" s="544"/>
      <c r="F1343" s="544"/>
      <c r="G1343" s="60" t="s">
        <v>4212</v>
      </c>
      <c r="H1343" s="363">
        <v>1.27</v>
      </c>
      <c r="K1343" s="55" t="e">
        <f>H1368</f>
        <v>#VALUE!</v>
      </c>
      <c r="L1343" s="55">
        <f>H1378</f>
        <v>30988.518400000001</v>
      </c>
      <c r="M1343" s="55" t="e">
        <f>H1351</f>
        <v>#VALUE!</v>
      </c>
      <c r="N1343" s="55" t="e">
        <f>H1372</f>
        <v>#VALUE!</v>
      </c>
    </row>
    <row r="1344" spans="1:14" ht="43.2" customHeight="1">
      <c r="A1344" s="210" t="s">
        <v>4213</v>
      </c>
      <c r="B1344" s="545" t="str">
        <f>VLOOKUP(H1343,COSTOS!C:M,2,0)</f>
        <v>Farol con luminaria sodio 150w</v>
      </c>
      <c r="C1344" s="546"/>
      <c r="D1344" s="546"/>
      <c r="E1344" s="547"/>
      <c r="F1344" s="61" t="s">
        <v>0</v>
      </c>
      <c r="G1344" s="328" t="str">
        <f>VLOOKUP(H1343,COSTOS!C:M,8,0)</f>
        <v>Und</v>
      </c>
      <c r="H1344" s="248"/>
      <c r="I1344" s="278"/>
      <c r="J1344" s="280"/>
      <c r="K1344" s="280"/>
      <c r="L1344" s="280"/>
    </row>
    <row r="1345" spans="1:15">
      <c r="A1345" s="211"/>
      <c r="B1345" s="102"/>
      <c r="C1345" s="102"/>
      <c r="D1345" s="102"/>
      <c r="E1345" s="103"/>
      <c r="F1345" s="104" t="s">
        <v>1</v>
      </c>
      <c r="G1345" s="328">
        <f>VLOOKUP(H1343,COSTOS!C:M,9,0)</f>
        <v>0</v>
      </c>
      <c r="H1345" s="329"/>
      <c r="I1345" s="279"/>
    </row>
    <row r="1346" spans="1:15">
      <c r="A1346" s="212" t="s">
        <v>4215</v>
      </c>
      <c r="B1346" s="65"/>
      <c r="C1346" s="65"/>
      <c r="D1346" s="66"/>
      <c r="E1346" s="190"/>
      <c r="F1346" s="191"/>
      <c r="G1346" s="192" t="s">
        <v>4216</v>
      </c>
      <c r="H1346" s="198" t="e">
        <f>H1351+H1368+H1372+H1378</f>
        <v>#VALUE!</v>
      </c>
    </row>
    <row r="1347" spans="1:15" ht="41.4">
      <c r="A1347" s="548" t="s">
        <v>4213</v>
      </c>
      <c r="B1347" s="548"/>
      <c r="C1347" s="548"/>
      <c r="D1347" s="67" t="s">
        <v>0</v>
      </c>
      <c r="E1347" s="188" t="s">
        <v>4217</v>
      </c>
      <c r="F1347" s="189" t="s">
        <v>4204</v>
      </c>
      <c r="G1347" s="64" t="s">
        <v>2</v>
      </c>
      <c r="H1347" s="199" t="s">
        <v>4218</v>
      </c>
      <c r="K1347" s="281"/>
    </row>
    <row r="1348" spans="1:15">
      <c r="A1348" s="517" t="s">
        <v>3946</v>
      </c>
      <c r="B1348" s="549">
        <f>VLOOKUP(A1348,'Equip, Herr y Transp'!$B$2:$E$738,2,0)</f>
        <v>2</v>
      </c>
      <c r="C1348" s="549"/>
      <c r="D1348" s="85">
        <f>VLOOKUP(A1348,'Equip, Herr y Transp'!$B$2:$E$217,2,0)</f>
        <v>2</v>
      </c>
      <c r="E1348" s="85" t="str">
        <f>VLOOKUP(A1348,'Equip, Herr y Transp'!$B$2:$E$217,3,0)</f>
        <v>EQU</v>
      </c>
      <c r="F1348" s="86">
        <f>H1338</f>
        <v>9.3799999999999994E-2</v>
      </c>
      <c r="G1348" s="112" t="e">
        <f>F1348*E1348</f>
        <v>#VALUE!</v>
      </c>
      <c r="H1348" s="108"/>
    </row>
    <row r="1349" spans="1:15">
      <c r="A1349" s="517" t="s">
        <v>3904</v>
      </c>
      <c r="B1349" s="549">
        <f>VLOOKUP(A1349,'Equip, Herr y Transp'!$B$2:$E$738,2,0)</f>
        <v>2</v>
      </c>
      <c r="C1349" s="549"/>
      <c r="D1349" s="85">
        <f>VLOOKUP(A1349,'Equip, Herr y Transp'!$B$2:$E$217,2,0)</f>
        <v>2</v>
      </c>
      <c r="E1349" s="85" t="str">
        <f>VLOOKUP(A1349,'Equip, Herr y Transp'!$B$2:$E$217,3,0)</f>
        <v>EQU</v>
      </c>
      <c r="F1349" s="86">
        <f>H1338</f>
        <v>9.3799999999999994E-2</v>
      </c>
      <c r="G1349" s="112" t="e">
        <f>F1349*E1349</f>
        <v>#VALUE!</v>
      </c>
      <c r="H1349" s="107"/>
    </row>
    <row r="1350" spans="1:15">
      <c r="A1350" s="517" t="s">
        <v>3937</v>
      </c>
      <c r="B1350" s="549">
        <f>VLOOKUP(A1350,'Equip, Herr y Transp'!$B$2:$E$738,2,0)</f>
        <v>2</v>
      </c>
      <c r="C1350" s="549"/>
      <c r="D1350" s="85">
        <f>VLOOKUP(A1350,'Equip, Herr y Transp'!$B$2:$E$217,2,0)</f>
        <v>2</v>
      </c>
      <c r="E1350" s="85" t="str">
        <f>VLOOKUP(A1350,'Equip, Herr y Transp'!$B$2:$E$217,3,0)</f>
        <v>EQU</v>
      </c>
      <c r="F1350" s="86">
        <f>H1338</f>
        <v>9.3799999999999994E-2</v>
      </c>
      <c r="G1350" s="112" t="e">
        <f>F1350*E1350</f>
        <v>#VALUE!</v>
      </c>
      <c r="H1350" s="107"/>
    </row>
    <row r="1351" spans="1:15">
      <c r="A1351" s="520" t="s">
        <v>4099</v>
      </c>
      <c r="B1351" s="521"/>
      <c r="C1351" s="521"/>
      <c r="D1351" s="521"/>
      <c r="E1351" s="521"/>
      <c r="F1351" s="521"/>
      <c r="G1351" s="521"/>
      <c r="H1351" s="87" t="e">
        <f>SUM(G1348:G1350)</f>
        <v>#VALUE!</v>
      </c>
    </row>
    <row r="1352" spans="1:15">
      <c r="A1352" s="550" t="s">
        <v>4219</v>
      </c>
      <c r="B1352" s="551"/>
      <c r="C1352" s="551"/>
      <c r="D1352" s="551"/>
      <c r="E1352" s="551"/>
      <c r="F1352" s="551"/>
      <c r="G1352" s="551"/>
      <c r="H1352" s="552"/>
      <c r="K1352" s="50"/>
      <c r="L1352" s="50"/>
      <c r="M1352" s="50"/>
      <c r="N1352" s="50"/>
      <c r="O1352" s="50"/>
    </row>
    <row r="1353" spans="1:15" ht="30" customHeight="1">
      <c r="A1353" s="553" t="s">
        <v>7</v>
      </c>
      <c r="B1353" s="554"/>
      <c r="C1353" s="99" t="s">
        <v>0</v>
      </c>
      <c r="D1353" s="100" t="s">
        <v>4097</v>
      </c>
      <c r="E1353" s="101" t="s">
        <v>1</v>
      </c>
      <c r="F1353" s="555" t="s">
        <v>4207</v>
      </c>
      <c r="G1353" s="555"/>
      <c r="H1353" s="196"/>
      <c r="K1353" s="50"/>
      <c r="L1353" s="50"/>
      <c r="M1353" s="50"/>
      <c r="N1353" s="50"/>
      <c r="O1353" s="50"/>
    </row>
    <row r="1354" spans="1:15">
      <c r="A1354" s="535" t="s">
        <v>4668</v>
      </c>
      <c r="B1354" s="536"/>
      <c r="C1354" s="88">
        <f>VLOOKUP(A1354,'Materiales '!$C$2:$G$396,3,0)</f>
        <v>4</v>
      </c>
      <c r="D1354" s="89" t="str">
        <f>VLOOKUP(A1354,'Materiales '!$C$2:$G$396,4,0)</f>
        <v>Und</v>
      </c>
      <c r="E1354" s="90">
        <v>1</v>
      </c>
      <c r="F1354" s="508" t="e">
        <f>E1354*D1354</f>
        <v>#VALUE!</v>
      </c>
      <c r="G1354" s="519"/>
      <c r="H1354" s="111"/>
      <c r="I1354">
        <f>E1354*G1345</f>
        <v>0</v>
      </c>
      <c r="J1354" s="57"/>
      <c r="K1354" s="50"/>
      <c r="L1354" s="50"/>
      <c r="M1354" s="50"/>
      <c r="N1354" s="50"/>
      <c r="O1354" s="50"/>
    </row>
    <row r="1355" spans="1:15">
      <c r="A1355" s="535" t="s">
        <v>4203</v>
      </c>
      <c r="B1355" s="536"/>
      <c r="C1355" s="88">
        <f>VLOOKUP(A1355,'Materiales '!$C$2:$G$396,3,0)</f>
        <v>4</v>
      </c>
      <c r="D1355" s="89" t="str">
        <f>VLOOKUP(A1355,'Materiales '!$C$2:$G$396,4,0)</f>
        <v>Und</v>
      </c>
      <c r="E1355" s="90">
        <v>1</v>
      </c>
      <c r="F1355" s="508" t="e">
        <f t="shared" ref="F1355:F1361" si="79">E1355*D1355</f>
        <v>#VALUE!</v>
      </c>
      <c r="G1355" s="519"/>
      <c r="H1355" s="111"/>
      <c r="I1355">
        <f>E1355*G1345</f>
        <v>0</v>
      </c>
      <c r="J1355" s="57"/>
      <c r="K1355" s="50"/>
      <c r="L1355" s="50"/>
      <c r="M1355" s="50"/>
      <c r="N1355" s="50"/>
      <c r="O1355" s="50"/>
    </row>
    <row r="1356" spans="1:15">
      <c r="A1356" s="517" t="s">
        <v>4463</v>
      </c>
      <c r="B1356" s="518">
        <f>VLOOKUP(A1356,'Materiales '!$C$2:$G$396,3,0)</f>
        <v>2</v>
      </c>
      <c r="C1356" s="88">
        <f>VLOOKUP(A1356,'Materiales '!$C$2:$G$396,3,0)</f>
        <v>2</v>
      </c>
      <c r="D1356" s="89" t="str">
        <f>VLOOKUP(A1356,'Materiales '!$C$2:$G$396,4,0)</f>
        <v>Ml</v>
      </c>
      <c r="E1356" s="90">
        <v>1</v>
      </c>
      <c r="F1356" s="508" t="e">
        <f t="shared" si="79"/>
        <v>#VALUE!</v>
      </c>
      <c r="G1356" s="519"/>
      <c r="H1356" s="111"/>
      <c r="I1356">
        <f>E1356*G1345</f>
        <v>0</v>
      </c>
      <c r="J1356" s="58"/>
      <c r="K1356" s="50"/>
      <c r="L1356" s="50"/>
      <c r="M1356" s="50"/>
      <c r="N1356" s="50"/>
      <c r="O1356" s="50"/>
    </row>
    <row r="1357" spans="1:15">
      <c r="A1357" s="517" t="s">
        <v>4481</v>
      </c>
      <c r="B1357" s="518">
        <f>VLOOKUP(A1357,'Materiales '!$C$2:$G$396,3,0)</f>
        <v>4</v>
      </c>
      <c r="C1357" s="88">
        <f>VLOOKUP(A1357,'Materiales '!$C$2:$G$396,3,0)</f>
        <v>4</v>
      </c>
      <c r="D1357" s="89" t="str">
        <f>VLOOKUP(A1357,'Materiales '!$C$2:$G$396,4,0)</f>
        <v>Und</v>
      </c>
      <c r="E1357" s="90">
        <v>3</v>
      </c>
      <c r="F1357" s="508" t="e">
        <f t="shared" si="79"/>
        <v>#VALUE!</v>
      </c>
      <c r="G1357" s="519"/>
      <c r="H1357" s="111"/>
      <c r="I1357">
        <f>E1357*G1345</f>
        <v>0</v>
      </c>
      <c r="J1357" s="58"/>
      <c r="K1357" s="50"/>
      <c r="L1357" s="50"/>
      <c r="M1357" s="50"/>
      <c r="N1357" s="50"/>
      <c r="O1357" s="50"/>
    </row>
    <row r="1358" spans="1:15">
      <c r="A1358" s="517" t="s">
        <v>4528</v>
      </c>
      <c r="B1358" s="518">
        <f>VLOOKUP(A1358,'Materiales '!$C$2:$G$396,3,0)</f>
        <v>4</v>
      </c>
      <c r="C1358" s="88">
        <f>VLOOKUP(A1358,'Materiales '!$C$2:$G$396,3,0)</f>
        <v>4</v>
      </c>
      <c r="D1358" s="89" t="str">
        <f>VLOOKUP(A1358,'Materiales '!$C$2:$G$396,4,0)</f>
        <v>Und</v>
      </c>
      <c r="E1358" s="90">
        <v>2</v>
      </c>
      <c r="F1358" s="508" t="e">
        <f t="shared" si="79"/>
        <v>#VALUE!</v>
      </c>
      <c r="G1358" s="519"/>
      <c r="H1358" s="111"/>
      <c r="I1358">
        <f>E1358*G1345</f>
        <v>0</v>
      </c>
      <c r="J1358" s="58"/>
      <c r="K1358" s="50"/>
      <c r="L1358" s="50"/>
      <c r="M1358" s="50"/>
      <c r="N1358" s="50"/>
      <c r="O1358" s="50"/>
    </row>
    <row r="1359" spans="1:15">
      <c r="A1359" s="517" t="s">
        <v>4439</v>
      </c>
      <c r="B1359" s="518">
        <f>VLOOKUP(A1359,'Materiales '!$C$2:$G$396,3,0)</f>
        <v>2</v>
      </c>
      <c r="C1359" s="88">
        <f>VLOOKUP(A1359,'Materiales '!$C$2:$G$396,3,0)</f>
        <v>2</v>
      </c>
      <c r="D1359" s="89" t="str">
        <f>VLOOKUP(A1359,'Materiales '!$C$2:$G$396,4,0)</f>
        <v>Ml</v>
      </c>
      <c r="E1359" s="90">
        <v>8</v>
      </c>
      <c r="F1359" s="508" t="e">
        <f t="shared" si="79"/>
        <v>#VALUE!</v>
      </c>
      <c r="G1359" s="519"/>
      <c r="H1359" s="111"/>
      <c r="I1359">
        <f>E1359*G1345</f>
        <v>0</v>
      </c>
      <c r="J1359" s="58"/>
      <c r="K1359" s="50"/>
      <c r="L1359" s="50"/>
      <c r="M1359" s="50"/>
      <c r="N1359" s="50"/>
      <c r="O1359" s="50"/>
    </row>
    <row r="1360" spans="1:15">
      <c r="A1360" s="517" t="s">
        <v>4482</v>
      </c>
      <c r="B1360" s="518">
        <f>VLOOKUP(A1360,'Materiales '!$C$2:$G$396,3,0)</f>
        <v>4</v>
      </c>
      <c r="C1360" s="88">
        <f>VLOOKUP(A1360,'Materiales '!$C$2:$G$396,3,0)</f>
        <v>4</v>
      </c>
      <c r="D1360" s="89" t="str">
        <f>VLOOKUP(A1360,'Materiales '!$C$2:$G$396,4,0)</f>
        <v>Und</v>
      </c>
      <c r="E1360" s="90">
        <v>3</v>
      </c>
      <c r="F1360" s="508" t="e">
        <f t="shared" si="79"/>
        <v>#VALUE!</v>
      </c>
      <c r="G1360" s="519"/>
      <c r="H1360" s="111"/>
      <c r="I1360">
        <f>E1360*G1345</f>
        <v>0</v>
      </c>
      <c r="J1360" s="58"/>
      <c r="K1360" s="50"/>
      <c r="L1360" s="50"/>
      <c r="M1360" s="50"/>
      <c r="N1360" s="50"/>
      <c r="O1360" s="50"/>
    </row>
    <row r="1361" spans="1:15" ht="21.75" customHeight="1">
      <c r="A1361" s="517" t="s">
        <v>8</v>
      </c>
      <c r="B1361" s="518">
        <f>VLOOKUP(A1361,'Materiales '!$C$2:$G$396,3,0)</f>
        <v>0</v>
      </c>
      <c r="C1361" s="88">
        <f>VLOOKUP(A1361,'Materiales '!$C$2:$G$396,3,0)</f>
        <v>0</v>
      </c>
      <c r="D1361" s="89" t="str">
        <f>VLOOKUP(A1361,'Materiales '!$C$2:$G$396,4,0)</f>
        <v>-</v>
      </c>
      <c r="E1361" s="90">
        <v>0.5</v>
      </c>
      <c r="F1361" s="508" t="e">
        <f t="shared" si="79"/>
        <v>#VALUE!</v>
      </c>
      <c r="G1361" s="519"/>
      <c r="H1361" s="111"/>
      <c r="I1361">
        <f>E1361*G1345</f>
        <v>0</v>
      </c>
      <c r="J1361" s="58"/>
      <c r="K1361" s="50"/>
      <c r="L1361" s="50"/>
      <c r="M1361" s="50"/>
      <c r="N1361" s="50"/>
      <c r="O1361" s="50"/>
    </row>
    <row r="1362" spans="1:15">
      <c r="A1362" s="517" t="s">
        <v>8</v>
      </c>
      <c r="B1362" s="518">
        <f>VLOOKUP(A1362,'Materiales '!$C$2:$G$396,3,0)</f>
        <v>0</v>
      </c>
      <c r="C1362" s="88">
        <f>VLOOKUP(A1362,'Materiales '!$C$2:$G$396,3,0)</f>
        <v>0</v>
      </c>
      <c r="D1362" s="89" t="str">
        <f>VLOOKUP(A1362,'Materiales '!$C$2:$G$396,4,0)</f>
        <v>-</v>
      </c>
      <c r="E1362" s="90"/>
      <c r="F1362" s="508" t="e">
        <f>E1362*D1362</f>
        <v>#VALUE!</v>
      </c>
      <c r="G1362" s="519"/>
      <c r="H1362" s="110"/>
      <c r="I1362">
        <f>E1362*G1345</f>
        <v>0</v>
      </c>
      <c r="J1362" s="58"/>
      <c r="K1362" s="50"/>
      <c r="L1362" s="50"/>
      <c r="M1362" s="50"/>
      <c r="N1362" s="50"/>
      <c r="O1362" s="50"/>
    </row>
    <row r="1363" spans="1:15">
      <c r="A1363" s="517" t="s">
        <v>8</v>
      </c>
      <c r="B1363" s="518">
        <f>VLOOKUP(A1363,'Materiales '!$C$2:$G$396,3,0)</f>
        <v>0</v>
      </c>
      <c r="C1363" s="88">
        <f>VLOOKUP(A1363,'Materiales '!$C$2:$G$396,3,0)</f>
        <v>0</v>
      </c>
      <c r="D1363" s="89" t="str">
        <f>VLOOKUP(A1363,'Materiales '!$C$2:$G$396,4,0)</f>
        <v>-</v>
      </c>
      <c r="E1363" s="90"/>
      <c r="F1363" s="508" t="e">
        <f t="shared" ref="F1363:F1366" si="80">E1363*D1363</f>
        <v>#VALUE!</v>
      </c>
      <c r="G1363" s="519"/>
      <c r="H1363" s="111"/>
      <c r="I1363">
        <f>E1363*G1345</f>
        <v>0</v>
      </c>
      <c r="J1363" s="58"/>
      <c r="K1363" s="50"/>
      <c r="L1363" s="50"/>
      <c r="M1363" s="50"/>
      <c r="N1363" s="50"/>
      <c r="O1363" s="50"/>
    </row>
    <row r="1364" spans="1:15">
      <c r="A1364" s="517" t="s">
        <v>8</v>
      </c>
      <c r="B1364" s="518">
        <f>VLOOKUP(A1364,'Materiales '!$C$2:$G$396,3,0)</f>
        <v>0</v>
      </c>
      <c r="C1364" s="88">
        <f>VLOOKUP(A1364,'Materiales '!$C$2:$G$396,3,0)</f>
        <v>0</v>
      </c>
      <c r="D1364" s="89" t="str">
        <f>VLOOKUP(A1364,'Materiales '!$C$2:$G$396,4,0)</f>
        <v>-</v>
      </c>
      <c r="E1364" s="90"/>
      <c r="F1364" s="508" t="e">
        <f t="shared" si="80"/>
        <v>#VALUE!</v>
      </c>
      <c r="G1364" s="519"/>
      <c r="H1364" s="111"/>
      <c r="I1364">
        <f>E1364*G1345</f>
        <v>0</v>
      </c>
      <c r="J1364" s="58"/>
      <c r="K1364" s="50"/>
      <c r="L1364" s="50"/>
      <c r="M1364" s="50"/>
      <c r="N1364" s="50"/>
      <c r="O1364" s="50"/>
    </row>
    <row r="1365" spans="1:15">
      <c r="A1365" s="517" t="s">
        <v>8</v>
      </c>
      <c r="B1365" s="518">
        <f>VLOOKUP(A1365,'Materiales '!$C$2:$G$396,3,0)</f>
        <v>0</v>
      </c>
      <c r="C1365" s="88">
        <f>VLOOKUP(A1365,'Materiales '!$C$2:$G$396,3,0)</f>
        <v>0</v>
      </c>
      <c r="D1365" s="89" t="str">
        <f>VLOOKUP(A1365,'Materiales '!$C$2:$G$396,4,0)</f>
        <v>-</v>
      </c>
      <c r="E1365" s="90"/>
      <c r="F1365" s="508" t="e">
        <f t="shared" si="80"/>
        <v>#VALUE!</v>
      </c>
      <c r="G1365" s="519"/>
      <c r="H1365" s="111"/>
      <c r="I1365">
        <f>E1365*G1345</f>
        <v>0</v>
      </c>
      <c r="J1365" s="58"/>
      <c r="K1365" s="50"/>
      <c r="L1365" s="50"/>
      <c r="M1365" s="50"/>
      <c r="N1365" s="50"/>
      <c r="O1365" s="50"/>
    </row>
    <row r="1366" spans="1:15">
      <c r="A1366" s="517" t="s">
        <v>8</v>
      </c>
      <c r="B1366" s="518">
        <f>VLOOKUP(A1366,'Materiales '!$C$2:$G$396,3,0)</f>
        <v>0</v>
      </c>
      <c r="C1366" s="88">
        <f>VLOOKUP(A1366,'Materiales '!$C$2:$G$396,3,0)</f>
        <v>0</v>
      </c>
      <c r="D1366" s="89" t="str">
        <f>VLOOKUP(A1366,'Materiales '!$C$2:$G$396,4,0)</f>
        <v>-</v>
      </c>
      <c r="E1366" s="90"/>
      <c r="F1366" s="508" t="e">
        <f t="shared" si="80"/>
        <v>#VALUE!</v>
      </c>
      <c r="G1366" s="519"/>
      <c r="H1366" s="111"/>
      <c r="I1366">
        <f>E1366*G1345</f>
        <v>0</v>
      </c>
      <c r="J1366" s="58"/>
      <c r="K1366" s="50"/>
      <c r="L1366" s="50"/>
      <c r="M1366" s="50"/>
      <c r="N1366" s="50"/>
      <c r="O1366" s="50"/>
    </row>
    <row r="1367" spans="1:15">
      <c r="A1367" s="517" t="s">
        <v>8</v>
      </c>
      <c r="B1367" s="518">
        <f>VLOOKUP(A1367,'Materiales '!$C$2:$G$396,3,0)</f>
        <v>0</v>
      </c>
      <c r="C1367" s="88">
        <f>VLOOKUP(A1367,'Materiales '!$C$2:$G$396,3,0)</f>
        <v>0</v>
      </c>
      <c r="D1367" s="89" t="str">
        <f>VLOOKUP(A1367,'Materiales '!$C$2:$G$396,4,0)</f>
        <v>-</v>
      </c>
      <c r="E1367" s="90"/>
      <c r="F1367" s="508" t="e">
        <f>E1367*D1367</f>
        <v>#VALUE!</v>
      </c>
      <c r="G1367" s="519"/>
      <c r="H1367" s="110"/>
      <c r="I1367">
        <f>E1367*G1345</f>
        <v>0</v>
      </c>
      <c r="J1367" s="58"/>
      <c r="K1367" s="50"/>
      <c r="L1367" s="50"/>
      <c r="M1367" s="50"/>
      <c r="N1367" s="50"/>
      <c r="O1367" s="50"/>
    </row>
    <row r="1368" spans="1:15">
      <c r="A1368" s="520" t="s">
        <v>4098</v>
      </c>
      <c r="B1368" s="521"/>
      <c r="C1368" s="521"/>
      <c r="D1368" s="521"/>
      <c r="E1368" s="521"/>
      <c r="F1368" s="521"/>
      <c r="G1368" s="522"/>
      <c r="H1368" s="106" t="e">
        <f>SUM(F1354:F1367)</f>
        <v>#VALUE!</v>
      </c>
      <c r="J1368" s="58"/>
      <c r="K1368" s="50"/>
      <c r="L1368" s="50"/>
      <c r="M1368" s="50"/>
      <c r="N1368" s="50"/>
      <c r="O1368" s="50"/>
    </row>
    <row r="1369" spans="1:15">
      <c r="A1369" s="523" t="s">
        <v>4220</v>
      </c>
      <c r="B1369" s="524"/>
      <c r="C1369" s="524"/>
      <c r="D1369" s="524"/>
      <c r="E1369" s="525"/>
      <c r="F1369" s="524"/>
      <c r="G1369" s="524"/>
      <c r="H1369" s="526"/>
      <c r="J1369" s="58"/>
      <c r="K1369" s="50"/>
      <c r="L1369" s="50"/>
      <c r="M1369" s="50"/>
      <c r="N1369" s="50"/>
      <c r="O1369" s="50"/>
    </row>
    <row r="1370" spans="1:15">
      <c r="A1370" s="527" t="s">
        <v>7</v>
      </c>
      <c r="B1370" s="528"/>
      <c r="C1370" s="98" t="s">
        <v>4221</v>
      </c>
      <c r="D1370" s="97" t="s">
        <v>4222</v>
      </c>
      <c r="E1370" s="187" t="s">
        <v>4223</v>
      </c>
      <c r="F1370" s="529" t="s">
        <v>4207</v>
      </c>
      <c r="G1370" s="529"/>
      <c r="H1370" s="109"/>
      <c r="K1370" s="50"/>
      <c r="L1370" s="50"/>
      <c r="M1370" s="50"/>
      <c r="N1370" s="50"/>
      <c r="O1370" s="50"/>
    </row>
    <row r="1371" spans="1:15">
      <c r="A1371" s="506" t="s">
        <v>3928</v>
      </c>
      <c r="B1371" s="507"/>
      <c r="C1371" s="213">
        <v>1</v>
      </c>
      <c r="D1371" s="92">
        <v>0.03</v>
      </c>
      <c r="E1371" s="93" t="str">
        <f>VLOOKUP(A1371,'Equip, Herr y Transp'!$B$2:$E$217,3,0)</f>
        <v>TR</v>
      </c>
      <c r="F1371" s="530" t="e">
        <f>E1371*D1371*C1371</f>
        <v>#VALUE!</v>
      </c>
      <c r="G1371" s="531"/>
      <c r="H1371" s="107"/>
      <c r="M1371" s="50"/>
    </row>
    <row r="1372" spans="1:15">
      <c r="A1372" s="532" t="s">
        <v>4205</v>
      </c>
      <c r="B1372" s="533"/>
      <c r="C1372" s="533"/>
      <c r="D1372" s="533"/>
      <c r="E1372" s="533"/>
      <c r="F1372" s="533"/>
      <c r="G1372" s="533"/>
      <c r="H1372" s="95" t="e">
        <f>F1371</f>
        <v>#VALUE!</v>
      </c>
    </row>
    <row r="1373" spans="1:15">
      <c r="A1373" s="523" t="s">
        <v>4224</v>
      </c>
      <c r="B1373" s="524"/>
      <c r="C1373" s="524"/>
      <c r="D1373" s="524"/>
      <c r="E1373" s="524"/>
      <c r="F1373" s="524"/>
      <c r="G1373" s="524"/>
      <c r="H1373" s="526"/>
    </row>
    <row r="1374" spans="1:15">
      <c r="A1374" s="527" t="s">
        <v>7</v>
      </c>
      <c r="B1374" s="528"/>
      <c r="C1374" s="96" t="s">
        <v>1</v>
      </c>
      <c r="D1374" s="97" t="s">
        <v>4225</v>
      </c>
      <c r="E1374" s="98" t="s">
        <v>4204</v>
      </c>
      <c r="F1374" s="527" t="s">
        <v>5</v>
      </c>
      <c r="G1374" s="534"/>
      <c r="H1374" s="109"/>
    </row>
    <row r="1375" spans="1:15">
      <c r="A1375" s="506" t="s">
        <v>4191</v>
      </c>
      <c r="B1375" s="507"/>
      <c r="C1375" s="91">
        <v>1</v>
      </c>
      <c r="D1375" s="94">
        <f>VLOOKUP(A1375,'Mano Obra'!$B$2:$T$117,19,0)</f>
        <v>152456</v>
      </c>
      <c r="E1375" s="218">
        <f>H1338</f>
        <v>9.3799999999999994E-2</v>
      </c>
      <c r="F1375" s="508">
        <f>E1375*D1375*C1375</f>
        <v>14300.372799999999</v>
      </c>
      <c r="G1375" s="509"/>
      <c r="H1375" s="111"/>
      <c r="I1375" s="59"/>
      <c r="J1375" s="117">
        <f>((('Mano Obra'!$M$4/30)*F1375)/D1375)*G1345</f>
        <v>0</v>
      </c>
    </row>
    <row r="1376" spans="1:15">
      <c r="A1376" s="510" t="s">
        <v>4192</v>
      </c>
      <c r="B1376" s="511">
        <f>VLOOKUP(A1376,'Mano Obra'!$B$3:$D$290,2,0)</f>
        <v>1900000</v>
      </c>
      <c r="C1376" s="91">
        <v>1</v>
      </c>
      <c r="D1376" s="94">
        <f>VLOOKUP(A1376,'Mano Obra'!$B$2:$T$117,19,0)</f>
        <v>110488</v>
      </c>
      <c r="E1376" s="218">
        <f>H1338</f>
        <v>9.3799999999999994E-2</v>
      </c>
      <c r="F1376" s="508">
        <f t="shared" ref="F1376:F1377" si="81">E1376*D1376*C1376</f>
        <v>10363.7744</v>
      </c>
      <c r="G1376" s="509"/>
      <c r="H1376" s="111"/>
      <c r="J1376" s="117">
        <f>((('Mano Obra'!$M$5/30)*F1376)/D1376)*G1345</f>
        <v>0</v>
      </c>
    </row>
    <row r="1377" spans="1:10">
      <c r="A1377" s="510" t="s">
        <v>4181</v>
      </c>
      <c r="B1377" s="511">
        <f>VLOOKUP(A1377,'Mano Obra'!$B$3:$D$290,2,0)</f>
        <v>1000000</v>
      </c>
      <c r="C1377" s="91">
        <v>1</v>
      </c>
      <c r="D1377" s="94">
        <f>VLOOKUP(A1377,'Mano Obra'!$B$2:$T$117,19,0)</f>
        <v>67424</v>
      </c>
      <c r="E1377" s="218">
        <f>H1338</f>
        <v>9.3799999999999994E-2</v>
      </c>
      <c r="F1377" s="508">
        <f t="shared" si="81"/>
        <v>6324.3711999999996</v>
      </c>
      <c r="G1377" s="509"/>
      <c r="H1377" s="110"/>
      <c r="J1377" s="117">
        <f>((('Mano Obra'!$M$6/30)*F1377)/D1377)*G1345</f>
        <v>0</v>
      </c>
    </row>
    <row r="1378" spans="1:10">
      <c r="A1378" s="512" t="s">
        <v>4100</v>
      </c>
      <c r="B1378" s="512"/>
      <c r="C1378" s="512"/>
      <c r="D1378" s="512"/>
      <c r="E1378" s="512"/>
      <c r="F1378" s="512"/>
      <c r="G1378" s="512"/>
      <c r="H1378" s="95">
        <f>SUM(F1375:F1377)</f>
        <v>30988.518400000001</v>
      </c>
      <c r="J1378" s="117"/>
    </row>
    <row r="1379" spans="1:10">
      <c r="A1379" s="208" t="s">
        <v>4226</v>
      </c>
      <c r="B1379" s="186"/>
      <c r="C1379" s="186"/>
      <c r="D1379" s="183"/>
      <c r="E1379" s="184"/>
      <c r="F1379" s="185"/>
      <c r="G1379" s="184"/>
      <c r="H1379" s="193"/>
    </row>
    <row r="1380" spans="1:10">
      <c r="A1380" s="513" t="s">
        <v>4213</v>
      </c>
      <c r="B1380" s="514"/>
      <c r="C1380" s="514"/>
      <c r="D1380" s="514"/>
      <c r="E1380" s="181"/>
      <c r="F1380" s="182" t="s">
        <v>4227</v>
      </c>
      <c r="G1380" s="181" t="s">
        <v>4228</v>
      </c>
      <c r="H1380" s="194"/>
    </row>
    <row r="1381" spans="1:10">
      <c r="A1381" s="204" t="s">
        <v>4096</v>
      </c>
      <c r="B1381" s="62"/>
      <c r="C1381" s="62"/>
      <c r="D1381" s="63"/>
      <c r="E1381" s="68"/>
      <c r="F1381" s="69">
        <v>0</v>
      </c>
      <c r="G1381" s="70" t="e">
        <f>F1381*H1346</f>
        <v>#VALUE!</v>
      </c>
      <c r="H1381" s="193"/>
    </row>
    <row r="1382" spans="1:10">
      <c r="A1382" s="205" t="s">
        <v>4229</v>
      </c>
      <c r="B1382" s="71"/>
      <c r="C1382" s="71"/>
      <c r="D1382" s="72"/>
      <c r="E1382" s="68"/>
      <c r="F1382" s="69">
        <v>0</v>
      </c>
      <c r="G1382" s="70" t="e">
        <f>F1382*H1346</f>
        <v>#VALUE!</v>
      </c>
      <c r="H1382" s="193"/>
    </row>
    <row r="1383" spans="1:10">
      <c r="A1383" s="205" t="s">
        <v>4</v>
      </c>
      <c r="B1383" s="71"/>
      <c r="C1383" s="71"/>
      <c r="D1383" s="72"/>
      <c r="E1383" s="68"/>
      <c r="F1383" s="69">
        <v>0</v>
      </c>
      <c r="G1383" s="70" t="e">
        <f>F1383*H1346</f>
        <v>#VALUE!</v>
      </c>
      <c r="H1383" s="193"/>
    </row>
    <row r="1384" spans="1:10">
      <c r="A1384" s="206"/>
      <c r="B1384" s="73"/>
      <c r="C1384" s="65"/>
      <c r="D1384" s="74"/>
      <c r="E1384" s="75"/>
      <c r="F1384" s="76"/>
      <c r="G1384" s="77"/>
      <c r="H1384" s="195"/>
    </row>
    <row r="1385" spans="1:10">
      <c r="A1385" s="207"/>
      <c r="B1385" s="73"/>
      <c r="C1385" s="73"/>
      <c r="D1385" s="74"/>
      <c r="E1385" s="78"/>
      <c r="F1385" s="515" t="s">
        <v>4230</v>
      </c>
      <c r="G1385" s="516"/>
      <c r="H1385" s="214" t="e">
        <f>H1346+G1381+G1382+G1383</f>
        <v>#VALUE!</v>
      </c>
    </row>
    <row r="1386" spans="1:10">
      <c r="A1386" s="73"/>
      <c r="B1386" s="73"/>
      <c r="C1386" s="73"/>
      <c r="D1386" s="74"/>
      <c r="E1386" s="360"/>
      <c r="F1386" s="361"/>
      <c r="G1386" s="361"/>
      <c r="H1386" s="362"/>
    </row>
    <row r="1387" spans="1:10">
      <c r="A1387" s="80"/>
      <c r="B1387" s="80"/>
      <c r="C1387" s="80"/>
      <c r="D1387" s="80"/>
      <c r="E1387" s="80"/>
      <c r="F1387" s="80"/>
      <c r="G1387" s="80"/>
      <c r="H1387" s="353"/>
    </row>
    <row r="1388" spans="1:10">
      <c r="A1388" s="537" t="s">
        <v>4214</v>
      </c>
      <c r="B1388" s="538"/>
      <c r="C1388" s="538"/>
      <c r="D1388" s="538"/>
      <c r="E1388" s="538"/>
      <c r="F1388" s="538"/>
      <c r="G1388" s="538"/>
      <c r="H1388" s="539"/>
    </row>
    <row r="1389" spans="1:10">
      <c r="A1389" s="81"/>
      <c r="B1389" s="82"/>
      <c r="C1389" s="82"/>
      <c r="D1389" s="82"/>
      <c r="E1389" s="82"/>
      <c r="F1389" s="83"/>
      <c r="G1389" s="84"/>
      <c r="H1389" s="352">
        <f>ROUND((45/60)/8,4)</f>
        <v>9.3799999999999994E-2</v>
      </c>
      <c r="I1389" s="105"/>
    </row>
    <row r="1390" spans="1:10">
      <c r="A1390" s="540" t="s">
        <v>4209</v>
      </c>
      <c r="B1390" s="542" t="str">
        <f>COSTOS!$C$14</f>
        <v>MODERNIZACION A TECNOLOGIA LED</v>
      </c>
      <c r="C1390" s="542"/>
      <c r="D1390" s="542"/>
      <c r="E1390" s="542"/>
      <c r="F1390" s="542"/>
      <c r="G1390" s="542"/>
      <c r="H1390" s="543" t="s">
        <v>4210</v>
      </c>
    </row>
    <row r="1391" spans="1:10">
      <c r="A1391" s="541"/>
      <c r="B1391" s="542"/>
      <c r="C1391" s="542"/>
      <c r="D1391" s="542"/>
      <c r="E1391" s="542"/>
      <c r="F1391" s="542"/>
      <c r="G1391" s="542"/>
      <c r="H1391" s="543"/>
    </row>
    <row r="1392" spans="1:10">
      <c r="A1392" s="541"/>
      <c r="B1392" s="542"/>
      <c r="C1392" s="542"/>
      <c r="D1392" s="542"/>
      <c r="E1392" s="542"/>
      <c r="F1392" s="542"/>
      <c r="G1392" s="542"/>
      <c r="H1392" s="543"/>
    </row>
    <row r="1393" spans="1:15" ht="15" customHeight="1">
      <c r="A1393" s="541"/>
      <c r="B1393" s="542"/>
      <c r="C1393" s="542"/>
      <c r="D1393" s="542"/>
      <c r="E1393" s="542"/>
      <c r="F1393" s="542"/>
      <c r="G1393" s="542"/>
      <c r="H1393" s="197">
        <f ca="1">TODAY()</f>
        <v>44889</v>
      </c>
      <c r="K1393" t="s">
        <v>4380</v>
      </c>
      <c r="L1393" t="s">
        <v>4381</v>
      </c>
      <c r="M1393" t="s">
        <v>4382</v>
      </c>
      <c r="N1393" t="s">
        <v>4383</v>
      </c>
    </row>
    <row r="1394" spans="1:15" ht="60.75" customHeight="1">
      <c r="A1394" s="209" t="s">
        <v>4211</v>
      </c>
      <c r="B1394" s="544" t="str">
        <f>COSTOS!$D$16</f>
        <v>Luminarias</v>
      </c>
      <c r="C1394" s="544"/>
      <c r="D1394" s="544"/>
      <c r="E1394" s="544"/>
      <c r="F1394" s="544"/>
      <c r="G1394" s="60" t="s">
        <v>4212</v>
      </c>
      <c r="H1394" s="363">
        <v>1.28</v>
      </c>
      <c r="K1394" s="55" t="e">
        <f>H1419</f>
        <v>#VALUE!</v>
      </c>
      <c r="L1394" s="55">
        <f>H1429</f>
        <v>30988.518400000001</v>
      </c>
      <c r="M1394" s="55" t="e">
        <f>H1402</f>
        <v>#VALUE!</v>
      </c>
      <c r="N1394" s="55" t="e">
        <f>H1423</f>
        <v>#VALUE!</v>
      </c>
    </row>
    <row r="1395" spans="1:15" ht="43.2" customHeight="1">
      <c r="A1395" s="210" t="s">
        <v>4213</v>
      </c>
      <c r="B1395" s="545" t="str">
        <f>VLOOKUP(H1394,COSTOS!C:M,2,0)</f>
        <v>Farol con luminaria incandescente 100w</v>
      </c>
      <c r="C1395" s="546"/>
      <c r="D1395" s="546"/>
      <c r="E1395" s="547"/>
      <c r="F1395" s="61" t="s">
        <v>0</v>
      </c>
      <c r="G1395" s="328" t="str">
        <f>VLOOKUP(H1394,COSTOS!C:M,8,0)</f>
        <v>Und</v>
      </c>
      <c r="H1395" s="248"/>
      <c r="I1395" s="278"/>
      <c r="J1395" s="280"/>
      <c r="K1395" s="280"/>
      <c r="L1395" s="280"/>
    </row>
    <row r="1396" spans="1:15">
      <c r="A1396" s="211"/>
      <c r="B1396" s="102"/>
      <c r="C1396" s="102"/>
      <c r="D1396" s="102"/>
      <c r="E1396" s="103"/>
      <c r="F1396" s="104" t="s">
        <v>1</v>
      </c>
      <c r="G1396" s="328">
        <f>VLOOKUP(H1394,COSTOS!C:M,9,0)</f>
        <v>0</v>
      </c>
      <c r="H1396" s="329"/>
      <c r="I1396" s="279"/>
    </row>
    <row r="1397" spans="1:15">
      <c r="A1397" s="212" t="s">
        <v>4215</v>
      </c>
      <c r="B1397" s="65"/>
      <c r="C1397" s="65"/>
      <c r="D1397" s="66"/>
      <c r="E1397" s="190"/>
      <c r="F1397" s="191"/>
      <c r="G1397" s="192" t="s">
        <v>4216</v>
      </c>
      <c r="H1397" s="198" t="e">
        <f>H1402+H1419+H1423+H1429</f>
        <v>#VALUE!</v>
      </c>
    </row>
    <row r="1398" spans="1:15" ht="41.4">
      <c r="A1398" s="548" t="s">
        <v>4213</v>
      </c>
      <c r="B1398" s="548"/>
      <c r="C1398" s="548"/>
      <c r="D1398" s="67" t="s">
        <v>0</v>
      </c>
      <c r="E1398" s="188" t="s">
        <v>4217</v>
      </c>
      <c r="F1398" s="189" t="s">
        <v>4204</v>
      </c>
      <c r="G1398" s="64" t="s">
        <v>2</v>
      </c>
      <c r="H1398" s="199" t="s">
        <v>4218</v>
      </c>
      <c r="K1398" s="281"/>
    </row>
    <row r="1399" spans="1:15">
      <c r="A1399" s="517" t="s">
        <v>3946</v>
      </c>
      <c r="B1399" s="549">
        <f>VLOOKUP(A1399,'Equip, Herr y Transp'!$B$2:$E$738,2,0)</f>
        <v>2</v>
      </c>
      <c r="C1399" s="549"/>
      <c r="D1399" s="85">
        <f>VLOOKUP(A1399,'Equip, Herr y Transp'!$B$2:$E$217,2,0)</f>
        <v>2</v>
      </c>
      <c r="E1399" s="85" t="str">
        <f>VLOOKUP(A1399,'Equip, Herr y Transp'!$B$2:$E$217,3,0)</f>
        <v>EQU</v>
      </c>
      <c r="F1399" s="86">
        <f>H1389</f>
        <v>9.3799999999999994E-2</v>
      </c>
      <c r="G1399" s="112" t="e">
        <f>F1399*E1399</f>
        <v>#VALUE!</v>
      </c>
      <c r="H1399" s="108"/>
    </row>
    <row r="1400" spans="1:15">
      <c r="A1400" s="517" t="s">
        <v>3904</v>
      </c>
      <c r="B1400" s="549">
        <f>VLOOKUP(A1400,'Equip, Herr y Transp'!$B$2:$E$738,2,0)</f>
        <v>2</v>
      </c>
      <c r="C1400" s="549"/>
      <c r="D1400" s="85">
        <f>VLOOKUP(A1400,'Equip, Herr y Transp'!$B$2:$E$217,2,0)</f>
        <v>2</v>
      </c>
      <c r="E1400" s="85" t="str">
        <f>VLOOKUP(A1400,'Equip, Herr y Transp'!$B$2:$E$217,3,0)</f>
        <v>EQU</v>
      </c>
      <c r="F1400" s="86">
        <f>H1389</f>
        <v>9.3799999999999994E-2</v>
      </c>
      <c r="G1400" s="112" t="e">
        <f>F1400*E1400</f>
        <v>#VALUE!</v>
      </c>
      <c r="H1400" s="107"/>
    </row>
    <row r="1401" spans="1:15">
      <c r="A1401" s="517" t="s">
        <v>3937</v>
      </c>
      <c r="B1401" s="549">
        <f>VLOOKUP(A1401,'Equip, Herr y Transp'!$B$2:$E$738,2,0)</f>
        <v>2</v>
      </c>
      <c r="C1401" s="549"/>
      <c r="D1401" s="85">
        <f>VLOOKUP(A1401,'Equip, Herr y Transp'!$B$2:$E$217,2,0)</f>
        <v>2</v>
      </c>
      <c r="E1401" s="85" t="str">
        <f>VLOOKUP(A1401,'Equip, Herr y Transp'!$B$2:$E$217,3,0)</f>
        <v>EQU</v>
      </c>
      <c r="F1401" s="86">
        <f>H1389</f>
        <v>9.3799999999999994E-2</v>
      </c>
      <c r="G1401" s="112" t="e">
        <f>F1401*E1401</f>
        <v>#VALUE!</v>
      </c>
      <c r="H1401" s="107"/>
    </row>
    <row r="1402" spans="1:15">
      <c r="A1402" s="520" t="s">
        <v>4099</v>
      </c>
      <c r="B1402" s="521"/>
      <c r="C1402" s="521"/>
      <c r="D1402" s="521"/>
      <c r="E1402" s="521"/>
      <c r="F1402" s="521"/>
      <c r="G1402" s="521"/>
      <c r="H1402" s="87" t="e">
        <f>SUM(G1399:G1401)</f>
        <v>#VALUE!</v>
      </c>
    </row>
    <row r="1403" spans="1:15">
      <c r="A1403" s="550" t="s">
        <v>4219</v>
      </c>
      <c r="B1403" s="551"/>
      <c r="C1403" s="551"/>
      <c r="D1403" s="551"/>
      <c r="E1403" s="551"/>
      <c r="F1403" s="551"/>
      <c r="G1403" s="551"/>
      <c r="H1403" s="552"/>
      <c r="K1403" s="50"/>
      <c r="L1403" s="50"/>
      <c r="M1403" s="50"/>
      <c r="N1403" s="50"/>
      <c r="O1403" s="50"/>
    </row>
    <row r="1404" spans="1:15" ht="30" customHeight="1">
      <c r="A1404" s="553" t="s">
        <v>7</v>
      </c>
      <c r="B1404" s="554"/>
      <c r="C1404" s="99" t="s">
        <v>0</v>
      </c>
      <c r="D1404" s="100" t="s">
        <v>4097</v>
      </c>
      <c r="E1404" s="101" t="s">
        <v>1</v>
      </c>
      <c r="F1404" s="555" t="s">
        <v>4207</v>
      </c>
      <c r="G1404" s="555"/>
      <c r="H1404" s="196"/>
      <c r="K1404" s="50"/>
      <c r="L1404" s="50"/>
      <c r="M1404" s="50"/>
      <c r="N1404" s="50"/>
      <c r="O1404" s="50"/>
    </row>
    <row r="1405" spans="1:15">
      <c r="A1405" s="535" t="s">
        <v>4669</v>
      </c>
      <c r="B1405" s="536"/>
      <c r="C1405" s="88">
        <f>VLOOKUP(A1405,'Materiales '!$C$2:$G$396,3,0)</f>
        <v>4</v>
      </c>
      <c r="D1405" s="89" t="str">
        <f>VLOOKUP(A1405,'Materiales '!$C$2:$G$396,4,0)</f>
        <v>Und</v>
      </c>
      <c r="E1405" s="90">
        <v>1</v>
      </c>
      <c r="F1405" s="508" t="e">
        <f>E1405*D1405</f>
        <v>#VALUE!</v>
      </c>
      <c r="G1405" s="519"/>
      <c r="H1405" s="111"/>
      <c r="I1405">
        <f>E1405*G1396</f>
        <v>0</v>
      </c>
      <c r="J1405" s="57"/>
      <c r="K1405" s="50"/>
      <c r="L1405" s="50"/>
      <c r="M1405" s="50"/>
      <c r="N1405" s="50"/>
      <c r="O1405" s="50"/>
    </row>
    <row r="1406" spans="1:15">
      <c r="A1406" s="535" t="s">
        <v>4203</v>
      </c>
      <c r="B1406" s="536"/>
      <c r="C1406" s="88">
        <f>VLOOKUP(A1406,'Materiales '!$C$2:$G$396,3,0)</f>
        <v>4</v>
      </c>
      <c r="D1406" s="89" t="str">
        <f>VLOOKUP(A1406,'Materiales '!$C$2:$G$396,4,0)</f>
        <v>Und</v>
      </c>
      <c r="E1406" s="90">
        <v>1</v>
      </c>
      <c r="F1406" s="508" t="e">
        <f t="shared" ref="F1406:F1412" si="82">E1406*D1406</f>
        <v>#VALUE!</v>
      </c>
      <c r="G1406" s="519"/>
      <c r="H1406" s="111"/>
      <c r="I1406">
        <f>E1406*G1396</f>
        <v>0</v>
      </c>
      <c r="J1406" s="57"/>
      <c r="K1406" s="50"/>
      <c r="L1406" s="50"/>
      <c r="M1406" s="50"/>
      <c r="N1406" s="50"/>
      <c r="O1406" s="50"/>
    </row>
    <row r="1407" spans="1:15">
      <c r="A1407" s="517" t="s">
        <v>4463</v>
      </c>
      <c r="B1407" s="518">
        <f>VLOOKUP(A1407,'Materiales '!$C$2:$G$396,3,0)</f>
        <v>2</v>
      </c>
      <c r="C1407" s="88">
        <f>VLOOKUP(A1407,'Materiales '!$C$2:$G$396,3,0)</f>
        <v>2</v>
      </c>
      <c r="D1407" s="89" t="str">
        <f>VLOOKUP(A1407,'Materiales '!$C$2:$G$396,4,0)</f>
        <v>Ml</v>
      </c>
      <c r="E1407" s="90">
        <v>1</v>
      </c>
      <c r="F1407" s="508" t="e">
        <f t="shared" si="82"/>
        <v>#VALUE!</v>
      </c>
      <c r="G1407" s="519"/>
      <c r="H1407" s="111"/>
      <c r="I1407">
        <f>E1407*G1396</f>
        <v>0</v>
      </c>
      <c r="J1407" s="58"/>
      <c r="K1407" s="50"/>
      <c r="L1407" s="50"/>
      <c r="M1407" s="50"/>
      <c r="N1407" s="50"/>
      <c r="O1407" s="50"/>
    </row>
    <row r="1408" spans="1:15">
      <c r="A1408" s="517" t="s">
        <v>4481</v>
      </c>
      <c r="B1408" s="518">
        <f>VLOOKUP(A1408,'Materiales '!$C$2:$G$396,3,0)</f>
        <v>4</v>
      </c>
      <c r="C1408" s="88">
        <f>VLOOKUP(A1408,'Materiales '!$C$2:$G$396,3,0)</f>
        <v>4</v>
      </c>
      <c r="D1408" s="89" t="str">
        <f>VLOOKUP(A1408,'Materiales '!$C$2:$G$396,4,0)</f>
        <v>Und</v>
      </c>
      <c r="E1408" s="90">
        <v>3</v>
      </c>
      <c r="F1408" s="508" t="e">
        <f t="shared" si="82"/>
        <v>#VALUE!</v>
      </c>
      <c r="G1408" s="519"/>
      <c r="H1408" s="111"/>
      <c r="I1408">
        <f>E1408*G1396</f>
        <v>0</v>
      </c>
      <c r="J1408" s="58"/>
      <c r="K1408" s="50"/>
      <c r="L1408" s="50"/>
      <c r="M1408" s="50"/>
      <c r="N1408" s="50"/>
      <c r="O1408" s="50"/>
    </row>
    <row r="1409" spans="1:15">
      <c r="A1409" s="517" t="s">
        <v>4528</v>
      </c>
      <c r="B1409" s="518">
        <f>VLOOKUP(A1409,'Materiales '!$C$2:$G$396,3,0)</f>
        <v>4</v>
      </c>
      <c r="C1409" s="88">
        <f>VLOOKUP(A1409,'Materiales '!$C$2:$G$396,3,0)</f>
        <v>4</v>
      </c>
      <c r="D1409" s="89" t="str">
        <f>VLOOKUP(A1409,'Materiales '!$C$2:$G$396,4,0)</f>
        <v>Und</v>
      </c>
      <c r="E1409" s="90">
        <v>2</v>
      </c>
      <c r="F1409" s="508" t="e">
        <f t="shared" si="82"/>
        <v>#VALUE!</v>
      </c>
      <c r="G1409" s="519"/>
      <c r="H1409" s="111"/>
      <c r="I1409">
        <f>E1409*G1396</f>
        <v>0</v>
      </c>
      <c r="J1409" s="58"/>
      <c r="K1409" s="50"/>
      <c r="L1409" s="50"/>
      <c r="M1409" s="50"/>
      <c r="N1409" s="50"/>
      <c r="O1409" s="50"/>
    </row>
    <row r="1410" spans="1:15">
      <c r="A1410" s="517" t="s">
        <v>4439</v>
      </c>
      <c r="B1410" s="518">
        <f>VLOOKUP(A1410,'Materiales '!$C$2:$G$396,3,0)</f>
        <v>2</v>
      </c>
      <c r="C1410" s="88">
        <f>VLOOKUP(A1410,'Materiales '!$C$2:$G$396,3,0)</f>
        <v>2</v>
      </c>
      <c r="D1410" s="89" t="str">
        <f>VLOOKUP(A1410,'Materiales '!$C$2:$G$396,4,0)</f>
        <v>Ml</v>
      </c>
      <c r="E1410" s="90">
        <v>8</v>
      </c>
      <c r="F1410" s="508" t="e">
        <f t="shared" si="82"/>
        <v>#VALUE!</v>
      </c>
      <c r="G1410" s="519"/>
      <c r="H1410" s="111"/>
      <c r="I1410">
        <f>E1410*G1396</f>
        <v>0</v>
      </c>
      <c r="J1410" s="58"/>
      <c r="K1410" s="50"/>
      <c r="L1410" s="50"/>
      <c r="M1410" s="50"/>
      <c r="N1410" s="50"/>
      <c r="O1410" s="50"/>
    </row>
    <row r="1411" spans="1:15">
      <c r="A1411" s="517" t="s">
        <v>4482</v>
      </c>
      <c r="B1411" s="518">
        <f>VLOOKUP(A1411,'Materiales '!$C$2:$G$396,3,0)</f>
        <v>4</v>
      </c>
      <c r="C1411" s="88">
        <f>VLOOKUP(A1411,'Materiales '!$C$2:$G$396,3,0)</f>
        <v>4</v>
      </c>
      <c r="D1411" s="89" t="str">
        <f>VLOOKUP(A1411,'Materiales '!$C$2:$G$396,4,0)</f>
        <v>Und</v>
      </c>
      <c r="E1411" s="90">
        <v>3</v>
      </c>
      <c r="F1411" s="508" t="e">
        <f t="shared" si="82"/>
        <v>#VALUE!</v>
      </c>
      <c r="G1411" s="519"/>
      <c r="H1411" s="111"/>
      <c r="I1411">
        <f>E1411*G1396</f>
        <v>0</v>
      </c>
      <c r="J1411" s="58"/>
      <c r="K1411" s="50"/>
      <c r="L1411" s="50"/>
      <c r="M1411" s="50"/>
      <c r="N1411" s="50"/>
      <c r="O1411" s="50"/>
    </row>
    <row r="1412" spans="1:15" ht="21.75" customHeight="1">
      <c r="A1412" s="517" t="s">
        <v>8</v>
      </c>
      <c r="B1412" s="518">
        <f>VLOOKUP(A1412,'Materiales '!$C$2:$G$396,3,0)</f>
        <v>0</v>
      </c>
      <c r="C1412" s="88">
        <f>VLOOKUP(A1412,'Materiales '!$C$2:$G$396,3,0)</f>
        <v>0</v>
      </c>
      <c r="D1412" s="89" t="str">
        <f>VLOOKUP(A1412,'Materiales '!$C$2:$G$396,4,0)</f>
        <v>-</v>
      </c>
      <c r="E1412" s="90">
        <v>0.5</v>
      </c>
      <c r="F1412" s="508" t="e">
        <f t="shared" si="82"/>
        <v>#VALUE!</v>
      </c>
      <c r="G1412" s="519"/>
      <c r="H1412" s="111"/>
      <c r="I1412">
        <f>E1412*G1396</f>
        <v>0</v>
      </c>
      <c r="J1412" s="58"/>
      <c r="K1412" s="50"/>
      <c r="L1412" s="50"/>
      <c r="M1412" s="50"/>
      <c r="N1412" s="50"/>
      <c r="O1412" s="50"/>
    </row>
    <row r="1413" spans="1:15">
      <c r="A1413" s="517" t="s">
        <v>8</v>
      </c>
      <c r="B1413" s="518">
        <f>VLOOKUP(A1413,'Materiales '!$C$2:$G$396,3,0)</f>
        <v>0</v>
      </c>
      <c r="C1413" s="88">
        <f>VLOOKUP(A1413,'Materiales '!$C$2:$G$396,3,0)</f>
        <v>0</v>
      </c>
      <c r="D1413" s="89" t="str">
        <f>VLOOKUP(A1413,'Materiales '!$C$2:$G$396,4,0)</f>
        <v>-</v>
      </c>
      <c r="E1413" s="90"/>
      <c r="F1413" s="508" t="e">
        <f>E1413*D1413</f>
        <v>#VALUE!</v>
      </c>
      <c r="G1413" s="519"/>
      <c r="H1413" s="110"/>
      <c r="I1413">
        <f>E1413*G1396</f>
        <v>0</v>
      </c>
      <c r="J1413" s="58"/>
      <c r="K1413" s="50"/>
      <c r="L1413" s="50"/>
      <c r="M1413" s="50"/>
      <c r="N1413" s="50"/>
      <c r="O1413" s="50"/>
    </row>
    <row r="1414" spans="1:15">
      <c r="A1414" s="517" t="s">
        <v>8</v>
      </c>
      <c r="B1414" s="518">
        <f>VLOOKUP(A1414,'Materiales '!$C$2:$G$396,3,0)</f>
        <v>0</v>
      </c>
      <c r="C1414" s="88">
        <f>VLOOKUP(A1414,'Materiales '!$C$2:$G$396,3,0)</f>
        <v>0</v>
      </c>
      <c r="D1414" s="89" t="str">
        <f>VLOOKUP(A1414,'Materiales '!$C$2:$G$396,4,0)</f>
        <v>-</v>
      </c>
      <c r="E1414" s="90"/>
      <c r="F1414" s="508" t="e">
        <f t="shared" ref="F1414:F1417" si="83">E1414*D1414</f>
        <v>#VALUE!</v>
      </c>
      <c r="G1414" s="519"/>
      <c r="H1414" s="111"/>
      <c r="I1414">
        <f>E1414*G1396</f>
        <v>0</v>
      </c>
      <c r="J1414" s="58"/>
      <c r="K1414" s="50"/>
      <c r="L1414" s="50"/>
      <c r="M1414" s="50"/>
      <c r="N1414" s="50"/>
      <c r="O1414" s="50"/>
    </row>
    <row r="1415" spans="1:15">
      <c r="A1415" s="517" t="s">
        <v>8</v>
      </c>
      <c r="B1415" s="518">
        <f>VLOOKUP(A1415,'Materiales '!$C$2:$G$396,3,0)</f>
        <v>0</v>
      </c>
      <c r="C1415" s="88">
        <f>VLOOKUP(A1415,'Materiales '!$C$2:$G$396,3,0)</f>
        <v>0</v>
      </c>
      <c r="D1415" s="89" t="str">
        <f>VLOOKUP(A1415,'Materiales '!$C$2:$G$396,4,0)</f>
        <v>-</v>
      </c>
      <c r="E1415" s="90"/>
      <c r="F1415" s="508" t="e">
        <f t="shared" si="83"/>
        <v>#VALUE!</v>
      </c>
      <c r="G1415" s="519"/>
      <c r="H1415" s="111"/>
      <c r="I1415">
        <f>E1415*G1396</f>
        <v>0</v>
      </c>
      <c r="J1415" s="58"/>
      <c r="K1415" s="50"/>
      <c r="L1415" s="50"/>
      <c r="M1415" s="50"/>
      <c r="N1415" s="50"/>
      <c r="O1415" s="50"/>
    </row>
    <row r="1416" spans="1:15">
      <c r="A1416" s="517" t="s">
        <v>8</v>
      </c>
      <c r="B1416" s="518">
        <f>VLOOKUP(A1416,'Materiales '!$C$2:$G$396,3,0)</f>
        <v>0</v>
      </c>
      <c r="C1416" s="88">
        <f>VLOOKUP(A1416,'Materiales '!$C$2:$G$396,3,0)</f>
        <v>0</v>
      </c>
      <c r="D1416" s="89" t="str">
        <f>VLOOKUP(A1416,'Materiales '!$C$2:$G$396,4,0)</f>
        <v>-</v>
      </c>
      <c r="E1416" s="90"/>
      <c r="F1416" s="508" t="e">
        <f t="shared" si="83"/>
        <v>#VALUE!</v>
      </c>
      <c r="G1416" s="519"/>
      <c r="H1416" s="111"/>
      <c r="I1416">
        <f>E1416*G1396</f>
        <v>0</v>
      </c>
      <c r="J1416" s="58"/>
      <c r="K1416" s="50"/>
      <c r="L1416" s="50"/>
      <c r="M1416" s="50"/>
      <c r="N1416" s="50"/>
      <c r="O1416" s="50"/>
    </row>
    <row r="1417" spans="1:15">
      <c r="A1417" s="517" t="s">
        <v>8</v>
      </c>
      <c r="B1417" s="518">
        <f>VLOOKUP(A1417,'Materiales '!$C$2:$G$396,3,0)</f>
        <v>0</v>
      </c>
      <c r="C1417" s="88">
        <f>VLOOKUP(A1417,'Materiales '!$C$2:$G$396,3,0)</f>
        <v>0</v>
      </c>
      <c r="D1417" s="89" t="str">
        <f>VLOOKUP(A1417,'Materiales '!$C$2:$G$396,4,0)</f>
        <v>-</v>
      </c>
      <c r="E1417" s="90"/>
      <c r="F1417" s="508" t="e">
        <f t="shared" si="83"/>
        <v>#VALUE!</v>
      </c>
      <c r="G1417" s="519"/>
      <c r="H1417" s="111"/>
      <c r="I1417">
        <f>E1417*G1396</f>
        <v>0</v>
      </c>
      <c r="J1417" s="58"/>
      <c r="K1417" s="50"/>
      <c r="L1417" s="50"/>
      <c r="M1417" s="50"/>
      <c r="N1417" s="50"/>
      <c r="O1417" s="50"/>
    </row>
    <row r="1418" spans="1:15">
      <c r="A1418" s="517" t="s">
        <v>8</v>
      </c>
      <c r="B1418" s="518">
        <f>VLOOKUP(A1418,'Materiales '!$C$2:$G$396,3,0)</f>
        <v>0</v>
      </c>
      <c r="C1418" s="88">
        <f>VLOOKUP(A1418,'Materiales '!$C$2:$G$396,3,0)</f>
        <v>0</v>
      </c>
      <c r="D1418" s="89" t="str">
        <f>VLOOKUP(A1418,'Materiales '!$C$2:$G$396,4,0)</f>
        <v>-</v>
      </c>
      <c r="E1418" s="90"/>
      <c r="F1418" s="508" t="e">
        <f>E1418*D1418</f>
        <v>#VALUE!</v>
      </c>
      <c r="G1418" s="519"/>
      <c r="H1418" s="110"/>
      <c r="I1418">
        <f>E1418*G1396</f>
        <v>0</v>
      </c>
      <c r="J1418" s="58"/>
      <c r="K1418" s="50"/>
      <c r="L1418" s="50"/>
      <c r="M1418" s="50"/>
      <c r="N1418" s="50"/>
      <c r="O1418" s="50"/>
    </row>
    <row r="1419" spans="1:15">
      <c r="A1419" s="520" t="s">
        <v>4098</v>
      </c>
      <c r="B1419" s="521"/>
      <c r="C1419" s="521"/>
      <c r="D1419" s="521"/>
      <c r="E1419" s="521"/>
      <c r="F1419" s="521"/>
      <c r="G1419" s="522"/>
      <c r="H1419" s="106" t="e">
        <f>SUM(F1405:F1418)</f>
        <v>#VALUE!</v>
      </c>
      <c r="J1419" s="58"/>
      <c r="K1419" s="50"/>
      <c r="L1419" s="50"/>
      <c r="M1419" s="50"/>
      <c r="N1419" s="50"/>
      <c r="O1419" s="50"/>
    </row>
    <row r="1420" spans="1:15">
      <c r="A1420" s="523" t="s">
        <v>4220</v>
      </c>
      <c r="B1420" s="524"/>
      <c r="C1420" s="524"/>
      <c r="D1420" s="524"/>
      <c r="E1420" s="525"/>
      <c r="F1420" s="524"/>
      <c r="G1420" s="524"/>
      <c r="H1420" s="526"/>
      <c r="J1420" s="58"/>
      <c r="K1420" s="50"/>
      <c r="L1420" s="50"/>
      <c r="M1420" s="50"/>
      <c r="N1420" s="50"/>
      <c r="O1420" s="50"/>
    </row>
    <row r="1421" spans="1:15">
      <c r="A1421" s="527" t="s">
        <v>7</v>
      </c>
      <c r="B1421" s="528"/>
      <c r="C1421" s="98" t="s">
        <v>4221</v>
      </c>
      <c r="D1421" s="97" t="s">
        <v>4222</v>
      </c>
      <c r="E1421" s="187" t="s">
        <v>4223</v>
      </c>
      <c r="F1421" s="529" t="s">
        <v>4207</v>
      </c>
      <c r="G1421" s="529"/>
      <c r="H1421" s="109"/>
      <c r="K1421" s="50"/>
      <c r="L1421" s="50"/>
      <c r="M1421" s="50"/>
      <c r="N1421" s="50"/>
      <c r="O1421" s="50"/>
    </row>
    <row r="1422" spans="1:15">
      <c r="A1422" s="506" t="s">
        <v>3928</v>
      </c>
      <c r="B1422" s="507"/>
      <c r="C1422" s="213">
        <v>1</v>
      </c>
      <c r="D1422" s="92">
        <v>0.03</v>
      </c>
      <c r="E1422" s="93" t="str">
        <f>VLOOKUP(A1422,'Equip, Herr y Transp'!$B$2:$E$217,3,0)</f>
        <v>TR</v>
      </c>
      <c r="F1422" s="530" t="e">
        <f>E1422*D1422*C1422</f>
        <v>#VALUE!</v>
      </c>
      <c r="G1422" s="531"/>
      <c r="H1422" s="107"/>
      <c r="M1422" s="50"/>
    </row>
    <row r="1423" spans="1:15">
      <c r="A1423" s="532" t="s">
        <v>4205</v>
      </c>
      <c r="B1423" s="533"/>
      <c r="C1423" s="533"/>
      <c r="D1423" s="533"/>
      <c r="E1423" s="533"/>
      <c r="F1423" s="533"/>
      <c r="G1423" s="533"/>
      <c r="H1423" s="95" t="e">
        <f>F1422</f>
        <v>#VALUE!</v>
      </c>
    </row>
    <row r="1424" spans="1:15">
      <c r="A1424" s="523" t="s">
        <v>4224</v>
      </c>
      <c r="B1424" s="524"/>
      <c r="C1424" s="524"/>
      <c r="D1424" s="524"/>
      <c r="E1424" s="524"/>
      <c r="F1424" s="524"/>
      <c r="G1424" s="524"/>
      <c r="H1424" s="526"/>
    </row>
    <row r="1425" spans="1:10">
      <c r="A1425" s="527" t="s">
        <v>7</v>
      </c>
      <c r="B1425" s="528"/>
      <c r="C1425" s="96" t="s">
        <v>1</v>
      </c>
      <c r="D1425" s="97" t="s">
        <v>4225</v>
      </c>
      <c r="E1425" s="98" t="s">
        <v>4204</v>
      </c>
      <c r="F1425" s="527" t="s">
        <v>5</v>
      </c>
      <c r="G1425" s="534"/>
      <c r="H1425" s="109"/>
    </row>
    <row r="1426" spans="1:10">
      <c r="A1426" s="506" t="s">
        <v>4191</v>
      </c>
      <c r="B1426" s="507"/>
      <c r="C1426" s="91">
        <v>1</v>
      </c>
      <c r="D1426" s="94">
        <f>VLOOKUP(A1426,'Mano Obra'!$B$2:$T$117,19,0)</f>
        <v>152456</v>
      </c>
      <c r="E1426" s="218">
        <f>H1389</f>
        <v>9.3799999999999994E-2</v>
      </c>
      <c r="F1426" s="508">
        <f>E1426*D1426*C1426</f>
        <v>14300.372799999999</v>
      </c>
      <c r="G1426" s="509"/>
      <c r="H1426" s="111"/>
      <c r="I1426" s="59"/>
      <c r="J1426" s="117">
        <f>((('Mano Obra'!$M$4/30)*F1426)/D1426)*G1396</f>
        <v>0</v>
      </c>
    </row>
    <row r="1427" spans="1:10">
      <c r="A1427" s="510" t="s">
        <v>4192</v>
      </c>
      <c r="B1427" s="511">
        <f>VLOOKUP(A1427,'Mano Obra'!$B$3:$D$290,2,0)</f>
        <v>1900000</v>
      </c>
      <c r="C1427" s="91">
        <v>1</v>
      </c>
      <c r="D1427" s="94">
        <f>VLOOKUP(A1427,'Mano Obra'!$B$2:$T$117,19,0)</f>
        <v>110488</v>
      </c>
      <c r="E1427" s="218">
        <f>H1389</f>
        <v>9.3799999999999994E-2</v>
      </c>
      <c r="F1427" s="508">
        <f t="shared" ref="F1427:F1428" si="84">E1427*D1427*C1427</f>
        <v>10363.7744</v>
      </c>
      <c r="G1427" s="509"/>
      <c r="H1427" s="111"/>
      <c r="J1427" s="117">
        <f>((('Mano Obra'!$M$5/30)*F1427)/D1427)*G1396</f>
        <v>0</v>
      </c>
    </row>
    <row r="1428" spans="1:10">
      <c r="A1428" s="510" t="s">
        <v>4181</v>
      </c>
      <c r="B1428" s="511">
        <f>VLOOKUP(A1428,'Mano Obra'!$B$3:$D$290,2,0)</f>
        <v>1000000</v>
      </c>
      <c r="C1428" s="91">
        <v>1</v>
      </c>
      <c r="D1428" s="94">
        <f>VLOOKUP(A1428,'Mano Obra'!$B$2:$T$117,19,0)</f>
        <v>67424</v>
      </c>
      <c r="E1428" s="218">
        <f>H1389</f>
        <v>9.3799999999999994E-2</v>
      </c>
      <c r="F1428" s="508">
        <f t="shared" si="84"/>
        <v>6324.3711999999996</v>
      </c>
      <c r="G1428" s="509"/>
      <c r="H1428" s="110"/>
      <c r="J1428" s="117">
        <f>((('Mano Obra'!$M$6/30)*F1428)/D1428)*G1396</f>
        <v>0</v>
      </c>
    </row>
    <row r="1429" spans="1:10">
      <c r="A1429" s="512" t="s">
        <v>4100</v>
      </c>
      <c r="B1429" s="512"/>
      <c r="C1429" s="512"/>
      <c r="D1429" s="512"/>
      <c r="E1429" s="512"/>
      <c r="F1429" s="512"/>
      <c r="G1429" s="512"/>
      <c r="H1429" s="95">
        <f>SUM(F1426:F1428)</f>
        <v>30988.518400000001</v>
      </c>
      <c r="J1429" s="117"/>
    </row>
    <row r="1430" spans="1:10">
      <c r="A1430" s="208" t="s">
        <v>4226</v>
      </c>
      <c r="B1430" s="186"/>
      <c r="C1430" s="186"/>
      <c r="D1430" s="183"/>
      <c r="E1430" s="184"/>
      <c r="F1430" s="185"/>
      <c r="G1430" s="184"/>
      <c r="H1430" s="193"/>
    </row>
    <row r="1431" spans="1:10">
      <c r="A1431" s="513" t="s">
        <v>4213</v>
      </c>
      <c r="B1431" s="514"/>
      <c r="C1431" s="514"/>
      <c r="D1431" s="514"/>
      <c r="E1431" s="181"/>
      <c r="F1431" s="182" t="s">
        <v>4227</v>
      </c>
      <c r="G1431" s="181" t="s">
        <v>4228</v>
      </c>
      <c r="H1431" s="194"/>
    </row>
    <row r="1432" spans="1:10">
      <c r="A1432" s="204" t="s">
        <v>4096</v>
      </c>
      <c r="B1432" s="62"/>
      <c r="C1432" s="62"/>
      <c r="D1432" s="63"/>
      <c r="E1432" s="68"/>
      <c r="F1432" s="69">
        <v>0</v>
      </c>
      <c r="G1432" s="70" t="e">
        <f>F1432*H1397</f>
        <v>#VALUE!</v>
      </c>
      <c r="H1432" s="193"/>
    </row>
    <row r="1433" spans="1:10">
      <c r="A1433" s="205" t="s">
        <v>4229</v>
      </c>
      <c r="B1433" s="71"/>
      <c r="C1433" s="71"/>
      <c r="D1433" s="72"/>
      <c r="E1433" s="68"/>
      <c r="F1433" s="69">
        <v>0</v>
      </c>
      <c r="G1433" s="70" t="e">
        <f>F1433*H1397</f>
        <v>#VALUE!</v>
      </c>
      <c r="H1433" s="193"/>
    </row>
    <row r="1434" spans="1:10">
      <c r="A1434" s="205" t="s">
        <v>4</v>
      </c>
      <c r="B1434" s="71"/>
      <c r="C1434" s="71"/>
      <c r="D1434" s="72"/>
      <c r="E1434" s="68"/>
      <c r="F1434" s="69">
        <v>0</v>
      </c>
      <c r="G1434" s="70" t="e">
        <f>F1434*H1397</f>
        <v>#VALUE!</v>
      </c>
      <c r="H1434" s="193"/>
    </row>
    <row r="1435" spans="1:10">
      <c r="A1435" s="206"/>
      <c r="B1435" s="73"/>
      <c r="C1435" s="65"/>
      <c r="D1435" s="74"/>
      <c r="E1435" s="75"/>
      <c r="F1435" s="76"/>
      <c r="G1435" s="77"/>
      <c r="H1435" s="195"/>
    </row>
    <row r="1436" spans="1:10">
      <c r="A1436" s="207"/>
      <c r="B1436" s="73"/>
      <c r="C1436" s="73"/>
      <c r="D1436" s="74"/>
      <c r="E1436" s="78"/>
      <c r="F1436" s="515" t="s">
        <v>4230</v>
      </c>
      <c r="G1436" s="516"/>
      <c r="H1436" s="214" t="e">
        <f>H1397+G1432+G1433+G1434</f>
        <v>#VALUE!</v>
      </c>
    </row>
    <row r="1437" spans="1:10">
      <c r="A1437" s="73"/>
      <c r="B1437" s="73"/>
      <c r="C1437" s="73"/>
      <c r="D1437" s="74"/>
      <c r="E1437" s="360"/>
      <c r="F1437" s="361"/>
      <c r="G1437" s="361"/>
      <c r="H1437" s="362"/>
    </row>
    <row r="1438" spans="1:10">
      <c r="A1438" s="80"/>
      <c r="B1438" s="80"/>
      <c r="C1438" s="80"/>
      <c r="D1438" s="80"/>
      <c r="E1438" s="80"/>
      <c r="F1438" s="80"/>
      <c r="G1438" s="80"/>
      <c r="H1438" s="353"/>
    </row>
    <row r="1439" spans="1:10">
      <c r="A1439" s="537" t="s">
        <v>4214</v>
      </c>
      <c r="B1439" s="538"/>
      <c r="C1439" s="538"/>
      <c r="D1439" s="538"/>
      <c r="E1439" s="538"/>
      <c r="F1439" s="538"/>
      <c r="G1439" s="538"/>
      <c r="H1439" s="539"/>
    </row>
    <row r="1440" spans="1:10">
      <c r="A1440" s="81"/>
      <c r="B1440" s="82"/>
      <c r="C1440" s="82"/>
      <c r="D1440" s="82"/>
      <c r="E1440" s="82"/>
      <c r="F1440" s="83"/>
      <c r="G1440" s="84"/>
      <c r="H1440" s="352">
        <f>ROUND((25/60)/8,4)</f>
        <v>5.21E-2</v>
      </c>
      <c r="I1440" s="105"/>
    </row>
    <row r="1441" spans="1:15">
      <c r="A1441" s="540" t="s">
        <v>4209</v>
      </c>
      <c r="B1441" s="542" t="str">
        <f>COSTOS!$C$14</f>
        <v>MODERNIZACION A TECNOLOGIA LED</v>
      </c>
      <c r="C1441" s="542"/>
      <c r="D1441" s="542"/>
      <c r="E1441" s="542"/>
      <c r="F1441" s="542"/>
      <c r="G1441" s="542"/>
      <c r="H1441" s="543" t="s">
        <v>4210</v>
      </c>
    </row>
    <row r="1442" spans="1:15">
      <c r="A1442" s="541"/>
      <c r="B1442" s="542"/>
      <c r="C1442" s="542"/>
      <c r="D1442" s="542"/>
      <c r="E1442" s="542"/>
      <c r="F1442" s="542"/>
      <c r="G1442" s="542"/>
      <c r="H1442" s="543"/>
    </row>
    <row r="1443" spans="1:15">
      <c r="A1443" s="541"/>
      <c r="B1443" s="542"/>
      <c r="C1443" s="542"/>
      <c r="D1443" s="542"/>
      <c r="E1443" s="542"/>
      <c r="F1443" s="542"/>
      <c r="G1443" s="542"/>
      <c r="H1443" s="543"/>
    </row>
    <row r="1444" spans="1:15" ht="15" customHeight="1">
      <c r="A1444" s="541"/>
      <c r="B1444" s="542"/>
      <c r="C1444" s="542"/>
      <c r="D1444" s="542"/>
      <c r="E1444" s="542"/>
      <c r="F1444" s="542"/>
      <c r="G1444" s="542"/>
      <c r="H1444" s="197">
        <f ca="1">TODAY()</f>
        <v>44889</v>
      </c>
      <c r="K1444" t="s">
        <v>4380</v>
      </c>
      <c r="L1444" t="s">
        <v>4381</v>
      </c>
      <c r="M1444" t="s">
        <v>4382</v>
      </c>
      <c r="N1444" t="s">
        <v>4383</v>
      </c>
    </row>
    <row r="1445" spans="1:15" ht="60.75" customHeight="1">
      <c r="A1445" s="209" t="s">
        <v>4211</v>
      </c>
      <c r="B1445" s="544" t="str">
        <f>COSTOS!$D$16</f>
        <v>Luminarias</v>
      </c>
      <c r="C1445" s="544"/>
      <c r="D1445" s="544"/>
      <c r="E1445" s="544"/>
      <c r="F1445" s="544"/>
      <c r="G1445" s="60" t="s">
        <v>4212</v>
      </c>
      <c r="H1445" s="363">
        <v>1.29</v>
      </c>
      <c r="K1445" s="55" t="e">
        <f>H1470</f>
        <v>#VALUE!</v>
      </c>
      <c r="L1445" s="55">
        <f>H1480</f>
        <v>17212.1728</v>
      </c>
      <c r="M1445" s="55" t="e">
        <f>H1453</f>
        <v>#VALUE!</v>
      </c>
      <c r="N1445" s="55" t="e">
        <f>H1474</f>
        <v>#VALUE!</v>
      </c>
    </row>
    <row r="1446" spans="1:15" ht="43.2" customHeight="1">
      <c r="A1446" s="210" t="s">
        <v>4213</v>
      </c>
      <c r="B1446" s="545" t="str">
        <f>VLOOKUP(H1445,COSTOS!C:M,2,0)</f>
        <v>Luminaria con bombillo incandescente 100w</v>
      </c>
      <c r="C1446" s="546"/>
      <c r="D1446" s="546"/>
      <c r="E1446" s="547"/>
      <c r="F1446" s="61" t="s">
        <v>0</v>
      </c>
      <c r="G1446" s="328" t="str">
        <f>VLOOKUP(H1445,COSTOS!C:M,8,0)</f>
        <v>Und</v>
      </c>
      <c r="H1446" s="248"/>
      <c r="I1446" s="278"/>
      <c r="J1446" s="280"/>
      <c r="K1446" s="280"/>
      <c r="L1446" s="280"/>
    </row>
    <row r="1447" spans="1:15">
      <c r="A1447" s="211"/>
      <c r="B1447" s="102"/>
      <c r="C1447" s="102"/>
      <c r="D1447" s="102"/>
      <c r="E1447" s="103"/>
      <c r="F1447" s="104" t="s">
        <v>1</v>
      </c>
      <c r="G1447" s="328">
        <f>VLOOKUP(H1445,COSTOS!C:M,9,0)</f>
        <v>0</v>
      </c>
      <c r="H1447" s="329"/>
      <c r="I1447" s="279"/>
    </row>
    <row r="1448" spans="1:15">
      <c r="A1448" s="212" t="s">
        <v>4215</v>
      </c>
      <c r="B1448" s="65"/>
      <c r="C1448" s="65"/>
      <c r="D1448" s="66"/>
      <c r="E1448" s="190"/>
      <c r="F1448" s="191"/>
      <c r="G1448" s="192" t="s">
        <v>4216</v>
      </c>
      <c r="H1448" s="198" t="e">
        <f>H1453+H1470+H1474+H1480</f>
        <v>#VALUE!</v>
      </c>
    </row>
    <row r="1449" spans="1:15" ht="41.4">
      <c r="A1449" s="548" t="s">
        <v>4213</v>
      </c>
      <c r="B1449" s="548"/>
      <c r="C1449" s="548"/>
      <c r="D1449" s="67" t="s">
        <v>0</v>
      </c>
      <c r="E1449" s="188" t="s">
        <v>4217</v>
      </c>
      <c r="F1449" s="189" t="s">
        <v>4204</v>
      </c>
      <c r="G1449" s="64" t="s">
        <v>2</v>
      </c>
      <c r="H1449" s="199" t="s">
        <v>4218</v>
      </c>
      <c r="K1449" s="281"/>
    </row>
    <row r="1450" spans="1:15">
      <c r="A1450" s="517" t="s">
        <v>3946</v>
      </c>
      <c r="B1450" s="549">
        <f>VLOOKUP(A1450,'Equip, Herr y Transp'!$B$2:$E$738,2,0)</f>
        <v>2</v>
      </c>
      <c r="C1450" s="549"/>
      <c r="D1450" s="85">
        <f>VLOOKUP(A1450,'Equip, Herr y Transp'!$B$2:$E$217,2,0)</f>
        <v>2</v>
      </c>
      <c r="E1450" s="85" t="str">
        <f>VLOOKUP(A1450,'Equip, Herr y Transp'!$B$2:$E$217,3,0)</f>
        <v>EQU</v>
      </c>
      <c r="F1450" s="86">
        <f>H1440</f>
        <v>5.21E-2</v>
      </c>
      <c r="G1450" s="112" t="e">
        <f>F1450*E1450</f>
        <v>#VALUE!</v>
      </c>
      <c r="H1450" s="108"/>
    </row>
    <row r="1451" spans="1:15">
      <c r="A1451" s="517" t="s">
        <v>3904</v>
      </c>
      <c r="B1451" s="549">
        <f>VLOOKUP(A1451,'Equip, Herr y Transp'!$B$2:$E$738,2,0)</f>
        <v>2</v>
      </c>
      <c r="C1451" s="549"/>
      <c r="D1451" s="85">
        <f>VLOOKUP(A1451,'Equip, Herr y Transp'!$B$2:$E$217,2,0)</f>
        <v>2</v>
      </c>
      <c r="E1451" s="85" t="str">
        <f>VLOOKUP(A1451,'Equip, Herr y Transp'!$B$2:$E$217,3,0)</f>
        <v>EQU</v>
      </c>
      <c r="F1451" s="86">
        <f>H1440</f>
        <v>5.21E-2</v>
      </c>
      <c r="G1451" s="112" t="e">
        <f>F1451*E1451</f>
        <v>#VALUE!</v>
      </c>
      <c r="H1451" s="107"/>
    </row>
    <row r="1452" spans="1:15">
      <c r="A1452" s="517" t="s">
        <v>3937</v>
      </c>
      <c r="B1452" s="549">
        <f>VLOOKUP(A1452,'Equip, Herr y Transp'!$B$2:$E$738,2,0)</f>
        <v>2</v>
      </c>
      <c r="C1452" s="549"/>
      <c r="D1452" s="85">
        <f>VLOOKUP(A1452,'Equip, Herr y Transp'!$B$2:$E$217,2,0)</f>
        <v>2</v>
      </c>
      <c r="E1452" s="85" t="str">
        <f>VLOOKUP(A1452,'Equip, Herr y Transp'!$B$2:$E$217,3,0)</f>
        <v>EQU</v>
      </c>
      <c r="F1452" s="86">
        <f>H1440</f>
        <v>5.21E-2</v>
      </c>
      <c r="G1452" s="112" t="e">
        <f>F1452*E1452</f>
        <v>#VALUE!</v>
      </c>
      <c r="H1452" s="107"/>
    </row>
    <row r="1453" spans="1:15">
      <c r="A1453" s="520" t="s">
        <v>4099</v>
      </c>
      <c r="B1453" s="521"/>
      <c r="C1453" s="521"/>
      <c r="D1453" s="521"/>
      <c r="E1453" s="521"/>
      <c r="F1453" s="521"/>
      <c r="G1453" s="521"/>
      <c r="H1453" s="87" t="e">
        <f>SUM(G1450:G1452)</f>
        <v>#VALUE!</v>
      </c>
    </row>
    <row r="1454" spans="1:15">
      <c r="A1454" s="550" t="s">
        <v>4219</v>
      </c>
      <c r="B1454" s="551"/>
      <c r="C1454" s="551"/>
      <c r="D1454" s="551"/>
      <c r="E1454" s="551"/>
      <c r="F1454" s="551"/>
      <c r="G1454" s="551"/>
      <c r="H1454" s="552"/>
      <c r="K1454" s="50"/>
      <c r="L1454" s="50"/>
      <c r="M1454" s="50"/>
      <c r="N1454" s="50"/>
      <c r="O1454" s="50"/>
    </row>
    <row r="1455" spans="1:15" ht="30" customHeight="1">
      <c r="A1455" s="553" t="s">
        <v>7</v>
      </c>
      <c r="B1455" s="554"/>
      <c r="C1455" s="99" t="s">
        <v>0</v>
      </c>
      <c r="D1455" s="100" t="s">
        <v>4097</v>
      </c>
      <c r="E1455" s="101" t="s">
        <v>1</v>
      </c>
      <c r="F1455" s="555" t="s">
        <v>4207</v>
      </c>
      <c r="G1455" s="555"/>
      <c r="H1455" s="196"/>
      <c r="K1455" s="50"/>
      <c r="L1455" s="50"/>
      <c r="M1455" s="50"/>
      <c r="N1455" s="50"/>
      <c r="O1455" s="50"/>
    </row>
    <row r="1456" spans="1:15">
      <c r="A1456" s="535" t="s">
        <v>4670</v>
      </c>
      <c r="B1456" s="536"/>
      <c r="C1456" s="88">
        <f>VLOOKUP(A1456,'Materiales '!$C$2:$G$396,3,0)</f>
        <v>4</v>
      </c>
      <c r="D1456" s="89" t="str">
        <f>VLOOKUP(A1456,'Materiales '!$C$2:$G$396,4,0)</f>
        <v>Und</v>
      </c>
      <c r="E1456" s="90">
        <v>1</v>
      </c>
      <c r="F1456" s="508" t="e">
        <f>E1456*D1456</f>
        <v>#VALUE!</v>
      </c>
      <c r="G1456" s="519"/>
      <c r="H1456" s="111"/>
      <c r="I1456">
        <f>E1456*G1447</f>
        <v>0</v>
      </c>
      <c r="J1456" s="57"/>
      <c r="K1456" s="50"/>
      <c r="L1456" s="50"/>
      <c r="M1456" s="50"/>
      <c r="N1456" s="50"/>
      <c r="O1456" s="50"/>
    </row>
    <row r="1457" spans="1:15">
      <c r="A1457" s="535" t="s">
        <v>4203</v>
      </c>
      <c r="B1457" s="536"/>
      <c r="C1457" s="88">
        <f>VLOOKUP(A1457,'Materiales '!$C$2:$G$396,3,0)</f>
        <v>4</v>
      </c>
      <c r="D1457" s="89" t="str">
        <f>VLOOKUP(A1457,'Materiales '!$C$2:$G$396,4,0)</f>
        <v>Und</v>
      </c>
      <c r="E1457" s="90">
        <v>1</v>
      </c>
      <c r="F1457" s="508" t="e">
        <f t="shared" ref="F1457:F1463" si="85">E1457*D1457</f>
        <v>#VALUE!</v>
      </c>
      <c r="G1457" s="519"/>
      <c r="H1457" s="111"/>
      <c r="I1457">
        <f>E1457*G1447</f>
        <v>0</v>
      </c>
      <c r="J1457" s="57"/>
      <c r="K1457" s="50"/>
      <c r="L1457" s="50"/>
      <c r="M1457" s="50"/>
      <c r="N1457" s="50"/>
      <c r="O1457" s="50"/>
    </row>
    <row r="1458" spans="1:15">
      <c r="A1458" s="517" t="s">
        <v>4473</v>
      </c>
      <c r="B1458" s="518">
        <f>VLOOKUP(A1458,'Materiales '!$C$2:$G$396,3,0)</f>
        <v>4</v>
      </c>
      <c r="C1458" s="88">
        <f>VLOOKUP(A1458,'Materiales '!$C$2:$G$396,3,0)</f>
        <v>4</v>
      </c>
      <c r="D1458" s="89" t="str">
        <f>VLOOKUP(A1458,'Materiales '!$C$2:$G$396,4,0)</f>
        <v>Und</v>
      </c>
      <c r="E1458" s="90">
        <v>2</v>
      </c>
      <c r="F1458" s="508" t="e">
        <f t="shared" si="85"/>
        <v>#VALUE!</v>
      </c>
      <c r="G1458" s="519"/>
      <c r="H1458" s="111"/>
      <c r="I1458">
        <f>E1458*G1447</f>
        <v>0</v>
      </c>
      <c r="J1458" s="58"/>
      <c r="K1458" s="50"/>
      <c r="L1458" s="50"/>
      <c r="M1458" s="50"/>
      <c r="N1458" s="50"/>
      <c r="O1458" s="50"/>
    </row>
    <row r="1459" spans="1:15">
      <c r="A1459" s="517" t="s">
        <v>4478</v>
      </c>
      <c r="B1459" s="518">
        <f>VLOOKUP(A1459,'Materiales '!$C$2:$G$396,3,0)</f>
        <v>4</v>
      </c>
      <c r="C1459" s="88">
        <f>VLOOKUP(A1459,'Materiales '!$C$2:$G$396,3,0)</f>
        <v>4</v>
      </c>
      <c r="D1459" s="89" t="str">
        <f>VLOOKUP(A1459,'Materiales '!$C$2:$G$396,4,0)</f>
        <v>Und</v>
      </c>
      <c r="E1459" s="90">
        <v>3</v>
      </c>
      <c r="F1459" s="508" t="e">
        <f t="shared" si="85"/>
        <v>#VALUE!</v>
      </c>
      <c r="G1459" s="519"/>
      <c r="H1459" s="111"/>
      <c r="I1459">
        <f>E1459*G1447</f>
        <v>0</v>
      </c>
      <c r="J1459" s="58"/>
      <c r="K1459" s="50"/>
      <c r="L1459" s="50"/>
      <c r="M1459" s="50"/>
      <c r="N1459" s="50"/>
      <c r="O1459" s="50"/>
    </row>
    <row r="1460" spans="1:15">
      <c r="A1460" s="517" t="s">
        <v>4543</v>
      </c>
      <c r="B1460" s="518">
        <f>VLOOKUP(A1460,'Materiales '!$C$2:$G$396,3,0)</f>
        <v>4</v>
      </c>
      <c r="C1460" s="88">
        <f>VLOOKUP(A1460,'Materiales '!$C$2:$G$396,3,0)</f>
        <v>4</v>
      </c>
      <c r="D1460" s="89" t="str">
        <f>VLOOKUP(A1460,'Materiales '!$C$2:$G$396,4,0)</f>
        <v>Und</v>
      </c>
      <c r="E1460" s="90">
        <v>2</v>
      </c>
      <c r="F1460" s="508" t="e">
        <f t="shared" si="85"/>
        <v>#VALUE!</v>
      </c>
      <c r="G1460" s="519"/>
      <c r="H1460" s="111"/>
      <c r="I1460">
        <f>E1460*G1447</f>
        <v>0</v>
      </c>
      <c r="J1460" s="58"/>
      <c r="K1460" s="50"/>
      <c r="L1460" s="50"/>
      <c r="M1460" s="50"/>
      <c r="N1460" s="50"/>
      <c r="O1460" s="50"/>
    </row>
    <row r="1461" spans="1:15">
      <c r="A1461" s="517" t="s">
        <v>4439</v>
      </c>
      <c r="B1461" s="518">
        <f>VLOOKUP(A1461,'Materiales '!$C$2:$G$396,3,0)</f>
        <v>2</v>
      </c>
      <c r="C1461" s="88">
        <f>VLOOKUP(A1461,'Materiales '!$C$2:$G$396,3,0)</f>
        <v>2</v>
      </c>
      <c r="D1461" s="89" t="str">
        <f>VLOOKUP(A1461,'Materiales '!$C$2:$G$396,4,0)</f>
        <v>Ml</v>
      </c>
      <c r="E1461" s="90">
        <v>1</v>
      </c>
      <c r="F1461" s="508" t="e">
        <f t="shared" si="85"/>
        <v>#VALUE!</v>
      </c>
      <c r="G1461" s="519"/>
      <c r="H1461" s="111"/>
      <c r="I1461">
        <f>E1461*G1447</f>
        <v>0</v>
      </c>
      <c r="J1461" s="58"/>
      <c r="K1461" s="50"/>
      <c r="L1461" s="50"/>
      <c r="M1461" s="50"/>
      <c r="N1461" s="50"/>
      <c r="O1461" s="50"/>
    </row>
    <row r="1462" spans="1:15">
      <c r="A1462" s="517" t="s">
        <v>4482</v>
      </c>
      <c r="B1462" s="518">
        <f>VLOOKUP(A1462,'Materiales '!$C$2:$G$396,3,0)</f>
        <v>4</v>
      </c>
      <c r="C1462" s="88">
        <f>VLOOKUP(A1462,'Materiales '!$C$2:$G$396,3,0)</f>
        <v>4</v>
      </c>
      <c r="D1462" s="89" t="str">
        <f>VLOOKUP(A1462,'Materiales '!$C$2:$G$396,4,0)</f>
        <v>Und</v>
      </c>
      <c r="E1462" s="90">
        <v>3</v>
      </c>
      <c r="F1462" s="508" t="e">
        <f t="shared" si="85"/>
        <v>#VALUE!</v>
      </c>
      <c r="G1462" s="519"/>
      <c r="H1462" s="111"/>
      <c r="I1462">
        <f>E1462*G1447</f>
        <v>0</v>
      </c>
      <c r="J1462" s="58"/>
      <c r="K1462" s="50"/>
      <c r="L1462" s="50"/>
      <c r="M1462" s="50"/>
      <c r="N1462" s="50"/>
      <c r="O1462" s="50"/>
    </row>
    <row r="1463" spans="1:15" ht="21.75" customHeight="1">
      <c r="A1463" s="517" t="s">
        <v>4424</v>
      </c>
      <c r="B1463" s="518">
        <f>VLOOKUP(A1463,'Materiales '!$C$2:$G$396,3,0)</f>
        <v>4</v>
      </c>
      <c r="C1463" s="88">
        <f>VLOOKUP(A1463,'Materiales '!$C$2:$G$396,3,0)</f>
        <v>4</v>
      </c>
      <c r="D1463" s="89" t="str">
        <f>VLOOKUP(A1463,'Materiales '!$C$2:$G$396,4,0)</f>
        <v>Und</v>
      </c>
      <c r="E1463" s="90">
        <v>1</v>
      </c>
      <c r="F1463" s="508" t="e">
        <f t="shared" si="85"/>
        <v>#VALUE!</v>
      </c>
      <c r="G1463" s="519"/>
      <c r="H1463" s="111"/>
      <c r="I1463">
        <f>E1463*G1447</f>
        <v>0</v>
      </c>
      <c r="J1463" s="58"/>
      <c r="K1463" s="50"/>
      <c r="L1463" s="50"/>
      <c r="M1463" s="50"/>
      <c r="N1463" s="50"/>
      <c r="O1463" s="50"/>
    </row>
    <row r="1464" spans="1:15">
      <c r="A1464" s="517" t="s">
        <v>8</v>
      </c>
      <c r="B1464" s="518">
        <f>VLOOKUP(A1464,'Materiales '!$C$2:$G$396,3,0)</f>
        <v>0</v>
      </c>
      <c r="C1464" s="88">
        <f>VLOOKUP(A1464,'Materiales '!$C$2:$G$396,3,0)</f>
        <v>0</v>
      </c>
      <c r="D1464" s="89" t="str">
        <f>VLOOKUP(A1464,'Materiales '!$C$2:$G$396,4,0)</f>
        <v>-</v>
      </c>
      <c r="E1464" s="90"/>
      <c r="F1464" s="508" t="e">
        <f>E1464*D1464</f>
        <v>#VALUE!</v>
      </c>
      <c r="G1464" s="519"/>
      <c r="H1464" s="110"/>
      <c r="I1464">
        <f>E1464*G1447</f>
        <v>0</v>
      </c>
      <c r="J1464" s="58"/>
      <c r="K1464" s="50"/>
      <c r="L1464" s="50"/>
      <c r="M1464" s="50"/>
      <c r="N1464" s="50"/>
      <c r="O1464" s="50"/>
    </row>
    <row r="1465" spans="1:15">
      <c r="A1465" s="517" t="s">
        <v>8</v>
      </c>
      <c r="B1465" s="518">
        <f>VLOOKUP(A1465,'Materiales '!$C$2:$G$396,3,0)</f>
        <v>0</v>
      </c>
      <c r="C1465" s="88">
        <f>VLOOKUP(A1465,'Materiales '!$C$2:$G$396,3,0)</f>
        <v>0</v>
      </c>
      <c r="D1465" s="89" t="str">
        <f>VLOOKUP(A1465,'Materiales '!$C$2:$G$396,4,0)</f>
        <v>-</v>
      </c>
      <c r="E1465" s="90"/>
      <c r="F1465" s="508" t="e">
        <f t="shared" ref="F1465:F1468" si="86">E1465*D1465</f>
        <v>#VALUE!</v>
      </c>
      <c r="G1465" s="519"/>
      <c r="H1465" s="111"/>
      <c r="I1465">
        <f>E1465*G1447</f>
        <v>0</v>
      </c>
      <c r="J1465" s="58"/>
      <c r="K1465" s="50"/>
      <c r="L1465" s="50"/>
      <c r="M1465" s="50"/>
      <c r="N1465" s="50"/>
      <c r="O1465" s="50"/>
    </row>
    <row r="1466" spans="1:15">
      <c r="A1466" s="517" t="s">
        <v>8</v>
      </c>
      <c r="B1466" s="518">
        <f>VLOOKUP(A1466,'Materiales '!$C$2:$G$396,3,0)</f>
        <v>0</v>
      </c>
      <c r="C1466" s="88">
        <f>VLOOKUP(A1466,'Materiales '!$C$2:$G$396,3,0)</f>
        <v>0</v>
      </c>
      <c r="D1466" s="89" t="str">
        <f>VLOOKUP(A1466,'Materiales '!$C$2:$G$396,4,0)</f>
        <v>-</v>
      </c>
      <c r="E1466" s="90"/>
      <c r="F1466" s="508" t="e">
        <f t="shared" si="86"/>
        <v>#VALUE!</v>
      </c>
      <c r="G1466" s="519"/>
      <c r="H1466" s="111"/>
      <c r="I1466">
        <f>E1466*G1447</f>
        <v>0</v>
      </c>
      <c r="J1466" s="58"/>
      <c r="K1466" s="50"/>
      <c r="L1466" s="50"/>
      <c r="M1466" s="50"/>
      <c r="N1466" s="50"/>
      <c r="O1466" s="50"/>
    </row>
    <row r="1467" spans="1:15">
      <c r="A1467" s="517" t="s">
        <v>8</v>
      </c>
      <c r="B1467" s="518">
        <f>VLOOKUP(A1467,'Materiales '!$C$2:$G$396,3,0)</f>
        <v>0</v>
      </c>
      <c r="C1467" s="88">
        <f>VLOOKUP(A1467,'Materiales '!$C$2:$G$396,3,0)</f>
        <v>0</v>
      </c>
      <c r="D1467" s="89" t="str">
        <f>VLOOKUP(A1467,'Materiales '!$C$2:$G$396,4,0)</f>
        <v>-</v>
      </c>
      <c r="E1467" s="90"/>
      <c r="F1467" s="508" t="e">
        <f t="shared" si="86"/>
        <v>#VALUE!</v>
      </c>
      <c r="G1467" s="519"/>
      <c r="H1467" s="111"/>
      <c r="I1467">
        <f>E1467*G1447</f>
        <v>0</v>
      </c>
      <c r="J1467" s="58"/>
      <c r="K1467" s="50"/>
      <c r="L1467" s="50"/>
      <c r="M1467" s="50"/>
      <c r="N1467" s="50"/>
      <c r="O1467" s="50"/>
    </row>
    <row r="1468" spans="1:15">
      <c r="A1468" s="517" t="s">
        <v>8</v>
      </c>
      <c r="B1468" s="518">
        <f>VLOOKUP(A1468,'Materiales '!$C$2:$G$396,3,0)</f>
        <v>0</v>
      </c>
      <c r="C1468" s="88">
        <f>VLOOKUP(A1468,'Materiales '!$C$2:$G$396,3,0)</f>
        <v>0</v>
      </c>
      <c r="D1468" s="89" t="str">
        <f>VLOOKUP(A1468,'Materiales '!$C$2:$G$396,4,0)</f>
        <v>-</v>
      </c>
      <c r="E1468" s="90"/>
      <c r="F1468" s="508" t="e">
        <f t="shared" si="86"/>
        <v>#VALUE!</v>
      </c>
      <c r="G1468" s="519"/>
      <c r="H1468" s="111"/>
      <c r="I1468">
        <f>E1468*G1447</f>
        <v>0</v>
      </c>
      <c r="J1468" s="58"/>
      <c r="K1468" s="50"/>
      <c r="L1468" s="50"/>
      <c r="M1468" s="50"/>
      <c r="N1468" s="50"/>
      <c r="O1468" s="50"/>
    </row>
    <row r="1469" spans="1:15">
      <c r="A1469" s="517" t="s">
        <v>8</v>
      </c>
      <c r="B1469" s="518">
        <f>VLOOKUP(A1469,'Materiales '!$C$2:$G$396,3,0)</f>
        <v>0</v>
      </c>
      <c r="C1469" s="88">
        <f>VLOOKUP(A1469,'Materiales '!$C$2:$G$396,3,0)</f>
        <v>0</v>
      </c>
      <c r="D1469" s="89" t="str">
        <f>VLOOKUP(A1469,'Materiales '!$C$2:$G$396,4,0)</f>
        <v>-</v>
      </c>
      <c r="E1469" s="90"/>
      <c r="F1469" s="508" t="e">
        <f>E1469*D1469</f>
        <v>#VALUE!</v>
      </c>
      <c r="G1469" s="519"/>
      <c r="H1469" s="110"/>
      <c r="I1469">
        <f>E1469*G1447</f>
        <v>0</v>
      </c>
      <c r="J1469" s="58"/>
      <c r="K1469" s="50"/>
      <c r="L1469" s="50"/>
      <c r="M1469" s="50"/>
      <c r="N1469" s="50"/>
      <c r="O1469" s="50"/>
    </row>
    <row r="1470" spans="1:15">
      <c r="A1470" s="520" t="s">
        <v>4098</v>
      </c>
      <c r="B1470" s="521"/>
      <c r="C1470" s="521"/>
      <c r="D1470" s="521"/>
      <c r="E1470" s="521"/>
      <c r="F1470" s="521"/>
      <c r="G1470" s="522"/>
      <c r="H1470" s="106" t="e">
        <f>SUM(F1456:F1469)</f>
        <v>#VALUE!</v>
      </c>
      <c r="J1470" s="58"/>
      <c r="K1470" s="50"/>
      <c r="L1470" s="50"/>
      <c r="M1470" s="50"/>
      <c r="N1470" s="50"/>
      <c r="O1470" s="50"/>
    </row>
    <row r="1471" spans="1:15">
      <c r="A1471" s="523" t="s">
        <v>4220</v>
      </c>
      <c r="B1471" s="524"/>
      <c r="C1471" s="524"/>
      <c r="D1471" s="524"/>
      <c r="E1471" s="525"/>
      <c r="F1471" s="524"/>
      <c r="G1471" s="524"/>
      <c r="H1471" s="526"/>
      <c r="J1471" s="58"/>
      <c r="K1471" s="50"/>
      <c r="L1471" s="50"/>
      <c r="M1471" s="50"/>
      <c r="N1471" s="50"/>
      <c r="O1471" s="50"/>
    </row>
    <row r="1472" spans="1:15">
      <c r="A1472" s="527" t="s">
        <v>7</v>
      </c>
      <c r="B1472" s="528"/>
      <c r="C1472" s="98" t="s">
        <v>4221</v>
      </c>
      <c r="D1472" s="97" t="s">
        <v>4222</v>
      </c>
      <c r="E1472" s="187" t="s">
        <v>4223</v>
      </c>
      <c r="F1472" s="529" t="s">
        <v>4207</v>
      </c>
      <c r="G1472" s="529"/>
      <c r="H1472" s="109"/>
      <c r="K1472" s="50"/>
      <c r="L1472" s="50"/>
      <c r="M1472" s="50"/>
      <c r="N1472" s="50"/>
      <c r="O1472" s="50"/>
    </row>
    <row r="1473" spans="1:13">
      <c r="A1473" s="506" t="s">
        <v>3928</v>
      </c>
      <c r="B1473" s="507"/>
      <c r="C1473" s="213">
        <v>1</v>
      </c>
      <c r="D1473" s="92">
        <v>0.03</v>
      </c>
      <c r="E1473" s="93" t="str">
        <f>VLOOKUP(A1473,'Equip, Herr y Transp'!$B$2:$E$217,3,0)</f>
        <v>TR</v>
      </c>
      <c r="F1473" s="530" t="e">
        <f>E1473*D1473*C1473</f>
        <v>#VALUE!</v>
      </c>
      <c r="G1473" s="531"/>
      <c r="H1473" s="107"/>
      <c r="M1473" s="50"/>
    </row>
    <row r="1474" spans="1:13">
      <c r="A1474" s="532" t="s">
        <v>4205</v>
      </c>
      <c r="B1474" s="533"/>
      <c r="C1474" s="533"/>
      <c r="D1474" s="533"/>
      <c r="E1474" s="533"/>
      <c r="F1474" s="533"/>
      <c r="G1474" s="533"/>
      <c r="H1474" s="95" t="e">
        <f>F1473</f>
        <v>#VALUE!</v>
      </c>
    </row>
    <row r="1475" spans="1:13">
      <c r="A1475" s="523" t="s">
        <v>4224</v>
      </c>
      <c r="B1475" s="524"/>
      <c r="C1475" s="524"/>
      <c r="D1475" s="524"/>
      <c r="E1475" s="524"/>
      <c r="F1475" s="524"/>
      <c r="G1475" s="524"/>
      <c r="H1475" s="526"/>
    </row>
    <row r="1476" spans="1:13">
      <c r="A1476" s="527" t="s">
        <v>7</v>
      </c>
      <c r="B1476" s="528"/>
      <c r="C1476" s="96" t="s">
        <v>1</v>
      </c>
      <c r="D1476" s="97" t="s">
        <v>4225</v>
      </c>
      <c r="E1476" s="98" t="s">
        <v>4204</v>
      </c>
      <c r="F1476" s="527" t="s">
        <v>5</v>
      </c>
      <c r="G1476" s="534"/>
      <c r="H1476" s="109"/>
    </row>
    <row r="1477" spans="1:13">
      <c r="A1477" s="506" t="s">
        <v>4191</v>
      </c>
      <c r="B1477" s="507"/>
      <c r="C1477" s="91">
        <v>1</v>
      </c>
      <c r="D1477" s="94">
        <f>VLOOKUP(A1477,'Mano Obra'!$B$2:$T$117,19,0)</f>
        <v>152456</v>
      </c>
      <c r="E1477" s="218">
        <f>H1440</f>
        <v>5.21E-2</v>
      </c>
      <c r="F1477" s="508">
        <f>E1477*D1477*C1477</f>
        <v>7942.9575999999997</v>
      </c>
      <c r="G1477" s="509"/>
      <c r="H1477" s="111"/>
      <c r="I1477" s="59"/>
      <c r="J1477" s="117">
        <f>((('Mano Obra'!$M$4/30)*F1477)/D1477)*G1447</f>
        <v>0</v>
      </c>
    </row>
    <row r="1478" spans="1:13">
      <c r="A1478" s="510" t="s">
        <v>4192</v>
      </c>
      <c r="B1478" s="511">
        <f>VLOOKUP(A1478,'Mano Obra'!$B$3:$D$290,2,0)</f>
        <v>1900000</v>
      </c>
      <c r="C1478" s="91">
        <v>1</v>
      </c>
      <c r="D1478" s="94">
        <f>VLOOKUP(A1478,'Mano Obra'!$B$2:$T$117,19,0)</f>
        <v>110488</v>
      </c>
      <c r="E1478" s="218">
        <f>H1440</f>
        <v>5.21E-2</v>
      </c>
      <c r="F1478" s="508">
        <f t="shared" ref="F1478:F1479" si="87">E1478*D1478*C1478</f>
        <v>5756.4247999999998</v>
      </c>
      <c r="G1478" s="509"/>
      <c r="H1478" s="111"/>
      <c r="J1478" s="117">
        <f>((('Mano Obra'!$M$5/30)*F1478)/D1478)*G1447</f>
        <v>0</v>
      </c>
    </row>
    <row r="1479" spans="1:13">
      <c r="A1479" s="510" t="s">
        <v>4181</v>
      </c>
      <c r="B1479" s="511">
        <f>VLOOKUP(A1479,'Mano Obra'!$B$3:$D$290,2,0)</f>
        <v>1000000</v>
      </c>
      <c r="C1479" s="91">
        <v>1</v>
      </c>
      <c r="D1479" s="94">
        <f>VLOOKUP(A1479,'Mano Obra'!$B$2:$T$117,19,0)</f>
        <v>67424</v>
      </c>
      <c r="E1479" s="218">
        <f>H1440</f>
        <v>5.21E-2</v>
      </c>
      <c r="F1479" s="508">
        <f t="shared" si="87"/>
        <v>3512.7903999999999</v>
      </c>
      <c r="G1479" s="509"/>
      <c r="H1479" s="110"/>
      <c r="J1479" s="117">
        <f>((('Mano Obra'!$M$6/30)*F1479)/D1479)*G1447</f>
        <v>0</v>
      </c>
    </row>
    <row r="1480" spans="1:13">
      <c r="A1480" s="512" t="s">
        <v>4100</v>
      </c>
      <c r="B1480" s="512"/>
      <c r="C1480" s="512"/>
      <c r="D1480" s="512"/>
      <c r="E1480" s="512"/>
      <c r="F1480" s="512"/>
      <c r="G1480" s="512"/>
      <c r="H1480" s="95">
        <f>SUM(F1477:F1479)</f>
        <v>17212.1728</v>
      </c>
      <c r="J1480" s="117"/>
    </row>
    <row r="1481" spans="1:13">
      <c r="A1481" s="208" t="s">
        <v>4226</v>
      </c>
      <c r="B1481" s="186"/>
      <c r="C1481" s="186"/>
      <c r="D1481" s="183"/>
      <c r="E1481" s="184"/>
      <c r="F1481" s="185"/>
      <c r="G1481" s="184"/>
      <c r="H1481" s="193"/>
    </row>
    <row r="1482" spans="1:13">
      <c r="A1482" s="513" t="s">
        <v>4213</v>
      </c>
      <c r="B1482" s="514"/>
      <c r="C1482" s="514"/>
      <c r="D1482" s="514"/>
      <c r="E1482" s="181"/>
      <c r="F1482" s="182" t="s">
        <v>4227</v>
      </c>
      <c r="G1482" s="181" t="s">
        <v>4228</v>
      </c>
      <c r="H1482" s="194"/>
    </row>
    <row r="1483" spans="1:13">
      <c r="A1483" s="204" t="s">
        <v>4096</v>
      </c>
      <c r="B1483" s="62"/>
      <c r="C1483" s="62"/>
      <c r="D1483" s="63"/>
      <c r="E1483" s="68"/>
      <c r="F1483" s="69">
        <v>0</v>
      </c>
      <c r="G1483" s="70" t="e">
        <f>F1483*H1448</f>
        <v>#VALUE!</v>
      </c>
      <c r="H1483" s="193"/>
    </row>
    <row r="1484" spans="1:13">
      <c r="A1484" s="205" t="s">
        <v>4229</v>
      </c>
      <c r="B1484" s="71"/>
      <c r="C1484" s="71"/>
      <c r="D1484" s="72"/>
      <c r="E1484" s="68"/>
      <c r="F1484" s="69">
        <v>0</v>
      </c>
      <c r="G1484" s="70" t="e">
        <f>F1484*H1448</f>
        <v>#VALUE!</v>
      </c>
      <c r="H1484" s="193"/>
    </row>
    <row r="1485" spans="1:13">
      <c r="A1485" s="205" t="s">
        <v>4</v>
      </c>
      <c r="B1485" s="71"/>
      <c r="C1485" s="71"/>
      <c r="D1485" s="72"/>
      <c r="E1485" s="68"/>
      <c r="F1485" s="69">
        <v>0</v>
      </c>
      <c r="G1485" s="70" t="e">
        <f>F1485*H1448</f>
        <v>#VALUE!</v>
      </c>
      <c r="H1485" s="193"/>
    </row>
    <row r="1486" spans="1:13">
      <c r="A1486" s="206"/>
      <c r="B1486" s="73"/>
      <c r="C1486" s="65"/>
      <c r="D1486" s="74"/>
      <c r="E1486" s="75"/>
      <c r="F1486" s="76"/>
      <c r="G1486" s="77"/>
      <c r="H1486" s="195"/>
    </row>
    <row r="1487" spans="1:13">
      <c r="A1487" s="207"/>
      <c r="B1487" s="73"/>
      <c r="C1487" s="73"/>
      <c r="D1487" s="74"/>
      <c r="E1487" s="78"/>
      <c r="F1487" s="515" t="s">
        <v>4230</v>
      </c>
      <c r="G1487" s="516"/>
      <c r="H1487" s="214" t="e">
        <f>H1448+G1483+G1484+G1485</f>
        <v>#VALUE!</v>
      </c>
    </row>
    <row r="1489" spans="1:14">
      <c r="A1489" s="80"/>
      <c r="B1489" s="80"/>
      <c r="C1489" s="80"/>
      <c r="D1489" s="80"/>
      <c r="E1489" s="80"/>
      <c r="F1489" s="80"/>
      <c r="G1489" s="80"/>
      <c r="H1489" s="353"/>
    </row>
    <row r="1490" spans="1:14">
      <c r="A1490" s="537" t="s">
        <v>4214</v>
      </c>
      <c r="B1490" s="538"/>
      <c r="C1490" s="538"/>
      <c r="D1490" s="538"/>
      <c r="E1490" s="538"/>
      <c r="F1490" s="538"/>
      <c r="G1490" s="538"/>
      <c r="H1490" s="539"/>
    </row>
    <row r="1491" spans="1:14">
      <c r="A1491" s="81"/>
      <c r="B1491" s="82"/>
      <c r="C1491" s="82"/>
      <c r="D1491" s="82"/>
      <c r="E1491" s="82"/>
      <c r="F1491" s="83"/>
      <c r="G1491" s="84"/>
      <c r="H1491" s="352">
        <f>ROUND((25/60)/8,4)</f>
        <v>5.21E-2</v>
      </c>
      <c r="I1491" s="105"/>
    </row>
    <row r="1492" spans="1:14">
      <c r="A1492" s="540" t="s">
        <v>4209</v>
      </c>
      <c r="B1492" s="542" t="str">
        <f>COSTOS!$C$14</f>
        <v>MODERNIZACION A TECNOLOGIA LED</v>
      </c>
      <c r="C1492" s="542"/>
      <c r="D1492" s="542"/>
      <c r="E1492" s="542"/>
      <c r="F1492" s="542"/>
      <c r="G1492" s="542"/>
      <c r="H1492" s="543" t="s">
        <v>4210</v>
      </c>
    </row>
    <row r="1493" spans="1:14">
      <c r="A1493" s="541"/>
      <c r="B1493" s="542"/>
      <c r="C1493" s="542"/>
      <c r="D1493" s="542"/>
      <c r="E1493" s="542"/>
      <c r="F1493" s="542"/>
      <c r="G1493" s="542"/>
      <c r="H1493" s="543"/>
    </row>
    <row r="1494" spans="1:14">
      <c r="A1494" s="541"/>
      <c r="B1494" s="542"/>
      <c r="C1494" s="542"/>
      <c r="D1494" s="542"/>
      <c r="E1494" s="542"/>
      <c r="F1494" s="542"/>
      <c r="G1494" s="542"/>
      <c r="H1494" s="543"/>
    </row>
    <row r="1495" spans="1:14" ht="15" customHeight="1">
      <c r="A1495" s="541"/>
      <c r="B1495" s="542"/>
      <c r="C1495" s="542"/>
      <c r="D1495" s="542"/>
      <c r="E1495" s="542"/>
      <c r="F1495" s="542"/>
      <c r="G1495" s="542"/>
      <c r="H1495" s="197">
        <f ca="1">TODAY()</f>
        <v>44889</v>
      </c>
      <c r="K1495" t="s">
        <v>4380</v>
      </c>
      <c r="L1495" t="s">
        <v>4381</v>
      </c>
      <c r="M1495" t="s">
        <v>4382</v>
      </c>
      <c r="N1495" t="s">
        <v>4383</v>
      </c>
    </row>
    <row r="1496" spans="1:14" ht="60.75" customHeight="1">
      <c r="A1496" s="209" t="s">
        <v>4211</v>
      </c>
      <c r="B1496" s="544" t="str">
        <f>COSTOS!$D$16</f>
        <v>Luminarias</v>
      </c>
      <c r="C1496" s="544"/>
      <c r="D1496" s="544"/>
      <c r="E1496" s="544"/>
      <c r="F1496" s="544"/>
      <c r="G1496" s="60" t="s">
        <v>4212</v>
      </c>
      <c r="H1496" s="363" t="s">
        <v>4678</v>
      </c>
      <c r="K1496" s="55" t="e">
        <f>H1521</f>
        <v>#VALUE!</v>
      </c>
      <c r="L1496" s="55">
        <f>H1531</f>
        <v>17212.1728</v>
      </c>
      <c r="M1496" s="55" t="e">
        <f>H1504</f>
        <v>#VALUE!</v>
      </c>
      <c r="N1496" s="55" t="e">
        <f>H1525</f>
        <v>#VALUE!</v>
      </c>
    </row>
    <row r="1497" spans="1:14" ht="43.2" customHeight="1">
      <c r="A1497" s="210" t="s">
        <v>4213</v>
      </c>
      <c r="B1497" s="545" t="str">
        <f>VLOOKUP(H1496,COSTOS!C:M,2,0)</f>
        <v>Luminaria Mercurio 100w</v>
      </c>
      <c r="C1497" s="546"/>
      <c r="D1497" s="546"/>
      <c r="E1497" s="547"/>
      <c r="F1497" s="61" t="s">
        <v>0</v>
      </c>
      <c r="G1497" s="328" t="str">
        <f>VLOOKUP(H1496,COSTOS!C:M,8,0)</f>
        <v>Und</v>
      </c>
      <c r="H1497" s="248"/>
      <c r="I1497" s="278"/>
      <c r="J1497" s="280"/>
      <c r="K1497" s="280"/>
      <c r="L1497" s="280"/>
    </row>
    <row r="1498" spans="1:14">
      <c r="A1498" s="211"/>
      <c r="B1498" s="102"/>
      <c r="C1498" s="102"/>
      <c r="D1498" s="102"/>
      <c r="E1498" s="103"/>
      <c r="F1498" s="104" t="s">
        <v>1</v>
      </c>
      <c r="G1498" s="328">
        <f>VLOOKUP(H1496,COSTOS!C:M,9,0)</f>
        <v>0</v>
      </c>
      <c r="H1498" s="329"/>
      <c r="I1498" s="279"/>
    </row>
    <row r="1499" spans="1:14">
      <c r="A1499" s="212" t="s">
        <v>4215</v>
      </c>
      <c r="B1499" s="65"/>
      <c r="C1499" s="65"/>
      <c r="D1499" s="66"/>
      <c r="E1499" s="190"/>
      <c r="F1499" s="191"/>
      <c r="G1499" s="192" t="s">
        <v>4216</v>
      </c>
      <c r="H1499" s="198" t="e">
        <f>H1504+H1521+H1525+H1531</f>
        <v>#VALUE!</v>
      </c>
    </row>
    <row r="1500" spans="1:14" ht="41.4">
      <c r="A1500" s="548" t="s">
        <v>4213</v>
      </c>
      <c r="B1500" s="548"/>
      <c r="C1500" s="548"/>
      <c r="D1500" s="67" t="s">
        <v>0</v>
      </c>
      <c r="E1500" s="188" t="s">
        <v>4217</v>
      </c>
      <c r="F1500" s="189" t="s">
        <v>4204</v>
      </c>
      <c r="G1500" s="64" t="s">
        <v>2</v>
      </c>
      <c r="H1500" s="199" t="s">
        <v>4218</v>
      </c>
      <c r="K1500" s="281"/>
    </row>
    <row r="1501" spans="1:14">
      <c r="A1501" s="517" t="s">
        <v>3946</v>
      </c>
      <c r="B1501" s="549">
        <f>VLOOKUP(A1501,'Equip, Herr y Transp'!$B$2:$E$738,2,0)</f>
        <v>2</v>
      </c>
      <c r="C1501" s="549"/>
      <c r="D1501" s="85">
        <f>VLOOKUP(A1501,'Equip, Herr y Transp'!$B$2:$E$217,2,0)</f>
        <v>2</v>
      </c>
      <c r="E1501" s="85" t="str">
        <f>VLOOKUP(A1501,'Equip, Herr y Transp'!$B$2:$E$217,3,0)</f>
        <v>EQU</v>
      </c>
      <c r="F1501" s="86">
        <f>H1491</f>
        <v>5.21E-2</v>
      </c>
      <c r="G1501" s="112" t="e">
        <f>F1501*E1501</f>
        <v>#VALUE!</v>
      </c>
      <c r="H1501" s="108"/>
    </row>
    <row r="1502" spans="1:14">
      <c r="A1502" s="517" t="s">
        <v>3904</v>
      </c>
      <c r="B1502" s="549">
        <f>VLOOKUP(A1502,'Equip, Herr y Transp'!$B$2:$E$738,2,0)</f>
        <v>2</v>
      </c>
      <c r="C1502" s="549"/>
      <c r="D1502" s="85">
        <f>VLOOKUP(A1502,'Equip, Herr y Transp'!$B$2:$E$217,2,0)</f>
        <v>2</v>
      </c>
      <c r="E1502" s="85" t="str">
        <f>VLOOKUP(A1502,'Equip, Herr y Transp'!$B$2:$E$217,3,0)</f>
        <v>EQU</v>
      </c>
      <c r="F1502" s="86">
        <f>H1491</f>
        <v>5.21E-2</v>
      </c>
      <c r="G1502" s="112" t="e">
        <f>F1502*E1502</f>
        <v>#VALUE!</v>
      </c>
      <c r="H1502" s="107"/>
    </row>
    <row r="1503" spans="1:14">
      <c r="A1503" s="517" t="s">
        <v>3937</v>
      </c>
      <c r="B1503" s="549">
        <f>VLOOKUP(A1503,'Equip, Herr y Transp'!$B$2:$E$738,2,0)</f>
        <v>2</v>
      </c>
      <c r="C1503" s="549"/>
      <c r="D1503" s="85">
        <f>VLOOKUP(A1503,'Equip, Herr y Transp'!$B$2:$E$217,2,0)</f>
        <v>2</v>
      </c>
      <c r="E1503" s="85" t="str">
        <f>VLOOKUP(A1503,'Equip, Herr y Transp'!$B$2:$E$217,3,0)</f>
        <v>EQU</v>
      </c>
      <c r="F1503" s="86">
        <f>H1491</f>
        <v>5.21E-2</v>
      </c>
      <c r="G1503" s="112" t="e">
        <f>F1503*E1503</f>
        <v>#VALUE!</v>
      </c>
      <c r="H1503" s="107"/>
    </row>
    <row r="1504" spans="1:14">
      <c r="A1504" s="520" t="s">
        <v>4099</v>
      </c>
      <c r="B1504" s="521"/>
      <c r="C1504" s="521"/>
      <c r="D1504" s="521"/>
      <c r="E1504" s="521"/>
      <c r="F1504" s="521"/>
      <c r="G1504" s="521"/>
      <c r="H1504" s="87" t="e">
        <f>SUM(G1501:G1503)</f>
        <v>#VALUE!</v>
      </c>
    </row>
    <row r="1505" spans="1:15">
      <c r="A1505" s="550" t="s">
        <v>4219</v>
      </c>
      <c r="B1505" s="551"/>
      <c r="C1505" s="551"/>
      <c r="D1505" s="551"/>
      <c r="E1505" s="551"/>
      <c r="F1505" s="551"/>
      <c r="G1505" s="551"/>
      <c r="H1505" s="552"/>
      <c r="K1505" s="50"/>
      <c r="L1505" s="50"/>
      <c r="M1505" s="50"/>
      <c r="N1505" s="50"/>
      <c r="O1505" s="50"/>
    </row>
    <row r="1506" spans="1:15" ht="30" customHeight="1">
      <c r="A1506" s="553" t="s">
        <v>7</v>
      </c>
      <c r="B1506" s="554"/>
      <c r="C1506" s="99" t="s">
        <v>0</v>
      </c>
      <c r="D1506" s="100" t="s">
        <v>4097</v>
      </c>
      <c r="E1506" s="101" t="s">
        <v>1</v>
      </c>
      <c r="F1506" s="555" t="s">
        <v>4207</v>
      </c>
      <c r="G1506" s="555"/>
      <c r="H1506" s="196"/>
      <c r="K1506" s="50"/>
      <c r="L1506" s="50"/>
      <c r="M1506" s="50"/>
      <c r="N1506" s="50"/>
      <c r="O1506" s="50"/>
    </row>
    <row r="1507" spans="1:15">
      <c r="A1507" s="535" t="s">
        <v>4671</v>
      </c>
      <c r="B1507" s="536"/>
      <c r="C1507" s="88">
        <f>VLOOKUP(A1507,'Materiales '!$C$2:$G$396,3,0)</f>
        <v>4</v>
      </c>
      <c r="D1507" s="89" t="str">
        <f>VLOOKUP(A1507,'Materiales '!$C$2:$G$396,4,0)</f>
        <v>Und</v>
      </c>
      <c r="E1507" s="90">
        <v>1</v>
      </c>
      <c r="F1507" s="508" t="e">
        <f>E1507*D1507</f>
        <v>#VALUE!</v>
      </c>
      <c r="G1507" s="519"/>
      <c r="H1507" s="111"/>
      <c r="I1507">
        <f>E1507*G1498</f>
        <v>0</v>
      </c>
      <c r="J1507" s="57"/>
      <c r="K1507" s="50"/>
      <c r="L1507" s="50"/>
      <c r="M1507" s="50"/>
      <c r="N1507" s="50"/>
      <c r="O1507" s="50"/>
    </row>
    <row r="1508" spans="1:15">
      <c r="A1508" s="535" t="s">
        <v>4203</v>
      </c>
      <c r="B1508" s="536"/>
      <c r="C1508" s="88">
        <f>VLOOKUP(A1508,'Materiales '!$C$2:$G$396,3,0)</f>
        <v>4</v>
      </c>
      <c r="D1508" s="89" t="str">
        <f>VLOOKUP(A1508,'Materiales '!$C$2:$G$396,4,0)</f>
        <v>Und</v>
      </c>
      <c r="E1508" s="90">
        <v>1</v>
      </c>
      <c r="F1508" s="508" t="e">
        <f t="shared" ref="F1508:F1514" si="88">E1508*D1508</f>
        <v>#VALUE!</v>
      </c>
      <c r="G1508" s="519"/>
      <c r="H1508" s="111"/>
      <c r="I1508">
        <f>E1508*G1498</f>
        <v>0</v>
      </c>
      <c r="J1508" s="57"/>
      <c r="K1508" s="50"/>
      <c r="L1508" s="50"/>
      <c r="M1508" s="50"/>
      <c r="N1508" s="50"/>
      <c r="O1508" s="50"/>
    </row>
    <row r="1509" spans="1:15">
      <c r="A1509" s="517" t="s">
        <v>4473</v>
      </c>
      <c r="B1509" s="518">
        <f>VLOOKUP(A1509,'Materiales '!$C$2:$G$396,3,0)</f>
        <v>4</v>
      </c>
      <c r="C1509" s="88">
        <f>VLOOKUP(A1509,'Materiales '!$C$2:$G$396,3,0)</f>
        <v>4</v>
      </c>
      <c r="D1509" s="89" t="str">
        <f>VLOOKUP(A1509,'Materiales '!$C$2:$G$396,4,0)</f>
        <v>Und</v>
      </c>
      <c r="E1509" s="90">
        <v>2</v>
      </c>
      <c r="F1509" s="508" t="e">
        <f t="shared" si="88"/>
        <v>#VALUE!</v>
      </c>
      <c r="G1509" s="519"/>
      <c r="H1509" s="111"/>
      <c r="I1509">
        <f>E1509*G1498</f>
        <v>0</v>
      </c>
      <c r="J1509" s="58"/>
      <c r="K1509" s="50"/>
      <c r="L1509" s="50"/>
      <c r="M1509" s="50"/>
      <c r="N1509" s="50"/>
      <c r="O1509" s="50"/>
    </row>
    <row r="1510" spans="1:15">
      <c r="A1510" s="517" t="s">
        <v>4478</v>
      </c>
      <c r="B1510" s="518">
        <f>VLOOKUP(A1510,'Materiales '!$C$2:$G$396,3,0)</f>
        <v>4</v>
      </c>
      <c r="C1510" s="88">
        <f>VLOOKUP(A1510,'Materiales '!$C$2:$G$396,3,0)</f>
        <v>4</v>
      </c>
      <c r="D1510" s="89" t="str">
        <f>VLOOKUP(A1510,'Materiales '!$C$2:$G$396,4,0)</f>
        <v>Und</v>
      </c>
      <c r="E1510" s="90">
        <v>3</v>
      </c>
      <c r="F1510" s="508" t="e">
        <f t="shared" si="88"/>
        <v>#VALUE!</v>
      </c>
      <c r="G1510" s="519"/>
      <c r="H1510" s="111"/>
      <c r="I1510">
        <f>E1510*G1498</f>
        <v>0</v>
      </c>
      <c r="J1510" s="58"/>
      <c r="K1510" s="50"/>
      <c r="L1510" s="50"/>
      <c r="M1510" s="50"/>
      <c r="N1510" s="50"/>
      <c r="O1510" s="50"/>
    </row>
    <row r="1511" spans="1:15">
      <c r="A1511" s="517" t="s">
        <v>4543</v>
      </c>
      <c r="B1511" s="518">
        <f>VLOOKUP(A1511,'Materiales '!$C$2:$G$396,3,0)</f>
        <v>4</v>
      </c>
      <c r="C1511" s="88">
        <f>VLOOKUP(A1511,'Materiales '!$C$2:$G$396,3,0)</f>
        <v>4</v>
      </c>
      <c r="D1511" s="89" t="str">
        <f>VLOOKUP(A1511,'Materiales '!$C$2:$G$396,4,0)</f>
        <v>Und</v>
      </c>
      <c r="E1511" s="90">
        <v>2</v>
      </c>
      <c r="F1511" s="508" t="e">
        <f t="shared" si="88"/>
        <v>#VALUE!</v>
      </c>
      <c r="G1511" s="519"/>
      <c r="H1511" s="111"/>
      <c r="I1511">
        <f>E1511*G1498</f>
        <v>0</v>
      </c>
      <c r="J1511" s="58"/>
      <c r="K1511" s="50"/>
      <c r="L1511" s="50"/>
      <c r="M1511" s="50"/>
      <c r="N1511" s="50"/>
      <c r="O1511" s="50"/>
    </row>
    <row r="1512" spans="1:15">
      <c r="A1512" s="517" t="s">
        <v>4439</v>
      </c>
      <c r="B1512" s="518">
        <f>VLOOKUP(A1512,'Materiales '!$C$2:$G$396,3,0)</f>
        <v>2</v>
      </c>
      <c r="C1512" s="88">
        <f>VLOOKUP(A1512,'Materiales '!$C$2:$G$396,3,0)</f>
        <v>2</v>
      </c>
      <c r="D1512" s="89" t="str">
        <f>VLOOKUP(A1512,'Materiales '!$C$2:$G$396,4,0)</f>
        <v>Ml</v>
      </c>
      <c r="E1512" s="90">
        <v>1</v>
      </c>
      <c r="F1512" s="508" t="e">
        <f t="shared" si="88"/>
        <v>#VALUE!</v>
      </c>
      <c r="G1512" s="519"/>
      <c r="H1512" s="111"/>
      <c r="I1512">
        <f>E1512*G1498</f>
        <v>0</v>
      </c>
      <c r="J1512" s="58"/>
      <c r="K1512" s="50"/>
      <c r="L1512" s="50"/>
      <c r="M1512" s="50"/>
      <c r="N1512" s="50"/>
      <c r="O1512" s="50"/>
    </row>
    <row r="1513" spans="1:15">
      <c r="A1513" s="517" t="s">
        <v>4482</v>
      </c>
      <c r="B1513" s="518">
        <f>VLOOKUP(A1513,'Materiales '!$C$2:$G$396,3,0)</f>
        <v>4</v>
      </c>
      <c r="C1513" s="88">
        <f>VLOOKUP(A1513,'Materiales '!$C$2:$G$396,3,0)</f>
        <v>4</v>
      </c>
      <c r="D1513" s="89" t="str">
        <f>VLOOKUP(A1513,'Materiales '!$C$2:$G$396,4,0)</f>
        <v>Und</v>
      </c>
      <c r="E1513" s="90">
        <v>3</v>
      </c>
      <c r="F1513" s="508" t="e">
        <f t="shared" si="88"/>
        <v>#VALUE!</v>
      </c>
      <c r="G1513" s="519"/>
      <c r="H1513" s="111"/>
      <c r="I1513">
        <f>E1513*G1498</f>
        <v>0</v>
      </c>
      <c r="J1513" s="58"/>
      <c r="K1513" s="50"/>
      <c r="L1513" s="50"/>
      <c r="M1513" s="50"/>
      <c r="N1513" s="50"/>
      <c r="O1513" s="50"/>
    </row>
    <row r="1514" spans="1:15" ht="21.75" customHeight="1">
      <c r="A1514" s="517" t="s">
        <v>4424</v>
      </c>
      <c r="B1514" s="518">
        <f>VLOOKUP(A1514,'Materiales '!$C$2:$G$396,3,0)</f>
        <v>4</v>
      </c>
      <c r="C1514" s="88">
        <f>VLOOKUP(A1514,'Materiales '!$C$2:$G$396,3,0)</f>
        <v>4</v>
      </c>
      <c r="D1514" s="89" t="str">
        <f>VLOOKUP(A1514,'Materiales '!$C$2:$G$396,4,0)</f>
        <v>Und</v>
      </c>
      <c r="E1514" s="90">
        <v>1</v>
      </c>
      <c r="F1514" s="508" t="e">
        <f t="shared" si="88"/>
        <v>#VALUE!</v>
      </c>
      <c r="G1514" s="519"/>
      <c r="H1514" s="111"/>
      <c r="I1514">
        <f>E1514*G1498</f>
        <v>0</v>
      </c>
      <c r="J1514" s="58"/>
      <c r="K1514" s="50"/>
      <c r="L1514" s="50"/>
      <c r="M1514" s="50"/>
      <c r="N1514" s="50"/>
      <c r="O1514" s="50"/>
    </row>
    <row r="1515" spans="1:15">
      <c r="A1515" s="517" t="s">
        <v>8</v>
      </c>
      <c r="B1515" s="518">
        <f>VLOOKUP(A1515,'Materiales '!$C$2:$G$396,3,0)</f>
        <v>0</v>
      </c>
      <c r="C1515" s="88">
        <f>VLOOKUP(A1515,'Materiales '!$C$2:$G$396,3,0)</f>
        <v>0</v>
      </c>
      <c r="D1515" s="89" t="str">
        <f>VLOOKUP(A1515,'Materiales '!$C$2:$G$396,4,0)</f>
        <v>-</v>
      </c>
      <c r="E1515" s="90"/>
      <c r="F1515" s="508" t="e">
        <f>E1515*D1515</f>
        <v>#VALUE!</v>
      </c>
      <c r="G1515" s="519"/>
      <c r="H1515" s="110"/>
      <c r="I1515">
        <f>E1515*G1498</f>
        <v>0</v>
      </c>
      <c r="J1515" s="58"/>
      <c r="K1515" s="50"/>
      <c r="L1515" s="50"/>
      <c r="M1515" s="50"/>
      <c r="N1515" s="50"/>
      <c r="O1515" s="50"/>
    </row>
    <row r="1516" spans="1:15">
      <c r="A1516" s="517" t="s">
        <v>8</v>
      </c>
      <c r="B1516" s="518">
        <f>VLOOKUP(A1516,'Materiales '!$C$2:$G$396,3,0)</f>
        <v>0</v>
      </c>
      <c r="C1516" s="88">
        <f>VLOOKUP(A1516,'Materiales '!$C$2:$G$396,3,0)</f>
        <v>0</v>
      </c>
      <c r="D1516" s="89" t="str">
        <f>VLOOKUP(A1516,'Materiales '!$C$2:$G$396,4,0)</f>
        <v>-</v>
      </c>
      <c r="E1516" s="90"/>
      <c r="F1516" s="508" t="e">
        <f t="shared" ref="F1516:F1519" si="89">E1516*D1516</f>
        <v>#VALUE!</v>
      </c>
      <c r="G1516" s="519"/>
      <c r="H1516" s="111"/>
      <c r="I1516">
        <f>E1516*G1498</f>
        <v>0</v>
      </c>
      <c r="J1516" s="58"/>
      <c r="K1516" s="50"/>
      <c r="L1516" s="50"/>
      <c r="M1516" s="50"/>
      <c r="N1516" s="50"/>
      <c r="O1516" s="50"/>
    </row>
    <row r="1517" spans="1:15">
      <c r="A1517" s="517" t="s">
        <v>8</v>
      </c>
      <c r="B1517" s="518">
        <f>VLOOKUP(A1517,'Materiales '!$C$2:$G$396,3,0)</f>
        <v>0</v>
      </c>
      <c r="C1517" s="88">
        <f>VLOOKUP(A1517,'Materiales '!$C$2:$G$396,3,0)</f>
        <v>0</v>
      </c>
      <c r="D1517" s="89" t="str">
        <f>VLOOKUP(A1517,'Materiales '!$C$2:$G$396,4,0)</f>
        <v>-</v>
      </c>
      <c r="E1517" s="90"/>
      <c r="F1517" s="508" t="e">
        <f t="shared" si="89"/>
        <v>#VALUE!</v>
      </c>
      <c r="G1517" s="519"/>
      <c r="H1517" s="111"/>
      <c r="I1517">
        <f>E1517*G1498</f>
        <v>0</v>
      </c>
      <c r="J1517" s="58"/>
      <c r="K1517" s="50"/>
      <c r="L1517" s="50"/>
      <c r="M1517" s="50"/>
      <c r="N1517" s="50"/>
      <c r="O1517" s="50"/>
    </row>
    <row r="1518" spans="1:15">
      <c r="A1518" s="517" t="s">
        <v>8</v>
      </c>
      <c r="B1518" s="518">
        <f>VLOOKUP(A1518,'Materiales '!$C$2:$G$396,3,0)</f>
        <v>0</v>
      </c>
      <c r="C1518" s="88">
        <f>VLOOKUP(A1518,'Materiales '!$C$2:$G$396,3,0)</f>
        <v>0</v>
      </c>
      <c r="D1518" s="89" t="str">
        <f>VLOOKUP(A1518,'Materiales '!$C$2:$G$396,4,0)</f>
        <v>-</v>
      </c>
      <c r="E1518" s="90"/>
      <c r="F1518" s="508" t="e">
        <f t="shared" si="89"/>
        <v>#VALUE!</v>
      </c>
      <c r="G1518" s="519"/>
      <c r="H1518" s="111"/>
      <c r="I1518">
        <f>E1518*G1498</f>
        <v>0</v>
      </c>
      <c r="J1518" s="58"/>
      <c r="K1518" s="50"/>
      <c r="L1518" s="50"/>
      <c r="M1518" s="50"/>
      <c r="N1518" s="50"/>
      <c r="O1518" s="50"/>
    </row>
    <row r="1519" spans="1:15">
      <c r="A1519" s="517" t="s">
        <v>8</v>
      </c>
      <c r="B1519" s="518">
        <f>VLOOKUP(A1519,'Materiales '!$C$2:$G$396,3,0)</f>
        <v>0</v>
      </c>
      <c r="C1519" s="88">
        <f>VLOOKUP(A1519,'Materiales '!$C$2:$G$396,3,0)</f>
        <v>0</v>
      </c>
      <c r="D1519" s="89" t="str">
        <f>VLOOKUP(A1519,'Materiales '!$C$2:$G$396,4,0)</f>
        <v>-</v>
      </c>
      <c r="E1519" s="90"/>
      <c r="F1519" s="508" t="e">
        <f t="shared" si="89"/>
        <v>#VALUE!</v>
      </c>
      <c r="G1519" s="519"/>
      <c r="H1519" s="111"/>
      <c r="I1519">
        <f>E1519*G1498</f>
        <v>0</v>
      </c>
      <c r="J1519" s="58"/>
      <c r="K1519" s="50"/>
      <c r="L1519" s="50"/>
      <c r="M1519" s="50"/>
      <c r="N1519" s="50"/>
      <c r="O1519" s="50"/>
    </row>
    <row r="1520" spans="1:15">
      <c r="A1520" s="517" t="s">
        <v>8</v>
      </c>
      <c r="B1520" s="518">
        <f>VLOOKUP(A1520,'Materiales '!$C$2:$G$396,3,0)</f>
        <v>0</v>
      </c>
      <c r="C1520" s="88">
        <f>VLOOKUP(A1520,'Materiales '!$C$2:$G$396,3,0)</f>
        <v>0</v>
      </c>
      <c r="D1520" s="89" t="str">
        <f>VLOOKUP(A1520,'Materiales '!$C$2:$G$396,4,0)</f>
        <v>-</v>
      </c>
      <c r="E1520" s="90"/>
      <c r="F1520" s="508" t="e">
        <f>E1520*D1520</f>
        <v>#VALUE!</v>
      </c>
      <c r="G1520" s="519"/>
      <c r="H1520" s="110"/>
      <c r="I1520">
        <f>E1520*G1498</f>
        <v>0</v>
      </c>
      <c r="J1520" s="58"/>
      <c r="K1520" s="50"/>
      <c r="L1520" s="50"/>
      <c r="M1520" s="50"/>
      <c r="N1520" s="50"/>
      <c r="O1520" s="50"/>
    </row>
    <row r="1521" spans="1:15">
      <c r="A1521" s="520" t="s">
        <v>4098</v>
      </c>
      <c r="B1521" s="521"/>
      <c r="C1521" s="521"/>
      <c r="D1521" s="521"/>
      <c r="E1521" s="521"/>
      <c r="F1521" s="521"/>
      <c r="G1521" s="522"/>
      <c r="H1521" s="106" t="e">
        <f>SUM(F1507:F1520)</f>
        <v>#VALUE!</v>
      </c>
      <c r="J1521" s="58"/>
      <c r="K1521" s="50"/>
      <c r="L1521" s="50"/>
      <c r="M1521" s="50"/>
      <c r="N1521" s="50"/>
      <c r="O1521" s="50"/>
    </row>
    <row r="1522" spans="1:15">
      <c r="A1522" s="523" t="s">
        <v>4220</v>
      </c>
      <c r="B1522" s="524"/>
      <c r="C1522" s="524"/>
      <c r="D1522" s="524"/>
      <c r="E1522" s="525"/>
      <c r="F1522" s="524"/>
      <c r="G1522" s="524"/>
      <c r="H1522" s="526"/>
      <c r="J1522" s="58"/>
      <c r="K1522" s="50"/>
      <c r="L1522" s="50"/>
      <c r="M1522" s="50"/>
      <c r="N1522" s="50"/>
      <c r="O1522" s="50"/>
    </row>
    <row r="1523" spans="1:15">
      <c r="A1523" s="527" t="s">
        <v>7</v>
      </c>
      <c r="B1523" s="528"/>
      <c r="C1523" s="98" t="s">
        <v>4221</v>
      </c>
      <c r="D1523" s="97" t="s">
        <v>4222</v>
      </c>
      <c r="E1523" s="187" t="s">
        <v>4223</v>
      </c>
      <c r="F1523" s="529" t="s">
        <v>4207</v>
      </c>
      <c r="G1523" s="529"/>
      <c r="H1523" s="109"/>
      <c r="K1523" s="50"/>
      <c r="L1523" s="50"/>
      <c r="M1523" s="50"/>
      <c r="N1523" s="50"/>
      <c r="O1523" s="50"/>
    </row>
    <row r="1524" spans="1:15">
      <c r="A1524" s="506" t="s">
        <v>3928</v>
      </c>
      <c r="B1524" s="507"/>
      <c r="C1524" s="213">
        <v>1</v>
      </c>
      <c r="D1524" s="92">
        <v>0.03</v>
      </c>
      <c r="E1524" s="93" t="str">
        <f>VLOOKUP(A1524,'Equip, Herr y Transp'!$B$2:$E$217,3,0)</f>
        <v>TR</v>
      </c>
      <c r="F1524" s="530" t="e">
        <f>E1524*D1524*C1524</f>
        <v>#VALUE!</v>
      </c>
      <c r="G1524" s="531"/>
      <c r="H1524" s="107"/>
      <c r="M1524" s="50"/>
    </row>
    <row r="1525" spans="1:15">
      <c r="A1525" s="532" t="s">
        <v>4205</v>
      </c>
      <c r="B1525" s="533"/>
      <c r="C1525" s="533"/>
      <c r="D1525" s="533"/>
      <c r="E1525" s="533"/>
      <c r="F1525" s="533"/>
      <c r="G1525" s="533"/>
      <c r="H1525" s="95" t="e">
        <f>F1524</f>
        <v>#VALUE!</v>
      </c>
    </row>
    <row r="1526" spans="1:15">
      <c r="A1526" s="523" t="s">
        <v>4224</v>
      </c>
      <c r="B1526" s="524"/>
      <c r="C1526" s="524"/>
      <c r="D1526" s="524"/>
      <c r="E1526" s="524"/>
      <c r="F1526" s="524"/>
      <c r="G1526" s="524"/>
      <c r="H1526" s="526"/>
    </row>
    <row r="1527" spans="1:15">
      <c r="A1527" s="527" t="s">
        <v>7</v>
      </c>
      <c r="B1527" s="528"/>
      <c r="C1527" s="96" t="s">
        <v>1</v>
      </c>
      <c r="D1527" s="97" t="s">
        <v>4225</v>
      </c>
      <c r="E1527" s="98" t="s">
        <v>4204</v>
      </c>
      <c r="F1527" s="527" t="s">
        <v>5</v>
      </c>
      <c r="G1527" s="534"/>
      <c r="H1527" s="109"/>
    </row>
    <row r="1528" spans="1:15">
      <c r="A1528" s="506" t="s">
        <v>4191</v>
      </c>
      <c r="B1528" s="507"/>
      <c r="C1528" s="91">
        <v>1</v>
      </c>
      <c r="D1528" s="94">
        <f>VLOOKUP(A1528,'Mano Obra'!$B$2:$T$117,19,0)</f>
        <v>152456</v>
      </c>
      <c r="E1528" s="218">
        <f>H1491</f>
        <v>5.21E-2</v>
      </c>
      <c r="F1528" s="508">
        <f>E1528*D1528*C1528</f>
        <v>7942.9575999999997</v>
      </c>
      <c r="G1528" s="509"/>
      <c r="H1528" s="111"/>
      <c r="I1528" s="59"/>
      <c r="J1528" s="117">
        <f>((('Mano Obra'!$M$4/30)*F1528)/D1528)*G1498</f>
        <v>0</v>
      </c>
    </row>
    <row r="1529" spans="1:15">
      <c r="A1529" s="510" t="s">
        <v>4192</v>
      </c>
      <c r="B1529" s="511">
        <f>VLOOKUP(A1529,'Mano Obra'!$B$3:$D$290,2,0)</f>
        <v>1900000</v>
      </c>
      <c r="C1529" s="91">
        <v>1</v>
      </c>
      <c r="D1529" s="94">
        <f>VLOOKUP(A1529,'Mano Obra'!$B$2:$T$117,19,0)</f>
        <v>110488</v>
      </c>
      <c r="E1529" s="218">
        <f>H1491</f>
        <v>5.21E-2</v>
      </c>
      <c r="F1529" s="508">
        <f t="shared" ref="F1529:F1530" si="90">E1529*D1529*C1529</f>
        <v>5756.4247999999998</v>
      </c>
      <c r="G1529" s="509"/>
      <c r="H1529" s="111"/>
      <c r="J1529" s="117">
        <f>((('Mano Obra'!$M$5/30)*F1529)/D1529)*G1498</f>
        <v>0</v>
      </c>
    </row>
    <row r="1530" spans="1:15">
      <c r="A1530" s="510" t="s">
        <v>4181</v>
      </c>
      <c r="B1530" s="511">
        <f>VLOOKUP(A1530,'Mano Obra'!$B$3:$D$290,2,0)</f>
        <v>1000000</v>
      </c>
      <c r="C1530" s="91">
        <v>1</v>
      </c>
      <c r="D1530" s="94">
        <f>VLOOKUP(A1530,'Mano Obra'!$B$2:$T$117,19,0)</f>
        <v>67424</v>
      </c>
      <c r="E1530" s="218">
        <f>H1491</f>
        <v>5.21E-2</v>
      </c>
      <c r="F1530" s="508">
        <f t="shared" si="90"/>
        <v>3512.7903999999999</v>
      </c>
      <c r="G1530" s="509"/>
      <c r="H1530" s="110"/>
      <c r="J1530" s="117">
        <f>((('Mano Obra'!$M$6/30)*F1530)/D1530)*G1498</f>
        <v>0</v>
      </c>
    </row>
    <row r="1531" spans="1:15">
      <c r="A1531" s="512" t="s">
        <v>4100</v>
      </c>
      <c r="B1531" s="512"/>
      <c r="C1531" s="512"/>
      <c r="D1531" s="512"/>
      <c r="E1531" s="512"/>
      <c r="F1531" s="512"/>
      <c r="G1531" s="512"/>
      <c r="H1531" s="95">
        <f>SUM(F1528:F1530)</f>
        <v>17212.1728</v>
      </c>
      <c r="J1531" s="117"/>
    </row>
    <row r="1532" spans="1:15">
      <c r="A1532" s="208" t="s">
        <v>4226</v>
      </c>
      <c r="B1532" s="186"/>
      <c r="C1532" s="186"/>
      <c r="D1532" s="183"/>
      <c r="E1532" s="184"/>
      <c r="F1532" s="185"/>
      <c r="G1532" s="184"/>
      <c r="H1532" s="193"/>
    </row>
    <row r="1533" spans="1:15">
      <c r="A1533" s="513" t="s">
        <v>4213</v>
      </c>
      <c r="B1533" s="514"/>
      <c r="C1533" s="514"/>
      <c r="D1533" s="514"/>
      <c r="E1533" s="181"/>
      <c r="F1533" s="182" t="s">
        <v>4227</v>
      </c>
      <c r="G1533" s="181" t="s">
        <v>4228</v>
      </c>
      <c r="H1533" s="194"/>
    </row>
    <row r="1534" spans="1:15">
      <c r="A1534" s="204" t="s">
        <v>4096</v>
      </c>
      <c r="B1534" s="62"/>
      <c r="C1534" s="62"/>
      <c r="D1534" s="63"/>
      <c r="E1534" s="68"/>
      <c r="F1534" s="69">
        <v>0</v>
      </c>
      <c r="G1534" s="70" t="e">
        <f>F1534*H1499</f>
        <v>#VALUE!</v>
      </c>
      <c r="H1534" s="193"/>
    </row>
    <row r="1535" spans="1:15">
      <c r="A1535" s="205" t="s">
        <v>4229</v>
      </c>
      <c r="B1535" s="71"/>
      <c r="C1535" s="71"/>
      <c r="D1535" s="72"/>
      <c r="E1535" s="68"/>
      <c r="F1535" s="69">
        <v>0</v>
      </c>
      <c r="G1535" s="70" t="e">
        <f>F1535*H1499</f>
        <v>#VALUE!</v>
      </c>
      <c r="H1535" s="193"/>
    </row>
    <row r="1536" spans="1:15">
      <c r="A1536" s="205" t="s">
        <v>4</v>
      </c>
      <c r="B1536" s="71"/>
      <c r="C1536" s="71"/>
      <c r="D1536" s="72"/>
      <c r="E1536" s="68"/>
      <c r="F1536" s="69">
        <v>0</v>
      </c>
      <c r="G1536" s="70" t="e">
        <f>F1536*H1499</f>
        <v>#VALUE!</v>
      </c>
      <c r="H1536" s="193"/>
    </row>
    <row r="1537" spans="1:14">
      <c r="A1537" s="206"/>
      <c r="B1537" s="73"/>
      <c r="C1537" s="65"/>
      <c r="D1537" s="74"/>
      <c r="E1537" s="75"/>
      <c r="F1537" s="76"/>
      <c r="G1537" s="77"/>
      <c r="H1537" s="195"/>
    </row>
    <row r="1538" spans="1:14">
      <c r="A1538" s="207"/>
      <c r="B1538" s="73"/>
      <c r="C1538" s="73"/>
      <c r="D1538" s="74"/>
      <c r="E1538" s="78"/>
      <c r="F1538" s="515" t="s">
        <v>4230</v>
      </c>
      <c r="G1538" s="516"/>
      <c r="H1538" s="214" t="e">
        <f>H1499+G1534+G1535+G1536</f>
        <v>#VALUE!</v>
      </c>
    </row>
    <row r="1539" spans="1:14">
      <c r="A1539" s="73"/>
      <c r="B1539" s="73"/>
      <c r="C1539" s="73"/>
      <c r="D1539" s="74"/>
      <c r="E1539" s="360"/>
      <c r="F1539" s="361"/>
      <c r="G1539" s="361"/>
      <c r="H1539" s="362"/>
    </row>
    <row r="1540" spans="1:14">
      <c r="A1540" s="80"/>
      <c r="B1540" s="80"/>
      <c r="C1540" s="80"/>
      <c r="D1540" s="80"/>
      <c r="E1540" s="80"/>
      <c r="F1540" s="80"/>
      <c r="G1540" s="80"/>
      <c r="H1540" s="353"/>
    </row>
    <row r="1541" spans="1:14">
      <c r="A1541" s="537" t="s">
        <v>4214</v>
      </c>
      <c r="B1541" s="538"/>
      <c r="C1541" s="538"/>
      <c r="D1541" s="538"/>
      <c r="E1541" s="538"/>
      <c r="F1541" s="538"/>
      <c r="G1541" s="538"/>
      <c r="H1541" s="539"/>
    </row>
    <row r="1542" spans="1:14">
      <c r="A1542" s="81"/>
      <c r="B1542" s="82"/>
      <c r="C1542" s="82"/>
      <c r="D1542" s="82"/>
      <c r="E1542" s="82"/>
      <c r="F1542" s="83"/>
      <c r="G1542" s="84"/>
      <c r="H1542" s="352">
        <f>ROUND((25/60)/8,4)</f>
        <v>5.21E-2</v>
      </c>
      <c r="I1542" s="105"/>
    </row>
    <row r="1543" spans="1:14">
      <c r="A1543" s="540" t="s">
        <v>4209</v>
      </c>
      <c r="B1543" s="542" t="str">
        <f>COSTOS!$C$14</f>
        <v>MODERNIZACION A TECNOLOGIA LED</v>
      </c>
      <c r="C1543" s="542"/>
      <c r="D1543" s="542"/>
      <c r="E1543" s="542"/>
      <c r="F1543" s="542"/>
      <c r="G1543" s="542"/>
      <c r="H1543" s="543" t="s">
        <v>4210</v>
      </c>
    </row>
    <row r="1544" spans="1:14">
      <c r="A1544" s="541"/>
      <c r="B1544" s="542"/>
      <c r="C1544" s="542"/>
      <c r="D1544" s="542"/>
      <c r="E1544" s="542"/>
      <c r="F1544" s="542"/>
      <c r="G1544" s="542"/>
      <c r="H1544" s="543"/>
    </row>
    <row r="1545" spans="1:14">
      <c r="A1545" s="541"/>
      <c r="B1545" s="542"/>
      <c r="C1545" s="542"/>
      <c r="D1545" s="542"/>
      <c r="E1545" s="542"/>
      <c r="F1545" s="542"/>
      <c r="G1545" s="542"/>
      <c r="H1545" s="543"/>
    </row>
    <row r="1546" spans="1:14" ht="15" customHeight="1">
      <c r="A1546" s="541"/>
      <c r="B1546" s="542"/>
      <c r="C1546" s="542"/>
      <c r="D1546" s="542"/>
      <c r="E1546" s="542"/>
      <c r="F1546" s="542"/>
      <c r="G1546" s="542"/>
      <c r="H1546" s="197">
        <f ca="1">TODAY()</f>
        <v>44889</v>
      </c>
      <c r="K1546" t="s">
        <v>4380</v>
      </c>
      <c r="L1546" t="s">
        <v>4381</v>
      </c>
      <c r="M1546" t="s">
        <v>4382</v>
      </c>
      <c r="N1546" t="s">
        <v>4383</v>
      </c>
    </row>
    <row r="1547" spans="1:14" ht="60.75" customHeight="1">
      <c r="A1547" s="209" t="s">
        <v>4211</v>
      </c>
      <c r="B1547" s="544" t="str">
        <f>COSTOS!$D$16</f>
        <v>Luminarias</v>
      </c>
      <c r="C1547" s="544"/>
      <c r="D1547" s="544"/>
      <c r="E1547" s="544"/>
      <c r="F1547" s="544"/>
      <c r="G1547" s="60" t="s">
        <v>4212</v>
      </c>
      <c r="H1547" s="363">
        <v>1.31</v>
      </c>
      <c r="K1547" s="55" t="e">
        <f>H1572</f>
        <v>#VALUE!</v>
      </c>
      <c r="L1547" s="55">
        <f>H1582</f>
        <v>17212.1728</v>
      </c>
      <c r="M1547" s="55" t="e">
        <f>H1555</f>
        <v>#VALUE!</v>
      </c>
      <c r="N1547" s="55" t="e">
        <f>H1576</f>
        <v>#VALUE!</v>
      </c>
    </row>
    <row r="1548" spans="1:14" ht="43.2" customHeight="1">
      <c r="A1548" s="210" t="s">
        <v>4213</v>
      </c>
      <c r="B1548" s="545" t="str">
        <f>VLOOKUP(H1547,COSTOS!C:M,2,0)</f>
        <v>Luminaria Mixta 160w</v>
      </c>
      <c r="C1548" s="546"/>
      <c r="D1548" s="546"/>
      <c r="E1548" s="547"/>
      <c r="F1548" s="61" t="s">
        <v>0</v>
      </c>
      <c r="G1548" s="328" t="str">
        <f>VLOOKUP(H1547,COSTOS!C:M,8,0)</f>
        <v>Und</v>
      </c>
      <c r="H1548" s="248"/>
      <c r="I1548" s="278"/>
      <c r="J1548" s="280"/>
      <c r="K1548" s="280"/>
      <c r="L1548" s="280"/>
    </row>
    <row r="1549" spans="1:14">
      <c r="A1549" s="211"/>
      <c r="B1549" s="102"/>
      <c r="C1549" s="102"/>
      <c r="D1549" s="102"/>
      <c r="E1549" s="103"/>
      <c r="F1549" s="104" t="s">
        <v>1</v>
      </c>
      <c r="G1549" s="328">
        <f>VLOOKUP(H1547,COSTOS!C:M,9,0)</f>
        <v>0</v>
      </c>
      <c r="H1549" s="329"/>
      <c r="I1549" s="279"/>
    </row>
    <row r="1550" spans="1:14">
      <c r="A1550" s="212" t="s">
        <v>4215</v>
      </c>
      <c r="B1550" s="65"/>
      <c r="C1550" s="65"/>
      <c r="D1550" s="66"/>
      <c r="E1550" s="190"/>
      <c r="F1550" s="191"/>
      <c r="G1550" s="192" t="s">
        <v>4216</v>
      </c>
      <c r="H1550" s="198" t="e">
        <f>H1555+H1572+H1576+H1582</f>
        <v>#VALUE!</v>
      </c>
    </row>
    <row r="1551" spans="1:14" ht="41.4">
      <c r="A1551" s="548" t="s">
        <v>4213</v>
      </c>
      <c r="B1551" s="548"/>
      <c r="C1551" s="548"/>
      <c r="D1551" s="67" t="s">
        <v>0</v>
      </c>
      <c r="E1551" s="188" t="s">
        <v>4217</v>
      </c>
      <c r="F1551" s="189" t="s">
        <v>4204</v>
      </c>
      <c r="G1551" s="64" t="s">
        <v>2</v>
      </c>
      <c r="H1551" s="199" t="s">
        <v>4218</v>
      </c>
      <c r="K1551" s="281"/>
    </row>
    <row r="1552" spans="1:14">
      <c r="A1552" s="517" t="s">
        <v>3946</v>
      </c>
      <c r="B1552" s="549">
        <f>VLOOKUP(A1552,'Equip, Herr y Transp'!$B$2:$E$738,2,0)</f>
        <v>2</v>
      </c>
      <c r="C1552" s="549"/>
      <c r="D1552" s="85">
        <f>VLOOKUP(A1552,'Equip, Herr y Transp'!$B$2:$E$217,2,0)</f>
        <v>2</v>
      </c>
      <c r="E1552" s="85" t="str">
        <f>VLOOKUP(A1552,'Equip, Herr y Transp'!$B$2:$E$217,3,0)</f>
        <v>EQU</v>
      </c>
      <c r="F1552" s="86">
        <f>H1542</f>
        <v>5.21E-2</v>
      </c>
      <c r="G1552" s="112" t="e">
        <f>F1552*E1552</f>
        <v>#VALUE!</v>
      </c>
      <c r="H1552" s="108"/>
    </row>
    <row r="1553" spans="1:15">
      <c r="A1553" s="517" t="s">
        <v>3904</v>
      </c>
      <c r="B1553" s="549">
        <f>VLOOKUP(A1553,'Equip, Herr y Transp'!$B$2:$E$738,2,0)</f>
        <v>2</v>
      </c>
      <c r="C1553" s="549"/>
      <c r="D1553" s="85">
        <f>VLOOKUP(A1553,'Equip, Herr y Transp'!$B$2:$E$217,2,0)</f>
        <v>2</v>
      </c>
      <c r="E1553" s="85" t="str">
        <f>VLOOKUP(A1553,'Equip, Herr y Transp'!$B$2:$E$217,3,0)</f>
        <v>EQU</v>
      </c>
      <c r="F1553" s="86">
        <f>H1542</f>
        <v>5.21E-2</v>
      </c>
      <c r="G1553" s="112" t="e">
        <f>F1553*E1553</f>
        <v>#VALUE!</v>
      </c>
      <c r="H1553" s="107"/>
    </row>
    <row r="1554" spans="1:15">
      <c r="A1554" s="517" t="s">
        <v>3937</v>
      </c>
      <c r="B1554" s="549">
        <f>VLOOKUP(A1554,'Equip, Herr y Transp'!$B$2:$E$738,2,0)</f>
        <v>2</v>
      </c>
      <c r="C1554" s="549"/>
      <c r="D1554" s="85">
        <f>VLOOKUP(A1554,'Equip, Herr y Transp'!$B$2:$E$217,2,0)</f>
        <v>2</v>
      </c>
      <c r="E1554" s="85" t="str">
        <f>VLOOKUP(A1554,'Equip, Herr y Transp'!$B$2:$E$217,3,0)</f>
        <v>EQU</v>
      </c>
      <c r="F1554" s="86">
        <f>H1542</f>
        <v>5.21E-2</v>
      </c>
      <c r="G1554" s="112" t="e">
        <f>F1554*E1554</f>
        <v>#VALUE!</v>
      </c>
      <c r="H1554" s="107"/>
    </row>
    <row r="1555" spans="1:15">
      <c r="A1555" s="520" t="s">
        <v>4099</v>
      </c>
      <c r="B1555" s="521"/>
      <c r="C1555" s="521"/>
      <c r="D1555" s="521"/>
      <c r="E1555" s="521"/>
      <c r="F1555" s="521"/>
      <c r="G1555" s="521"/>
      <c r="H1555" s="87" t="e">
        <f>SUM(G1552:G1554)</f>
        <v>#VALUE!</v>
      </c>
    </row>
    <row r="1556" spans="1:15">
      <c r="A1556" s="550" t="s">
        <v>4219</v>
      </c>
      <c r="B1556" s="551"/>
      <c r="C1556" s="551"/>
      <c r="D1556" s="551"/>
      <c r="E1556" s="551"/>
      <c r="F1556" s="551"/>
      <c r="G1556" s="551"/>
      <c r="H1556" s="552"/>
      <c r="K1556" s="50"/>
      <c r="L1556" s="50"/>
      <c r="M1556" s="50"/>
      <c r="N1556" s="50"/>
      <c r="O1556" s="50"/>
    </row>
    <row r="1557" spans="1:15" ht="30" customHeight="1">
      <c r="A1557" s="553" t="s">
        <v>7</v>
      </c>
      <c r="B1557" s="554"/>
      <c r="C1557" s="99" t="s">
        <v>0</v>
      </c>
      <c r="D1557" s="100" t="s">
        <v>4097</v>
      </c>
      <c r="E1557" s="101" t="s">
        <v>1</v>
      </c>
      <c r="F1557" s="555" t="s">
        <v>4207</v>
      </c>
      <c r="G1557" s="555"/>
      <c r="H1557" s="196"/>
      <c r="K1557" s="50"/>
      <c r="L1557" s="50"/>
      <c r="M1557" s="50"/>
      <c r="N1557" s="50"/>
      <c r="O1557" s="50"/>
    </row>
    <row r="1558" spans="1:15">
      <c r="A1558" s="535" t="s">
        <v>4672</v>
      </c>
      <c r="B1558" s="536"/>
      <c r="C1558" s="88">
        <f>VLOOKUP(A1558,'Materiales '!$C$2:$G$396,3,0)</f>
        <v>4</v>
      </c>
      <c r="D1558" s="89" t="str">
        <f>VLOOKUP(A1558,'Materiales '!$C$2:$G$396,4,0)</f>
        <v>Und</v>
      </c>
      <c r="E1558" s="90">
        <v>1</v>
      </c>
      <c r="F1558" s="508" t="e">
        <f>E1558*D1558</f>
        <v>#VALUE!</v>
      </c>
      <c r="G1558" s="519"/>
      <c r="H1558" s="111"/>
      <c r="I1558">
        <f>E1558*G1549</f>
        <v>0</v>
      </c>
      <c r="J1558" s="57"/>
      <c r="K1558" s="50"/>
      <c r="L1558" s="50"/>
      <c r="M1558" s="50"/>
      <c r="N1558" s="50"/>
      <c r="O1558" s="50"/>
    </row>
    <row r="1559" spans="1:15">
      <c r="A1559" s="535" t="s">
        <v>4203</v>
      </c>
      <c r="B1559" s="536"/>
      <c r="C1559" s="88">
        <f>VLOOKUP(A1559,'Materiales '!$C$2:$G$396,3,0)</f>
        <v>4</v>
      </c>
      <c r="D1559" s="89" t="str">
        <f>VLOOKUP(A1559,'Materiales '!$C$2:$G$396,4,0)</f>
        <v>Und</v>
      </c>
      <c r="E1559" s="90">
        <v>1</v>
      </c>
      <c r="F1559" s="508" t="e">
        <f t="shared" ref="F1559:F1565" si="91">E1559*D1559</f>
        <v>#VALUE!</v>
      </c>
      <c r="G1559" s="519"/>
      <c r="H1559" s="111"/>
      <c r="I1559">
        <f>E1559*G1549</f>
        <v>0</v>
      </c>
      <c r="J1559" s="57"/>
      <c r="K1559" s="50"/>
      <c r="L1559" s="50"/>
      <c r="M1559" s="50"/>
      <c r="N1559" s="50"/>
      <c r="O1559" s="50"/>
    </row>
    <row r="1560" spans="1:15">
      <c r="A1560" s="517" t="s">
        <v>4473</v>
      </c>
      <c r="B1560" s="518">
        <f>VLOOKUP(A1560,'Materiales '!$C$2:$G$396,3,0)</f>
        <v>4</v>
      </c>
      <c r="C1560" s="88">
        <f>VLOOKUP(A1560,'Materiales '!$C$2:$G$396,3,0)</f>
        <v>4</v>
      </c>
      <c r="D1560" s="89" t="str">
        <f>VLOOKUP(A1560,'Materiales '!$C$2:$G$396,4,0)</f>
        <v>Und</v>
      </c>
      <c r="E1560" s="90">
        <v>2</v>
      </c>
      <c r="F1560" s="508" t="e">
        <f t="shared" si="91"/>
        <v>#VALUE!</v>
      </c>
      <c r="G1560" s="519"/>
      <c r="H1560" s="111"/>
      <c r="I1560">
        <f>E1560*G1549</f>
        <v>0</v>
      </c>
      <c r="J1560" s="58"/>
      <c r="K1560" s="50"/>
      <c r="L1560" s="50"/>
      <c r="M1560" s="50"/>
      <c r="N1560" s="50"/>
      <c r="O1560" s="50"/>
    </row>
    <row r="1561" spans="1:15">
      <c r="A1561" s="517" t="s">
        <v>4478</v>
      </c>
      <c r="B1561" s="518">
        <f>VLOOKUP(A1561,'Materiales '!$C$2:$G$396,3,0)</f>
        <v>4</v>
      </c>
      <c r="C1561" s="88">
        <f>VLOOKUP(A1561,'Materiales '!$C$2:$G$396,3,0)</f>
        <v>4</v>
      </c>
      <c r="D1561" s="89" t="str">
        <f>VLOOKUP(A1561,'Materiales '!$C$2:$G$396,4,0)</f>
        <v>Und</v>
      </c>
      <c r="E1561" s="90">
        <v>3</v>
      </c>
      <c r="F1561" s="508" t="e">
        <f t="shared" si="91"/>
        <v>#VALUE!</v>
      </c>
      <c r="G1561" s="519"/>
      <c r="H1561" s="111"/>
      <c r="I1561">
        <f>E1561*G1549</f>
        <v>0</v>
      </c>
      <c r="J1561" s="58"/>
      <c r="K1561" s="50"/>
      <c r="L1561" s="50"/>
      <c r="M1561" s="50"/>
      <c r="N1561" s="50"/>
      <c r="O1561" s="50"/>
    </row>
    <row r="1562" spans="1:15">
      <c r="A1562" s="517" t="s">
        <v>4543</v>
      </c>
      <c r="B1562" s="518">
        <f>VLOOKUP(A1562,'Materiales '!$C$2:$G$396,3,0)</f>
        <v>4</v>
      </c>
      <c r="C1562" s="88">
        <f>VLOOKUP(A1562,'Materiales '!$C$2:$G$396,3,0)</f>
        <v>4</v>
      </c>
      <c r="D1562" s="89" t="str">
        <f>VLOOKUP(A1562,'Materiales '!$C$2:$G$396,4,0)</f>
        <v>Und</v>
      </c>
      <c r="E1562" s="90">
        <v>2</v>
      </c>
      <c r="F1562" s="508" t="e">
        <f t="shared" si="91"/>
        <v>#VALUE!</v>
      </c>
      <c r="G1562" s="519"/>
      <c r="H1562" s="111"/>
      <c r="I1562">
        <f>E1562*G1549</f>
        <v>0</v>
      </c>
      <c r="J1562" s="58"/>
      <c r="K1562" s="50"/>
      <c r="L1562" s="50"/>
      <c r="M1562" s="50"/>
      <c r="N1562" s="50"/>
      <c r="O1562" s="50"/>
    </row>
    <row r="1563" spans="1:15">
      <c r="A1563" s="517" t="s">
        <v>4439</v>
      </c>
      <c r="B1563" s="518">
        <f>VLOOKUP(A1563,'Materiales '!$C$2:$G$396,3,0)</f>
        <v>2</v>
      </c>
      <c r="C1563" s="88">
        <f>VLOOKUP(A1563,'Materiales '!$C$2:$G$396,3,0)</f>
        <v>2</v>
      </c>
      <c r="D1563" s="89" t="str">
        <f>VLOOKUP(A1563,'Materiales '!$C$2:$G$396,4,0)</f>
        <v>Ml</v>
      </c>
      <c r="E1563" s="90">
        <v>1</v>
      </c>
      <c r="F1563" s="508" t="e">
        <f t="shared" si="91"/>
        <v>#VALUE!</v>
      </c>
      <c r="G1563" s="519"/>
      <c r="H1563" s="111"/>
      <c r="I1563">
        <f>E1563*G1549</f>
        <v>0</v>
      </c>
      <c r="J1563" s="58"/>
      <c r="K1563" s="50"/>
      <c r="L1563" s="50"/>
      <c r="M1563" s="50"/>
      <c r="N1563" s="50"/>
      <c r="O1563" s="50"/>
    </row>
    <row r="1564" spans="1:15">
      <c r="A1564" s="517" t="s">
        <v>4482</v>
      </c>
      <c r="B1564" s="518">
        <f>VLOOKUP(A1564,'Materiales '!$C$2:$G$396,3,0)</f>
        <v>4</v>
      </c>
      <c r="C1564" s="88">
        <f>VLOOKUP(A1564,'Materiales '!$C$2:$G$396,3,0)</f>
        <v>4</v>
      </c>
      <c r="D1564" s="89" t="str">
        <f>VLOOKUP(A1564,'Materiales '!$C$2:$G$396,4,0)</f>
        <v>Und</v>
      </c>
      <c r="E1564" s="90">
        <v>3</v>
      </c>
      <c r="F1564" s="508" t="e">
        <f t="shared" si="91"/>
        <v>#VALUE!</v>
      </c>
      <c r="G1564" s="519"/>
      <c r="H1564" s="111"/>
      <c r="I1564">
        <f>E1564*G1549</f>
        <v>0</v>
      </c>
      <c r="J1564" s="58"/>
      <c r="K1564" s="50"/>
      <c r="L1564" s="50"/>
      <c r="M1564" s="50"/>
      <c r="N1564" s="50"/>
      <c r="O1564" s="50"/>
    </row>
    <row r="1565" spans="1:15" ht="21.75" customHeight="1">
      <c r="A1565" s="517" t="s">
        <v>4424</v>
      </c>
      <c r="B1565" s="518">
        <f>VLOOKUP(A1565,'Materiales '!$C$2:$G$396,3,0)</f>
        <v>4</v>
      </c>
      <c r="C1565" s="88">
        <f>VLOOKUP(A1565,'Materiales '!$C$2:$G$396,3,0)</f>
        <v>4</v>
      </c>
      <c r="D1565" s="89" t="str">
        <f>VLOOKUP(A1565,'Materiales '!$C$2:$G$396,4,0)</f>
        <v>Und</v>
      </c>
      <c r="E1565" s="90">
        <v>1</v>
      </c>
      <c r="F1565" s="508" t="e">
        <f t="shared" si="91"/>
        <v>#VALUE!</v>
      </c>
      <c r="G1565" s="519"/>
      <c r="H1565" s="111"/>
      <c r="I1565">
        <f>E1565*G1549</f>
        <v>0</v>
      </c>
      <c r="J1565" s="58"/>
      <c r="K1565" s="50"/>
      <c r="L1565" s="50"/>
      <c r="M1565" s="50"/>
      <c r="N1565" s="50"/>
      <c r="O1565" s="50"/>
    </row>
    <row r="1566" spans="1:15">
      <c r="A1566" s="517" t="s">
        <v>8</v>
      </c>
      <c r="B1566" s="518">
        <f>VLOOKUP(A1566,'Materiales '!$C$2:$G$396,3,0)</f>
        <v>0</v>
      </c>
      <c r="C1566" s="88">
        <f>VLOOKUP(A1566,'Materiales '!$C$2:$G$396,3,0)</f>
        <v>0</v>
      </c>
      <c r="D1566" s="89" t="str">
        <f>VLOOKUP(A1566,'Materiales '!$C$2:$G$396,4,0)</f>
        <v>-</v>
      </c>
      <c r="E1566" s="90"/>
      <c r="F1566" s="508" t="e">
        <f>E1566*D1566</f>
        <v>#VALUE!</v>
      </c>
      <c r="G1566" s="519"/>
      <c r="H1566" s="110"/>
      <c r="I1566">
        <f>E1566*G1549</f>
        <v>0</v>
      </c>
      <c r="J1566" s="58"/>
      <c r="K1566" s="50"/>
      <c r="L1566" s="50"/>
      <c r="M1566" s="50"/>
      <c r="N1566" s="50"/>
      <c r="O1566" s="50"/>
    </row>
    <row r="1567" spans="1:15">
      <c r="A1567" s="517" t="s">
        <v>8</v>
      </c>
      <c r="B1567" s="518">
        <f>VLOOKUP(A1567,'Materiales '!$C$2:$G$396,3,0)</f>
        <v>0</v>
      </c>
      <c r="C1567" s="88">
        <f>VLOOKUP(A1567,'Materiales '!$C$2:$G$396,3,0)</f>
        <v>0</v>
      </c>
      <c r="D1567" s="89" t="str">
        <f>VLOOKUP(A1567,'Materiales '!$C$2:$G$396,4,0)</f>
        <v>-</v>
      </c>
      <c r="E1567" s="90"/>
      <c r="F1567" s="508" t="e">
        <f t="shared" ref="F1567:F1570" si="92">E1567*D1567</f>
        <v>#VALUE!</v>
      </c>
      <c r="G1567" s="519"/>
      <c r="H1567" s="111"/>
      <c r="I1567">
        <f>E1567*G1549</f>
        <v>0</v>
      </c>
      <c r="J1567" s="58"/>
      <c r="K1567" s="50"/>
      <c r="L1567" s="50"/>
      <c r="M1567" s="50"/>
      <c r="N1567" s="50"/>
      <c r="O1567" s="50"/>
    </row>
    <row r="1568" spans="1:15">
      <c r="A1568" s="517" t="s">
        <v>8</v>
      </c>
      <c r="B1568" s="518">
        <f>VLOOKUP(A1568,'Materiales '!$C$2:$G$396,3,0)</f>
        <v>0</v>
      </c>
      <c r="C1568" s="88">
        <f>VLOOKUP(A1568,'Materiales '!$C$2:$G$396,3,0)</f>
        <v>0</v>
      </c>
      <c r="D1568" s="89" t="str">
        <f>VLOOKUP(A1568,'Materiales '!$C$2:$G$396,4,0)</f>
        <v>-</v>
      </c>
      <c r="E1568" s="90"/>
      <c r="F1568" s="508" t="e">
        <f t="shared" si="92"/>
        <v>#VALUE!</v>
      </c>
      <c r="G1568" s="519"/>
      <c r="H1568" s="111"/>
      <c r="I1568">
        <f>E1568*G1549</f>
        <v>0</v>
      </c>
      <c r="J1568" s="58"/>
      <c r="K1568" s="50"/>
      <c r="L1568" s="50"/>
      <c r="M1568" s="50"/>
      <c r="N1568" s="50"/>
      <c r="O1568" s="50"/>
    </row>
    <row r="1569" spans="1:15">
      <c r="A1569" s="517" t="s">
        <v>8</v>
      </c>
      <c r="B1569" s="518">
        <f>VLOOKUP(A1569,'Materiales '!$C$2:$G$396,3,0)</f>
        <v>0</v>
      </c>
      <c r="C1569" s="88">
        <f>VLOOKUP(A1569,'Materiales '!$C$2:$G$396,3,0)</f>
        <v>0</v>
      </c>
      <c r="D1569" s="89" t="str">
        <f>VLOOKUP(A1569,'Materiales '!$C$2:$G$396,4,0)</f>
        <v>-</v>
      </c>
      <c r="E1569" s="90"/>
      <c r="F1569" s="508" t="e">
        <f t="shared" si="92"/>
        <v>#VALUE!</v>
      </c>
      <c r="G1569" s="519"/>
      <c r="H1569" s="111"/>
      <c r="I1569">
        <f>E1569*G1549</f>
        <v>0</v>
      </c>
      <c r="J1569" s="58"/>
      <c r="K1569" s="50"/>
      <c r="L1569" s="50"/>
      <c r="M1569" s="50"/>
      <c r="N1569" s="50"/>
      <c r="O1569" s="50"/>
    </row>
    <row r="1570" spans="1:15">
      <c r="A1570" s="517" t="s">
        <v>8</v>
      </c>
      <c r="B1570" s="518">
        <f>VLOOKUP(A1570,'Materiales '!$C$2:$G$396,3,0)</f>
        <v>0</v>
      </c>
      <c r="C1570" s="88">
        <f>VLOOKUP(A1570,'Materiales '!$C$2:$G$396,3,0)</f>
        <v>0</v>
      </c>
      <c r="D1570" s="89" t="str">
        <f>VLOOKUP(A1570,'Materiales '!$C$2:$G$396,4,0)</f>
        <v>-</v>
      </c>
      <c r="E1570" s="90"/>
      <c r="F1570" s="508" t="e">
        <f t="shared" si="92"/>
        <v>#VALUE!</v>
      </c>
      <c r="G1570" s="519"/>
      <c r="H1570" s="111"/>
      <c r="I1570">
        <f>E1570*G1549</f>
        <v>0</v>
      </c>
      <c r="J1570" s="58"/>
      <c r="K1570" s="50"/>
      <c r="L1570" s="50"/>
      <c r="M1570" s="50"/>
      <c r="N1570" s="50"/>
      <c r="O1570" s="50"/>
    </row>
    <row r="1571" spans="1:15">
      <c r="A1571" s="517" t="s">
        <v>8</v>
      </c>
      <c r="B1571" s="518">
        <f>VLOOKUP(A1571,'Materiales '!$C$2:$G$396,3,0)</f>
        <v>0</v>
      </c>
      <c r="C1571" s="88">
        <f>VLOOKUP(A1571,'Materiales '!$C$2:$G$396,3,0)</f>
        <v>0</v>
      </c>
      <c r="D1571" s="89" t="str">
        <f>VLOOKUP(A1571,'Materiales '!$C$2:$G$396,4,0)</f>
        <v>-</v>
      </c>
      <c r="E1571" s="90"/>
      <c r="F1571" s="508" t="e">
        <f>E1571*D1571</f>
        <v>#VALUE!</v>
      </c>
      <c r="G1571" s="519"/>
      <c r="H1571" s="110"/>
      <c r="I1571">
        <f>E1571*G1549</f>
        <v>0</v>
      </c>
      <c r="J1571" s="58"/>
      <c r="K1571" s="50"/>
      <c r="L1571" s="50"/>
      <c r="M1571" s="50"/>
      <c r="N1571" s="50"/>
      <c r="O1571" s="50"/>
    </row>
    <row r="1572" spans="1:15">
      <c r="A1572" s="520" t="s">
        <v>4098</v>
      </c>
      <c r="B1572" s="521"/>
      <c r="C1572" s="521"/>
      <c r="D1572" s="521"/>
      <c r="E1572" s="521"/>
      <c r="F1572" s="521"/>
      <c r="G1572" s="522"/>
      <c r="H1572" s="106" t="e">
        <f>SUM(F1558:F1571)</f>
        <v>#VALUE!</v>
      </c>
      <c r="J1572" s="58"/>
      <c r="K1572" s="50"/>
      <c r="L1572" s="50"/>
      <c r="M1572" s="50"/>
      <c r="N1572" s="50"/>
      <c r="O1572" s="50"/>
    </row>
    <row r="1573" spans="1:15">
      <c r="A1573" s="523" t="s">
        <v>4220</v>
      </c>
      <c r="B1573" s="524"/>
      <c r="C1573" s="524"/>
      <c r="D1573" s="524"/>
      <c r="E1573" s="525"/>
      <c r="F1573" s="524"/>
      <c r="G1573" s="524"/>
      <c r="H1573" s="526"/>
      <c r="J1573" s="58"/>
      <c r="K1573" s="50"/>
      <c r="L1573" s="50"/>
      <c r="M1573" s="50"/>
      <c r="N1573" s="50"/>
      <c r="O1573" s="50"/>
    </row>
    <row r="1574" spans="1:15">
      <c r="A1574" s="527" t="s">
        <v>7</v>
      </c>
      <c r="B1574" s="528"/>
      <c r="C1574" s="98" t="s">
        <v>4221</v>
      </c>
      <c r="D1574" s="97" t="s">
        <v>4222</v>
      </c>
      <c r="E1574" s="187" t="s">
        <v>4223</v>
      </c>
      <c r="F1574" s="529" t="s">
        <v>4207</v>
      </c>
      <c r="G1574" s="529"/>
      <c r="H1574" s="109"/>
      <c r="K1574" s="50"/>
      <c r="L1574" s="50"/>
      <c r="M1574" s="50"/>
      <c r="N1574" s="50"/>
      <c r="O1574" s="50"/>
    </row>
    <row r="1575" spans="1:15">
      <c r="A1575" s="506" t="s">
        <v>3928</v>
      </c>
      <c r="B1575" s="507"/>
      <c r="C1575" s="213">
        <v>1</v>
      </c>
      <c r="D1575" s="92">
        <v>0.03</v>
      </c>
      <c r="E1575" s="93" t="str">
        <f>VLOOKUP(A1575,'Equip, Herr y Transp'!$B$2:$E$217,3,0)</f>
        <v>TR</v>
      </c>
      <c r="F1575" s="530" t="e">
        <f>E1575*D1575*C1575</f>
        <v>#VALUE!</v>
      </c>
      <c r="G1575" s="531"/>
      <c r="H1575" s="107"/>
      <c r="M1575" s="50"/>
    </row>
    <row r="1576" spans="1:15">
      <c r="A1576" s="532" t="s">
        <v>4205</v>
      </c>
      <c r="B1576" s="533"/>
      <c r="C1576" s="533"/>
      <c r="D1576" s="533"/>
      <c r="E1576" s="533"/>
      <c r="F1576" s="533"/>
      <c r="G1576" s="533"/>
      <c r="H1576" s="95" t="e">
        <f>F1575</f>
        <v>#VALUE!</v>
      </c>
    </row>
    <row r="1577" spans="1:15">
      <c r="A1577" s="523" t="s">
        <v>4224</v>
      </c>
      <c r="B1577" s="524"/>
      <c r="C1577" s="524"/>
      <c r="D1577" s="524"/>
      <c r="E1577" s="524"/>
      <c r="F1577" s="524"/>
      <c r="G1577" s="524"/>
      <c r="H1577" s="526"/>
    </row>
    <row r="1578" spans="1:15">
      <c r="A1578" s="527" t="s">
        <v>7</v>
      </c>
      <c r="B1578" s="528"/>
      <c r="C1578" s="96" t="s">
        <v>1</v>
      </c>
      <c r="D1578" s="97" t="s">
        <v>4225</v>
      </c>
      <c r="E1578" s="98" t="s">
        <v>4204</v>
      </c>
      <c r="F1578" s="527" t="s">
        <v>5</v>
      </c>
      <c r="G1578" s="534"/>
      <c r="H1578" s="109"/>
    </row>
    <row r="1579" spans="1:15">
      <c r="A1579" s="506" t="s">
        <v>4191</v>
      </c>
      <c r="B1579" s="507"/>
      <c r="C1579" s="91">
        <v>1</v>
      </c>
      <c r="D1579" s="94">
        <f>VLOOKUP(A1579,'Mano Obra'!$B$2:$T$117,19,0)</f>
        <v>152456</v>
      </c>
      <c r="E1579" s="218">
        <f>H1542</f>
        <v>5.21E-2</v>
      </c>
      <c r="F1579" s="508">
        <f>E1579*D1579*C1579</f>
        <v>7942.9575999999997</v>
      </c>
      <c r="G1579" s="509"/>
      <c r="H1579" s="111"/>
      <c r="I1579" s="59"/>
      <c r="J1579" s="117">
        <f>((('Mano Obra'!$M$4/30)*F1579)/D1579)*G1549</f>
        <v>0</v>
      </c>
    </row>
    <row r="1580" spans="1:15">
      <c r="A1580" s="510" t="s">
        <v>4192</v>
      </c>
      <c r="B1580" s="511">
        <f>VLOOKUP(A1580,'Mano Obra'!$B$3:$D$290,2,0)</f>
        <v>1900000</v>
      </c>
      <c r="C1580" s="91">
        <v>1</v>
      </c>
      <c r="D1580" s="94">
        <f>VLOOKUP(A1580,'Mano Obra'!$B$2:$T$117,19,0)</f>
        <v>110488</v>
      </c>
      <c r="E1580" s="218">
        <f>H1542</f>
        <v>5.21E-2</v>
      </c>
      <c r="F1580" s="508">
        <f t="shared" ref="F1580:F1581" si="93">E1580*D1580*C1580</f>
        <v>5756.4247999999998</v>
      </c>
      <c r="G1580" s="509"/>
      <c r="H1580" s="111"/>
      <c r="J1580" s="117">
        <f>((('Mano Obra'!$M$5/30)*F1580)/D1580)*G1549</f>
        <v>0</v>
      </c>
    </row>
    <row r="1581" spans="1:15">
      <c r="A1581" s="510" t="s">
        <v>4181</v>
      </c>
      <c r="B1581" s="511">
        <f>VLOOKUP(A1581,'Mano Obra'!$B$3:$D$290,2,0)</f>
        <v>1000000</v>
      </c>
      <c r="C1581" s="91">
        <v>1</v>
      </c>
      <c r="D1581" s="94">
        <f>VLOOKUP(A1581,'Mano Obra'!$B$2:$T$117,19,0)</f>
        <v>67424</v>
      </c>
      <c r="E1581" s="218">
        <f>H1542</f>
        <v>5.21E-2</v>
      </c>
      <c r="F1581" s="508">
        <f t="shared" si="93"/>
        <v>3512.7903999999999</v>
      </c>
      <c r="G1581" s="509"/>
      <c r="H1581" s="110"/>
      <c r="J1581" s="117">
        <f>((('Mano Obra'!$M$6/30)*F1581)/D1581)*G1549</f>
        <v>0</v>
      </c>
    </row>
    <row r="1582" spans="1:15">
      <c r="A1582" s="512" t="s">
        <v>4100</v>
      </c>
      <c r="B1582" s="512"/>
      <c r="C1582" s="512"/>
      <c r="D1582" s="512"/>
      <c r="E1582" s="512"/>
      <c r="F1582" s="512"/>
      <c r="G1582" s="512"/>
      <c r="H1582" s="95">
        <f>SUM(F1579:F1581)</f>
        <v>17212.1728</v>
      </c>
      <c r="J1582" s="117"/>
    </row>
    <row r="1583" spans="1:15">
      <c r="A1583" s="208" t="s">
        <v>4226</v>
      </c>
      <c r="B1583" s="186"/>
      <c r="C1583" s="186"/>
      <c r="D1583" s="183"/>
      <c r="E1583" s="184"/>
      <c r="F1583" s="185"/>
      <c r="G1583" s="184"/>
      <c r="H1583" s="193"/>
    </row>
    <row r="1584" spans="1:15">
      <c r="A1584" s="513" t="s">
        <v>4213</v>
      </c>
      <c r="B1584" s="514"/>
      <c r="C1584" s="514"/>
      <c r="D1584" s="514"/>
      <c r="E1584" s="181"/>
      <c r="F1584" s="182" t="s">
        <v>4227</v>
      </c>
      <c r="G1584" s="181" t="s">
        <v>4228</v>
      </c>
      <c r="H1584" s="194"/>
    </row>
    <row r="1585" spans="1:14">
      <c r="A1585" s="204" t="s">
        <v>4096</v>
      </c>
      <c r="B1585" s="62"/>
      <c r="C1585" s="62"/>
      <c r="D1585" s="63"/>
      <c r="E1585" s="68"/>
      <c r="F1585" s="69">
        <v>0</v>
      </c>
      <c r="G1585" s="70" t="e">
        <f>F1585*H1550</f>
        <v>#VALUE!</v>
      </c>
      <c r="H1585" s="193"/>
    </row>
    <row r="1586" spans="1:14">
      <c r="A1586" s="205" t="s">
        <v>4229</v>
      </c>
      <c r="B1586" s="71"/>
      <c r="C1586" s="71"/>
      <c r="D1586" s="72"/>
      <c r="E1586" s="68"/>
      <c r="F1586" s="69">
        <v>0</v>
      </c>
      <c r="G1586" s="70" t="e">
        <f>F1586*H1550</f>
        <v>#VALUE!</v>
      </c>
      <c r="H1586" s="193"/>
    </row>
    <row r="1587" spans="1:14">
      <c r="A1587" s="205" t="s">
        <v>4</v>
      </c>
      <c r="B1587" s="71"/>
      <c r="C1587" s="71"/>
      <c r="D1587" s="72"/>
      <c r="E1587" s="68"/>
      <c r="F1587" s="69">
        <v>0</v>
      </c>
      <c r="G1587" s="70" t="e">
        <f>F1587*H1550</f>
        <v>#VALUE!</v>
      </c>
      <c r="H1587" s="193"/>
    </row>
    <row r="1588" spans="1:14">
      <c r="A1588" s="206"/>
      <c r="B1588" s="73"/>
      <c r="C1588" s="65"/>
      <c r="D1588" s="74"/>
      <c r="E1588" s="75"/>
      <c r="F1588" s="76"/>
      <c r="G1588" s="77"/>
      <c r="H1588" s="195"/>
    </row>
    <row r="1589" spans="1:14">
      <c r="A1589" s="207"/>
      <c r="B1589" s="73"/>
      <c r="C1589" s="73"/>
      <c r="D1589" s="74"/>
      <c r="E1589" s="78"/>
      <c r="F1589" s="515" t="s">
        <v>4230</v>
      </c>
      <c r="G1589" s="516"/>
      <c r="H1589" s="214" t="e">
        <f>H1550+G1585+G1586+G1587</f>
        <v>#VALUE!</v>
      </c>
    </row>
    <row r="1590" spans="1:14">
      <c r="A1590" s="73"/>
      <c r="B1590" s="73"/>
      <c r="C1590" s="73"/>
      <c r="D1590" s="74"/>
      <c r="E1590" s="360"/>
      <c r="F1590" s="361"/>
      <c r="G1590" s="361"/>
      <c r="H1590" s="362"/>
    </row>
    <row r="1591" spans="1:14">
      <c r="A1591" s="80"/>
      <c r="B1591" s="80"/>
      <c r="C1591" s="80"/>
      <c r="D1591" s="80"/>
      <c r="E1591" s="80"/>
      <c r="F1591" s="80"/>
      <c r="G1591" s="80"/>
      <c r="H1591" s="353"/>
    </row>
    <row r="1592" spans="1:14">
      <c r="A1592" s="537" t="s">
        <v>4214</v>
      </c>
      <c r="B1592" s="538"/>
      <c r="C1592" s="538"/>
      <c r="D1592" s="538"/>
      <c r="E1592" s="538"/>
      <c r="F1592" s="538"/>
      <c r="G1592" s="538"/>
      <c r="H1592" s="539"/>
    </row>
    <row r="1593" spans="1:14">
      <c r="A1593" s="81"/>
      <c r="B1593" s="82"/>
      <c r="C1593" s="82"/>
      <c r="D1593" s="82"/>
      <c r="E1593" s="82"/>
      <c r="F1593" s="83"/>
      <c r="G1593" s="84"/>
      <c r="H1593" s="352">
        <f>ROUND((25/60)/8,4)</f>
        <v>5.21E-2</v>
      </c>
      <c r="I1593" s="105"/>
    </row>
    <row r="1594" spans="1:14">
      <c r="A1594" s="540" t="s">
        <v>4209</v>
      </c>
      <c r="B1594" s="542" t="str">
        <f>COSTOS!$C$14</f>
        <v>MODERNIZACION A TECNOLOGIA LED</v>
      </c>
      <c r="C1594" s="542"/>
      <c r="D1594" s="542"/>
      <c r="E1594" s="542"/>
      <c r="F1594" s="542"/>
      <c r="G1594" s="542"/>
      <c r="H1594" s="543" t="s">
        <v>4210</v>
      </c>
    </row>
    <row r="1595" spans="1:14">
      <c r="A1595" s="541"/>
      <c r="B1595" s="542"/>
      <c r="C1595" s="542"/>
      <c r="D1595" s="542"/>
      <c r="E1595" s="542"/>
      <c r="F1595" s="542"/>
      <c r="G1595" s="542"/>
      <c r="H1595" s="543"/>
    </row>
    <row r="1596" spans="1:14">
      <c r="A1596" s="541"/>
      <c r="B1596" s="542"/>
      <c r="C1596" s="542"/>
      <c r="D1596" s="542"/>
      <c r="E1596" s="542"/>
      <c r="F1596" s="542"/>
      <c r="G1596" s="542"/>
      <c r="H1596" s="543"/>
    </row>
    <row r="1597" spans="1:14" ht="15" customHeight="1">
      <c r="A1597" s="541"/>
      <c r="B1597" s="542"/>
      <c r="C1597" s="542"/>
      <c r="D1597" s="542"/>
      <c r="E1597" s="542"/>
      <c r="F1597" s="542"/>
      <c r="G1597" s="542"/>
      <c r="H1597" s="197">
        <f ca="1">TODAY()</f>
        <v>44889</v>
      </c>
      <c r="K1597" t="s">
        <v>4380</v>
      </c>
      <c r="L1597" t="s">
        <v>4381</v>
      </c>
      <c r="M1597" t="s">
        <v>4382</v>
      </c>
      <c r="N1597" t="s">
        <v>4383</v>
      </c>
    </row>
    <row r="1598" spans="1:14" ht="60.75" customHeight="1">
      <c r="A1598" s="209" t="s">
        <v>4211</v>
      </c>
      <c r="B1598" s="544" t="str">
        <f>COSTOS!$D$16</f>
        <v>Luminarias</v>
      </c>
      <c r="C1598" s="544"/>
      <c r="D1598" s="544"/>
      <c r="E1598" s="544"/>
      <c r="F1598" s="544"/>
      <c r="G1598" s="60" t="s">
        <v>4212</v>
      </c>
      <c r="H1598" s="363">
        <v>1.32</v>
      </c>
      <c r="K1598" s="55" t="e">
        <f>H1623</f>
        <v>#VALUE!</v>
      </c>
      <c r="L1598" s="55">
        <f>H1633</f>
        <v>17212.1728</v>
      </c>
      <c r="M1598" s="55" t="e">
        <f>H1606</f>
        <v>#VALUE!</v>
      </c>
      <c r="N1598" s="55" t="e">
        <f>H1627</f>
        <v>#VALUE!</v>
      </c>
    </row>
    <row r="1599" spans="1:14" ht="43.2" customHeight="1">
      <c r="A1599" s="210" t="s">
        <v>4213</v>
      </c>
      <c r="B1599" s="545" t="str">
        <f>VLOOKUP(H1598,COSTOS!C:M,2,0)</f>
        <v>Farol con luminaria fluorescente 32w</v>
      </c>
      <c r="C1599" s="546"/>
      <c r="D1599" s="546"/>
      <c r="E1599" s="547"/>
      <c r="F1599" s="61" t="s">
        <v>0</v>
      </c>
      <c r="G1599" s="328" t="str">
        <f>VLOOKUP(H1598,COSTOS!C:M,8,0)</f>
        <v>Und</v>
      </c>
      <c r="H1599" s="248"/>
      <c r="I1599" s="278"/>
      <c r="J1599" s="280"/>
      <c r="K1599" s="280"/>
      <c r="L1599" s="280"/>
    </row>
    <row r="1600" spans="1:14">
      <c r="A1600" s="211"/>
      <c r="B1600" s="102"/>
      <c r="C1600" s="102"/>
      <c r="D1600" s="102"/>
      <c r="E1600" s="103"/>
      <c r="F1600" s="104" t="s">
        <v>1</v>
      </c>
      <c r="G1600" s="328">
        <f>VLOOKUP(H1598,COSTOS!C:M,9,0)</f>
        <v>0</v>
      </c>
      <c r="H1600" s="329"/>
      <c r="I1600" s="279"/>
    </row>
    <row r="1601" spans="1:15">
      <c r="A1601" s="212" t="s">
        <v>4215</v>
      </c>
      <c r="B1601" s="65"/>
      <c r="C1601" s="65"/>
      <c r="D1601" s="66"/>
      <c r="E1601" s="190"/>
      <c r="F1601" s="191"/>
      <c r="G1601" s="192" t="s">
        <v>4216</v>
      </c>
      <c r="H1601" s="198" t="e">
        <f>H1606+H1623+H1627+H1633</f>
        <v>#VALUE!</v>
      </c>
    </row>
    <row r="1602" spans="1:15" ht="41.4">
      <c r="A1602" s="548" t="s">
        <v>4213</v>
      </c>
      <c r="B1602" s="548"/>
      <c r="C1602" s="548"/>
      <c r="D1602" s="67" t="s">
        <v>0</v>
      </c>
      <c r="E1602" s="188" t="s">
        <v>4217</v>
      </c>
      <c r="F1602" s="189" t="s">
        <v>4204</v>
      </c>
      <c r="G1602" s="64" t="s">
        <v>2</v>
      </c>
      <c r="H1602" s="199" t="s">
        <v>4218</v>
      </c>
      <c r="K1602" s="281"/>
    </row>
    <row r="1603" spans="1:15">
      <c r="A1603" s="517" t="s">
        <v>3946</v>
      </c>
      <c r="B1603" s="549">
        <f>VLOOKUP(A1603,'Equip, Herr y Transp'!$B$2:$E$738,2,0)</f>
        <v>2</v>
      </c>
      <c r="C1603" s="549"/>
      <c r="D1603" s="85">
        <f>VLOOKUP(A1603,'Equip, Herr y Transp'!$B$2:$E$217,2,0)</f>
        <v>2</v>
      </c>
      <c r="E1603" s="85" t="str">
        <f>VLOOKUP(A1603,'Equip, Herr y Transp'!$B$2:$E$217,3,0)</f>
        <v>EQU</v>
      </c>
      <c r="F1603" s="86">
        <f>H1593</f>
        <v>5.21E-2</v>
      </c>
      <c r="G1603" s="112" t="e">
        <f>F1603*E1603</f>
        <v>#VALUE!</v>
      </c>
      <c r="H1603" s="108"/>
    </row>
    <row r="1604" spans="1:15">
      <c r="A1604" s="517" t="s">
        <v>3904</v>
      </c>
      <c r="B1604" s="549">
        <f>VLOOKUP(A1604,'Equip, Herr y Transp'!$B$2:$E$738,2,0)</f>
        <v>2</v>
      </c>
      <c r="C1604" s="549"/>
      <c r="D1604" s="85">
        <f>VLOOKUP(A1604,'Equip, Herr y Transp'!$B$2:$E$217,2,0)</f>
        <v>2</v>
      </c>
      <c r="E1604" s="85" t="str">
        <f>VLOOKUP(A1604,'Equip, Herr y Transp'!$B$2:$E$217,3,0)</f>
        <v>EQU</v>
      </c>
      <c r="F1604" s="86">
        <f>H1593</f>
        <v>5.21E-2</v>
      </c>
      <c r="G1604" s="112" t="e">
        <f>F1604*E1604</f>
        <v>#VALUE!</v>
      </c>
      <c r="H1604" s="107"/>
    </row>
    <row r="1605" spans="1:15">
      <c r="A1605" s="517" t="s">
        <v>3937</v>
      </c>
      <c r="B1605" s="549">
        <f>VLOOKUP(A1605,'Equip, Herr y Transp'!$B$2:$E$738,2,0)</f>
        <v>2</v>
      </c>
      <c r="C1605" s="549"/>
      <c r="D1605" s="85">
        <f>VLOOKUP(A1605,'Equip, Herr y Transp'!$B$2:$E$217,2,0)</f>
        <v>2</v>
      </c>
      <c r="E1605" s="85" t="str">
        <f>VLOOKUP(A1605,'Equip, Herr y Transp'!$B$2:$E$217,3,0)</f>
        <v>EQU</v>
      </c>
      <c r="F1605" s="86">
        <f>H1593</f>
        <v>5.21E-2</v>
      </c>
      <c r="G1605" s="112" t="e">
        <f>F1605*E1605</f>
        <v>#VALUE!</v>
      </c>
      <c r="H1605" s="107"/>
    </row>
    <row r="1606" spans="1:15">
      <c r="A1606" s="520" t="s">
        <v>4099</v>
      </c>
      <c r="B1606" s="521"/>
      <c r="C1606" s="521"/>
      <c r="D1606" s="521"/>
      <c r="E1606" s="521"/>
      <c r="F1606" s="521"/>
      <c r="G1606" s="521"/>
      <c r="H1606" s="87" t="e">
        <f>SUM(G1603:G1605)</f>
        <v>#VALUE!</v>
      </c>
    </row>
    <row r="1607" spans="1:15">
      <c r="A1607" s="550" t="s">
        <v>4219</v>
      </c>
      <c r="B1607" s="551"/>
      <c r="C1607" s="551"/>
      <c r="D1607" s="551"/>
      <c r="E1607" s="551"/>
      <c r="F1607" s="551"/>
      <c r="G1607" s="551"/>
      <c r="H1607" s="552"/>
      <c r="K1607" s="50"/>
      <c r="L1607" s="50"/>
      <c r="M1607" s="50"/>
      <c r="N1607" s="50"/>
      <c r="O1607" s="50"/>
    </row>
    <row r="1608" spans="1:15" ht="30" customHeight="1">
      <c r="A1608" s="553" t="s">
        <v>7</v>
      </c>
      <c r="B1608" s="554"/>
      <c r="C1608" s="99" t="s">
        <v>0</v>
      </c>
      <c r="D1608" s="100" t="s">
        <v>4097</v>
      </c>
      <c r="E1608" s="101" t="s">
        <v>1</v>
      </c>
      <c r="F1608" s="555" t="s">
        <v>4207</v>
      </c>
      <c r="G1608" s="555"/>
      <c r="H1608" s="196"/>
      <c r="K1608" s="50"/>
      <c r="L1608" s="50"/>
      <c r="M1608" s="50"/>
      <c r="N1608" s="50"/>
      <c r="O1608" s="50"/>
    </row>
    <row r="1609" spans="1:15">
      <c r="A1609" s="535" t="s">
        <v>4673</v>
      </c>
      <c r="B1609" s="536"/>
      <c r="C1609" s="88">
        <f>VLOOKUP(A1609,'Materiales '!$C$2:$G$396,3,0)</f>
        <v>4</v>
      </c>
      <c r="D1609" s="89" t="str">
        <f>VLOOKUP(A1609,'Materiales '!$C$2:$G$396,4,0)</f>
        <v>Und</v>
      </c>
      <c r="E1609" s="90">
        <v>1</v>
      </c>
      <c r="F1609" s="508" t="e">
        <f>E1609*D1609</f>
        <v>#VALUE!</v>
      </c>
      <c r="G1609" s="519"/>
      <c r="H1609" s="111"/>
      <c r="I1609">
        <f>E1609*G1600</f>
        <v>0</v>
      </c>
      <c r="J1609" s="57"/>
      <c r="K1609" s="50"/>
      <c r="L1609" s="50"/>
      <c r="M1609" s="50"/>
      <c r="N1609" s="50"/>
      <c r="O1609" s="50"/>
    </row>
    <row r="1610" spans="1:15">
      <c r="A1610" s="535" t="s">
        <v>4203</v>
      </c>
      <c r="B1610" s="536"/>
      <c r="C1610" s="88">
        <f>VLOOKUP(A1610,'Materiales '!$C$2:$G$396,3,0)</f>
        <v>4</v>
      </c>
      <c r="D1610" s="89" t="str">
        <f>VLOOKUP(A1610,'Materiales '!$C$2:$G$396,4,0)</f>
        <v>Und</v>
      </c>
      <c r="E1610" s="90">
        <v>1</v>
      </c>
      <c r="F1610" s="508" t="e">
        <f t="shared" ref="F1610:F1616" si="94">E1610*D1610</f>
        <v>#VALUE!</v>
      </c>
      <c r="G1610" s="519"/>
      <c r="H1610" s="111"/>
      <c r="I1610">
        <f>E1610*G1600</f>
        <v>0</v>
      </c>
      <c r="J1610" s="57"/>
      <c r="K1610" s="50"/>
      <c r="L1610" s="50"/>
      <c r="M1610" s="50"/>
      <c r="N1610" s="50"/>
      <c r="O1610" s="50"/>
    </row>
    <row r="1611" spans="1:15">
      <c r="A1611" s="517" t="s">
        <v>4473</v>
      </c>
      <c r="B1611" s="518">
        <f>VLOOKUP(A1611,'Materiales '!$C$2:$G$396,3,0)</f>
        <v>4</v>
      </c>
      <c r="C1611" s="88">
        <f>VLOOKUP(A1611,'Materiales '!$C$2:$G$396,3,0)</f>
        <v>4</v>
      </c>
      <c r="D1611" s="89" t="str">
        <f>VLOOKUP(A1611,'Materiales '!$C$2:$G$396,4,0)</f>
        <v>Und</v>
      </c>
      <c r="E1611" s="90">
        <v>2</v>
      </c>
      <c r="F1611" s="508" t="e">
        <f t="shared" si="94"/>
        <v>#VALUE!</v>
      </c>
      <c r="G1611" s="519"/>
      <c r="H1611" s="111"/>
      <c r="I1611">
        <f>E1611*G1600</f>
        <v>0</v>
      </c>
      <c r="J1611" s="58"/>
      <c r="K1611" s="50"/>
      <c r="L1611" s="50"/>
      <c r="M1611" s="50"/>
      <c r="N1611" s="50"/>
      <c r="O1611" s="50"/>
    </row>
    <row r="1612" spans="1:15">
      <c r="A1612" s="517" t="s">
        <v>4478</v>
      </c>
      <c r="B1612" s="518">
        <f>VLOOKUP(A1612,'Materiales '!$C$2:$G$396,3,0)</f>
        <v>4</v>
      </c>
      <c r="C1612" s="88">
        <f>VLOOKUP(A1612,'Materiales '!$C$2:$G$396,3,0)</f>
        <v>4</v>
      </c>
      <c r="D1612" s="89" t="str">
        <f>VLOOKUP(A1612,'Materiales '!$C$2:$G$396,4,0)</f>
        <v>Und</v>
      </c>
      <c r="E1612" s="90">
        <v>3</v>
      </c>
      <c r="F1612" s="508" t="e">
        <f t="shared" si="94"/>
        <v>#VALUE!</v>
      </c>
      <c r="G1612" s="519"/>
      <c r="H1612" s="111"/>
      <c r="I1612">
        <f>E1612*G1600</f>
        <v>0</v>
      </c>
      <c r="J1612" s="58"/>
      <c r="K1612" s="50"/>
      <c r="L1612" s="50"/>
      <c r="M1612" s="50"/>
      <c r="N1612" s="50"/>
      <c r="O1612" s="50"/>
    </row>
    <row r="1613" spans="1:15">
      <c r="A1613" s="517" t="s">
        <v>4543</v>
      </c>
      <c r="B1613" s="518">
        <f>VLOOKUP(A1613,'Materiales '!$C$2:$G$396,3,0)</f>
        <v>4</v>
      </c>
      <c r="C1613" s="88">
        <f>VLOOKUP(A1613,'Materiales '!$C$2:$G$396,3,0)</f>
        <v>4</v>
      </c>
      <c r="D1613" s="89" t="str">
        <f>VLOOKUP(A1613,'Materiales '!$C$2:$G$396,4,0)</f>
        <v>Und</v>
      </c>
      <c r="E1613" s="90">
        <v>2</v>
      </c>
      <c r="F1613" s="508" t="e">
        <f t="shared" si="94"/>
        <v>#VALUE!</v>
      </c>
      <c r="G1613" s="519"/>
      <c r="H1613" s="111"/>
      <c r="I1613">
        <f>E1613*G1600</f>
        <v>0</v>
      </c>
      <c r="J1613" s="58"/>
      <c r="K1613" s="50"/>
      <c r="L1613" s="50"/>
      <c r="M1613" s="50"/>
      <c r="N1613" s="50"/>
      <c r="O1613" s="50"/>
    </row>
    <row r="1614" spans="1:15">
      <c r="A1614" s="517" t="s">
        <v>4439</v>
      </c>
      <c r="B1614" s="518">
        <f>VLOOKUP(A1614,'Materiales '!$C$2:$G$396,3,0)</f>
        <v>2</v>
      </c>
      <c r="C1614" s="88">
        <f>VLOOKUP(A1614,'Materiales '!$C$2:$G$396,3,0)</f>
        <v>2</v>
      </c>
      <c r="D1614" s="89" t="str">
        <f>VLOOKUP(A1614,'Materiales '!$C$2:$G$396,4,0)</f>
        <v>Ml</v>
      </c>
      <c r="E1614" s="90">
        <v>1</v>
      </c>
      <c r="F1614" s="508" t="e">
        <f t="shared" si="94"/>
        <v>#VALUE!</v>
      </c>
      <c r="G1614" s="519"/>
      <c r="H1614" s="111"/>
      <c r="I1614">
        <f>E1614*G1600</f>
        <v>0</v>
      </c>
      <c r="J1614" s="58"/>
      <c r="K1614" s="50"/>
      <c r="L1614" s="50"/>
      <c r="M1614" s="50"/>
      <c r="N1614" s="50"/>
      <c r="O1614" s="50"/>
    </row>
    <row r="1615" spans="1:15">
      <c r="A1615" s="517" t="s">
        <v>4482</v>
      </c>
      <c r="B1615" s="518">
        <f>VLOOKUP(A1615,'Materiales '!$C$2:$G$396,3,0)</f>
        <v>4</v>
      </c>
      <c r="C1615" s="88">
        <f>VLOOKUP(A1615,'Materiales '!$C$2:$G$396,3,0)</f>
        <v>4</v>
      </c>
      <c r="D1615" s="89" t="str">
        <f>VLOOKUP(A1615,'Materiales '!$C$2:$G$396,4,0)</f>
        <v>Und</v>
      </c>
      <c r="E1615" s="90">
        <v>3</v>
      </c>
      <c r="F1615" s="508" t="e">
        <f t="shared" si="94"/>
        <v>#VALUE!</v>
      </c>
      <c r="G1615" s="519"/>
      <c r="H1615" s="111"/>
      <c r="I1615">
        <f>E1615*G1600</f>
        <v>0</v>
      </c>
      <c r="J1615" s="58"/>
      <c r="K1615" s="50"/>
      <c r="L1615" s="50"/>
      <c r="M1615" s="50"/>
      <c r="N1615" s="50"/>
      <c r="O1615" s="50"/>
    </row>
    <row r="1616" spans="1:15" ht="21.75" customHeight="1">
      <c r="A1616" s="517" t="s">
        <v>4424</v>
      </c>
      <c r="B1616" s="518">
        <f>VLOOKUP(A1616,'Materiales '!$C$2:$G$396,3,0)</f>
        <v>4</v>
      </c>
      <c r="C1616" s="88">
        <f>VLOOKUP(A1616,'Materiales '!$C$2:$G$396,3,0)</f>
        <v>4</v>
      </c>
      <c r="D1616" s="89" t="str">
        <f>VLOOKUP(A1616,'Materiales '!$C$2:$G$396,4,0)</f>
        <v>Und</v>
      </c>
      <c r="E1616" s="90">
        <v>1</v>
      </c>
      <c r="F1616" s="508" t="e">
        <f t="shared" si="94"/>
        <v>#VALUE!</v>
      </c>
      <c r="G1616" s="519"/>
      <c r="H1616" s="111"/>
      <c r="I1616">
        <f>E1616*G1600</f>
        <v>0</v>
      </c>
      <c r="J1616" s="58"/>
      <c r="K1616" s="50"/>
      <c r="L1616" s="50"/>
      <c r="M1616" s="50"/>
      <c r="N1616" s="50"/>
      <c r="O1616" s="50"/>
    </row>
    <row r="1617" spans="1:15">
      <c r="A1617" s="517" t="s">
        <v>8</v>
      </c>
      <c r="B1617" s="518">
        <f>VLOOKUP(A1617,'Materiales '!$C$2:$G$396,3,0)</f>
        <v>0</v>
      </c>
      <c r="C1617" s="88">
        <f>VLOOKUP(A1617,'Materiales '!$C$2:$G$396,3,0)</f>
        <v>0</v>
      </c>
      <c r="D1617" s="89" t="str">
        <f>VLOOKUP(A1617,'Materiales '!$C$2:$G$396,4,0)</f>
        <v>-</v>
      </c>
      <c r="E1617" s="90"/>
      <c r="F1617" s="508" t="e">
        <f>E1617*D1617</f>
        <v>#VALUE!</v>
      </c>
      <c r="G1617" s="519"/>
      <c r="H1617" s="110"/>
      <c r="I1617">
        <f>E1617*G1600</f>
        <v>0</v>
      </c>
      <c r="J1617" s="58"/>
      <c r="K1617" s="50"/>
      <c r="L1617" s="50"/>
      <c r="M1617" s="50"/>
      <c r="N1617" s="50"/>
      <c r="O1617" s="50"/>
    </row>
    <row r="1618" spans="1:15">
      <c r="A1618" s="517" t="s">
        <v>8</v>
      </c>
      <c r="B1618" s="518">
        <f>VLOOKUP(A1618,'Materiales '!$C$2:$G$396,3,0)</f>
        <v>0</v>
      </c>
      <c r="C1618" s="88">
        <f>VLOOKUP(A1618,'Materiales '!$C$2:$G$396,3,0)</f>
        <v>0</v>
      </c>
      <c r="D1618" s="89" t="str">
        <f>VLOOKUP(A1618,'Materiales '!$C$2:$G$396,4,0)</f>
        <v>-</v>
      </c>
      <c r="E1618" s="90"/>
      <c r="F1618" s="508" t="e">
        <f t="shared" ref="F1618:F1621" si="95">E1618*D1618</f>
        <v>#VALUE!</v>
      </c>
      <c r="G1618" s="519"/>
      <c r="H1618" s="111"/>
      <c r="I1618">
        <f>E1618*G1600</f>
        <v>0</v>
      </c>
      <c r="J1618" s="58"/>
      <c r="K1618" s="50"/>
      <c r="L1618" s="50"/>
      <c r="M1618" s="50"/>
      <c r="N1618" s="50"/>
      <c r="O1618" s="50"/>
    </row>
    <row r="1619" spans="1:15">
      <c r="A1619" s="517" t="s">
        <v>8</v>
      </c>
      <c r="B1619" s="518">
        <f>VLOOKUP(A1619,'Materiales '!$C$2:$G$396,3,0)</f>
        <v>0</v>
      </c>
      <c r="C1619" s="88">
        <f>VLOOKUP(A1619,'Materiales '!$C$2:$G$396,3,0)</f>
        <v>0</v>
      </c>
      <c r="D1619" s="89" t="str">
        <f>VLOOKUP(A1619,'Materiales '!$C$2:$G$396,4,0)</f>
        <v>-</v>
      </c>
      <c r="E1619" s="90"/>
      <c r="F1619" s="508" t="e">
        <f t="shared" si="95"/>
        <v>#VALUE!</v>
      </c>
      <c r="G1619" s="519"/>
      <c r="H1619" s="111"/>
      <c r="I1619">
        <f>E1619*G1600</f>
        <v>0</v>
      </c>
      <c r="J1619" s="58"/>
      <c r="K1619" s="50"/>
      <c r="L1619" s="50"/>
      <c r="M1619" s="50"/>
      <c r="N1619" s="50"/>
      <c r="O1619" s="50"/>
    </row>
    <row r="1620" spans="1:15">
      <c r="A1620" s="517" t="s">
        <v>8</v>
      </c>
      <c r="B1620" s="518">
        <f>VLOOKUP(A1620,'Materiales '!$C$2:$G$396,3,0)</f>
        <v>0</v>
      </c>
      <c r="C1620" s="88">
        <f>VLOOKUP(A1620,'Materiales '!$C$2:$G$396,3,0)</f>
        <v>0</v>
      </c>
      <c r="D1620" s="89" t="str">
        <f>VLOOKUP(A1620,'Materiales '!$C$2:$G$396,4,0)</f>
        <v>-</v>
      </c>
      <c r="E1620" s="90"/>
      <c r="F1620" s="508" t="e">
        <f t="shared" si="95"/>
        <v>#VALUE!</v>
      </c>
      <c r="G1620" s="519"/>
      <c r="H1620" s="111"/>
      <c r="I1620">
        <f>E1620*G1600</f>
        <v>0</v>
      </c>
      <c r="J1620" s="58"/>
      <c r="K1620" s="50"/>
      <c r="L1620" s="50"/>
      <c r="M1620" s="50"/>
      <c r="N1620" s="50"/>
      <c r="O1620" s="50"/>
    </row>
    <row r="1621" spans="1:15">
      <c r="A1621" s="517" t="s">
        <v>8</v>
      </c>
      <c r="B1621" s="518">
        <f>VLOOKUP(A1621,'Materiales '!$C$2:$G$396,3,0)</f>
        <v>0</v>
      </c>
      <c r="C1621" s="88">
        <f>VLOOKUP(A1621,'Materiales '!$C$2:$G$396,3,0)</f>
        <v>0</v>
      </c>
      <c r="D1621" s="89" t="str">
        <f>VLOOKUP(A1621,'Materiales '!$C$2:$G$396,4,0)</f>
        <v>-</v>
      </c>
      <c r="E1621" s="90"/>
      <c r="F1621" s="508" t="e">
        <f t="shared" si="95"/>
        <v>#VALUE!</v>
      </c>
      <c r="G1621" s="519"/>
      <c r="H1621" s="111"/>
      <c r="I1621">
        <f>E1621*G1600</f>
        <v>0</v>
      </c>
      <c r="J1621" s="58"/>
      <c r="K1621" s="50"/>
      <c r="L1621" s="50"/>
      <c r="M1621" s="50"/>
      <c r="N1621" s="50"/>
      <c r="O1621" s="50"/>
    </row>
    <row r="1622" spans="1:15">
      <c r="A1622" s="517" t="s">
        <v>8</v>
      </c>
      <c r="B1622" s="518">
        <f>VLOOKUP(A1622,'Materiales '!$C$2:$G$396,3,0)</f>
        <v>0</v>
      </c>
      <c r="C1622" s="88">
        <f>VLOOKUP(A1622,'Materiales '!$C$2:$G$396,3,0)</f>
        <v>0</v>
      </c>
      <c r="D1622" s="89" t="str">
        <f>VLOOKUP(A1622,'Materiales '!$C$2:$G$396,4,0)</f>
        <v>-</v>
      </c>
      <c r="E1622" s="90"/>
      <c r="F1622" s="508" t="e">
        <f>E1622*D1622</f>
        <v>#VALUE!</v>
      </c>
      <c r="G1622" s="519"/>
      <c r="H1622" s="110"/>
      <c r="I1622">
        <f>E1622*G1600</f>
        <v>0</v>
      </c>
      <c r="J1622" s="58"/>
      <c r="K1622" s="50"/>
      <c r="L1622" s="50"/>
      <c r="M1622" s="50"/>
      <c r="N1622" s="50"/>
      <c r="O1622" s="50"/>
    </row>
    <row r="1623" spans="1:15">
      <c r="A1623" s="520" t="s">
        <v>4098</v>
      </c>
      <c r="B1623" s="521"/>
      <c r="C1623" s="521"/>
      <c r="D1623" s="521"/>
      <c r="E1623" s="521"/>
      <c r="F1623" s="521"/>
      <c r="G1623" s="522"/>
      <c r="H1623" s="106" t="e">
        <f>SUM(F1609:F1622)</f>
        <v>#VALUE!</v>
      </c>
      <c r="J1623" s="58"/>
      <c r="K1623" s="50"/>
      <c r="L1623" s="50"/>
      <c r="M1623" s="50"/>
      <c r="N1623" s="50"/>
      <c r="O1623" s="50"/>
    </row>
    <row r="1624" spans="1:15">
      <c r="A1624" s="523" t="s">
        <v>4220</v>
      </c>
      <c r="B1624" s="524"/>
      <c r="C1624" s="524"/>
      <c r="D1624" s="524"/>
      <c r="E1624" s="525"/>
      <c r="F1624" s="524"/>
      <c r="G1624" s="524"/>
      <c r="H1624" s="526"/>
      <c r="J1624" s="58"/>
      <c r="K1624" s="50"/>
      <c r="L1624" s="50"/>
      <c r="M1624" s="50"/>
      <c r="N1624" s="50"/>
      <c r="O1624" s="50"/>
    </row>
    <row r="1625" spans="1:15">
      <c r="A1625" s="527" t="s">
        <v>7</v>
      </c>
      <c r="B1625" s="528"/>
      <c r="C1625" s="98" t="s">
        <v>4221</v>
      </c>
      <c r="D1625" s="97" t="s">
        <v>4222</v>
      </c>
      <c r="E1625" s="187" t="s">
        <v>4223</v>
      </c>
      <c r="F1625" s="529" t="s">
        <v>4207</v>
      </c>
      <c r="G1625" s="529"/>
      <c r="H1625" s="109"/>
      <c r="K1625" s="50"/>
      <c r="L1625" s="50"/>
      <c r="M1625" s="50"/>
      <c r="N1625" s="50"/>
      <c r="O1625" s="50"/>
    </row>
    <row r="1626" spans="1:15">
      <c r="A1626" s="506" t="s">
        <v>3928</v>
      </c>
      <c r="B1626" s="507"/>
      <c r="C1626" s="213">
        <v>1</v>
      </c>
      <c r="D1626" s="92">
        <v>0.03</v>
      </c>
      <c r="E1626" s="93" t="str">
        <f>VLOOKUP(A1626,'Equip, Herr y Transp'!$B$2:$E$217,3,0)</f>
        <v>TR</v>
      </c>
      <c r="F1626" s="530" t="e">
        <f>E1626*D1626*C1626</f>
        <v>#VALUE!</v>
      </c>
      <c r="G1626" s="531"/>
      <c r="H1626" s="107"/>
      <c r="M1626" s="50"/>
    </row>
    <row r="1627" spans="1:15">
      <c r="A1627" s="532" t="s">
        <v>4205</v>
      </c>
      <c r="B1627" s="533"/>
      <c r="C1627" s="533"/>
      <c r="D1627" s="533"/>
      <c r="E1627" s="533"/>
      <c r="F1627" s="533"/>
      <c r="G1627" s="533"/>
      <c r="H1627" s="95" t="e">
        <f>F1626</f>
        <v>#VALUE!</v>
      </c>
    </row>
    <row r="1628" spans="1:15">
      <c r="A1628" s="523" t="s">
        <v>4224</v>
      </c>
      <c r="B1628" s="524"/>
      <c r="C1628" s="524"/>
      <c r="D1628" s="524"/>
      <c r="E1628" s="524"/>
      <c r="F1628" s="524"/>
      <c r="G1628" s="524"/>
      <c r="H1628" s="526"/>
    </row>
    <row r="1629" spans="1:15">
      <c r="A1629" s="527" t="s">
        <v>7</v>
      </c>
      <c r="B1629" s="528"/>
      <c r="C1629" s="96" t="s">
        <v>1</v>
      </c>
      <c r="D1629" s="97" t="s">
        <v>4225</v>
      </c>
      <c r="E1629" s="98" t="s">
        <v>4204</v>
      </c>
      <c r="F1629" s="527" t="s">
        <v>5</v>
      </c>
      <c r="G1629" s="534"/>
      <c r="H1629" s="109"/>
    </row>
    <row r="1630" spans="1:15">
      <c r="A1630" s="506" t="s">
        <v>4191</v>
      </c>
      <c r="B1630" s="507"/>
      <c r="C1630" s="91">
        <v>1</v>
      </c>
      <c r="D1630" s="94">
        <f>VLOOKUP(A1630,'Mano Obra'!$B$2:$T$117,19,0)</f>
        <v>152456</v>
      </c>
      <c r="E1630" s="218">
        <f>H1593</f>
        <v>5.21E-2</v>
      </c>
      <c r="F1630" s="508">
        <f>E1630*D1630*C1630</f>
        <v>7942.9575999999997</v>
      </c>
      <c r="G1630" s="509"/>
      <c r="H1630" s="111"/>
      <c r="I1630" s="59"/>
      <c r="J1630" s="117">
        <f>((('Mano Obra'!$M$4/30)*F1630)/D1630)*G1600</f>
        <v>0</v>
      </c>
    </row>
    <row r="1631" spans="1:15">
      <c r="A1631" s="510" t="s">
        <v>4192</v>
      </c>
      <c r="B1631" s="511">
        <f>VLOOKUP(A1631,'Mano Obra'!$B$3:$D$290,2,0)</f>
        <v>1900000</v>
      </c>
      <c r="C1631" s="91">
        <v>1</v>
      </c>
      <c r="D1631" s="94">
        <f>VLOOKUP(A1631,'Mano Obra'!$B$2:$T$117,19,0)</f>
        <v>110488</v>
      </c>
      <c r="E1631" s="218">
        <f>H1593</f>
        <v>5.21E-2</v>
      </c>
      <c r="F1631" s="508">
        <f t="shared" ref="F1631:F1632" si="96">E1631*D1631*C1631</f>
        <v>5756.4247999999998</v>
      </c>
      <c r="G1631" s="509"/>
      <c r="H1631" s="111"/>
      <c r="J1631" s="117">
        <f>((('Mano Obra'!$M$5/30)*F1631)/D1631)*G1600</f>
        <v>0</v>
      </c>
    </row>
    <row r="1632" spans="1:15">
      <c r="A1632" s="510" t="s">
        <v>4181</v>
      </c>
      <c r="B1632" s="511">
        <f>VLOOKUP(A1632,'Mano Obra'!$B$3:$D$290,2,0)</f>
        <v>1000000</v>
      </c>
      <c r="C1632" s="91">
        <v>1</v>
      </c>
      <c r="D1632" s="94">
        <f>VLOOKUP(A1632,'Mano Obra'!$B$2:$T$117,19,0)</f>
        <v>67424</v>
      </c>
      <c r="E1632" s="218">
        <f>H1593</f>
        <v>5.21E-2</v>
      </c>
      <c r="F1632" s="508">
        <f t="shared" si="96"/>
        <v>3512.7903999999999</v>
      </c>
      <c r="G1632" s="509"/>
      <c r="H1632" s="110"/>
      <c r="J1632" s="117">
        <f>((('Mano Obra'!$M$6/30)*F1632)/D1632)*G1600</f>
        <v>0</v>
      </c>
    </row>
    <row r="1633" spans="1:14">
      <c r="A1633" s="512" t="s">
        <v>4100</v>
      </c>
      <c r="B1633" s="512"/>
      <c r="C1633" s="512"/>
      <c r="D1633" s="512"/>
      <c r="E1633" s="512"/>
      <c r="F1633" s="512"/>
      <c r="G1633" s="512"/>
      <c r="H1633" s="95">
        <f>SUM(F1630:F1632)</f>
        <v>17212.1728</v>
      </c>
      <c r="J1633" s="117"/>
    </row>
    <row r="1634" spans="1:14">
      <c r="A1634" s="208" t="s">
        <v>4226</v>
      </c>
      <c r="B1634" s="186"/>
      <c r="C1634" s="186"/>
      <c r="D1634" s="183"/>
      <c r="E1634" s="184"/>
      <c r="F1634" s="185"/>
      <c r="G1634" s="184"/>
      <c r="H1634" s="193"/>
    </row>
    <row r="1635" spans="1:14">
      <c r="A1635" s="513" t="s">
        <v>4213</v>
      </c>
      <c r="B1635" s="514"/>
      <c r="C1635" s="514"/>
      <c r="D1635" s="514"/>
      <c r="E1635" s="181"/>
      <c r="F1635" s="182" t="s">
        <v>4227</v>
      </c>
      <c r="G1635" s="181" t="s">
        <v>4228</v>
      </c>
      <c r="H1635" s="194"/>
    </row>
    <row r="1636" spans="1:14">
      <c r="A1636" s="204" t="s">
        <v>4096</v>
      </c>
      <c r="B1636" s="62"/>
      <c r="C1636" s="62"/>
      <c r="D1636" s="63"/>
      <c r="E1636" s="68"/>
      <c r="F1636" s="69">
        <v>0</v>
      </c>
      <c r="G1636" s="70" t="e">
        <f>F1636*H1601</f>
        <v>#VALUE!</v>
      </c>
      <c r="H1636" s="193"/>
    </row>
    <row r="1637" spans="1:14">
      <c r="A1637" s="205" t="s">
        <v>4229</v>
      </c>
      <c r="B1637" s="71"/>
      <c r="C1637" s="71"/>
      <c r="D1637" s="72"/>
      <c r="E1637" s="68"/>
      <c r="F1637" s="69">
        <v>0</v>
      </c>
      <c r="G1637" s="70" t="e">
        <f>F1637*H1601</f>
        <v>#VALUE!</v>
      </c>
      <c r="H1637" s="193"/>
    </row>
    <row r="1638" spans="1:14">
      <c r="A1638" s="205" t="s">
        <v>4</v>
      </c>
      <c r="B1638" s="71"/>
      <c r="C1638" s="71"/>
      <c r="D1638" s="72"/>
      <c r="E1638" s="68"/>
      <c r="F1638" s="69">
        <v>0</v>
      </c>
      <c r="G1638" s="70" t="e">
        <f>F1638*H1601</f>
        <v>#VALUE!</v>
      </c>
      <c r="H1638" s="193"/>
    </row>
    <row r="1639" spans="1:14">
      <c r="A1639" s="206"/>
      <c r="B1639" s="73"/>
      <c r="C1639" s="65"/>
      <c r="D1639" s="74"/>
      <c r="E1639" s="75"/>
      <c r="F1639" s="76"/>
      <c r="G1639" s="77"/>
      <c r="H1639" s="195"/>
    </row>
    <row r="1640" spans="1:14">
      <c r="A1640" s="207"/>
      <c r="B1640" s="73"/>
      <c r="C1640" s="73"/>
      <c r="D1640" s="74"/>
      <c r="E1640" s="78"/>
      <c r="F1640" s="515" t="s">
        <v>4230</v>
      </c>
      <c r="G1640" s="516"/>
      <c r="H1640" s="214" t="e">
        <f>H1601+G1636+G1637+G1638</f>
        <v>#VALUE!</v>
      </c>
    </row>
    <row r="1641" spans="1:14">
      <c r="A1641" s="73"/>
      <c r="B1641" s="73"/>
      <c r="C1641" s="73"/>
      <c r="D1641" s="74"/>
      <c r="E1641" s="360"/>
      <c r="F1641" s="361"/>
      <c r="G1641" s="361"/>
      <c r="H1641" s="362"/>
    </row>
    <row r="1642" spans="1:14">
      <c r="A1642" s="80"/>
      <c r="B1642" s="80"/>
      <c r="C1642" s="80"/>
      <c r="D1642" s="80"/>
      <c r="E1642" s="80"/>
      <c r="F1642" s="80"/>
      <c r="G1642" s="80"/>
      <c r="H1642" s="353"/>
    </row>
    <row r="1643" spans="1:14">
      <c r="A1643" s="537" t="s">
        <v>4214</v>
      </c>
      <c r="B1643" s="538"/>
      <c r="C1643" s="538"/>
      <c r="D1643" s="538"/>
      <c r="E1643" s="538"/>
      <c r="F1643" s="538"/>
      <c r="G1643" s="538"/>
      <c r="H1643" s="539"/>
    </row>
    <row r="1644" spans="1:14">
      <c r="A1644" s="81"/>
      <c r="B1644" s="82"/>
      <c r="C1644" s="82"/>
      <c r="D1644" s="82"/>
      <c r="E1644" s="82"/>
      <c r="F1644" s="83"/>
      <c r="G1644" s="84"/>
      <c r="H1644" s="352">
        <f>ROUND((25/60)/8,4)</f>
        <v>5.21E-2</v>
      </c>
      <c r="I1644" s="105"/>
    </row>
    <row r="1645" spans="1:14">
      <c r="A1645" s="540" t="s">
        <v>4209</v>
      </c>
      <c r="B1645" s="542" t="str">
        <f>COSTOS!$C$14</f>
        <v>MODERNIZACION A TECNOLOGIA LED</v>
      </c>
      <c r="C1645" s="542"/>
      <c r="D1645" s="542"/>
      <c r="E1645" s="542"/>
      <c r="F1645" s="542"/>
      <c r="G1645" s="542"/>
      <c r="H1645" s="543" t="s">
        <v>4210</v>
      </c>
    </row>
    <row r="1646" spans="1:14">
      <c r="A1646" s="541"/>
      <c r="B1646" s="542"/>
      <c r="C1646" s="542"/>
      <c r="D1646" s="542"/>
      <c r="E1646" s="542"/>
      <c r="F1646" s="542"/>
      <c r="G1646" s="542"/>
      <c r="H1646" s="543"/>
    </row>
    <row r="1647" spans="1:14">
      <c r="A1647" s="541"/>
      <c r="B1647" s="542"/>
      <c r="C1647" s="542"/>
      <c r="D1647" s="542"/>
      <c r="E1647" s="542"/>
      <c r="F1647" s="542"/>
      <c r="G1647" s="542"/>
      <c r="H1647" s="543"/>
    </row>
    <row r="1648" spans="1:14" ht="15" customHeight="1">
      <c r="A1648" s="541"/>
      <c r="B1648" s="542"/>
      <c r="C1648" s="542"/>
      <c r="D1648" s="542"/>
      <c r="E1648" s="542"/>
      <c r="F1648" s="542"/>
      <c r="G1648" s="542"/>
      <c r="H1648" s="197">
        <f ca="1">TODAY()</f>
        <v>44889</v>
      </c>
      <c r="K1648" t="s">
        <v>4380</v>
      </c>
      <c r="L1648" t="s">
        <v>4381</v>
      </c>
      <c r="M1648" t="s">
        <v>4382</v>
      </c>
      <c r="N1648" t="s">
        <v>4383</v>
      </c>
    </row>
    <row r="1649" spans="1:15" ht="60.75" customHeight="1">
      <c r="A1649" s="209" t="s">
        <v>4211</v>
      </c>
      <c r="B1649" s="544" t="str">
        <f>COSTOS!$D$16</f>
        <v>Luminarias</v>
      </c>
      <c r="C1649" s="544"/>
      <c r="D1649" s="544"/>
      <c r="E1649" s="544"/>
      <c r="F1649" s="544"/>
      <c r="G1649" s="60" t="s">
        <v>4212</v>
      </c>
      <c r="H1649" s="363">
        <v>1.33</v>
      </c>
      <c r="K1649" s="55" t="e">
        <f>H1674</f>
        <v>#VALUE!</v>
      </c>
      <c r="L1649" s="55">
        <f>H1684</f>
        <v>17212.1728</v>
      </c>
      <c r="M1649" s="55" t="e">
        <f>H1657</f>
        <v>#VALUE!</v>
      </c>
      <c r="N1649" s="55" t="e">
        <f>H1678</f>
        <v>#VALUE!</v>
      </c>
    </row>
    <row r="1650" spans="1:15" ht="43.2" customHeight="1">
      <c r="A1650" s="210" t="s">
        <v>4213</v>
      </c>
      <c r="B1650" s="545" t="str">
        <f>VLOOKUP(H1649,COSTOS!C:M,2,0)</f>
        <v>Luminaria con bombillo fluorescente 32w</v>
      </c>
      <c r="C1650" s="546"/>
      <c r="D1650" s="546"/>
      <c r="E1650" s="547"/>
      <c r="F1650" s="61" t="s">
        <v>0</v>
      </c>
      <c r="G1650" s="328" t="str">
        <f>VLOOKUP(H1649,COSTOS!C:M,8,0)</f>
        <v>Und</v>
      </c>
      <c r="H1650" s="248"/>
      <c r="I1650" s="278"/>
      <c r="J1650" s="280"/>
      <c r="K1650" s="280"/>
      <c r="L1650" s="280"/>
    </row>
    <row r="1651" spans="1:15">
      <c r="A1651" s="211"/>
      <c r="B1651" s="102"/>
      <c r="C1651" s="102"/>
      <c r="D1651" s="102"/>
      <c r="E1651" s="103"/>
      <c r="F1651" s="104" t="s">
        <v>1</v>
      </c>
      <c r="G1651" s="328">
        <f>VLOOKUP(H1649,COSTOS!C:M,9,0)</f>
        <v>0</v>
      </c>
      <c r="H1651" s="329"/>
      <c r="I1651" s="279"/>
    </row>
    <row r="1652" spans="1:15">
      <c r="A1652" s="212" t="s">
        <v>4215</v>
      </c>
      <c r="B1652" s="65"/>
      <c r="C1652" s="65"/>
      <c r="D1652" s="66"/>
      <c r="E1652" s="190"/>
      <c r="F1652" s="191"/>
      <c r="G1652" s="192" t="s">
        <v>4216</v>
      </c>
      <c r="H1652" s="198" t="e">
        <f>H1657+H1674+H1678+H1684</f>
        <v>#VALUE!</v>
      </c>
    </row>
    <row r="1653" spans="1:15" ht="41.4">
      <c r="A1653" s="548" t="s">
        <v>4213</v>
      </c>
      <c r="B1653" s="548"/>
      <c r="C1653" s="548"/>
      <c r="D1653" s="67" t="s">
        <v>0</v>
      </c>
      <c r="E1653" s="188" t="s">
        <v>4217</v>
      </c>
      <c r="F1653" s="189" t="s">
        <v>4204</v>
      </c>
      <c r="G1653" s="64" t="s">
        <v>2</v>
      </c>
      <c r="H1653" s="199" t="s">
        <v>4218</v>
      </c>
      <c r="K1653" s="281"/>
    </row>
    <row r="1654" spans="1:15">
      <c r="A1654" s="517" t="s">
        <v>3946</v>
      </c>
      <c r="B1654" s="549">
        <f>VLOOKUP(A1654,'Equip, Herr y Transp'!$B$2:$E$738,2,0)</f>
        <v>2</v>
      </c>
      <c r="C1654" s="549"/>
      <c r="D1654" s="85">
        <f>VLOOKUP(A1654,'Equip, Herr y Transp'!$B$2:$E$217,2,0)</f>
        <v>2</v>
      </c>
      <c r="E1654" s="85" t="str">
        <f>VLOOKUP(A1654,'Equip, Herr y Transp'!$B$2:$E$217,3,0)</f>
        <v>EQU</v>
      </c>
      <c r="F1654" s="86">
        <f>H1644</f>
        <v>5.21E-2</v>
      </c>
      <c r="G1654" s="112" t="e">
        <f>F1654*E1654</f>
        <v>#VALUE!</v>
      </c>
      <c r="H1654" s="108"/>
    </row>
    <row r="1655" spans="1:15">
      <c r="A1655" s="517" t="s">
        <v>3904</v>
      </c>
      <c r="B1655" s="549">
        <f>VLOOKUP(A1655,'Equip, Herr y Transp'!$B$2:$E$738,2,0)</f>
        <v>2</v>
      </c>
      <c r="C1655" s="549"/>
      <c r="D1655" s="85">
        <f>VLOOKUP(A1655,'Equip, Herr y Transp'!$B$2:$E$217,2,0)</f>
        <v>2</v>
      </c>
      <c r="E1655" s="85" t="str">
        <f>VLOOKUP(A1655,'Equip, Herr y Transp'!$B$2:$E$217,3,0)</f>
        <v>EQU</v>
      </c>
      <c r="F1655" s="86">
        <f>H1644</f>
        <v>5.21E-2</v>
      </c>
      <c r="G1655" s="112" t="e">
        <f>F1655*E1655</f>
        <v>#VALUE!</v>
      </c>
      <c r="H1655" s="107"/>
    </row>
    <row r="1656" spans="1:15">
      <c r="A1656" s="517" t="s">
        <v>3937</v>
      </c>
      <c r="B1656" s="549">
        <f>VLOOKUP(A1656,'Equip, Herr y Transp'!$B$2:$E$738,2,0)</f>
        <v>2</v>
      </c>
      <c r="C1656" s="549"/>
      <c r="D1656" s="85">
        <f>VLOOKUP(A1656,'Equip, Herr y Transp'!$B$2:$E$217,2,0)</f>
        <v>2</v>
      </c>
      <c r="E1656" s="85" t="str">
        <f>VLOOKUP(A1656,'Equip, Herr y Transp'!$B$2:$E$217,3,0)</f>
        <v>EQU</v>
      </c>
      <c r="F1656" s="86">
        <f>H1644</f>
        <v>5.21E-2</v>
      </c>
      <c r="G1656" s="112" t="e">
        <f>F1656*E1656</f>
        <v>#VALUE!</v>
      </c>
      <c r="H1656" s="107"/>
    </row>
    <row r="1657" spans="1:15">
      <c r="A1657" s="520" t="s">
        <v>4099</v>
      </c>
      <c r="B1657" s="521"/>
      <c r="C1657" s="521"/>
      <c r="D1657" s="521"/>
      <c r="E1657" s="521"/>
      <c r="F1657" s="521"/>
      <c r="G1657" s="521"/>
      <c r="H1657" s="87" t="e">
        <f>SUM(G1654:G1656)</f>
        <v>#VALUE!</v>
      </c>
    </row>
    <row r="1658" spans="1:15">
      <c r="A1658" s="550" t="s">
        <v>4219</v>
      </c>
      <c r="B1658" s="551"/>
      <c r="C1658" s="551"/>
      <c r="D1658" s="551"/>
      <c r="E1658" s="551"/>
      <c r="F1658" s="551"/>
      <c r="G1658" s="551"/>
      <c r="H1658" s="552"/>
      <c r="K1658" s="50"/>
      <c r="L1658" s="50"/>
      <c r="M1658" s="50"/>
      <c r="N1658" s="50"/>
      <c r="O1658" s="50"/>
    </row>
    <row r="1659" spans="1:15" ht="30" customHeight="1">
      <c r="A1659" s="553" t="s">
        <v>7</v>
      </c>
      <c r="B1659" s="554"/>
      <c r="C1659" s="99" t="s">
        <v>0</v>
      </c>
      <c r="D1659" s="100" t="s">
        <v>4097</v>
      </c>
      <c r="E1659" s="101" t="s">
        <v>1</v>
      </c>
      <c r="F1659" s="555" t="s">
        <v>4207</v>
      </c>
      <c r="G1659" s="555"/>
      <c r="H1659" s="196"/>
      <c r="K1659" s="50"/>
      <c r="L1659" s="50"/>
      <c r="M1659" s="50"/>
      <c r="N1659" s="50"/>
      <c r="O1659" s="50"/>
    </row>
    <row r="1660" spans="1:15">
      <c r="A1660" s="535" t="s">
        <v>4674</v>
      </c>
      <c r="B1660" s="536"/>
      <c r="C1660" s="88">
        <f>VLOOKUP(A1660,'Materiales '!$C$2:$G$396,3,0)</f>
        <v>4</v>
      </c>
      <c r="D1660" s="89" t="str">
        <f>VLOOKUP(A1660,'Materiales '!$C$2:$G$396,4,0)</f>
        <v>Und</v>
      </c>
      <c r="E1660" s="90">
        <v>1</v>
      </c>
      <c r="F1660" s="508" t="e">
        <f>E1660*D1660</f>
        <v>#VALUE!</v>
      </c>
      <c r="G1660" s="519"/>
      <c r="H1660" s="111"/>
      <c r="I1660">
        <f>E1660*G1651</f>
        <v>0</v>
      </c>
      <c r="J1660" s="57"/>
      <c r="K1660" s="50"/>
      <c r="L1660" s="50"/>
      <c r="M1660" s="50"/>
      <c r="N1660" s="50"/>
      <c r="O1660" s="50"/>
    </row>
    <row r="1661" spans="1:15">
      <c r="A1661" s="535" t="s">
        <v>4203</v>
      </c>
      <c r="B1661" s="536"/>
      <c r="C1661" s="88">
        <f>VLOOKUP(A1661,'Materiales '!$C$2:$G$396,3,0)</f>
        <v>4</v>
      </c>
      <c r="D1661" s="89" t="str">
        <f>VLOOKUP(A1661,'Materiales '!$C$2:$G$396,4,0)</f>
        <v>Und</v>
      </c>
      <c r="E1661" s="90">
        <v>1</v>
      </c>
      <c r="F1661" s="508" t="e">
        <f t="shared" ref="F1661:F1667" si="97">E1661*D1661</f>
        <v>#VALUE!</v>
      </c>
      <c r="G1661" s="519"/>
      <c r="H1661" s="111"/>
      <c r="I1661">
        <f>E1661*G1651</f>
        <v>0</v>
      </c>
      <c r="J1661" s="57"/>
      <c r="K1661" s="50"/>
      <c r="L1661" s="50"/>
      <c r="M1661" s="50"/>
      <c r="N1661" s="50"/>
      <c r="O1661" s="50"/>
    </row>
    <row r="1662" spans="1:15">
      <c r="A1662" s="517" t="s">
        <v>4473</v>
      </c>
      <c r="B1662" s="518">
        <f>VLOOKUP(A1662,'Materiales '!$C$2:$G$396,3,0)</f>
        <v>4</v>
      </c>
      <c r="C1662" s="88">
        <f>VLOOKUP(A1662,'Materiales '!$C$2:$G$396,3,0)</f>
        <v>4</v>
      </c>
      <c r="D1662" s="89" t="str">
        <f>VLOOKUP(A1662,'Materiales '!$C$2:$G$396,4,0)</f>
        <v>Und</v>
      </c>
      <c r="E1662" s="90">
        <v>2</v>
      </c>
      <c r="F1662" s="508" t="e">
        <f t="shared" si="97"/>
        <v>#VALUE!</v>
      </c>
      <c r="G1662" s="519"/>
      <c r="H1662" s="111"/>
      <c r="I1662">
        <f>E1662*G1651</f>
        <v>0</v>
      </c>
      <c r="J1662" s="58"/>
      <c r="K1662" s="50"/>
      <c r="L1662" s="50"/>
      <c r="M1662" s="50"/>
      <c r="N1662" s="50"/>
      <c r="O1662" s="50"/>
    </row>
    <row r="1663" spans="1:15">
      <c r="A1663" s="517" t="s">
        <v>4478</v>
      </c>
      <c r="B1663" s="518">
        <f>VLOOKUP(A1663,'Materiales '!$C$2:$G$396,3,0)</f>
        <v>4</v>
      </c>
      <c r="C1663" s="88">
        <f>VLOOKUP(A1663,'Materiales '!$C$2:$G$396,3,0)</f>
        <v>4</v>
      </c>
      <c r="D1663" s="89" t="str">
        <f>VLOOKUP(A1663,'Materiales '!$C$2:$G$396,4,0)</f>
        <v>Und</v>
      </c>
      <c r="E1663" s="90">
        <v>3</v>
      </c>
      <c r="F1663" s="508" t="e">
        <f t="shared" si="97"/>
        <v>#VALUE!</v>
      </c>
      <c r="G1663" s="519"/>
      <c r="H1663" s="111"/>
      <c r="I1663">
        <f>E1663*G1651</f>
        <v>0</v>
      </c>
      <c r="J1663" s="58"/>
      <c r="K1663" s="50"/>
      <c r="L1663" s="50"/>
      <c r="M1663" s="50"/>
      <c r="N1663" s="50"/>
      <c r="O1663" s="50"/>
    </row>
    <row r="1664" spans="1:15">
      <c r="A1664" s="517" t="s">
        <v>4543</v>
      </c>
      <c r="B1664" s="518">
        <f>VLOOKUP(A1664,'Materiales '!$C$2:$G$396,3,0)</f>
        <v>4</v>
      </c>
      <c r="C1664" s="88">
        <f>VLOOKUP(A1664,'Materiales '!$C$2:$G$396,3,0)</f>
        <v>4</v>
      </c>
      <c r="D1664" s="89" t="str">
        <f>VLOOKUP(A1664,'Materiales '!$C$2:$G$396,4,0)</f>
        <v>Und</v>
      </c>
      <c r="E1664" s="90">
        <v>2</v>
      </c>
      <c r="F1664" s="508" t="e">
        <f t="shared" si="97"/>
        <v>#VALUE!</v>
      </c>
      <c r="G1664" s="519"/>
      <c r="H1664" s="111"/>
      <c r="I1664">
        <f>E1664*G1651</f>
        <v>0</v>
      </c>
      <c r="J1664" s="58"/>
      <c r="K1664" s="50"/>
      <c r="L1664" s="50"/>
      <c r="M1664" s="50"/>
      <c r="N1664" s="50"/>
      <c r="O1664" s="50"/>
    </row>
    <row r="1665" spans="1:15">
      <c r="A1665" s="517" t="s">
        <v>4439</v>
      </c>
      <c r="B1665" s="518">
        <f>VLOOKUP(A1665,'Materiales '!$C$2:$G$396,3,0)</f>
        <v>2</v>
      </c>
      <c r="C1665" s="88">
        <f>VLOOKUP(A1665,'Materiales '!$C$2:$G$396,3,0)</f>
        <v>2</v>
      </c>
      <c r="D1665" s="89" t="str">
        <f>VLOOKUP(A1665,'Materiales '!$C$2:$G$396,4,0)</f>
        <v>Ml</v>
      </c>
      <c r="E1665" s="90">
        <v>1</v>
      </c>
      <c r="F1665" s="508" t="e">
        <f t="shared" si="97"/>
        <v>#VALUE!</v>
      </c>
      <c r="G1665" s="519"/>
      <c r="H1665" s="111"/>
      <c r="I1665">
        <f>E1665*G1651</f>
        <v>0</v>
      </c>
      <c r="J1665" s="58"/>
      <c r="K1665" s="50"/>
      <c r="L1665" s="50"/>
      <c r="M1665" s="50"/>
      <c r="N1665" s="50"/>
      <c r="O1665" s="50"/>
    </row>
    <row r="1666" spans="1:15">
      <c r="A1666" s="517" t="s">
        <v>4482</v>
      </c>
      <c r="B1666" s="518">
        <f>VLOOKUP(A1666,'Materiales '!$C$2:$G$396,3,0)</f>
        <v>4</v>
      </c>
      <c r="C1666" s="88">
        <f>VLOOKUP(A1666,'Materiales '!$C$2:$G$396,3,0)</f>
        <v>4</v>
      </c>
      <c r="D1666" s="89" t="str">
        <f>VLOOKUP(A1666,'Materiales '!$C$2:$G$396,4,0)</f>
        <v>Und</v>
      </c>
      <c r="E1666" s="90">
        <v>3</v>
      </c>
      <c r="F1666" s="508" t="e">
        <f t="shared" si="97"/>
        <v>#VALUE!</v>
      </c>
      <c r="G1666" s="519"/>
      <c r="H1666" s="111"/>
      <c r="I1666">
        <f>E1666*G1651</f>
        <v>0</v>
      </c>
      <c r="J1666" s="58"/>
      <c r="K1666" s="50"/>
      <c r="L1666" s="50"/>
      <c r="M1666" s="50"/>
      <c r="N1666" s="50"/>
      <c r="O1666" s="50"/>
    </row>
    <row r="1667" spans="1:15" ht="21.75" customHeight="1">
      <c r="A1667" s="517" t="s">
        <v>4424</v>
      </c>
      <c r="B1667" s="518">
        <f>VLOOKUP(A1667,'Materiales '!$C$2:$G$396,3,0)</f>
        <v>4</v>
      </c>
      <c r="C1667" s="88">
        <f>VLOOKUP(A1667,'Materiales '!$C$2:$G$396,3,0)</f>
        <v>4</v>
      </c>
      <c r="D1667" s="89" t="str">
        <f>VLOOKUP(A1667,'Materiales '!$C$2:$G$396,4,0)</f>
        <v>Und</v>
      </c>
      <c r="E1667" s="90">
        <v>1</v>
      </c>
      <c r="F1667" s="508" t="e">
        <f t="shared" si="97"/>
        <v>#VALUE!</v>
      </c>
      <c r="G1667" s="519"/>
      <c r="H1667" s="111"/>
      <c r="I1667">
        <f>E1667*G1651</f>
        <v>0</v>
      </c>
      <c r="J1667" s="58"/>
      <c r="K1667" s="50"/>
      <c r="L1667" s="50"/>
      <c r="M1667" s="50"/>
      <c r="N1667" s="50"/>
      <c r="O1667" s="50"/>
    </row>
    <row r="1668" spans="1:15">
      <c r="A1668" s="517" t="s">
        <v>8</v>
      </c>
      <c r="B1668" s="518">
        <f>VLOOKUP(A1668,'Materiales '!$C$2:$G$396,3,0)</f>
        <v>0</v>
      </c>
      <c r="C1668" s="88">
        <f>VLOOKUP(A1668,'Materiales '!$C$2:$G$396,3,0)</f>
        <v>0</v>
      </c>
      <c r="D1668" s="89" t="str">
        <f>VLOOKUP(A1668,'Materiales '!$C$2:$G$396,4,0)</f>
        <v>-</v>
      </c>
      <c r="E1668" s="90"/>
      <c r="F1668" s="508" t="e">
        <f>E1668*D1668</f>
        <v>#VALUE!</v>
      </c>
      <c r="G1668" s="519"/>
      <c r="H1668" s="110"/>
      <c r="I1668">
        <f>E1668*G1651</f>
        <v>0</v>
      </c>
      <c r="J1668" s="58"/>
      <c r="K1668" s="50"/>
      <c r="L1668" s="50"/>
      <c r="M1668" s="50"/>
      <c r="N1668" s="50"/>
      <c r="O1668" s="50"/>
    </row>
    <row r="1669" spans="1:15">
      <c r="A1669" s="517" t="s">
        <v>8</v>
      </c>
      <c r="B1669" s="518">
        <f>VLOOKUP(A1669,'Materiales '!$C$2:$G$396,3,0)</f>
        <v>0</v>
      </c>
      <c r="C1669" s="88">
        <f>VLOOKUP(A1669,'Materiales '!$C$2:$G$396,3,0)</f>
        <v>0</v>
      </c>
      <c r="D1669" s="89" t="str">
        <f>VLOOKUP(A1669,'Materiales '!$C$2:$G$396,4,0)</f>
        <v>-</v>
      </c>
      <c r="E1669" s="90"/>
      <c r="F1669" s="508" t="e">
        <f t="shared" ref="F1669:F1672" si="98">E1669*D1669</f>
        <v>#VALUE!</v>
      </c>
      <c r="G1669" s="519"/>
      <c r="H1669" s="111"/>
      <c r="I1669">
        <f>E1669*G1651</f>
        <v>0</v>
      </c>
      <c r="J1669" s="58"/>
      <c r="K1669" s="50"/>
      <c r="L1669" s="50"/>
      <c r="M1669" s="50"/>
      <c r="N1669" s="50"/>
      <c r="O1669" s="50"/>
    </row>
    <row r="1670" spans="1:15">
      <c r="A1670" s="517" t="s">
        <v>8</v>
      </c>
      <c r="B1670" s="518">
        <f>VLOOKUP(A1670,'Materiales '!$C$2:$G$396,3,0)</f>
        <v>0</v>
      </c>
      <c r="C1670" s="88">
        <f>VLOOKUP(A1670,'Materiales '!$C$2:$G$396,3,0)</f>
        <v>0</v>
      </c>
      <c r="D1670" s="89" t="str">
        <f>VLOOKUP(A1670,'Materiales '!$C$2:$G$396,4,0)</f>
        <v>-</v>
      </c>
      <c r="E1670" s="90"/>
      <c r="F1670" s="508" t="e">
        <f t="shared" si="98"/>
        <v>#VALUE!</v>
      </c>
      <c r="G1670" s="519"/>
      <c r="H1670" s="111"/>
      <c r="I1670">
        <f>E1670*G1651</f>
        <v>0</v>
      </c>
      <c r="J1670" s="58"/>
      <c r="K1670" s="50"/>
      <c r="L1670" s="50"/>
      <c r="M1670" s="50"/>
      <c r="N1670" s="50"/>
      <c r="O1670" s="50"/>
    </row>
    <row r="1671" spans="1:15">
      <c r="A1671" s="517" t="s">
        <v>8</v>
      </c>
      <c r="B1671" s="518">
        <f>VLOOKUP(A1671,'Materiales '!$C$2:$G$396,3,0)</f>
        <v>0</v>
      </c>
      <c r="C1671" s="88">
        <f>VLOOKUP(A1671,'Materiales '!$C$2:$G$396,3,0)</f>
        <v>0</v>
      </c>
      <c r="D1671" s="89" t="str">
        <f>VLOOKUP(A1671,'Materiales '!$C$2:$G$396,4,0)</f>
        <v>-</v>
      </c>
      <c r="E1671" s="90"/>
      <c r="F1671" s="508" t="e">
        <f t="shared" si="98"/>
        <v>#VALUE!</v>
      </c>
      <c r="G1671" s="519"/>
      <c r="H1671" s="111"/>
      <c r="I1671">
        <f>E1671*G1651</f>
        <v>0</v>
      </c>
      <c r="J1671" s="58"/>
      <c r="K1671" s="50"/>
      <c r="L1671" s="50"/>
      <c r="M1671" s="50"/>
      <c r="N1671" s="50"/>
      <c r="O1671" s="50"/>
    </row>
    <row r="1672" spans="1:15">
      <c r="A1672" s="517" t="s">
        <v>8</v>
      </c>
      <c r="B1672" s="518">
        <f>VLOOKUP(A1672,'Materiales '!$C$2:$G$396,3,0)</f>
        <v>0</v>
      </c>
      <c r="C1672" s="88">
        <f>VLOOKUP(A1672,'Materiales '!$C$2:$G$396,3,0)</f>
        <v>0</v>
      </c>
      <c r="D1672" s="89" t="str">
        <f>VLOOKUP(A1672,'Materiales '!$C$2:$G$396,4,0)</f>
        <v>-</v>
      </c>
      <c r="E1672" s="90"/>
      <c r="F1672" s="508" t="e">
        <f t="shared" si="98"/>
        <v>#VALUE!</v>
      </c>
      <c r="G1672" s="519"/>
      <c r="H1672" s="111"/>
      <c r="I1672">
        <f>E1672*G1651</f>
        <v>0</v>
      </c>
      <c r="J1672" s="58"/>
      <c r="K1672" s="50"/>
      <c r="L1672" s="50"/>
      <c r="M1672" s="50"/>
      <c r="N1672" s="50"/>
      <c r="O1672" s="50"/>
    </row>
    <row r="1673" spans="1:15">
      <c r="A1673" s="517" t="s">
        <v>8</v>
      </c>
      <c r="B1673" s="518">
        <f>VLOOKUP(A1673,'Materiales '!$C$2:$G$396,3,0)</f>
        <v>0</v>
      </c>
      <c r="C1673" s="88">
        <f>VLOOKUP(A1673,'Materiales '!$C$2:$G$396,3,0)</f>
        <v>0</v>
      </c>
      <c r="D1673" s="89" t="str">
        <f>VLOOKUP(A1673,'Materiales '!$C$2:$G$396,4,0)</f>
        <v>-</v>
      </c>
      <c r="E1673" s="90"/>
      <c r="F1673" s="508" t="e">
        <f>E1673*D1673</f>
        <v>#VALUE!</v>
      </c>
      <c r="G1673" s="519"/>
      <c r="H1673" s="110"/>
      <c r="I1673">
        <f>E1673*G1651</f>
        <v>0</v>
      </c>
      <c r="J1673" s="58"/>
      <c r="K1673" s="50"/>
      <c r="L1673" s="50"/>
      <c r="M1673" s="50"/>
      <c r="N1673" s="50"/>
      <c r="O1673" s="50"/>
    </row>
    <row r="1674" spans="1:15">
      <c r="A1674" s="520" t="s">
        <v>4098</v>
      </c>
      <c r="B1674" s="521"/>
      <c r="C1674" s="521"/>
      <c r="D1674" s="521"/>
      <c r="E1674" s="521"/>
      <c r="F1674" s="521"/>
      <c r="G1674" s="522"/>
      <c r="H1674" s="106" t="e">
        <f>SUM(F1660:F1673)</f>
        <v>#VALUE!</v>
      </c>
      <c r="J1674" s="58"/>
      <c r="K1674" s="50"/>
      <c r="L1674" s="50"/>
      <c r="M1674" s="50"/>
      <c r="N1674" s="50"/>
      <c r="O1674" s="50"/>
    </row>
    <row r="1675" spans="1:15">
      <c r="A1675" s="523" t="s">
        <v>4220</v>
      </c>
      <c r="B1675" s="524"/>
      <c r="C1675" s="524"/>
      <c r="D1675" s="524"/>
      <c r="E1675" s="525"/>
      <c r="F1675" s="524"/>
      <c r="G1675" s="524"/>
      <c r="H1675" s="526"/>
      <c r="J1675" s="58"/>
      <c r="K1675" s="50"/>
      <c r="L1675" s="50"/>
      <c r="M1675" s="50"/>
      <c r="N1675" s="50"/>
      <c r="O1675" s="50"/>
    </row>
    <row r="1676" spans="1:15">
      <c r="A1676" s="527" t="s">
        <v>7</v>
      </c>
      <c r="B1676" s="528"/>
      <c r="C1676" s="98" t="s">
        <v>4221</v>
      </c>
      <c r="D1676" s="97" t="s">
        <v>4222</v>
      </c>
      <c r="E1676" s="187" t="s">
        <v>4223</v>
      </c>
      <c r="F1676" s="529" t="s">
        <v>4207</v>
      </c>
      <c r="G1676" s="529"/>
      <c r="H1676" s="109"/>
      <c r="K1676" s="50"/>
      <c r="L1676" s="50"/>
      <c r="M1676" s="50"/>
      <c r="N1676" s="50"/>
      <c r="O1676" s="50"/>
    </row>
    <row r="1677" spans="1:15">
      <c r="A1677" s="506" t="s">
        <v>3928</v>
      </c>
      <c r="B1677" s="507"/>
      <c r="C1677" s="213">
        <v>1</v>
      </c>
      <c r="D1677" s="92">
        <v>0.03</v>
      </c>
      <c r="E1677" s="93" t="str">
        <f>VLOOKUP(A1677,'Equip, Herr y Transp'!$B$2:$E$217,3,0)</f>
        <v>TR</v>
      </c>
      <c r="F1677" s="530" t="e">
        <f>E1677*D1677*C1677</f>
        <v>#VALUE!</v>
      </c>
      <c r="G1677" s="531"/>
      <c r="H1677" s="107"/>
      <c r="M1677" s="50"/>
    </row>
    <row r="1678" spans="1:15">
      <c r="A1678" s="532" t="s">
        <v>4205</v>
      </c>
      <c r="B1678" s="533"/>
      <c r="C1678" s="533"/>
      <c r="D1678" s="533"/>
      <c r="E1678" s="533"/>
      <c r="F1678" s="533"/>
      <c r="G1678" s="533"/>
      <c r="H1678" s="95" t="e">
        <f>F1677</f>
        <v>#VALUE!</v>
      </c>
    </row>
    <row r="1679" spans="1:15">
      <c r="A1679" s="523" t="s">
        <v>4224</v>
      </c>
      <c r="B1679" s="524"/>
      <c r="C1679" s="524"/>
      <c r="D1679" s="524"/>
      <c r="E1679" s="524"/>
      <c r="F1679" s="524"/>
      <c r="G1679" s="524"/>
      <c r="H1679" s="526"/>
    </row>
    <row r="1680" spans="1:15">
      <c r="A1680" s="527" t="s">
        <v>7</v>
      </c>
      <c r="B1680" s="528"/>
      <c r="C1680" s="96" t="s">
        <v>1</v>
      </c>
      <c r="D1680" s="97" t="s">
        <v>4225</v>
      </c>
      <c r="E1680" s="98" t="s">
        <v>4204</v>
      </c>
      <c r="F1680" s="527" t="s">
        <v>5</v>
      </c>
      <c r="G1680" s="534"/>
      <c r="H1680" s="109"/>
    </row>
    <row r="1681" spans="1:10">
      <c r="A1681" s="506" t="s">
        <v>4191</v>
      </c>
      <c r="B1681" s="507"/>
      <c r="C1681" s="91">
        <v>1</v>
      </c>
      <c r="D1681" s="94">
        <f>VLOOKUP(A1681,'Mano Obra'!$B$2:$T$117,19,0)</f>
        <v>152456</v>
      </c>
      <c r="E1681" s="218">
        <f>H1644</f>
        <v>5.21E-2</v>
      </c>
      <c r="F1681" s="508">
        <f>E1681*D1681*C1681</f>
        <v>7942.9575999999997</v>
      </c>
      <c r="G1681" s="509"/>
      <c r="H1681" s="111"/>
      <c r="I1681" s="59"/>
      <c r="J1681" s="117">
        <f>((('Mano Obra'!$M$4/30)*F1681)/D1681)*G1651</f>
        <v>0</v>
      </c>
    </row>
    <row r="1682" spans="1:10">
      <c r="A1682" s="510" t="s">
        <v>4192</v>
      </c>
      <c r="B1682" s="511">
        <f>VLOOKUP(A1682,'Mano Obra'!$B$3:$D$290,2,0)</f>
        <v>1900000</v>
      </c>
      <c r="C1682" s="91">
        <v>1</v>
      </c>
      <c r="D1682" s="94">
        <f>VLOOKUP(A1682,'Mano Obra'!$B$2:$T$117,19,0)</f>
        <v>110488</v>
      </c>
      <c r="E1682" s="218">
        <f>H1644</f>
        <v>5.21E-2</v>
      </c>
      <c r="F1682" s="508">
        <f t="shared" ref="F1682:F1683" si="99">E1682*D1682*C1682</f>
        <v>5756.4247999999998</v>
      </c>
      <c r="G1682" s="509"/>
      <c r="H1682" s="111"/>
      <c r="J1682" s="117">
        <f>((('Mano Obra'!$M$5/30)*F1682)/D1682)*G1651</f>
        <v>0</v>
      </c>
    </row>
    <row r="1683" spans="1:10">
      <c r="A1683" s="510" t="s">
        <v>4181</v>
      </c>
      <c r="B1683" s="511">
        <f>VLOOKUP(A1683,'Mano Obra'!$B$3:$D$290,2,0)</f>
        <v>1000000</v>
      </c>
      <c r="C1683" s="91">
        <v>1</v>
      </c>
      <c r="D1683" s="94">
        <f>VLOOKUP(A1683,'Mano Obra'!$B$2:$T$117,19,0)</f>
        <v>67424</v>
      </c>
      <c r="E1683" s="218">
        <f>H1644</f>
        <v>5.21E-2</v>
      </c>
      <c r="F1683" s="508">
        <f t="shared" si="99"/>
        <v>3512.7903999999999</v>
      </c>
      <c r="G1683" s="509"/>
      <c r="H1683" s="110"/>
      <c r="J1683" s="117">
        <f>((('Mano Obra'!$M$6/30)*F1683)/D1683)*G1651</f>
        <v>0</v>
      </c>
    </row>
    <row r="1684" spans="1:10">
      <c r="A1684" s="512" t="s">
        <v>4100</v>
      </c>
      <c r="B1684" s="512"/>
      <c r="C1684" s="512"/>
      <c r="D1684" s="512"/>
      <c r="E1684" s="512"/>
      <c r="F1684" s="512"/>
      <c r="G1684" s="512"/>
      <c r="H1684" s="95">
        <f>SUM(F1681:F1683)</f>
        <v>17212.1728</v>
      </c>
      <c r="J1684" s="117"/>
    </row>
    <row r="1685" spans="1:10">
      <c r="A1685" s="208" t="s">
        <v>4226</v>
      </c>
      <c r="B1685" s="186"/>
      <c r="C1685" s="186"/>
      <c r="D1685" s="183"/>
      <c r="E1685" s="184"/>
      <c r="F1685" s="185"/>
      <c r="G1685" s="184"/>
      <c r="H1685" s="193"/>
    </row>
    <row r="1686" spans="1:10">
      <c r="A1686" s="513" t="s">
        <v>4213</v>
      </c>
      <c r="B1686" s="514"/>
      <c r="C1686" s="514"/>
      <c r="D1686" s="514"/>
      <c r="E1686" s="181"/>
      <c r="F1686" s="182" t="s">
        <v>4227</v>
      </c>
      <c r="G1686" s="181" t="s">
        <v>4228</v>
      </c>
      <c r="H1686" s="194"/>
    </row>
    <row r="1687" spans="1:10">
      <c r="A1687" s="204" t="s">
        <v>4096</v>
      </c>
      <c r="B1687" s="62"/>
      <c r="C1687" s="62"/>
      <c r="D1687" s="63"/>
      <c r="E1687" s="68"/>
      <c r="F1687" s="69">
        <v>0</v>
      </c>
      <c r="G1687" s="70" t="e">
        <f>F1687*H1652</f>
        <v>#VALUE!</v>
      </c>
      <c r="H1687" s="193"/>
    </row>
    <row r="1688" spans="1:10">
      <c r="A1688" s="205" t="s">
        <v>4229</v>
      </c>
      <c r="B1688" s="71"/>
      <c r="C1688" s="71"/>
      <c r="D1688" s="72"/>
      <c r="E1688" s="68"/>
      <c r="F1688" s="69">
        <v>0</v>
      </c>
      <c r="G1688" s="70" t="e">
        <f>F1688*H1652</f>
        <v>#VALUE!</v>
      </c>
      <c r="H1688" s="193"/>
    </row>
    <row r="1689" spans="1:10">
      <c r="A1689" s="205" t="s">
        <v>4</v>
      </c>
      <c r="B1689" s="71"/>
      <c r="C1689" s="71"/>
      <c r="D1689" s="72"/>
      <c r="E1689" s="68"/>
      <c r="F1689" s="69">
        <v>0</v>
      </c>
      <c r="G1689" s="70" t="e">
        <f>F1689*H1652</f>
        <v>#VALUE!</v>
      </c>
      <c r="H1689" s="193"/>
    </row>
    <row r="1690" spans="1:10">
      <c r="A1690" s="206"/>
      <c r="B1690" s="73"/>
      <c r="C1690" s="65"/>
      <c r="D1690" s="74"/>
      <c r="E1690" s="75"/>
      <c r="F1690" s="76"/>
      <c r="G1690" s="77"/>
      <c r="H1690" s="195"/>
    </row>
    <row r="1691" spans="1:10">
      <c r="A1691" s="207"/>
      <c r="B1691" s="73"/>
      <c r="C1691" s="73"/>
      <c r="D1691" s="74"/>
      <c r="E1691" s="78"/>
      <c r="F1691" s="515" t="s">
        <v>4230</v>
      </c>
      <c r="G1691" s="516"/>
      <c r="H1691" s="214" t="e">
        <f>H1652+G1687+G1688+G1689</f>
        <v>#VALUE!</v>
      </c>
    </row>
    <row r="1692" spans="1:10">
      <c r="A1692" s="73"/>
      <c r="B1692" s="73"/>
      <c r="C1692" s="73"/>
      <c r="D1692" s="74"/>
      <c r="E1692" s="360"/>
      <c r="F1692" s="361"/>
      <c r="G1692" s="361"/>
      <c r="H1692" s="362"/>
    </row>
    <row r="1693" spans="1:10">
      <c r="A1693" s="73"/>
      <c r="B1693" s="73"/>
      <c r="C1693" s="73"/>
      <c r="D1693" s="74"/>
      <c r="E1693" s="360"/>
      <c r="F1693" s="361"/>
      <c r="G1693" s="361"/>
      <c r="H1693" s="362"/>
    </row>
    <row r="1694" spans="1:10">
      <c r="A1694" s="80"/>
      <c r="B1694" s="80"/>
      <c r="C1694" s="80"/>
      <c r="D1694" s="80"/>
      <c r="E1694" s="80"/>
      <c r="F1694" s="80"/>
      <c r="G1694" s="80"/>
      <c r="H1694" s="353"/>
    </row>
    <row r="1695" spans="1:10">
      <c r="A1695" s="537" t="s">
        <v>4214</v>
      </c>
      <c r="B1695" s="538"/>
      <c r="C1695" s="538"/>
      <c r="D1695" s="538"/>
      <c r="E1695" s="538"/>
      <c r="F1695" s="538"/>
      <c r="G1695" s="538"/>
      <c r="H1695" s="539"/>
    </row>
    <row r="1696" spans="1:10">
      <c r="A1696" s="81"/>
      <c r="B1696" s="82"/>
      <c r="C1696" s="82"/>
      <c r="D1696" s="82"/>
      <c r="E1696" s="82"/>
      <c r="F1696" s="83"/>
      <c r="G1696" s="84"/>
      <c r="H1696" s="352">
        <f>ROUND((25/60)/8,4)</f>
        <v>5.21E-2</v>
      </c>
      <c r="I1696" s="105"/>
    </row>
    <row r="1697" spans="1:15">
      <c r="A1697" s="540" t="s">
        <v>4209</v>
      </c>
      <c r="B1697" s="542" t="str">
        <f>COSTOS!$C$14</f>
        <v>MODERNIZACION A TECNOLOGIA LED</v>
      </c>
      <c r="C1697" s="542"/>
      <c r="D1697" s="542"/>
      <c r="E1697" s="542"/>
      <c r="F1697" s="542"/>
      <c r="G1697" s="542"/>
      <c r="H1697" s="543" t="s">
        <v>4210</v>
      </c>
    </row>
    <row r="1698" spans="1:15">
      <c r="A1698" s="541"/>
      <c r="B1698" s="542"/>
      <c r="C1698" s="542"/>
      <c r="D1698" s="542"/>
      <c r="E1698" s="542"/>
      <c r="F1698" s="542"/>
      <c r="G1698" s="542"/>
      <c r="H1698" s="543"/>
    </row>
    <row r="1699" spans="1:15">
      <c r="A1699" s="541"/>
      <c r="B1699" s="542"/>
      <c r="C1699" s="542"/>
      <c r="D1699" s="542"/>
      <c r="E1699" s="542"/>
      <c r="F1699" s="542"/>
      <c r="G1699" s="542"/>
      <c r="H1699" s="543"/>
    </row>
    <row r="1700" spans="1:15" ht="15" customHeight="1">
      <c r="A1700" s="541"/>
      <c r="B1700" s="542"/>
      <c r="C1700" s="542"/>
      <c r="D1700" s="542"/>
      <c r="E1700" s="542"/>
      <c r="F1700" s="542"/>
      <c r="G1700" s="542"/>
      <c r="H1700" s="197">
        <f ca="1">TODAY()</f>
        <v>44889</v>
      </c>
      <c r="K1700" t="s">
        <v>4380</v>
      </c>
      <c r="L1700" t="s">
        <v>4381</v>
      </c>
      <c r="M1700" t="s">
        <v>4382</v>
      </c>
      <c r="N1700" t="s">
        <v>4383</v>
      </c>
    </row>
    <row r="1701" spans="1:15" ht="60.75" customHeight="1">
      <c r="A1701" s="209" t="s">
        <v>4211</v>
      </c>
      <c r="B1701" s="544" t="str">
        <f>COSTOS!$D$16</f>
        <v>Luminarias</v>
      </c>
      <c r="C1701" s="544"/>
      <c r="D1701" s="544"/>
      <c r="E1701" s="544"/>
      <c r="F1701" s="544"/>
      <c r="G1701" s="60" t="s">
        <v>4212</v>
      </c>
      <c r="H1701" s="363">
        <v>1.34</v>
      </c>
      <c r="K1701" s="55" t="e">
        <f>H1726</f>
        <v>#VALUE!</v>
      </c>
      <c r="L1701" s="55">
        <f>H1736</f>
        <v>17212.1728</v>
      </c>
      <c r="M1701" s="55" t="e">
        <f>H1709</f>
        <v>#VALUE!</v>
      </c>
      <c r="N1701" s="55" t="e">
        <f>H1730</f>
        <v>#VALUE!</v>
      </c>
    </row>
    <row r="1702" spans="1:15" ht="43.2" customHeight="1">
      <c r="A1702" s="210" t="s">
        <v>4213</v>
      </c>
      <c r="B1702" s="545" t="str">
        <f>VLOOKUP(H1701,COSTOS!C:M,2,0)</f>
        <v>Luminaria con bombillo fluorescente 45w</v>
      </c>
      <c r="C1702" s="546"/>
      <c r="D1702" s="546"/>
      <c r="E1702" s="547"/>
      <c r="F1702" s="61" t="s">
        <v>0</v>
      </c>
      <c r="G1702" s="328" t="str">
        <f>VLOOKUP(H1701,COSTOS!C:M,8,0)</f>
        <v>Und</v>
      </c>
      <c r="H1702" s="248"/>
      <c r="I1702" s="278"/>
      <c r="J1702" s="280"/>
      <c r="K1702" s="280"/>
      <c r="L1702" s="280"/>
    </row>
    <row r="1703" spans="1:15">
      <c r="A1703" s="211"/>
      <c r="B1703" s="102"/>
      <c r="C1703" s="102"/>
      <c r="D1703" s="102"/>
      <c r="E1703" s="103"/>
      <c r="F1703" s="104" t="s">
        <v>1</v>
      </c>
      <c r="G1703" s="328">
        <f>VLOOKUP(H1701,COSTOS!C:M,9,0)</f>
        <v>0</v>
      </c>
      <c r="H1703" s="329"/>
      <c r="I1703" s="279"/>
    </row>
    <row r="1704" spans="1:15">
      <c r="A1704" s="212" t="s">
        <v>4215</v>
      </c>
      <c r="B1704" s="65"/>
      <c r="C1704" s="65"/>
      <c r="D1704" s="66"/>
      <c r="E1704" s="190"/>
      <c r="F1704" s="191"/>
      <c r="G1704" s="192" t="s">
        <v>4216</v>
      </c>
      <c r="H1704" s="198" t="e">
        <f>H1709+H1726+H1730+H1736</f>
        <v>#VALUE!</v>
      </c>
    </row>
    <row r="1705" spans="1:15" ht="41.4">
      <c r="A1705" s="548" t="s">
        <v>4213</v>
      </c>
      <c r="B1705" s="548"/>
      <c r="C1705" s="548"/>
      <c r="D1705" s="67" t="s">
        <v>0</v>
      </c>
      <c r="E1705" s="188" t="s">
        <v>4217</v>
      </c>
      <c r="F1705" s="189" t="s">
        <v>4204</v>
      </c>
      <c r="G1705" s="64" t="s">
        <v>2</v>
      </c>
      <c r="H1705" s="199" t="s">
        <v>4218</v>
      </c>
      <c r="K1705" s="281"/>
    </row>
    <row r="1706" spans="1:15">
      <c r="A1706" s="517" t="s">
        <v>3946</v>
      </c>
      <c r="B1706" s="549">
        <f>VLOOKUP(A1706,'Equip, Herr y Transp'!$B$2:$E$738,2,0)</f>
        <v>2</v>
      </c>
      <c r="C1706" s="549"/>
      <c r="D1706" s="85">
        <f>VLOOKUP(A1706,'Equip, Herr y Transp'!$B$2:$E$217,2,0)</f>
        <v>2</v>
      </c>
      <c r="E1706" s="85" t="str">
        <f>VLOOKUP(A1706,'Equip, Herr y Transp'!$B$2:$E$217,3,0)</f>
        <v>EQU</v>
      </c>
      <c r="F1706" s="86">
        <f>H1696</f>
        <v>5.21E-2</v>
      </c>
      <c r="G1706" s="112" t="e">
        <f>F1706*E1706</f>
        <v>#VALUE!</v>
      </c>
      <c r="H1706" s="108"/>
    </row>
    <row r="1707" spans="1:15">
      <c r="A1707" s="517" t="s">
        <v>3904</v>
      </c>
      <c r="B1707" s="549">
        <f>VLOOKUP(A1707,'Equip, Herr y Transp'!$B$2:$E$738,2,0)</f>
        <v>2</v>
      </c>
      <c r="C1707" s="549"/>
      <c r="D1707" s="85">
        <f>VLOOKUP(A1707,'Equip, Herr y Transp'!$B$2:$E$217,2,0)</f>
        <v>2</v>
      </c>
      <c r="E1707" s="85" t="str">
        <f>VLOOKUP(A1707,'Equip, Herr y Transp'!$B$2:$E$217,3,0)</f>
        <v>EQU</v>
      </c>
      <c r="F1707" s="86">
        <f>H1696</f>
        <v>5.21E-2</v>
      </c>
      <c r="G1707" s="112" t="e">
        <f>F1707*E1707</f>
        <v>#VALUE!</v>
      </c>
      <c r="H1707" s="107"/>
    </row>
    <row r="1708" spans="1:15">
      <c r="A1708" s="517" t="s">
        <v>3937</v>
      </c>
      <c r="B1708" s="549">
        <f>VLOOKUP(A1708,'Equip, Herr y Transp'!$B$2:$E$738,2,0)</f>
        <v>2</v>
      </c>
      <c r="C1708" s="549"/>
      <c r="D1708" s="85">
        <f>VLOOKUP(A1708,'Equip, Herr y Transp'!$B$2:$E$217,2,0)</f>
        <v>2</v>
      </c>
      <c r="E1708" s="85" t="str">
        <f>VLOOKUP(A1708,'Equip, Herr y Transp'!$B$2:$E$217,3,0)</f>
        <v>EQU</v>
      </c>
      <c r="F1708" s="86">
        <f>H1696</f>
        <v>5.21E-2</v>
      </c>
      <c r="G1708" s="112" t="e">
        <f>F1708*E1708</f>
        <v>#VALUE!</v>
      </c>
      <c r="H1708" s="107"/>
    </row>
    <row r="1709" spans="1:15">
      <c r="A1709" s="520" t="s">
        <v>4099</v>
      </c>
      <c r="B1709" s="521"/>
      <c r="C1709" s="521"/>
      <c r="D1709" s="521"/>
      <c r="E1709" s="521"/>
      <c r="F1709" s="521"/>
      <c r="G1709" s="521"/>
      <c r="H1709" s="87" t="e">
        <f>SUM(G1706:G1708)</f>
        <v>#VALUE!</v>
      </c>
    </row>
    <row r="1710" spans="1:15">
      <c r="A1710" s="550" t="s">
        <v>4219</v>
      </c>
      <c r="B1710" s="551"/>
      <c r="C1710" s="551"/>
      <c r="D1710" s="551"/>
      <c r="E1710" s="551"/>
      <c r="F1710" s="551"/>
      <c r="G1710" s="551"/>
      <c r="H1710" s="552"/>
      <c r="K1710" s="50"/>
      <c r="L1710" s="50"/>
      <c r="M1710" s="50"/>
      <c r="N1710" s="50"/>
      <c r="O1710" s="50"/>
    </row>
    <row r="1711" spans="1:15" ht="30" customHeight="1">
      <c r="A1711" s="553" t="s">
        <v>7</v>
      </c>
      <c r="B1711" s="554"/>
      <c r="C1711" s="99" t="s">
        <v>0</v>
      </c>
      <c r="D1711" s="100" t="s">
        <v>4097</v>
      </c>
      <c r="E1711" s="101" t="s">
        <v>1</v>
      </c>
      <c r="F1711" s="555" t="s">
        <v>4207</v>
      </c>
      <c r="G1711" s="555"/>
      <c r="H1711" s="196"/>
      <c r="K1711" s="50"/>
      <c r="L1711" s="50"/>
      <c r="M1711" s="50"/>
      <c r="N1711" s="50"/>
      <c r="O1711" s="50"/>
    </row>
    <row r="1712" spans="1:15">
      <c r="A1712" s="535" t="s">
        <v>4675</v>
      </c>
      <c r="B1712" s="536"/>
      <c r="C1712" s="88">
        <f>VLOOKUP(A1712,'Materiales '!$C$2:$G$396,3,0)</f>
        <v>4</v>
      </c>
      <c r="D1712" s="89" t="str">
        <f>VLOOKUP(A1712,'Materiales '!$C$2:$G$396,4,0)</f>
        <v>Und</v>
      </c>
      <c r="E1712" s="90">
        <v>1</v>
      </c>
      <c r="F1712" s="508" t="e">
        <f>E1712*D1712</f>
        <v>#VALUE!</v>
      </c>
      <c r="G1712" s="519"/>
      <c r="H1712" s="111"/>
      <c r="I1712">
        <f>E1712*G1703</f>
        <v>0</v>
      </c>
      <c r="J1712" s="57"/>
      <c r="K1712" s="50"/>
      <c r="L1712" s="50"/>
      <c r="M1712" s="50"/>
      <c r="N1712" s="50"/>
      <c r="O1712" s="50"/>
    </row>
    <row r="1713" spans="1:15">
      <c r="A1713" s="535" t="s">
        <v>4203</v>
      </c>
      <c r="B1713" s="536"/>
      <c r="C1713" s="88">
        <f>VLOOKUP(A1713,'Materiales '!$C$2:$G$396,3,0)</f>
        <v>4</v>
      </c>
      <c r="D1713" s="89" t="str">
        <f>VLOOKUP(A1713,'Materiales '!$C$2:$G$396,4,0)</f>
        <v>Und</v>
      </c>
      <c r="E1713" s="90">
        <v>1</v>
      </c>
      <c r="F1713" s="508" t="e">
        <f t="shared" ref="F1713:F1719" si="100">E1713*D1713</f>
        <v>#VALUE!</v>
      </c>
      <c r="G1713" s="519"/>
      <c r="H1713" s="111"/>
      <c r="I1713">
        <f>E1713*G1703</f>
        <v>0</v>
      </c>
      <c r="J1713" s="57"/>
      <c r="K1713" s="50"/>
      <c r="L1713" s="50"/>
      <c r="M1713" s="50"/>
      <c r="N1713" s="50"/>
      <c r="O1713" s="50"/>
    </row>
    <row r="1714" spans="1:15">
      <c r="A1714" s="517" t="s">
        <v>4473</v>
      </c>
      <c r="B1714" s="518">
        <f>VLOOKUP(A1714,'Materiales '!$C$2:$G$396,3,0)</f>
        <v>4</v>
      </c>
      <c r="C1714" s="88">
        <f>VLOOKUP(A1714,'Materiales '!$C$2:$G$396,3,0)</f>
        <v>4</v>
      </c>
      <c r="D1714" s="89" t="str">
        <f>VLOOKUP(A1714,'Materiales '!$C$2:$G$396,4,0)</f>
        <v>Und</v>
      </c>
      <c r="E1714" s="90">
        <v>2</v>
      </c>
      <c r="F1714" s="508" t="e">
        <f t="shared" si="100"/>
        <v>#VALUE!</v>
      </c>
      <c r="G1714" s="519"/>
      <c r="H1714" s="111"/>
      <c r="I1714">
        <f>E1714*G1703</f>
        <v>0</v>
      </c>
      <c r="J1714" s="58"/>
      <c r="K1714" s="50"/>
      <c r="L1714" s="50"/>
      <c r="M1714" s="50"/>
      <c r="N1714" s="50"/>
      <c r="O1714" s="50"/>
    </row>
    <row r="1715" spans="1:15">
      <c r="A1715" s="517" t="s">
        <v>4478</v>
      </c>
      <c r="B1715" s="518">
        <f>VLOOKUP(A1715,'Materiales '!$C$2:$G$396,3,0)</f>
        <v>4</v>
      </c>
      <c r="C1715" s="88">
        <f>VLOOKUP(A1715,'Materiales '!$C$2:$G$396,3,0)</f>
        <v>4</v>
      </c>
      <c r="D1715" s="89" t="str">
        <f>VLOOKUP(A1715,'Materiales '!$C$2:$G$396,4,0)</f>
        <v>Und</v>
      </c>
      <c r="E1715" s="90">
        <v>3</v>
      </c>
      <c r="F1715" s="508" t="e">
        <f t="shared" si="100"/>
        <v>#VALUE!</v>
      </c>
      <c r="G1715" s="519"/>
      <c r="H1715" s="111"/>
      <c r="I1715">
        <f>E1715*G1703</f>
        <v>0</v>
      </c>
      <c r="J1715" s="58"/>
      <c r="K1715" s="50"/>
      <c r="L1715" s="50"/>
      <c r="M1715" s="50"/>
      <c r="N1715" s="50"/>
      <c r="O1715" s="50"/>
    </row>
    <row r="1716" spans="1:15">
      <c r="A1716" s="517" t="s">
        <v>4543</v>
      </c>
      <c r="B1716" s="518">
        <f>VLOOKUP(A1716,'Materiales '!$C$2:$G$396,3,0)</f>
        <v>4</v>
      </c>
      <c r="C1716" s="88">
        <f>VLOOKUP(A1716,'Materiales '!$C$2:$G$396,3,0)</f>
        <v>4</v>
      </c>
      <c r="D1716" s="89" t="str">
        <f>VLOOKUP(A1716,'Materiales '!$C$2:$G$396,4,0)</f>
        <v>Und</v>
      </c>
      <c r="E1716" s="90">
        <v>2</v>
      </c>
      <c r="F1716" s="508" t="e">
        <f t="shared" si="100"/>
        <v>#VALUE!</v>
      </c>
      <c r="G1716" s="519"/>
      <c r="H1716" s="111"/>
      <c r="I1716">
        <f>E1716*G1703</f>
        <v>0</v>
      </c>
      <c r="J1716" s="58"/>
      <c r="K1716" s="50"/>
      <c r="L1716" s="50"/>
      <c r="M1716" s="50"/>
      <c r="N1716" s="50"/>
      <c r="O1716" s="50"/>
    </row>
    <row r="1717" spans="1:15">
      <c r="A1717" s="517" t="s">
        <v>4439</v>
      </c>
      <c r="B1717" s="518">
        <f>VLOOKUP(A1717,'Materiales '!$C$2:$G$396,3,0)</f>
        <v>2</v>
      </c>
      <c r="C1717" s="88">
        <f>VLOOKUP(A1717,'Materiales '!$C$2:$G$396,3,0)</f>
        <v>2</v>
      </c>
      <c r="D1717" s="89" t="str">
        <f>VLOOKUP(A1717,'Materiales '!$C$2:$G$396,4,0)</f>
        <v>Ml</v>
      </c>
      <c r="E1717" s="90">
        <v>1</v>
      </c>
      <c r="F1717" s="508" t="e">
        <f t="shared" si="100"/>
        <v>#VALUE!</v>
      </c>
      <c r="G1717" s="519"/>
      <c r="H1717" s="111"/>
      <c r="I1717">
        <f>E1717*G1703</f>
        <v>0</v>
      </c>
      <c r="J1717" s="58"/>
      <c r="K1717" s="50"/>
      <c r="L1717" s="50"/>
      <c r="M1717" s="50"/>
      <c r="N1717" s="50"/>
      <c r="O1717" s="50"/>
    </row>
    <row r="1718" spans="1:15">
      <c r="A1718" s="517" t="s">
        <v>4482</v>
      </c>
      <c r="B1718" s="518">
        <f>VLOOKUP(A1718,'Materiales '!$C$2:$G$396,3,0)</f>
        <v>4</v>
      </c>
      <c r="C1718" s="88">
        <f>VLOOKUP(A1718,'Materiales '!$C$2:$G$396,3,0)</f>
        <v>4</v>
      </c>
      <c r="D1718" s="89" t="str">
        <f>VLOOKUP(A1718,'Materiales '!$C$2:$G$396,4,0)</f>
        <v>Und</v>
      </c>
      <c r="E1718" s="90">
        <v>3</v>
      </c>
      <c r="F1718" s="508" t="e">
        <f t="shared" si="100"/>
        <v>#VALUE!</v>
      </c>
      <c r="G1718" s="519"/>
      <c r="H1718" s="111"/>
      <c r="I1718">
        <f>E1718*G1703</f>
        <v>0</v>
      </c>
      <c r="J1718" s="58"/>
      <c r="K1718" s="50"/>
      <c r="L1718" s="50"/>
      <c r="M1718" s="50"/>
      <c r="N1718" s="50"/>
      <c r="O1718" s="50"/>
    </row>
    <row r="1719" spans="1:15" ht="21.75" customHeight="1">
      <c r="A1719" s="517" t="s">
        <v>4424</v>
      </c>
      <c r="B1719" s="518">
        <f>VLOOKUP(A1719,'Materiales '!$C$2:$G$396,3,0)</f>
        <v>4</v>
      </c>
      <c r="C1719" s="88">
        <f>VLOOKUP(A1719,'Materiales '!$C$2:$G$396,3,0)</f>
        <v>4</v>
      </c>
      <c r="D1719" s="89" t="str">
        <f>VLOOKUP(A1719,'Materiales '!$C$2:$G$396,4,0)</f>
        <v>Und</v>
      </c>
      <c r="E1719" s="90">
        <v>1</v>
      </c>
      <c r="F1719" s="508" t="e">
        <f t="shared" si="100"/>
        <v>#VALUE!</v>
      </c>
      <c r="G1719" s="519"/>
      <c r="H1719" s="111"/>
      <c r="I1719">
        <f>E1719*G1703</f>
        <v>0</v>
      </c>
      <c r="J1719" s="58"/>
      <c r="K1719" s="50"/>
      <c r="L1719" s="50"/>
      <c r="M1719" s="50"/>
      <c r="N1719" s="50"/>
      <c r="O1719" s="50"/>
    </row>
    <row r="1720" spans="1:15">
      <c r="A1720" s="517" t="s">
        <v>8</v>
      </c>
      <c r="B1720" s="518">
        <f>VLOOKUP(A1720,'Materiales '!$C$2:$G$396,3,0)</f>
        <v>0</v>
      </c>
      <c r="C1720" s="88">
        <f>VLOOKUP(A1720,'Materiales '!$C$2:$G$396,3,0)</f>
        <v>0</v>
      </c>
      <c r="D1720" s="89" t="str">
        <f>VLOOKUP(A1720,'Materiales '!$C$2:$G$396,4,0)</f>
        <v>-</v>
      </c>
      <c r="E1720" s="90"/>
      <c r="F1720" s="508" t="e">
        <f>E1720*D1720</f>
        <v>#VALUE!</v>
      </c>
      <c r="G1720" s="519"/>
      <c r="H1720" s="110"/>
      <c r="I1720">
        <f>E1720*G1703</f>
        <v>0</v>
      </c>
      <c r="J1720" s="58"/>
      <c r="K1720" s="50"/>
      <c r="L1720" s="50"/>
      <c r="M1720" s="50"/>
      <c r="N1720" s="50"/>
      <c r="O1720" s="50"/>
    </row>
    <row r="1721" spans="1:15">
      <c r="A1721" s="517" t="s">
        <v>8</v>
      </c>
      <c r="B1721" s="518">
        <f>VLOOKUP(A1721,'Materiales '!$C$2:$G$396,3,0)</f>
        <v>0</v>
      </c>
      <c r="C1721" s="88">
        <f>VLOOKUP(A1721,'Materiales '!$C$2:$G$396,3,0)</f>
        <v>0</v>
      </c>
      <c r="D1721" s="89" t="str">
        <f>VLOOKUP(A1721,'Materiales '!$C$2:$G$396,4,0)</f>
        <v>-</v>
      </c>
      <c r="E1721" s="90"/>
      <c r="F1721" s="508" t="e">
        <f t="shared" ref="F1721:F1724" si="101">E1721*D1721</f>
        <v>#VALUE!</v>
      </c>
      <c r="G1721" s="519"/>
      <c r="H1721" s="111"/>
      <c r="I1721">
        <f>E1721*G1703</f>
        <v>0</v>
      </c>
      <c r="J1721" s="58"/>
      <c r="K1721" s="50"/>
      <c r="L1721" s="50"/>
      <c r="M1721" s="50"/>
      <c r="N1721" s="50"/>
      <c r="O1721" s="50"/>
    </row>
    <row r="1722" spans="1:15">
      <c r="A1722" s="517" t="s">
        <v>8</v>
      </c>
      <c r="B1722" s="518">
        <f>VLOOKUP(A1722,'Materiales '!$C$2:$G$396,3,0)</f>
        <v>0</v>
      </c>
      <c r="C1722" s="88">
        <f>VLOOKUP(A1722,'Materiales '!$C$2:$G$396,3,0)</f>
        <v>0</v>
      </c>
      <c r="D1722" s="89" t="str">
        <f>VLOOKUP(A1722,'Materiales '!$C$2:$G$396,4,0)</f>
        <v>-</v>
      </c>
      <c r="E1722" s="90"/>
      <c r="F1722" s="508" t="e">
        <f t="shared" si="101"/>
        <v>#VALUE!</v>
      </c>
      <c r="G1722" s="519"/>
      <c r="H1722" s="111"/>
      <c r="I1722">
        <f>E1722*G1703</f>
        <v>0</v>
      </c>
      <c r="J1722" s="58"/>
      <c r="K1722" s="50"/>
      <c r="L1722" s="50"/>
      <c r="M1722" s="50"/>
      <c r="N1722" s="50"/>
      <c r="O1722" s="50"/>
    </row>
    <row r="1723" spans="1:15">
      <c r="A1723" s="517" t="s">
        <v>8</v>
      </c>
      <c r="B1723" s="518">
        <f>VLOOKUP(A1723,'Materiales '!$C$2:$G$396,3,0)</f>
        <v>0</v>
      </c>
      <c r="C1723" s="88">
        <f>VLOOKUP(A1723,'Materiales '!$C$2:$G$396,3,0)</f>
        <v>0</v>
      </c>
      <c r="D1723" s="89" t="str">
        <f>VLOOKUP(A1723,'Materiales '!$C$2:$G$396,4,0)</f>
        <v>-</v>
      </c>
      <c r="E1723" s="90"/>
      <c r="F1723" s="508" t="e">
        <f t="shared" si="101"/>
        <v>#VALUE!</v>
      </c>
      <c r="G1723" s="519"/>
      <c r="H1723" s="111"/>
      <c r="I1723">
        <f>E1723*G1703</f>
        <v>0</v>
      </c>
      <c r="J1723" s="58"/>
      <c r="K1723" s="50"/>
      <c r="L1723" s="50"/>
      <c r="M1723" s="50"/>
      <c r="N1723" s="50"/>
      <c r="O1723" s="50"/>
    </row>
    <row r="1724" spans="1:15">
      <c r="A1724" s="517" t="s">
        <v>8</v>
      </c>
      <c r="B1724" s="518">
        <f>VLOOKUP(A1724,'Materiales '!$C$2:$G$396,3,0)</f>
        <v>0</v>
      </c>
      <c r="C1724" s="88">
        <f>VLOOKUP(A1724,'Materiales '!$C$2:$G$396,3,0)</f>
        <v>0</v>
      </c>
      <c r="D1724" s="89" t="str">
        <f>VLOOKUP(A1724,'Materiales '!$C$2:$G$396,4,0)</f>
        <v>-</v>
      </c>
      <c r="E1724" s="90"/>
      <c r="F1724" s="508" t="e">
        <f t="shared" si="101"/>
        <v>#VALUE!</v>
      </c>
      <c r="G1724" s="519"/>
      <c r="H1724" s="111"/>
      <c r="I1724">
        <f>E1724*G1703</f>
        <v>0</v>
      </c>
      <c r="J1724" s="58"/>
      <c r="K1724" s="50"/>
      <c r="L1724" s="50"/>
      <c r="M1724" s="50"/>
      <c r="N1724" s="50"/>
      <c r="O1724" s="50"/>
    </row>
    <row r="1725" spans="1:15">
      <c r="A1725" s="517" t="s">
        <v>8</v>
      </c>
      <c r="B1725" s="518">
        <f>VLOOKUP(A1725,'Materiales '!$C$2:$G$396,3,0)</f>
        <v>0</v>
      </c>
      <c r="C1725" s="88">
        <f>VLOOKUP(A1725,'Materiales '!$C$2:$G$396,3,0)</f>
        <v>0</v>
      </c>
      <c r="D1725" s="89" t="str">
        <f>VLOOKUP(A1725,'Materiales '!$C$2:$G$396,4,0)</f>
        <v>-</v>
      </c>
      <c r="E1725" s="90"/>
      <c r="F1725" s="508" t="e">
        <f>E1725*D1725</f>
        <v>#VALUE!</v>
      </c>
      <c r="G1725" s="519"/>
      <c r="H1725" s="110"/>
      <c r="I1725">
        <f>E1725*G1703</f>
        <v>0</v>
      </c>
      <c r="J1725" s="58"/>
      <c r="K1725" s="50"/>
      <c r="L1725" s="50"/>
      <c r="M1725" s="50"/>
      <c r="N1725" s="50"/>
      <c r="O1725" s="50"/>
    </row>
    <row r="1726" spans="1:15">
      <c r="A1726" s="520" t="s">
        <v>4098</v>
      </c>
      <c r="B1726" s="521"/>
      <c r="C1726" s="521"/>
      <c r="D1726" s="521"/>
      <c r="E1726" s="521"/>
      <c r="F1726" s="521"/>
      <c r="G1726" s="522"/>
      <c r="H1726" s="106" t="e">
        <f>SUM(F1712:F1725)</f>
        <v>#VALUE!</v>
      </c>
      <c r="J1726" s="58"/>
      <c r="K1726" s="50"/>
      <c r="L1726" s="50"/>
      <c r="M1726" s="50"/>
      <c r="N1726" s="50"/>
      <c r="O1726" s="50"/>
    </row>
    <row r="1727" spans="1:15">
      <c r="A1727" s="523" t="s">
        <v>4220</v>
      </c>
      <c r="B1727" s="524"/>
      <c r="C1727" s="524"/>
      <c r="D1727" s="524"/>
      <c r="E1727" s="525"/>
      <c r="F1727" s="524"/>
      <c r="G1727" s="524"/>
      <c r="H1727" s="526"/>
      <c r="J1727" s="58"/>
      <c r="K1727" s="50"/>
      <c r="L1727" s="50"/>
      <c r="M1727" s="50"/>
      <c r="N1727" s="50"/>
      <c r="O1727" s="50"/>
    </row>
    <row r="1728" spans="1:15">
      <c r="A1728" s="527" t="s">
        <v>7</v>
      </c>
      <c r="B1728" s="528"/>
      <c r="C1728" s="98" t="s">
        <v>4221</v>
      </c>
      <c r="D1728" s="97" t="s">
        <v>4222</v>
      </c>
      <c r="E1728" s="187" t="s">
        <v>4223</v>
      </c>
      <c r="F1728" s="529" t="s">
        <v>4207</v>
      </c>
      <c r="G1728" s="529"/>
      <c r="H1728" s="109"/>
      <c r="K1728" s="50"/>
      <c r="L1728" s="50"/>
      <c r="M1728" s="50"/>
      <c r="N1728" s="50"/>
      <c r="O1728" s="50"/>
    </row>
    <row r="1729" spans="1:13">
      <c r="A1729" s="506" t="s">
        <v>3928</v>
      </c>
      <c r="B1729" s="507"/>
      <c r="C1729" s="213">
        <v>1</v>
      </c>
      <c r="D1729" s="92">
        <v>0.03</v>
      </c>
      <c r="E1729" s="93" t="str">
        <f>VLOOKUP(A1729,'Equip, Herr y Transp'!$B$2:$E$217,3,0)</f>
        <v>TR</v>
      </c>
      <c r="F1729" s="530" t="e">
        <f>E1729*D1729*C1729</f>
        <v>#VALUE!</v>
      </c>
      <c r="G1729" s="531"/>
      <c r="H1729" s="107"/>
      <c r="M1729" s="50"/>
    </row>
    <row r="1730" spans="1:13">
      <c r="A1730" s="532" t="s">
        <v>4205</v>
      </c>
      <c r="B1730" s="533"/>
      <c r="C1730" s="533"/>
      <c r="D1730" s="533"/>
      <c r="E1730" s="533"/>
      <c r="F1730" s="533"/>
      <c r="G1730" s="533"/>
      <c r="H1730" s="95" t="e">
        <f>F1729</f>
        <v>#VALUE!</v>
      </c>
    </row>
    <row r="1731" spans="1:13">
      <c r="A1731" s="523" t="s">
        <v>4224</v>
      </c>
      <c r="B1731" s="524"/>
      <c r="C1731" s="524"/>
      <c r="D1731" s="524"/>
      <c r="E1731" s="524"/>
      <c r="F1731" s="524"/>
      <c r="G1731" s="524"/>
      <c r="H1731" s="526"/>
    </row>
    <row r="1732" spans="1:13">
      <c r="A1732" s="527" t="s">
        <v>7</v>
      </c>
      <c r="B1732" s="528"/>
      <c r="C1732" s="96" t="s">
        <v>1</v>
      </c>
      <c r="D1732" s="97" t="s">
        <v>4225</v>
      </c>
      <c r="E1732" s="98" t="s">
        <v>4204</v>
      </c>
      <c r="F1732" s="527" t="s">
        <v>5</v>
      </c>
      <c r="G1732" s="534"/>
      <c r="H1732" s="109"/>
    </row>
    <row r="1733" spans="1:13">
      <c r="A1733" s="506" t="s">
        <v>4191</v>
      </c>
      <c r="B1733" s="507"/>
      <c r="C1733" s="91">
        <v>1</v>
      </c>
      <c r="D1733" s="94">
        <f>VLOOKUP(A1733,'Mano Obra'!$B$2:$T$117,19,0)</f>
        <v>152456</v>
      </c>
      <c r="E1733" s="218">
        <f>H1696</f>
        <v>5.21E-2</v>
      </c>
      <c r="F1733" s="508">
        <f>E1733*D1733*C1733</f>
        <v>7942.9575999999997</v>
      </c>
      <c r="G1733" s="509"/>
      <c r="H1733" s="111"/>
      <c r="I1733" s="59"/>
      <c r="J1733" s="117">
        <f>((('Mano Obra'!$M$4/30)*F1733)/D1733)*G1703</f>
        <v>0</v>
      </c>
    </row>
    <row r="1734" spans="1:13">
      <c r="A1734" s="510" t="s">
        <v>4192</v>
      </c>
      <c r="B1734" s="511">
        <f>VLOOKUP(A1734,'Mano Obra'!$B$3:$D$290,2,0)</f>
        <v>1900000</v>
      </c>
      <c r="C1734" s="91">
        <v>1</v>
      </c>
      <c r="D1734" s="94">
        <f>VLOOKUP(A1734,'Mano Obra'!$B$2:$T$117,19,0)</f>
        <v>110488</v>
      </c>
      <c r="E1734" s="218">
        <f>H1696</f>
        <v>5.21E-2</v>
      </c>
      <c r="F1734" s="508">
        <f t="shared" ref="F1734:F1735" si="102">E1734*D1734*C1734</f>
        <v>5756.4247999999998</v>
      </c>
      <c r="G1734" s="509"/>
      <c r="H1734" s="111"/>
      <c r="J1734" s="117">
        <f>((('Mano Obra'!$M$5/30)*F1734)/D1734)*G1703</f>
        <v>0</v>
      </c>
    </row>
    <row r="1735" spans="1:13">
      <c r="A1735" s="510" t="s">
        <v>4181</v>
      </c>
      <c r="B1735" s="511">
        <f>VLOOKUP(A1735,'Mano Obra'!$B$3:$D$290,2,0)</f>
        <v>1000000</v>
      </c>
      <c r="C1735" s="91">
        <v>1</v>
      </c>
      <c r="D1735" s="94">
        <f>VLOOKUP(A1735,'Mano Obra'!$B$2:$T$117,19,0)</f>
        <v>67424</v>
      </c>
      <c r="E1735" s="218">
        <f>H1696</f>
        <v>5.21E-2</v>
      </c>
      <c r="F1735" s="508">
        <f t="shared" si="102"/>
        <v>3512.7903999999999</v>
      </c>
      <c r="G1735" s="509"/>
      <c r="H1735" s="110"/>
      <c r="J1735" s="117">
        <f>((('Mano Obra'!$M$6/30)*F1735)/D1735)*G1703</f>
        <v>0</v>
      </c>
    </row>
    <row r="1736" spans="1:13">
      <c r="A1736" s="512" t="s">
        <v>4100</v>
      </c>
      <c r="B1736" s="512"/>
      <c r="C1736" s="512"/>
      <c r="D1736" s="512"/>
      <c r="E1736" s="512"/>
      <c r="F1736" s="512"/>
      <c r="G1736" s="512"/>
      <c r="H1736" s="95">
        <f>SUM(F1733:F1735)</f>
        <v>17212.1728</v>
      </c>
      <c r="J1736" s="117"/>
    </row>
    <row r="1737" spans="1:13">
      <c r="A1737" s="208" t="s">
        <v>4226</v>
      </c>
      <c r="B1737" s="186"/>
      <c r="C1737" s="186"/>
      <c r="D1737" s="183"/>
      <c r="E1737" s="184"/>
      <c r="F1737" s="185"/>
      <c r="G1737" s="184"/>
      <c r="H1737" s="193"/>
    </row>
    <row r="1738" spans="1:13">
      <c r="A1738" s="513" t="s">
        <v>4213</v>
      </c>
      <c r="B1738" s="514"/>
      <c r="C1738" s="514"/>
      <c r="D1738" s="514"/>
      <c r="E1738" s="181"/>
      <c r="F1738" s="182" t="s">
        <v>4227</v>
      </c>
      <c r="G1738" s="181" t="s">
        <v>4228</v>
      </c>
      <c r="H1738" s="194"/>
    </row>
    <row r="1739" spans="1:13">
      <c r="A1739" s="204" t="s">
        <v>4096</v>
      </c>
      <c r="B1739" s="62"/>
      <c r="C1739" s="62"/>
      <c r="D1739" s="63"/>
      <c r="E1739" s="68"/>
      <c r="F1739" s="69">
        <v>0</v>
      </c>
      <c r="G1739" s="70" t="e">
        <f>F1739*H1704</f>
        <v>#VALUE!</v>
      </c>
      <c r="H1739" s="193"/>
    </row>
    <row r="1740" spans="1:13">
      <c r="A1740" s="205" t="s">
        <v>4229</v>
      </c>
      <c r="B1740" s="71"/>
      <c r="C1740" s="71"/>
      <c r="D1740" s="72"/>
      <c r="E1740" s="68"/>
      <c r="F1740" s="69">
        <v>0</v>
      </c>
      <c r="G1740" s="70" t="e">
        <f>F1740*H1704</f>
        <v>#VALUE!</v>
      </c>
      <c r="H1740" s="193"/>
    </row>
    <row r="1741" spans="1:13">
      <c r="A1741" s="205" t="s">
        <v>4</v>
      </c>
      <c r="B1741" s="71"/>
      <c r="C1741" s="71"/>
      <c r="D1741" s="72"/>
      <c r="E1741" s="68"/>
      <c r="F1741" s="69">
        <v>0</v>
      </c>
      <c r="G1741" s="70" t="e">
        <f>F1741*H1704</f>
        <v>#VALUE!</v>
      </c>
      <c r="H1741" s="193"/>
    </row>
    <row r="1742" spans="1:13">
      <c r="A1742" s="206"/>
      <c r="B1742" s="73"/>
      <c r="C1742" s="65"/>
      <c r="D1742" s="74"/>
      <c r="E1742" s="75"/>
      <c r="F1742" s="76"/>
      <c r="G1742" s="77"/>
      <c r="H1742" s="195"/>
    </row>
    <row r="1743" spans="1:13">
      <c r="A1743" s="207"/>
      <c r="B1743" s="73"/>
      <c r="C1743" s="73"/>
      <c r="D1743" s="74"/>
      <c r="E1743" s="78"/>
      <c r="F1743" s="515" t="s">
        <v>4230</v>
      </c>
      <c r="G1743" s="516"/>
      <c r="H1743" s="214" t="e">
        <f>H1704+G1739+G1740+G1741</f>
        <v>#VALUE!</v>
      </c>
    </row>
    <row r="1744" spans="1:13">
      <c r="A1744" s="73"/>
      <c r="B1744" s="73"/>
      <c r="C1744" s="73"/>
      <c r="D1744" s="74"/>
      <c r="E1744" s="360"/>
      <c r="F1744" s="361"/>
      <c r="G1744" s="361"/>
      <c r="H1744" s="362"/>
    </row>
    <row r="1745" spans="1:14">
      <c r="A1745" s="80"/>
      <c r="B1745" s="80"/>
      <c r="C1745" s="80"/>
      <c r="D1745" s="80"/>
      <c r="E1745" s="80"/>
      <c r="F1745" s="80"/>
      <c r="G1745" s="80"/>
      <c r="H1745" s="353"/>
    </row>
    <row r="1746" spans="1:14">
      <c r="A1746" s="537" t="s">
        <v>4214</v>
      </c>
      <c r="B1746" s="538"/>
      <c r="C1746" s="538"/>
      <c r="D1746" s="538"/>
      <c r="E1746" s="538"/>
      <c r="F1746" s="538"/>
      <c r="G1746" s="538"/>
      <c r="H1746" s="539"/>
    </row>
    <row r="1747" spans="1:14">
      <c r="A1747" s="81"/>
      <c r="B1747" s="82"/>
      <c r="C1747" s="82"/>
      <c r="D1747" s="82"/>
      <c r="E1747" s="82"/>
      <c r="F1747" s="83"/>
      <c r="G1747" s="84"/>
      <c r="H1747" s="352">
        <f>ROUND((25/60)/8,4)</f>
        <v>5.21E-2</v>
      </c>
      <c r="I1747" s="105"/>
    </row>
    <row r="1748" spans="1:14">
      <c r="A1748" s="540" t="s">
        <v>4209</v>
      </c>
      <c r="B1748" s="542" t="str">
        <f>COSTOS!$C$14</f>
        <v>MODERNIZACION A TECNOLOGIA LED</v>
      </c>
      <c r="C1748" s="542"/>
      <c r="D1748" s="542"/>
      <c r="E1748" s="542"/>
      <c r="F1748" s="542"/>
      <c r="G1748" s="542"/>
      <c r="H1748" s="543" t="s">
        <v>4210</v>
      </c>
    </row>
    <row r="1749" spans="1:14">
      <c r="A1749" s="541"/>
      <c r="B1749" s="542"/>
      <c r="C1749" s="542"/>
      <c r="D1749" s="542"/>
      <c r="E1749" s="542"/>
      <c r="F1749" s="542"/>
      <c r="G1749" s="542"/>
      <c r="H1749" s="543"/>
    </row>
    <row r="1750" spans="1:14">
      <c r="A1750" s="541"/>
      <c r="B1750" s="542"/>
      <c r="C1750" s="542"/>
      <c r="D1750" s="542"/>
      <c r="E1750" s="542"/>
      <c r="F1750" s="542"/>
      <c r="G1750" s="542"/>
      <c r="H1750" s="543"/>
    </row>
    <row r="1751" spans="1:14" ht="15" customHeight="1">
      <c r="A1751" s="541"/>
      <c r="B1751" s="542"/>
      <c r="C1751" s="542"/>
      <c r="D1751" s="542"/>
      <c r="E1751" s="542"/>
      <c r="F1751" s="542"/>
      <c r="G1751" s="542"/>
      <c r="H1751" s="197">
        <f ca="1">TODAY()</f>
        <v>44889</v>
      </c>
      <c r="K1751" t="s">
        <v>4380</v>
      </c>
      <c r="L1751" t="s">
        <v>4381</v>
      </c>
      <c r="M1751" t="s">
        <v>4382</v>
      </c>
      <c r="N1751" t="s">
        <v>4383</v>
      </c>
    </row>
    <row r="1752" spans="1:14" ht="60.75" customHeight="1">
      <c r="A1752" s="209" t="s">
        <v>4211</v>
      </c>
      <c r="B1752" s="544" t="str">
        <f>COSTOS!$D$16</f>
        <v>Luminarias</v>
      </c>
      <c r="C1752" s="544"/>
      <c r="D1752" s="544"/>
      <c r="E1752" s="544"/>
      <c r="F1752" s="544"/>
      <c r="G1752" s="60" t="s">
        <v>4212</v>
      </c>
      <c r="H1752" s="363">
        <v>1.35</v>
      </c>
      <c r="K1752" s="55" t="e">
        <f>H1777</f>
        <v>#VALUE!</v>
      </c>
      <c r="L1752" s="55">
        <f>H1787</f>
        <v>17212.1728</v>
      </c>
      <c r="M1752" s="55" t="e">
        <f>H1760</f>
        <v>#VALUE!</v>
      </c>
      <c r="N1752" s="55" t="e">
        <f>H1781</f>
        <v>#VALUE!</v>
      </c>
    </row>
    <row r="1753" spans="1:14" ht="43.2" customHeight="1">
      <c r="A1753" s="210" t="s">
        <v>4213</v>
      </c>
      <c r="B1753" s="545" t="str">
        <f>VLOOKUP(H1752,COSTOS!C:M,2,0)</f>
        <v>Luminaria con bombillo fluorescente 80w</v>
      </c>
      <c r="C1753" s="546"/>
      <c r="D1753" s="546"/>
      <c r="E1753" s="547"/>
      <c r="F1753" s="61" t="s">
        <v>0</v>
      </c>
      <c r="G1753" s="328" t="str">
        <f>VLOOKUP(H1752,COSTOS!C:M,8,0)</f>
        <v>Und</v>
      </c>
      <c r="H1753" s="248"/>
      <c r="I1753" s="278"/>
      <c r="J1753" s="280"/>
      <c r="K1753" s="280"/>
      <c r="L1753" s="280"/>
    </row>
    <row r="1754" spans="1:14">
      <c r="A1754" s="211"/>
      <c r="B1754" s="102"/>
      <c r="C1754" s="102"/>
      <c r="D1754" s="102"/>
      <c r="E1754" s="103"/>
      <c r="F1754" s="104" t="s">
        <v>1</v>
      </c>
      <c r="G1754" s="328">
        <f>VLOOKUP(H1752,COSTOS!C:M,9,0)</f>
        <v>0</v>
      </c>
      <c r="H1754" s="329"/>
      <c r="I1754" s="279"/>
    </row>
    <row r="1755" spans="1:14">
      <c r="A1755" s="212" t="s">
        <v>4215</v>
      </c>
      <c r="B1755" s="65"/>
      <c r="C1755" s="65"/>
      <c r="D1755" s="66"/>
      <c r="E1755" s="190"/>
      <c r="F1755" s="191"/>
      <c r="G1755" s="192" t="s">
        <v>4216</v>
      </c>
      <c r="H1755" s="198" t="e">
        <f>H1760+H1777+H1781+H1787</f>
        <v>#VALUE!</v>
      </c>
    </row>
    <row r="1756" spans="1:14" ht="41.4">
      <c r="A1756" s="548" t="s">
        <v>4213</v>
      </c>
      <c r="B1756" s="548"/>
      <c r="C1756" s="548"/>
      <c r="D1756" s="67" t="s">
        <v>0</v>
      </c>
      <c r="E1756" s="188" t="s">
        <v>4217</v>
      </c>
      <c r="F1756" s="189" t="s">
        <v>4204</v>
      </c>
      <c r="G1756" s="64" t="s">
        <v>2</v>
      </c>
      <c r="H1756" s="199" t="s">
        <v>4218</v>
      </c>
      <c r="K1756" s="281"/>
    </row>
    <row r="1757" spans="1:14">
      <c r="A1757" s="517" t="s">
        <v>3946</v>
      </c>
      <c r="B1757" s="549">
        <f>VLOOKUP(A1757,'Equip, Herr y Transp'!$B$2:$E$738,2,0)</f>
        <v>2</v>
      </c>
      <c r="C1757" s="549"/>
      <c r="D1757" s="85">
        <f>VLOOKUP(A1757,'Equip, Herr y Transp'!$B$2:$E$217,2,0)</f>
        <v>2</v>
      </c>
      <c r="E1757" s="85" t="str">
        <f>VLOOKUP(A1757,'Equip, Herr y Transp'!$B$2:$E$217,3,0)</f>
        <v>EQU</v>
      </c>
      <c r="F1757" s="86">
        <f>H1747</f>
        <v>5.21E-2</v>
      </c>
      <c r="G1757" s="112" t="e">
        <f>F1757*E1757</f>
        <v>#VALUE!</v>
      </c>
      <c r="H1757" s="108"/>
    </row>
    <row r="1758" spans="1:14">
      <c r="A1758" s="517" t="s">
        <v>3904</v>
      </c>
      <c r="B1758" s="549">
        <f>VLOOKUP(A1758,'Equip, Herr y Transp'!$B$2:$E$738,2,0)</f>
        <v>2</v>
      </c>
      <c r="C1758" s="549"/>
      <c r="D1758" s="85">
        <f>VLOOKUP(A1758,'Equip, Herr y Transp'!$B$2:$E$217,2,0)</f>
        <v>2</v>
      </c>
      <c r="E1758" s="85" t="str">
        <f>VLOOKUP(A1758,'Equip, Herr y Transp'!$B$2:$E$217,3,0)</f>
        <v>EQU</v>
      </c>
      <c r="F1758" s="86">
        <f>H1747</f>
        <v>5.21E-2</v>
      </c>
      <c r="G1758" s="112" t="e">
        <f>F1758*E1758</f>
        <v>#VALUE!</v>
      </c>
      <c r="H1758" s="107"/>
    </row>
    <row r="1759" spans="1:14">
      <c r="A1759" s="517" t="s">
        <v>3937</v>
      </c>
      <c r="B1759" s="549">
        <f>VLOOKUP(A1759,'Equip, Herr y Transp'!$B$2:$E$738,2,0)</f>
        <v>2</v>
      </c>
      <c r="C1759" s="549"/>
      <c r="D1759" s="85">
        <f>VLOOKUP(A1759,'Equip, Herr y Transp'!$B$2:$E$217,2,0)</f>
        <v>2</v>
      </c>
      <c r="E1759" s="85" t="str">
        <f>VLOOKUP(A1759,'Equip, Herr y Transp'!$B$2:$E$217,3,0)</f>
        <v>EQU</v>
      </c>
      <c r="F1759" s="86">
        <f>H1747</f>
        <v>5.21E-2</v>
      </c>
      <c r="G1759" s="112" t="e">
        <f>F1759*E1759</f>
        <v>#VALUE!</v>
      </c>
      <c r="H1759" s="107"/>
    </row>
    <row r="1760" spans="1:14">
      <c r="A1760" s="520" t="s">
        <v>4099</v>
      </c>
      <c r="B1760" s="521"/>
      <c r="C1760" s="521"/>
      <c r="D1760" s="521"/>
      <c r="E1760" s="521"/>
      <c r="F1760" s="521"/>
      <c r="G1760" s="521"/>
      <c r="H1760" s="87" t="e">
        <f>SUM(G1757:G1759)</f>
        <v>#VALUE!</v>
      </c>
    </row>
    <row r="1761" spans="1:15">
      <c r="A1761" s="550" t="s">
        <v>4219</v>
      </c>
      <c r="B1761" s="551"/>
      <c r="C1761" s="551"/>
      <c r="D1761" s="551"/>
      <c r="E1761" s="551"/>
      <c r="F1761" s="551"/>
      <c r="G1761" s="551"/>
      <c r="H1761" s="552"/>
      <c r="K1761" s="50"/>
      <c r="L1761" s="50"/>
      <c r="M1761" s="50"/>
      <c r="N1761" s="50"/>
      <c r="O1761" s="50"/>
    </row>
    <row r="1762" spans="1:15" ht="30" customHeight="1">
      <c r="A1762" s="553" t="s">
        <v>7</v>
      </c>
      <c r="B1762" s="554"/>
      <c r="C1762" s="99" t="s">
        <v>0</v>
      </c>
      <c r="D1762" s="100" t="s">
        <v>4097</v>
      </c>
      <c r="E1762" s="101" t="s">
        <v>1</v>
      </c>
      <c r="F1762" s="555" t="s">
        <v>4207</v>
      </c>
      <c r="G1762" s="555"/>
      <c r="H1762" s="196"/>
      <c r="K1762" s="50"/>
      <c r="L1762" s="50"/>
      <c r="M1762" s="50"/>
      <c r="N1762" s="50"/>
      <c r="O1762" s="50"/>
    </row>
    <row r="1763" spans="1:15">
      <c r="A1763" s="535" t="s">
        <v>4676</v>
      </c>
      <c r="B1763" s="536"/>
      <c r="C1763" s="88">
        <f>VLOOKUP(A1763,'Materiales '!$C$2:$G$396,3,0)</f>
        <v>4</v>
      </c>
      <c r="D1763" s="89" t="str">
        <f>VLOOKUP(A1763,'Materiales '!$C$2:$G$396,4,0)</f>
        <v>Und</v>
      </c>
      <c r="E1763" s="90">
        <v>1</v>
      </c>
      <c r="F1763" s="508" t="e">
        <f>E1763*D1763</f>
        <v>#VALUE!</v>
      </c>
      <c r="G1763" s="519"/>
      <c r="H1763" s="111"/>
      <c r="I1763">
        <f>E1763*G1754</f>
        <v>0</v>
      </c>
      <c r="J1763" s="57"/>
      <c r="K1763" s="50"/>
      <c r="L1763" s="50"/>
      <c r="M1763" s="50"/>
      <c r="N1763" s="50"/>
      <c r="O1763" s="50"/>
    </row>
    <row r="1764" spans="1:15">
      <c r="A1764" s="535" t="s">
        <v>4203</v>
      </c>
      <c r="B1764" s="536"/>
      <c r="C1764" s="88">
        <f>VLOOKUP(A1764,'Materiales '!$C$2:$G$396,3,0)</f>
        <v>4</v>
      </c>
      <c r="D1764" s="89" t="str">
        <f>VLOOKUP(A1764,'Materiales '!$C$2:$G$396,4,0)</f>
        <v>Und</v>
      </c>
      <c r="E1764" s="90">
        <v>1</v>
      </c>
      <c r="F1764" s="508" t="e">
        <f t="shared" ref="F1764:F1770" si="103">E1764*D1764</f>
        <v>#VALUE!</v>
      </c>
      <c r="G1764" s="519"/>
      <c r="H1764" s="111"/>
      <c r="I1764">
        <f>E1764*G1754</f>
        <v>0</v>
      </c>
      <c r="J1764" s="57"/>
      <c r="K1764" s="50"/>
      <c r="L1764" s="50"/>
      <c r="M1764" s="50"/>
      <c r="N1764" s="50"/>
      <c r="O1764" s="50"/>
    </row>
    <row r="1765" spans="1:15">
      <c r="A1765" s="517" t="s">
        <v>4473</v>
      </c>
      <c r="B1765" s="518">
        <f>VLOOKUP(A1765,'Materiales '!$C$2:$G$396,3,0)</f>
        <v>4</v>
      </c>
      <c r="C1765" s="88">
        <f>VLOOKUP(A1765,'Materiales '!$C$2:$G$396,3,0)</f>
        <v>4</v>
      </c>
      <c r="D1765" s="89" t="str">
        <f>VLOOKUP(A1765,'Materiales '!$C$2:$G$396,4,0)</f>
        <v>Und</v>
      </c>
      <c r="E1765" s="90">
        <v>2</v>
      </c>
      <c r="F1765" s="508" t="e">
        <f t="shared" si="103"/>
        <v>#VALUE!</v>
      </c>
      <c r="G1765" s="519"/>
      <c r="H1765" s="111"/>
      <c r="I1765">
        <f>E1765*G1754</f>
        <v>0</v>
      </c>
      <c r="J1765" s="58"/>
      <c r="K1765" s="50"/>
      <c r="L1765" s="50"/>
      <c r="M1765" s="50"/>
      <c r="N1765" s="50"/>
      <c r="O1765" s="50"/>
    </row>
    <row r="1766" spans="1:15">
      <c r="A1766" s="517" t="s">
        <v>4478</v>
      </c>
      <c r="B1766" s="518">
        <f>VLOOKUP(A1766,'Materiales '!$C$2:$G$396,3,0)</f>
        <v>4</v>
      </c>
      <c r="C1766" s="88">
        <f>VLOOKUP(A1766,'Materiales '!$C$2:$G$396,3,0)</f>
        <v>4</v>
      </c>
      <c r="D1766" s="89" t="str">
        <f>VLOOKUP(A1766,'Materiales '!$C$2:$G$396,4,0)</f>
        <v>Und</v>
      </c>
      <c r="E1766" s="90">
        <v>3</v>
      </c>
      <c r="F1766" s="508" t="e">
        <f t="shared" si="103"/>
        <v>#VALUE!</v>
      </c>
      <c r="G1766" s="519"/>
      <c r="H1766" s="111"/>
      <c r="I1766">
        <f>E1766*G1754</f>
        <v>0</v>
      </c>
      <c r="J1766" s="58"/>
      <c r="K1766" s="50"/>
      <c r="L1766" s="50"/>
      <c r="M1766" s="50"/>
      <c r="N1766" s="50"/>
      <c r="O1766" s="50"/>
    </row>
    <row r="1767" spans="1:15">
      <c r="A1767" s="517" t="s">
        <v>4543</v>
      </c>
      <c r="B1767" s="518">
        <f>VLOOKUP(A1767,'Materiales '!$C$2:$G$396,3,0)</f>
        <v>4</v>
      </c>
      <c r="C1767" s="88">
        <f>VLOOKUP(A1767,'Materiales '!$C$2:$G$396,3,0)</f>
        <v>4</v>
      </c>
      <c r="D1767" s="89" t="str">
        <f>VLOOKUP(A1767,'Materiales '!$C$2:$G$396,4,0)</f>
        <v>Und</v>
      </c>
      <c r="E1767" s="90">
        <v>2</v>
      </c>
      <c r="F1767" s="508" t="e">
        <f t="shared" si="103"/>
        <v>#VALUE!</v>
      </c>
      <c r="G1767" s="519"/>
      <c r="H1767" s="111"/>
      <c r="I1767">
        <f>E1767*G1754</f>
        <v>0</v>
      </c>
      <c r="J1767" s="58"/>
      <c r="K1767" s="50"/>
      <c r="L1767" s="50"/>
      <c r="M1767" s="50"/>
      <c r="N1767" s="50"/>
      <c r="O1767" s="50"/>
    </row>
    <row r="1768" spans="1:15">
      <c r="A1768" s="517" t="s">
        <v>4439</v>
      </c>
      <c r="B1768" s="518">
        <f>VLOOKUP(A1768,'Materiales '!$C$2:$G$396,3,0)</f>
        <v>2</v>
      </c>
      <c r="C1768" s="88">
        <f>VLOOKUP(A1768,'Materiales '!$C$2:$G$396,3,0)</f>
        <v>2</v>
      </c>
      <c r="D1768" s="89" t="str">
        <f>VLOOKUP(A1768,'Materiales '!$C$2:$G$396,4,0)</f>
        <v>Ml</v>
      </c>
      <c r="E1768" s="90">
        <v>1</v>
      </c>
      <c r="F1768" s="508" t="e">
        <f t="shared" si="103"/>
        <v>#VALUE!</v>
      </c>
      <c r="G1768" s="519"/>
      <c r="H1768" s="111"/>
      <c r="I1768">
        <f>E1768*G1754</f>
        <v>0</v>
      </c>
      <c r="J1768" s="58"/>
      <c r="K1768" s="50"/>
      <c r="L1768" s="50"/>
      <c r="M1768" s="50"/>
      <c r="N1768" s="50"/>
      <c r="O1768" s="50"/>
    </row>
    <row r="1769" spans="1:15">
      <c r="A1769" s="517" t="s">
        <v>4482</v>
      </c>
      <c r="B1769" s="518">
        <f>VLOOKUP(A1769,'Materiales '!$C$2:$G$396,3,0)</f>
        <v>4</v>
      </c>
      <c r="C1769" s="88">
        <f>VLOOKUP(A1769,'Materiales '!$C$2:$G$396,3,0)</f>
        <v>4</v>
      </c>
      <c r="D1769" s="89" t="str">
        <f>VLOOKUP(A1769,'Materiales '!$C$2:$G$396,4,0)</f>
        <v>Und</v>
      </c>
      <c r="E1769" s="90">
        <v>3</v>
      </c>
      <c r="F1769" s="508" t="e">
        <f t="shared" si="103"/>
        <v>#VALUE!</v>
      </c>
      <c r="G1769" s="519"/>
      <c r="H1769" s="111"/>
      <c r="I1769">
        <f>E1769*G1754</f>
        <v>0</v>
      </c>
      <c r="J1769" s="58"/>
      <c r="K1769" s="50"/>
      <c r="L1769" s="50"/>
      <c r="M1769" s="50"/>
      <c r="N1769" s="50"/>
      <c r="O1769" s="50"/>
    </row>
    <row r="1770" spans="1:15" ht="21.75" customHeight="1">
      <c r="A1770" s="517" t="s">
        <v>4424</v>
      </c>
      <c r="B1770" s="518">
        <f>VLOOKUP(A1770,'Materiales '!$C$2:$G$396,3,0)</f>
        <v>4</v>
      </c>
      <c r="C1770" s="88">
        <f>VLOOKUP(A1770,'Materiales '!$C$2:$G$396,3,0)</f>
        <v>4</v>
      </c>
      <c r="D1770" s="89" t="str">
        <f>VLOOKUP(A1770,'Materiales '!$C$2:$G$396,4,0)</f>
        <v>Und</v>
      </c>
      <c r="E1770" s="90">
        <v>1</v>
      </c>
      <c r="F1770" s="508" t="e">
        <f t="shared" si="103"/>
        <v>#VALUE!</v>
      </c>
      <c r="G1770" s="519"/>
      <c r="H1770" s="111"/>
      <c r="I1770">
        <f>E1770*G1754</f>
        <v>0</v>
      </c>
      <c r="J1770" s="58"/>
      <c r="K1770" s="50"/>
      <c r="L1770" s="50"/>
      <c r="M1770" s="50"/>
      <c r="N1770" s="50"/>
      <c r="O1770" s="50"/>
    </row>
    <row r="1771" spans="1:15">
      <c r="A1771" s="517" t="s">
        <v>8</v>
      </c>
      <c r="B1771" s="518">
        <f>VLOOKUP(A1771,'Materiales '!$C$2:$G$396,3,0)</f>
        <v>0</v>
      </c>
      <c r="C1771" s="88">
        <f>VLOOKUP(A1771,'Materiales '!$C$2:$G$396,3,0)</f>
        <v>0</v>
      </c>
      <c r="D1771" s="89" t="str">
        <f>VLOOKUP(A1771,'Materiales '!$C$2:$G$396,4,0)</f>
        <v>-</v>
      </c>
      <c r="E1771" s="90"/>
      <c r="F1771" s="508" t="e">
        <f>E1771*D1771</f>
        <v>#VALUE!</v>
      </c>
      <c r="G1771" s="519"/>
      <c r="H1771" s="110"/>
      <c r="I1771">
        <f>E1771*G1754</f>
        <v>0</v>
      </c>
      <c r="J1771" s="58"/>
      <c r="K1771" s="50"/>
      <c r="L1771" s="50"/>
      <c r="M1771" s="50"/>
      <c r="N1771" s="50"/>
      <c r="O1771" s="50"/>
    </row>
    <row r="1772" spans="1:15">
      <c r="A1772" s="517" t="s">
        <v>8</v>
      </c>
      <c r="B1772" s="518">
        <f>VLOOKUP(A1772,'Materiales '!$C$2:$G$396,3,0)</f>
        <v>0</v>
      </c>
      <c r="C1772" s="88">
        <f>VLOOKUP(A1772,'Materiales '!$C$2:$G$396,3,0)</f>
        <v>0</v>
      </c>
      <c r="D1772" s="89" t="str">
        <f>VLOOKUP(A1772,'Materiales '!$C$2:$G$396,4,0)</f>
        <v>-</v>
      </c>
      <c r="E1772" s="90"/>
      <c r="F1772" s="508" t="e">
        <f t="shared" ref="F1772:F1775" si="104">E1772*D1772</f>
        <v>#VALUE!</v>
      </c>
      <c r="G1772" s="519"/>
      <c r="H1772" s="111"/>
      <c r="I1772">
        <f>E1772*G1754</f>
        <v>0</v>
      </c>
      <c r="J1772" s="58"/>
      <c r="K1772" s="50"/>
      <c r="L1772" s="50"/>
      <c r="M1772" s="50"/>
      <c r="N1772" s="50"/>
      <c r="O1772" s="50"/>
    </row>
    <row r="1773" spans="1:15">
      <c r="A1773" s="517" t="s">
        <v>8</v>
      </c>
      <c r="B1773" s="518">
        <f>VLOOKUP(A1773,'Materiales '!$C$2:$G$396,3,0)</f>
        <v>0</v>
      </c>
      <c r="C1773" s="88">
        <f>VLOOKUP(A1773,'Materiales '!$C$2:$G$396,3,0)</f>
        <v>0</v>
      </c>
      <c r="D1773" s="89" t="str">
        <f>VLOOKUP(A1773,'Materiales '!$C$2:$G$396,4,0)</f>
        <v>-</v>
      </c>
      <c r="E1773" s="90"/>
      <c r="F1773" s="508" t="e">
        <f t="shared" si="104"/>
        <v>#VALUE!</v>
      </c>
      <c r="G1773" s="519"/>
      <c r="H1773" s="111"/>
      <c r="I1773">
        <f>E1773*G1754</f>
        <v>0</v>
      </c>
      <c r="J1773" s="58"/>
      <c r="K1773" s="50"/>
      <c r="L1773" s="50"/>
      <c r="M1773" s="50"/>
      <c r="N1773" s="50"/>
      <c r="O1773" s="50"/>
    </row>
    <row r="1774" spans="1:15">
      <c r="A1774" s="517" t="s">
        <v>8</v>
      </c>
      <c r="B1774" s="518">
        <f>VLOOKUP(A1774,'Materiales '!$C$2:$G$396,3,0)</f>
        <v>0</v>
      </c>
      <c r="C1774" s="88">
        <f>VLOOKUP(A1774,'Materiales '!$C$2:$G$396,3,0)</f>
        <v>0</v>
      </c>
      <c r="D1774" s="89" t="str">
        <f>VLOOKUP(A1774,'Materiales '!$C$2:$G$396,4,0)</f>
        <v>-</v>
      </c>
      <c r="E1774" s="90"/>
      <c r="F1774" s="508" t="e">
        <f t="shared" si="104"/>
        <v>#VALUE!</v>
      </c>
      <c r="G1774" s="519"/>
      <c r="H1774" s="111"/>
      <c r="I1774">
        <f>E1774*G1754</f>
        <v>0</v>
      </c>
      <c r="J1774" s="58"/>
      <c r="K1774" s="50"/>
      <c r="L1774" s="50"/>
      <c r="M1774" s="50"/>
      <c r="N1774" s="50"/>
      <c r="O1774" s="50"/>
    </row>
    <row r="1775" spans="1:15">
      <c r="A1775" s="517" t="s">
        <v>8</v>
      </c>
      <c r="B1775" s="518">
        <f>VLOOKUP(A1775,'Materiales '!$C$2:$G$396,3,0)</f>
        <v>0</v>
      </c>
      <c r="C1775" s="88">
        <f>VLOOKUP(A1775,'Materiales '!$C$2:$G$396,3,0)</f>
        <v>0</v>
      </c>
      <c r="D1775" s="89" t="str">
        <f>VLOOKUP(A1775,'Materiales '!$C$2:$G$396,4,0)</f>
        <v>-</v>
      </c>
      <c r="E1775" s="90"/>
      <c r="F1775" s="508" t="e">
        <f t="shared" si="104"/>
        <v>#VALUE!</v>
      </c>
      <c r="G1775" s="519"/>
      <c r="H1775" s="111"/>
      <c r="I1775">
        <f>E1775*G1754</f>
        <v>0</v>
      </c>
      <c r="J1775" s="58"/>
      <c r="K1775" s="50"/>
      <c r="L1775" s="50"/>
      <c r="M1775" s="50"/>
      <c r="N1775" s="50"/>
      <c r="O1775" s="50"/>
    </row>
    <row r="1776" spans="1:15">
      <c r="A1776" s="517" t="s">
        <v>8</v>
      </c>
      <c r="B1776" s="518">
        <f>VLOOKUP(A1776,'Materiales '!$C$2:$G$396,3,0)</f>
        <v>0</v>
      </c>
      <c r="C1776" s="88">
        <f>VLOOKUP(A1776,'Materiales '!$C$2:$G$396,3,0)</f>
        <v>0</v>
      </c>
      <c r="D1776" s="89" t="str">
        <f>VLOOKUP(A1776,'Materiales '!$C$2:$G$396,4,0)</f>
        <v>-</v>
      </c>
      <c r="E1776" s="90"/>
      <c r="F1776" s="508" t="e">
        <f>E1776*D1776</f>
        <v>#VALUE!</v>
      </c>
      <c r="G1776" s="519"/>
      <c r="H1776" s="110"/>
      <c r="I1776">
        <f>E1776*G1754</f>
        <v>0</v>
      </c>
      <c r="J1776" s="58"/>
      <c r="K1776" s="50"/>
      <c r="L1776" s="50"/>
      <c r="M1776" s="50"/>
      <c r="N1776" s="50"/>
      <c r="O1776" s="50"/>
    </row>
    <row r="1777" spans="1:15">
      <c r="A1777" s="520" t="s">
        <v>4098</v>
      </c>
      <c r="B1777" s="521"/>
      <c r="C1777" s="521"/>
      <c r="D1777" s="521"/>
      <c r="E1777" s="521"/>
      <c r="F1777" s="521"/>
      <c r="G1777" s="522"/>
      <c r="H1777" s="106" t="e">
        <f>SUM(F1763:F1776)</f>
        <v>#VALUE!</v>
      </c>
      <c r="J1777" s="58"/>
      <c r="K1777" s="50"/>
      <c r="L1777" s="50"/>
      <c r="M1777" s="50"/>
      <c r="N1777" s="50"/>
      <c r="O1777" s="50"/>
    </row>
    <row r="1778" spans="1:15">
      <c r="A1778" s="523" t="s">
        <v>4220</v>
      </c>
      <c r="B1778" s="524"/>
      <c r="C1778" s="524"/>
      <c r="D1778" s="524"/>
      <c r="E1778" s="525"/>
      <c r="F1778" s="524"/>
      <c r="G1778" s="524"/>
      <c r="H1778" s="526"/>
      <c r="J1778" s="58"/>
      <c r="K1778" s="50"/>
      <c r="L1778" s="50"/>
      <c r="M1778" s="50"/>
      <c r="N1778" s="50"/>
      <c r="O1778" s="50"/>
    </row>
    <row r="1779" spans="1:15">
      <c r="A1779" s="527" t="s">
        <v>7</v>
      </c>
      <c r="B1779" s="528"/>
      <c r="C1779" s="98" t="s">
        <v>4221</v>
      </c>
      <c r="D1779" s="97" t="s">
        <v>4222</v>
      </c>
      <c r="E1779" s="187" t="s">
        <v>4223</v>
      </c>
      <c r="F1779" s="529" t="s">
        <v>4207</v>
      </c>
      <c r="G1779" s="529"/>
      <c r="H1779" s="109"/>
      <c r="K1779" s="50"/>
      <c r="L1779" s="50"/>
      <c r="M1779" s="50"/>
      <c r="N1779" s="50"/>
      <c r="O1779" s="50"/>
    </row>
    <row r="1780" spans="1:15">
      <c r="A1780" s="506" t="s">
        <v>3928</v>
      </c>
      <c r="B1780" s="507"/>
      <c r="C1780" s="213">
        <v>1</v>
      </c>
      <c r="D1780" s="92">
        <v>0.03</v>
      </c>
      <c r="E1780" s="93" t="str">
        <f>VLOOKUP(A1780,'Equip, Herr y Transp'!$B$2:$E$217,3,0)</f>
        <v>TR</v>
      </c>
      <c r="F1780" s="530" t="e">
        <f>E1780*D1780*C1780</f>
        <v>#VALUE!</v>
      </c>
      <c r="G1780" s="531"/>
      <c r="H1780" s="107"/>
      <c r="M1780" s="50"/>
    </row>
    <row r="1781" spans="1:15">
      <c r="A1781" s="532" t="s">
        <v>4205</v>
      </c>
      <c r="B1781" s="533"/>
      <c r="C1781" s="533"/>
      <c r="D1781" s="533"/>
      <c r="E1781" s="533"/>
      <c r="F1781" s="533"/>
      <c r="G1781" s="533"/>
      <c r="H1781" s="95" t="e">
        <f>F1780</f>
        <v>#VALUE!</v>
      </c>
    </row>
    <row r="1782" spans="1:15">
      <c r="A1782" s="523" t="s">
        <v>4224</v>
      </c>
      <c r="B1782" s="524"/>
      <c r="C1782" s="524"/>
      <c r="D1782" s="524"/>
      <c r="E1782" s="524"/>
      <c r="F1782" s="524"/>
      <c r="G1782" s="524"/>
      <c r="H1782" s="526"/>
    </row>
    <row r="1783" spans="1:15">
      <c r="A1783" s="527" t="s">
        <v>7</v>
      </c>
      <c r="B1783" s="528"/>
      <c r="C1783" s="96" t="s">
        <v>1</v>
      </c>
      <c r="D1783" s="97" t="s">
        <v>4225</v>
      </c>
      <c r="E1783" s="98" t="s">
        <v>4204</v>
      </c>
      <c r="F1783" s="527" t="s">
        <v>5</v>
      </c>
      <c r="G1783" s="534"/>
      <c r="H1783" s="109"/>
    </row>
    <row r="1784" spans="1:15">
      <c r="A1784" s="506" t="s">
        <v>4191</v>
      </c>
      <c r="B1784" s="507"/>
      <c r="C1784" s="91">
        <v>1</v>
      </c>
      <c r="D1784" s="94">
        <f>VLOOKUP(A1784,'Mano Obra'!$B$2:$T$117,19,0)</f>
        <v>152456</v>
      </c>
      <c r="E1784" s="218">
        <f>H1747</f>
        <v>5.21E-2</v>
      </c>
      <c r="F1784" s="508">
        <f>E1784*D1784*C1784</f>
        <v>7942.9575999999997</v>
      </c>
      <c r="G1784" s="509"/>
      <c r="H1784" s="111"/>
      <c r="I1784" s="59"/>
      <c r="J1784" s="117">
        <f>((('Mano Obra'!$M$4/30)*F1784)/D1784)*G1754</f>
        <v>0</v>
      </c>
    </row>
    <row r="1785" spans="1:15">
      <c r="A1785" s="510" t="s">
        <v>4192</v>
      </c>
      <c r="B1785" s="511">
        <f>VLOOKUP(A1785,'Mano Obra'!$B$3:$D$290,2,0)</f>
        <v>1900000</v>
      </c>
      <c r="C1785" s="91">
        <v>1</v>
      </c>
      <c r="D1785" s="94">
        <f>VLOOKUP(A1785,'Mano Obra'!$B$2:$T$117,19,0)</f>
        <v>110488</v>
      </c>
      <c r="E1785" s="218">
        <f>H1747</f>
        <v>5.21E-2</v>
      </c>
      <c r="F1785" s="508">
        <f t="shared" ref="F1785:F1786" si="105">E1785*D1785*C1785</f>
        <v>5756.4247999999998</v>
      </c>
      <c r="G1785" s="509"/>
      <c r="H1785" s="111"/>
      <c r="J1785" s="117">
        <f>((('Mano Obra'!$M$5/30)*F1785)/D1785)*G1754</f>
        <v>0</v>
      </c>
    </row>
    <row r="1786" spans="1:15">
      <c r="A1786" s="510" t="s">
        <v>4181</v>
      </c>
      <c r="B1786" s="511">
        <f>VLOOKUP(A1786,'Mano Obra'!$B$3:$D$290,2,0)</f>
        <v>1000000</v>
      </c>
      <c r="C1786" s="91">
        <v>1</v>
      </c>
      <c r="D1786" s="94">
        <f>VLOOKUP(A1786,'Mano Obra'!$B$2:$T$117,19,0)</f>
        <v>67424</v>
      </c>
      <c r="E1786" s="218">
        <f>H1747</f>
        <v>5.21E-2</v>
      </c>
      <c r="F1786" s="508">
        <f t="shared" si="105"/>
        <v>3512.7903999999999</v>
      </c>
      <c r="G1786" s="509"/>
      <c r="H1786" s="110"/>
      <c r="J1786" s="117">
        <f>((('Mano Obra'!$M$6/30)*F1786)/D1786)*G1754</f>
        <v>0</v>
      </c>
    </row>
    <row r="1787" spans="1:15">
      <c r="A1787" s="512" t="s">
        <v>4100</v>
      </c>
      <c r="B1787" s="512"/>
      <c r="C1787" s="512"/>
      <c r="D1787" s="512"/>
      <c r="E1787" s="512"/>
      <c r="F1787" s="512"/>
      <c r="G1787" s="512"/>
      <c r="H1787" s="95">
        <f>SUM(F1784:F1786)</f>
        <v>17212.1728</v>
      </c>
      <c r="J1787" s="117"/>
    </row>
    <row r="1788" spans="1:15">
      <c r="A1788" s="208" t="s">
        <v>4226</v>
      </c>
      <c r="B1788" s="186"/>
      <c r="C1788" s="186"/>
      <c r="D1788" s="183"/>
      <c r="E1788" s="184"/>
      <c r="F1788" s="185"/>
      <c r="G1788" s="184"/>
      <c r="H1788" s="193"/>
    </row>
    <row r="1789" spans="1:15">
      <c r="A1789" s="513" t="s">
        <v>4213</v>
      </c>
      <c r="B1789" s="514"/>
      <c r="C1789" s="514"/>
      <c r="D1789" s="514"/>
      <c r="E1789" s="181"/>
      <c r="F1789" s="182" t="s">
        <v>4227</v>
      </c>
      <c r="G1789" s="181" t="s">
        <v>4228</v>
      </c>
      <c r="H1789" s="194"/>
    </row>
    <row r="1790" spans="1:15">
      <c r="A1790" s="204" t="s">
        <v>4096</v>
      </c>
      <c r="B1790" s="62"/>
      <c r="C1790" s="62"/>
      <c r="D1790" s="63"/>
      <c r="E1790" s="68"/>
      <c r="F1790" s="69">
        <v>0</v>
      </c>
      <c r="G1790" s="70" t="e">
        <f>F1790*H1755</f>
        <v>#VALUE!</v>
      </c>
      <c r="H1790" s="193"/>
    </row>
    <row r="1791" spans="1:15">
      <c r="A1791" s="205" t="s">
        <v>4229</v>
      </c>
      <c r="B1791" s="71"/>
      <c r="C1791" s="71"/>
      <c r="D1791" s="72"/>
      <c r="E1791" s="68"/>
      <c r="F1791" s="69">
        <v>0</v>
      </c>
      <c r="G1791" s="70" t="e">
        <f>F1791*H1755</f>
        <v>#VALUE!</v>
      </c>
      <c r="H1791" s="193"/>
    </row>
    <row r="1792" spans="1:15">
      <c r="A1792" s="205" t="s">
        <v>4</v>
      </c>
      <c r="B1792" s="71"/>
      <c r="C1792" s="71"/>
      <c r="D1792" s="72"/>
      <c r="E1792" s="68"/>
      <c r="F1792" s="69">
        <v>0</v>
      </c>
      <c r="G1792" s="70" t="e">
        <f>F1792*H1755</f>
        <v>#VALUE!</v>
      </c>
      <c r="H1792" s="193"/>
    </row>
    <row r="1793" spans="1:14">
      <c r="A1793" s="206"/>
      <c r="B1793" s="73"/>
      <c r="C1793" s="65"/>
      <c r="D1793" s="74"/>
      <c r="E1793" s="75"/>
      <c r="F1793" s="76"/>
      <c r="G1793" s="77"/>
      <c r="H1793" s="195"/>
    </row>
    <row r="1794" spans="1:14">
      <c r="A1794" s="207"/>
      <c r="B1794" s="73"/>
      <c r="C1794" s="73"/>
      <c r="D1794" s="74"/>
      <c r="E1794" s="78"/>
      <c r="F1794" s="515" t="s">
        <v>4230</v>
      </c>
      <c r="G1794" s="516"/>
      <c r="H1794" s="214" t="e">
        <f>H1755+G1790+G1791+G1792</f>
        <v>#VALUE!</v>
      </c>
    </row>
    <row r="1795" spans="1:14">
      <c r="A1795" s="73"/>
      <c r="B1795" s="73"/>
      <c r="C1795" s="73"/>
      <c r="D1795" s="74"/>
      <c r="E1795" s="360"/>
      <c r="F1795" s="361"/>
      <c r="G1795" s="361"/>
      <c r="H1795" s="362"/>
    </row>
    <row r="1796" spans="1:14">
      <c r="A1796" s="80"/>
      <c r="B1796" s="80"/>
      <c r="C1796" s="80"/>
      <c r="D1796" s="80"/>
      <c r="E1796" s="80"/>
      <c r="F1796" s="80"/>
      <c r="G1796" s="80"/>
      <c r="H1796" s="353"/>
    </row>
    <row r="1797" spans="1:14">
      <c r="A1797" s="537" t="s">
        <v>4214</v>
      </c>
      <c r="B1797" s="538"/>
      <c r="C1797" s="538"/>
      <c r="D1797" s="538"/>
      <c r="E1797" s="538"/>
      <c r="F1797" s="538"/>
      <c r="G1797" s="538"/>
      <c r="H1797" s="539"/>
    </row>
    <row r="1798" spans="1:14">
      <c r="A1798" s="81"/>
      <c r="B1798" s="82"/>
      <c r="C1798" s="82"/>
      <c r="D1798" s="82"/>
      <c r="E1798" s="82"/>
      <c r="F1798" s="83"/>
      <c r="G1798" s="84"/>
      <c r="H1798" s="352">
        <f>ROUND((30/60)/8,4)</f>
        <v>6.25E-2</v>
      </c>
      <c r="I1798" s="105"/>
    </row>
    <row r="1799" spans="1:14">
      <c r="A1799" s="540" t="s">
        <v>4209</v>
      </c>
      <c r="B1799" s="542" t="str">
        <f>COSTOS!$C$14</f>
        <v>MODERNIZACION A TECNOLOGIA LED</v>
      </c>
      <c r="C1799" s="542"/>
      <c r="D1799" s="542"/>
      <c r="E1799" s="542"/>
      <c r="F1799" s="542"/>
      <c r="G1799" s="542"/>
      <c r="H1799" s="543" t="s">
        <v>4210</v>
      </c>
    </row>
    <row r="1800" spans="1:14">
      <c r="A1800" s="541"/>
      <c r="B1800" s="542"/>
      <c r="C1800" s="542"/>
      <c r="D1800" s="542"/>
      <c r="E1800" s="542"/>
      <c r="F1800" s="542"/>
      <c r="G1800" s="542"/>
      <c r="H1800" s="543"/>
    </row>
    <row r="1801" spans="1:14">
      <c r="A1801" s="541"/>
      <c r="B1801" s="542"/>
      <c r="C1801" s="542"/>
      <c r="D1801" s="542"/>
      <c r="E1801" s="542"/>
      <c r="F1801" s="542"/>
      <c r="G1801" s="542"/>
      <c r="H1801" s="543"/>
    </row>
    <row r="1802" spans="1:14" ht="15" customHeight="1">
      <c r="A1802" s="541"/>
      <c r="B1802" s="542"/>
      <c r="C1802" s="542"/>
      <c r="D1802" s="542"/>
      <c r="E1802" s="542"/>
      <c r="F1802" s="542"/>
      <c r="G1802" s="542"/>
      <c r="H1802" s="197">
        <f ca="1">TODAY()</f>
        <v>44889</v>
      </c>
      <c r="K1802" t="s">
        <v>4380</v>
      </c>
      <c r="L1802" t="s">
        <v>4381</v>
      </c>
      <c r="M1802" t="s">
        <v>4382</v>
      </c>
      <c r="N1802" t="s">
        <v>4383</v>
      </c>
    </row>
    <row r="1803" spans="1:14" ht="60.75" customHeight="1">
      <c r="A1803" s="209" t="s">
        <v>4211</v>
      </c>
      <c r="B1803" s="544" t="str">
        <f>COSTOS!$D$16</f>
        <v>Luminarias</v>
      </c>
      <c r="C1803" s="544"/>
      <c r="D1803" s="544"/>
      <c r="E1803" s="544"/>
      <c r="F1803" s="544"/>
      <c r="G1803" s="60" t="s">
        <v>4212</v>
      </c>
      <c r="H1803" s="363">
        <v>1.36</v>
      </c>
      <c r="K1803" s="55" t="e">
        <f>H1828</f>
        <v>#VALUE!</v>
      </c>
      <c r="L1803" s="55">
        <f>H1838</f>
        <v>20648</v>
      </c>
      <c r="M1803" s="55" t="e">
        <f>H1811</f>
        <v>#VALUE!</v>
      </c>
      <c r="N1803" s="55" t="e">
        <f>H1832</f>
        <v>#VALUE!</v>
      </c>
    </row>
    <row r="1804" spans="1:14" ht="43.2" customHeight="1">
      <c r="A1804" s="210" t="s">
        <v>4213</v>
      </c>
      <c r="B1804" s="545" t="str">
        <f>VLOOKUP(H1803,COSTOS!C:M,2,0)</f>
        <v>Reflector Led baja eficiencia 50w</v>
      </c>
      <c r="C1804" s="546"/>
      <c r="D1804" s="546"/>
      <c r="E1804" s="547"/>
      <c r="F1804" s="61" t="s">
        <v>0</v>
      </c>
      <c r="G1804" s="328" t="str">
        <f>VLOOKUP(H1803,COSTOS!C:M,8,0)</f>
        <v>Und</v>
      </c>
      <c r="H1804" s="248"/>
      <c r="I1804" s="278"/>
      <c r="J1804" s="280"/>
      <c r="K1804" s="280"/>
      <c r="L1804" s="280"/>
    </row>
    <row r="1805" spans="1:14">
      <c r="A1805" s="211"/>
      <c r="B1805" s="102"/>
      <c r="C1805" s="102"/>
      <c r="D1805" s="102"/>
      <c r="E1805" s="103"/>
      <c r="F1805" s="104" t="s">
        <v>1</v>
      </c>
      <c r="G1805" s="328">
        <f>VLOOKUP(H1803,COSTOS!C:M,9,0)</f>
        <v>0</v>
      </c>
      <c r="H1805" s="329"/>
      <c r="I1805" s="279"/>
    </row>
    <row r="1806" spans="1:14">
      <c r="A1806" s="212" t="s">
        <v>4215</v>
      </c>
      <c r="B1806" s="65"/>
      <c r="C1806" s="65"/>
      <c r="D1806" s="66"/>
      <c r="E1806" s="190"/>
      <c r="F1806" s="191"/>
      <c r="G1806" s="192" t="s">
        <v>4216</v>
      </c>
      <c r="H1806" s="198" t="e">
        <f>H1811+H1828+H1832+H1838</f>
        <v>#VALUE!</v>
      </c>
    </row>
    <row r="1807" spans="1:14" ht="41.4">
      <c r="A1807" s="548" t="s">
        <v>4213</v>
      </c>
      <c r="B1807" s="548"/>
      <c r="C1807" s="548"/>
      <c r="D1807" s="67" t="s">
        <v>0</v>
      </c>
      <c r="E1807" s="188" t="s">
        <v>4217</v>
      </c>
      <c r="F1807" s="189" t="s">
        <v>4204</v>
      </c>
      <c r="G1807" s="64" t="s">
        <v>2</v>
      </c>
      <c r="H1807" s="199" t="s">
        <v>4218</v>
      </c>
      <c r="K1807" s="281"/>
    </row>
    <row r="1808" spans="1:14">
      <c r="A1808" s="517" t="s">
        <v>3946</v>
      </c>
      <c r="B1808" s="549">
        <f>VLOOKUP(A1808,'Equip, Herr y Transp'!$B$2:$E$738,2,0)</f>
        <v>2</v>
      </c>
      <c r="C1808" s="549"/>
      <c r="D1808" s="85">
        <f>VLOOKUP(A1808,'Equip, Herr y Transp'!$B$2:$E$217,2,0)</f>
        <v>2</v>
      </c>
      <c r="E1808" s="85" t="str">
        <f>VLOOKUP(A1808,'Equip, Herr y Transp'!$B$2:$E$217,3,0)</f>
        <v>EQU</v>
      </c>
      <c r="F1808" s="86">
        <f>H1798</f>
        <v>6.25E-2</v>
      </c>
      <c r="G1808" s="112" t="e">
        <f>F1808*E1808</f>
        <v>#VALUE!</v>
      </c>
      <c r="H1808" s="108"/>
    </row>
    <row r="1809" spans="1:15">
      <c r="A1809" s="517" t="s">
        <v>3904</v>
      </c>
      <c r="B1809" s="549">
        <f>VLOOKUP(A1809,'Equip, Herr y Transp'!$B$2:$E$738,2,0)</f>
        <v>2</v>
      </c>
      <c r="C1809" s="549"/>
      <c r="D1809" s="85">
        <f>VLOOKUP(A1809,'Equip, Herr y Transp'!$B$2:$E$217,2,0)</f>
        <v>2</v>
      </c>
      <c r="E1809" s="85" t="str">
        <f>VLOOKUP(A1809,'Equip, Herr y Transp'!$B$2:$E$217,3,0)</f>
        <v>EQU</v>
      </c>
      <c r="F1809" s="86">
        <f>H1798</f>
        <v>6.25E-2</v>
      </c>
      <c r="G1809" s="112" t="e">
        <f>F1809*E1809</f>
        <v>#VALUE!</v>
      </c>
      <c r="H1809" s="107"/>
    </row>
    <row r="1810" spans="1:15">
      <c r="A1810" s="517" t="s">
        <v>3937</v>
      </c>
      <c r="B1810" s="549">
        <f>VLOOKUP(A1810,'Equip, Herr y Transp'!$B$2:$E$738,2,0)</f>
        <v>2</v>
      </c>
      <c r="C1810" s="549"/>
      <c r="D1810" s="85">
        <f>VLOOKUP(A1810,'Equip, Herr y Transp'!$B$2:$E$217,2,0)</f>
        <v>2</v>
      </c>
      <c r="E1810" s="85" t="str">
        <f>VLOOKUP(A1810,'Equip, Herr y Transp'!$B$2:$E$217,3,0)</f>
        <v>EQU</v>
      </c>
      <c r="F1810" s="86">
        <f>H1798</f>
        <v>6.25E-2</v>
      </c>
      <c r="G1810" s="112" t="e">
        <f>F1810*E1810</f>
        <v>#VALUE!</v>
      </c>
      <c r="H1810" s="107"/>
    </row>
    <row r="1811" spans="1:15">
      <c r="A1811" s="520" t="s">
        <v>4099</v>
      </c>
      <c r="B1811" s="521"/>
      <c r="C1811" s="521"/>
      <c r="D1811" s="521"/>
      <c r="E1811" s="521"/>
      <c r="F1811" s="521"/>
      <c r="G1811" s="521"/>
      <c r="H1811" s="87" t="e">
        <f>SUM(G1808:G1810)</f>
        <v>#VALUE!</v>
      </c>
    </row>
    <row r="1812" spans="1:15">
      <c r="A1812" s="550" t="s">
        <v>4219</v>
      </c>
      <c r="B1812" s="551"/>
      <c r="C1812" s="551"/>
      <c r="D1812" s="551"/>
      <c r="E1812" s="551"/>
      <c r="F1812" s="551"/>
      <c r="G1812" s="551"/>
      <c r="H1812" s="552"/>
      <c r="K1812" s="50"/>
      <c r="L1812" s="50"/>
      <c r="M1812" s="50"/>
      <c r="N1812" s="50"/>
      <c r="O1812" s="50"/>
    </row>
    <row r="1813" spans="1:15" ht="30" customHeight="1">
      <c r="A1813" s="553" t="s">
        <v>7</v>
      </c>
      <c r="B1813" s="554"/>
      <c r="C1813" s="99" t="s">
        <v>0</v>
      </c>
      <c r="D1813" s="100" t="s">
        <v>4097</v>
      </c>
      <c r="E1813" s="101" t="s">
        <v>1</v>
      </c>
      <c r="F1813" s="555" t="s">
        <v>4207</v>
      </c>
      <c r="G1813" s="555"/>
      <c r="H1813" s="196"/>
      <c r="K1813" s="50"/>
      <c r="L1813" s="50"/>
      <c r="M1813" s="50"/>
      <c r="N1813" s="50"/>
      <c r="O1813" s="50"/>
    </row>
    <row r="1814" spans="1:15">
      <c r="A1814" s="535" t="s">
        <v>4702</v>
      </c>
      <c r="B1814" s="536"/>
      <c r="C1814" s="88">
        <f>VLOOKUP(A1814,'Materiales '!$C$2:$G$396,3,0)</f>
        <v>4</v>
      </c>
      <c r="D1814" s="89" t="str">
        <f>VLOOKUP(A1814,'Materiales '!$C$2:$G$396,4,0)</f>
        <v>Und</v>
      </c>
      <c r="E1814" s="90">
        <v>1</v>
      </c>
      <c r="F1814" s="508" t="e">
        <f>E1814*D1814</f>
        <v>#VALUE!</v>
      </c>
      <c r="G1814" s="519"/>
      <c r="H1814" s="111"/>
      <c r="I1814">
        <f>E1814*G1805</f>
        <v>0</v>
      </c>
      <c r="J1814" s="57"/>
      <c r="K1814" s="50"/>
      <c r="L1814" s="50"/>
      <c r="M1814" s="50"/>
      <c r="N1814" s="50"/>
      <c r="O1814" s="50"/>
    </row>
    <row r="1815" spans="1:15">
      <c r="A1815" s="535" t="s">
        <v>4203</v>
      </c>
      <c r="B1815" s="536"/>
      <c r="C1815" s="88">
        <f>VLOOKUP(A1815,'Materiales '!$C$2:$G$396,3,0)</f>
        <v>4</v>
      </c>
      <c r="D1815" s="89" t="str">
        <f>VLOOKUP(A1815,'Materiales '!$C$2:$G$396,4,0)</f>
        <v>Und</v>
      </c>
      <c r="E1815" s="90">
        <v>1</v>
      </c>
      <c r="F1815" s="508" t="e">
        <f t="shared" ref="F1815:F1821" si="106">E1815*D1815</f>
        <v>#VALUE!</v>
      </c>
      <c r="G1815" s="519"/>
      <c r="H1815" s="111"/>
      <c r="I1815">
        <f>E1815*G1805</f>
        <v>0</v>
      </c>
      <c r="J1815" s="57"/>
      <c r="K1815" s="50"/>
      <c r="L1815" s="50"/>
      <c r="M1815" s="50"/>
      <c r="N1815" s="50"/>
      <c r="O1815" s="50"/>
    </row>
    <row r="1816" spans="1:15">
      <c r="A1816" s="517" t="s">
        <v>4473</v>
      </c>
      <c r="B1816" s="518">
        <f>VLOOKUP(A1816,'Materiales '!$C$2:$G$396,3,0)</f>
        <v>4</v>
      </c>
      <c r="C1816" s="88">
        <f>VLOOKUP(A1816,'Materiales '!$C$2:$G$396,3,0)</f>
        <v>4</v>
      </c>
      <c r="D1816" s="89" t="str">
        <f>VLOOKUP(A1816,'Materiales '!$C$2:$G$396,4,0)</f>
        <v>Und</v>
      </c>
      <c r="E1816" s="90">
        <v>2</v>
      </c>
      <c r="F1816" s="508" t="e">
        <f t="shared" si="106"/>
        <v>#VALUE!</v>
      </c>
      <c r="G1816" s="519"/>
      <c r="H1816" s="111"/>
      <c r="I1816">
        <f>E1816*G1805</f>
        <v>0</v>
      </c>
      <c r="J1816" s="58"/>
      <c r="K1816" s="50"/>
      <c r="L1816" s="50"/>
      <c r="M1816" s="50"/>
      <c r="N1816" s="50"/>
      <c r="O1816" s="50"/>
    </row>
    <row r="1817" spans="1:15">
      <c r="A1817" s="517" t="s">
        <v>4478</v>
      </c>
      <c r="B1817" s="518">
        <f>VLOOKUP(A1817,'Materiales '!$C$2:$G$396,3,0)</f>
        <v>4</v>
      </c>
      <c r="C1817" s="88">
        <f>VLOOKUP(A1817,'Materiales '!$C$2:$G$396,3,0)</f>
        <v>4</v>
      </c>
      <c r="D1817" s="89" t="str">
        <f>VLOOKUP(A1817,'Materiales '!$C$2:$G$396,4,0)</f>
        <v>Und</v>
      </c>
      <c r="E1817" s="90">
        <v>3</v>
      </c>
      <c r="F1817" s="508" t="e">
        <f t="shared" si="106"/>
        <v>#VALUE!</v>
      </c>
      <c r="G1817" s="519"/>
      <c r="H1817" s="111"/>
      <c r="I1817">
        <f>E1817*G1805</f>
        <v>0</v>
      </c>
      <c r="J1817" s="58"/>
      <c r="K1817" s="50"/>
      <c r="L1817" s="50"/>
      <c r="M1817" s="50"/>
      <c r="N1817" s="50"/>
      <c r="O1817" s="50"/>
    </row>
    <row r="1818" spans="1:15">
      <c r="A1818" s="517" t="s">
        <v>4543</v>
      </c>
      <c r="B1818" s="518">
        <f>VLOOKUP(A1818,'Materiales '!$C$2:$G$396,3,0)</f>
        <v>4</v>
      </c>
      <c r="C1818" s="88">
        <f>VLOOKUP(A1818,'Materiales '!$C$2:$G$396,3,0)</f>
        <v>4</v>
      </c>
      <c r="D1818" s="89" t="str">
        <f>VLOOKUP(A1818,'Materiales '!$C$2:$G$396,4,0)</f>
        <v>Und</v>
      </c>
      <c r="E1818" s="90">
        <v>2</v>
      </c>
      <c r="F1818" s="508" t="e">
        <f t="shared" si="106"/>
        <v>#VALUE!</v>
      </c>
      <c r="G1818" s="519"/>
      <c r="H1818" s="111"/>
      <c r="I1818">
        <f>E1818*G1805</f>
        <v>0</v>
      </c>
      <c r="J1818" s="58"/>
      <c r="K1818" s="50"/>
      <c r="L1818" s="50"/>
      <c r="M1818" s="50"/>
      <c r="N1818" s="50"/>
      <c r="O1818" s="50"/>
    </row>
    <row r="1819" spans="1:15">
      <c r="A1819" s="517" t="s">
        <v>4439</v>
      </c>
      <c r="B1819" s="518">
        <f>VLOOKUP(A1819,'Materiales '!$C$2:$G$396,3,0)</f>
        <v>2</v>
      </c>
      <c r="C1819" s="88">
        <f>VLOOKUP(A1819,'Materiales '!$C$2:$G$396,3,0)</f>
        <v>2</v>
      </c>
      <c r="D1819" s="89" t="str">
        <f>VLOOKUP(A1819,'Materiales '!$C$2:$G$396,4,0)</f>
        <v>Ml</v>
      </c>
      <c r="E1819" s="90">
        <v>1</v>
      </c>
      <c r="F1819" s="508" t="e">
        <f t="shared" si="106"/>
        <v>#VALUE!</v>
      </c>
      <c r="G1819" s="519"/>
      <c r="H1819" s="111"/>
      <c r="I1819">
        <f>E1819*G1805</f>
        <v>0</v>
      </c>
      <c r="J1819" s="58"/>
      <c r="K1819" s="50"/>
      <c r="L1819" s="50"/>
      <c r="M1819" s="50"/>
      <c r="N1819" s="50"/>
      <c r="O1819" s="50"/>
    </row>
    <row r="1820" spans="1:15">
      <c r="A1820" s="517" t="s">
        <v>4482</v>
      </c>
      <c r="B1820" s="518">
        <f>VLOOKUP(A1820,'Materiales '!$C$2:$G$396,3,0)</f>
        <v>4</v>
      </c>
      <c r="C1820" s="88">
        <f>VLOOKUP(A1820,'Materiales '!$C$2:$G$396,3,0)</f>
        <v>4</v>
      </c>
      <c r="D1820" s="89" t="str">
        <f>VLOOKUP(A1820,'Materiales '!$C$2:$G$396,4,0)</f>
        <v>Und</v>
      </c>
      <c r="E1820" s="90">
        <v>3</v>
      </c>
      <c r="F1820" s="508" t="e">
        <f t="shared" si="106"/>
        <v>#VALUE!</v>
      </c>
      <c r="G1820" s="519"/>
      <c r="H1820" s="111"/>
      <c r="I1820">
        <f>E1820*G1805</f>
        <v>0</v>
      </c>
      <c r="J1820" s="58"/>
      <c r="K1820" s="50"/>
      <c r="L1820" s="50"/>
      <c r="M1820" s="50"/>
      <c r="N1820" s="50"/>
      <c r="O1820" s="50"/>
    </row>
    <row r="1821" spans="1:15" ht="21.75" customHeight="1">
      <c r="A1821" s="517" t="s">
        <v>4628</v>
      </c>
      <c r="B1821" s="518">
        <f>VLOOKUP(A1821,'Materiales '!$C$2:$G$396,3,0)</f>
        <v>4</v>
      </c>
      <c r="C1821" s="88">
        <f>VLOOKUP(A1821,'Materiales '!$C$2:$G$396,3,0)</f>
        <v>4</v>
      </c>
      <c r="D1821" s="89" t="str">
        <f>VLOOKUP(A1821,'Materiales '!$C$2:$G$396,4,0)</f>
        <v>Und</v>
      </c>
      <c r="E1821" s="90">
        <v>1</v>
      </c>
      <c r="F1821" s="508" t="e">
        <f t="shared" si="106"/>
        <v>#VALUE!</v>
      </c>
      <c r="G1821" s="519"/>
      <c r="H1821" s="111"/>
      <c r="I1821">
        <f>E1821*G1805</f>
        <v>0</v>
      </c>
      <c r="J1821" s="58"/>
      <c r="K1821" s="50"/>
      <c r="L1821" s="50"/>
      <c r="M1821" s="50"/>
      <c r="N1821" s="50"/>
      <c r="O1821" s="50"/>
    </row>
    <row r="1822" spans="1:15">
      <c r="A1822" s="517" t="s">
        <v>8</v>
      </c>
      <c r="B1822" s="518">
        <f>VLOOKUP(A1822,'Materiales '!$C$2:$G$396,3,0)</f>
        <v>0</v>
      </c>
      <c r="C1822" s="88">
        <f>VLOOKUP(A1822,'Materiales '!$C$2:$G$396,3,0)</f>
        <v>0</v>
      </c>
      <c r="D1822" s="89" t="str">
        <f>VLOOKUP(A1822,'Materiales '!$C$2:$G$396,4,0)</f>
        <v>-</v>
      </c>
      <c r="E1822" s="90"/>
      <c r="F1822" s="508" t="e">
        <f>E1822*D1822</f>
        <v>#VALUE!</v>
      </c>
      <c r="G1822" s="519"/>
      <c r="H1822" s="110"/>
      <c r="I1822">
        <f>E1822*G1805</f>
        <v>0</v>
      </c>
      <c r="J1822" s="58"/>
      <c r="K1822" s="50"/>
      <c r="L1822" s="50"/>
      <c r="M1822" s="50"/>
      <c r="N1822" s="50"/>
      <c r="O1822" s="50"/>
    </row>
    <row r="1823" spans="1:15">
      <c r="A1823" s="517" t="s">
        <v>8</v>
      </c>
      <c r="B1823" s="518">
        <f>VLOOKUP(A1823,'Materiales '!$C$2:$G$396,3,0)</f>
        <v>0</v>
      </c>
      <c r="C1823" s="88">
        <f>VLOOKUP(A1823,'Materiales '!$C$2:$G$396,3,0)</f>
        <v>0</v>
      </c>
      <c r="D1823" s="89" t="str">
        <f>VLOOKUP(A1823,'Materiales '!$C$2:$G$396,4,0)</f>
        <v>-</v>
      </c>
      <c r="E1823" s="90"/>
      <c r="F1823" s="508" t="e">
        <f t="shared" ref="F1823:F1826" si="107">E1823*D1823</f>
        <v>#VALUE!</v>
      </c>
      <c r="G1823" s="519"/>
      <c r="H1823" s="111"/>
      <c r="I1823">
        <f>E1823*G1805</f>
        <v>0</v>
      </c>
      <c r="J1823" s="58"/>
      <c r="K1823" s="50"/>
      <c r="L1823" s="50"/>
      <c r="M1823" s="50"/>
      <c r="N1823" s="50"/>
      <c r="O1823" s="50"/>
    </row>
    <row r="1824" spans="1:15">
      <c r="A1824" s="517" t="s">
        <v>8</v>
      </c>
      <c r="B1824" s="518">
        <f>VLOOKUP(A1824,'Materiales '!$C$2:$G$396,3,0)</f>
        <v>0</v>
      </c>
      <c r="C1824" s="88">
        <f>VLOOKUP(A1824,'Materiales '!$C$2:$G$396,3,0)</f>
        <v>0</v>
      </c>
      <c r="D1824" s="89" t="str">
        <f>VLOOKUP(A1824,'Materiales '!$C$2:$G$396,4,0)</f>
        <v>-</v>
      </c>
      <c r="E1824" s="90"/>
      <c r="F1824" s="508" t="e">
        <f t="shared" si="107"/>
        <v>#VALUE!</v>
      </c>
      <c r="G1824" s="519"/>
      <c r="H1824" s="111"/>
      <c r="I1824">
        <f>E1824*G1805</f>
        <v>0</v>
      </c>
      <c r="J1824" s="58"/>
      <c r="K1824" s="50"/>
      <c r="L1824" s="50"/>
      <c r="M1824" s="50"/>
      <c r="N1824" s="50"/>
      <c r="O1824" s="50"/>
    </row>
    <row r="1825" spans="1:15">
      <c r="A1825" s="517" t="s">
        <v>8</v>
      </c>
      <c r="B1825" s="518">
        <f>VLOOKUP(A1825,'Materiales '!$C$2:$G$396,3,0)</f>
        <v>0</v>
      </c>
      <c r="C1825" s="88">
        <f>VLOOKUP(A1825,'Materiales '!$C$2:$G$396,3,0)</f>
        <v>0</v>
      </c>
      <c r="D1825" s="89" t="str">
        <f>VLOOKUP(A1825,'Materiales '!$C$2:$G$396,4,0)</f>
        <v>-</v>
      </c>
      <c r="E1825" s="90"/>
      <c r="F1825" s="508" t="e">
        <f t="shared" si="107"/>
        <v>#VALUE!</v>
      </c>
      <c r="G1825" s="519"/>
      <c r="H1825" s="111"/>
      <c r="I1825">
        <f>E1825*G1805</f>
        <v>0</v>
      </c>
      <c r="J1825" s="58"/>
      <c r="K1825" s="50"/>
      <c r="L1825" s="50"/>
      <c r="M1825" s="50"/>
      <c r="N1825" s="50"/>
      <c r="O1825" s="50"/>
    </row>
    <row r="1826" spans="1:15">
      <c r="A1826" s="517" t="s">
        <v>8</v>
      </c>
      <c r="B1826" s="518">
        <f>VLOOKUP(A1826,'Materiales '!$C$2:$G$396,3,0)</f>
        <v>0</v>
      </c>
      <c r="C1826" s="88">
        <f>VLOOKUP(A1826,'Materiales '!$C$2:$G$396,3,0)</f>
        <v>0</v>
      </c>
      <c r="D1826" s="89" t="str">
        <f>VLOOKUP(A1826,'Materiales '!$C$2:$G$396,4,0)</f>
        <v>-</v>
      </c>
      <c r="E1826" s="90"/>
      <c r="F1826" s="508" t="e">
        <f t="shared" si="107"/>
        <v>#VALUE!</v>
      </c>
      <c r="G1826" s="519"/>
      <c r="H1826" s="111"/>
      <c r="I1826">
        <f>E1826*G1805</f>
        <v>0</v>
      </c>
      <c r="J1826" s="58"/>
      <c r="K1826" s="50"/>
      <c r="L1826" s="50"/>
      <c r="M1826" s="50"/>
      <c r="N1826" s="50"/>
      <c r="O1826" s="50"/>
    </row>
    <row r="1827" spans="1:15">
      <c r="A1827" s="517" t="s">
        <v>8</v>
      </c>
      <c r="B1827" s="518">
        <f>VLOOKUP(A1827,'Materiales '!$C$2:$G$396,3,0)</f>
        <v>0</v>
      </c>
      <c r="C1827" s="88">
        <f>VLOOKUP(A1827,'Materiales '!$C$2:$G$396,3,0)</f>
        <v>0</v>
      </c>
      <c r="D1827" s="89" t="str">
        <f>VLOOKUP(A1827,'Materiales '!$C$2:$G$396,4,0)</f>
        <v>-</v>
      </c>
      <c r="E1827" s="90"/>
      <c r="F1827" s="508" t="e">
        <f>E1827*D1827</f>
        <v>#VALUE!</v>
      </c>
      <c r="G1827" s="519"/>
      <c r="H1827" s="110"/>
      <c r="I1827">
        <f>E1827*G1805</f>
        <v>0</v>
      </c>
      <c r="J1827" s="58"/>
      <c r="K1827" s="50"/>
      <c r="L1827" s="50"/>
      <c r="M1827" s="50"/>
      <c r="N1827" s="50"/>
      <c r="O1827" s="50"/>
    </row>
    <row r="1828" spans="1:15">
      <c r="A1828" s="520" t="s">
        <v>4098</v>
      </c>
      <c r="B1828" s="521"/>
      <c r="C1828" s="521"/>
      <c r="D1828" s="521"/>
      <c r="E1828" s="521"/>
      <c r="F1828" s="521"/>
      <c r="G1828" s="522"/>
      <c r="H1828" s="106" t="e">
        <f>SUM(F1814:F1827)</f>
        <v>#VALUE!</v>
      </c>
      <c r="J1828" s="58"/>
      <c r="K1828" s="50"/>
      <c r="L1828" s="50"/>
      <c r="M1828" s="50"/>
      <c r="N1828" s="50"/>
      <c r="O1828" s="50"/>
    </row>
    <row r="1829" spans="1:15">
      <c r="A1829" s="523" t="s">
        <v>4220</v>
      </c>
      <c r="B1829" s="524"/>
      <c r="C1829" s="524"/>
      <c r="D1829" s="524"/>
      <c r="E1829" s="525"/>
      <c r="F1829" s="524"/>
      <c r="G1829" s="524"/>
      <c r="H1829" s="526"/>
      <c r="J1829" s="58"/>
      <c r="K1829" s="50"/>
      <c r="L1829" s="50"/>
      <c r="M1829" s="50"/>
      <c r="N1829" s="50"/>
      <c r="O1829" s="50"/>
    </row>
    <row r="1830" spans="1:15">
      <c r="A1830" s="527" t="s">
        <v>7</v>
      </c>
      <c r="B1830" s="528"/>
      <c r="C1830" s="98" t="s">
        <v>4221</v>
      </c>
      <c r="D1830" s="97" t="s">
        <v>4222</v>
      </c>
      <c r="E1830" s="187" t="s">
        <v>4223</v>
      </c>
      <c r="F1830" s="529" t="s">
        <v>4207</v>
      </c>
      <c r="G1830" s="529"/>
      <c r="H1830" s="109"/>
      <c r="K1830" s="50"/>
      <c r="L1830" s="50"/>
      <c r="M1830" s="50"/>
      <c r="N1830" s="50"/>
      <c r="O1830" s="50"/>
    </row>
    <row r="1831" spans="1:15">
      <c r="A1831" s="506" t="s">
        <v>3928</v>
      </c>
      <c r="B1831" s="507"/>
      <c r="C1831" s="213">
        <v>1</v>
      </c>
      <c r="D1831" s="92">
        <v>0.03</v>
      </c>
      <c r="E1831" s="93" t="str">
        <f>VLOOKUP(A1831,'Equip, Herr y Transp'!$B$2:$E$217,3,0)</f>
        <v>TR</v>
      </c>
      <c r="F1831" s="530" t="e">
        <f>E1831*D1831*C1831</f>
        <v>#VALUE!</v>
      </c>
      <c r="G1831" s="531"/>
      <c r="H1831" s="107"/>
      <c r="M1831" s="50"/>
    </row>
    <row r="1832" spans="1:15">
      <c r="A1832" s="532" t="s">
        <v>4205</v>
      </c>
      <c r="B1832" s="533"/>
      <c r="C1832" s="533"/>
      <c r="D1832" s="533"/>
      <c r="E1832" s="533"/>
      <c r="F1832" s="533"/>
      <c r="G1832" s="533"/>
      <c r="H1832" s="95" t="e">
        <f>F1831</f>
        <v>#VALUE!</v>
      </c>
    </row>
    <row r="1833" spans="1:15">
      <c r="A1833" s="523" t="s">
        <v>4224</v>
      </c>
      <c r="B1833" s="524"/>
      <c r="C1833" s="524"/>
      <c r="D1833" s="524"/>
      <c r="E1833" s="524"/>
      <c r="F1833" s="524"/>
      <c r="G1833" s="524"/>
      <c r="H1833" s="526"/>
    </row>
    <row r="1834" spans="1:15">
      <c r="A1834" s="527" t="s">
        <v>7</v>
      </c>
      <c r="B1834" s="528"/>
      <c r="C1834" s="96" t="s">
        <v>1</v>
      </c>
      <c r="D1834" s="97" t="s">
        <v>4225</v>
      </c>
      <c r="E1834" s="98" t="s">
        <v>4204</v>
      </c>
      <c r="F1834" s="527" t="s">
        <v>5</v>
      </c>
      <c r="G1834" s="534"/>
      <c r="H1834" s="109"/>
    </row>
    <row r="1835" spans="1:15">
      <c r="A1835" s="506" t="s">
        <v>4191</v>
      </c>
      <c r="B1835" s="507"/>
      <c r="C1835" s="91">
        <v>1</v>
      </c>
      <c r="D1835" s="94">
        <f>VLOOKUP(A1835,'Mano Obra'!$B$2:$T$117,19,0)</f>
        <v>152456</v>
      </c>
      <c r="E1835" s="218">
        <f>H1798</f>
        <v>6.25E-2</v>
      </c>
      <c r="F1835" s="508">
        <f>E1835*D1835*C1835</f>
        <v>9528.5</v>
      </c>
      <c r="G1835" s="509"/>
      <c r="H1835" s="111"/>
      <c r="I1835" s="59"/>
      <c r="J1835" s="117">
        <f>((('Mano Obra'!$M$4/30)*F1835)/D1835)*G1805</f>
        <v>0</v>
      </c>
    </row>
    <row r="1836" spans="1:15">
      <c r="A1836" s="510" t="s">
        <v>4192</v>
      </c>
      <c r="B1836" s="511">
        <f>VLOOKUP(A1836,'Mano Obra'!$B$3:$D$290,2,0)</f>
        <v>1900000</v>
      </c>
      <c r="C1836" s="91">
        <v>1</v>
      </c>
      <c r="D1836" s="94">
        <f>VLOOKUP(A1836,'Mano Obra'!$B$2:$T$117,19,0)</f>
        <v>110488</v>
      </c>
      <c r="E1836" s="218">
        <f>H1798</f>
        <v>6.25E-2</v>
      </c>
      <c r="F1836" s="508">
        <f t="shared" ref="F1836:F1837" si="108">E1836*D1836*C1836</f>
        <v>6905.5</v>
      </c>
      <c r="G1836" s="509"/>
      <c r="H1836" s="111"/>
      <c r="J1836" s="117">
        <f>((('Mano Obra'!$M$5/30)*F1836)/D1836)*G1805</f>
        <v>0</v>
      </c>
    </row>
    <row r="1837" spans="1:15">
      <c r="A1837" s="510" t="s">
        <v>4181</v>
      </c>
      <c r="B1837" s="511">
        <f>VLOOKUP(A1837,'Mano Obra'!$B$3:$D$290,2,0)</f>
        <v>1000000</v>
      </c>
      <c r="C1837" s="91">
        <v>1</v>
      </c>
      <c r="D1837" s="94">
        <f>VLOOKUP(A1837,'Mano Obra'!$B$2:$T$117,19,0)</f>
        <v>67424</v>
      </c>
      <c r="E1837" s="218">
        <f>H1798</f>
        <v>6.25E-2</v>
      </c>
      <c r="F1837" s="508">
        <f t="shared" si="108"/>
        <v>4214</v>
      </c>
      <c r="G1837" s="509"/>
      <c r="H1837" s="110"/>
      <c r="J1837" s="117">
        <f>((('Mano Obra'!$M$6/30)*F1837)/D1837)*G1805</f>
        <v>0</v>
      </c>
    </row>
    <row r="1838" spans="1:15">
      <c r="A1838" s="512" t="s">
        <v>4100</v>
      </c>
      <c r="B1838" s="512"/>
      <c r="C1838" s="512"/>
      <c r="D1838" s="512"/>
      <c r="E1838" s="512"/>
      <c r="F1838" s="512"/>
      <c r="G1838" s="512"/>
      <c r="H1838" s="95">
        <f>SUM(F1835:F1837)</f>
        <v>20648</v>
      </c>
      <c r="J1838" s="117"/>
    </row>
    <row r="1839" spans="1:15">
      <c r="A1839" s="208" t="s">
        <v>4226</v>
      </c>
      <c r="B1839" s="186"/>
      <c r="C1839" s="186"/>
      <c r="D1839" s="183"/>
      <c r="E1839" s="184"/>
      <c r="F1839" s="185"/>
      <c r="G1839" s="184"/>
      <c r="H1839" s="193"/>
    </row>
    <row r="1840" spans="1:15">
      <c r="A1840" s="513" t="s">
        <v>4213</v>
      </c>
      <c r="B1840" s="514"/>
      <c r="C1840" s="514"/>
      <c r="D1840" s="514"/>
      <c r="E1840" s="181"/>
      <c r="F1840" s="182" t="s">
        <v>4227</v>
      </c>
      <c r="G1840" s="181" t="s">
        <v>4228</v>
      </c>
      <c r="H1840" s="194"/>
    </row>
    <row r="1841" spans="1:14">
      <c r="A1841" s="204" t="s">
        <v>4096</v>
      </c>
      <c r="B1841" s="62"/>
      <c r="C1841" s="62"/>
      <c r="D1841" s="63"/>
      <c r="E1841" s="68"/>
      <c r="F1841" s="69">
        <v>0</v>
      </c>
      <c r="G1841" s="70" t="e">
        <f>F1841*H1806</f>
        <v>#VALUE!</v>
      </c>
      <c r="H1841" s="193"/>
    </row>
    <row r="1842" spans="1:14">
      <c r="A1842" s="205" t="s">
        <v>4229</v>
      </c>
      <c r="B1842" s="71"/>
      <c r="C1842" s="71"/>
      <c r="D1842" s="72"/>
      <c r="E1842" s="68"/>
      <c r="F1842" s="69">
        <v>0</v>
      </c>
      <c r="G1842" s="70" t="e">
        <f>F1842*H1806</f>
        <v>#VALUE!</v>
      </c>
      <c r="H1842" s="193"/>
    </row>
    <row r="1843" spans="1:14">
      <c r="A1843" s="205" t="s">
        <v>4</v>
      </c>
      <c r="B1843" s="71"/>
      <c r="C1843" s="71"/>
      <c r="D1843" s="72"/>
      <c r="E1843" s="68"/>
      <c r="F1843" s="69">
        <v>0</v>
      </c>
      <c r="G1843" s="70" t="e">
        <f>F1843*H1806</f>
        <v>#VALUE!</v>
      </c>
      <c r="H1843" s="193"/>
    </row>
    <row r="1844" spans="1:14">
      <c r="A1844" s="206"/>
      <c r="B1844" s="73"/>
      <c r="C1844" s="65"/>
      <c r="D1844" s="74"/>
      <c r="E1844" s="75"/>
      <c r="F1844" s="76"/>
      <c r="G1844" s="77"/>
      <c r="H1844" s="195"/>
    </row>
    <row r="1845" spans="1:14">
      <c r="A1845" s="207"/>
      <c r="B1845" s="73"/>
      <c r="C1845" s="73"/>
      <c r="D1845" s="74"/>
      <c r="E1845" s="78"/>
      <c r="F1845" s="515" t="s">
        <v>4230</v>
      </c>
      <c r="G1845" s="516"/>
      <c r="H1845" s="214" t="e">
        <f>H1806+G1841+G1842+G1843</f>
        <v>#VALUE!</v>
      </c>
    </row>
    <row r="1846" spans="1:14">
      <c r="A1846" s="73"/>
      <c r="B1846" s="73"/>
      <c r="C1846" s="73"/>
      <c r="D1846" s="74"/>
      <c r="E1846" s="360"/>
      <c r="F1846" s="361"/>
      <c r="G1846" s="361"/>
      <c r="H1846" s="362"/>
    </row>
    <row r="1847" spans="1:14">
      <c r="A1847" s="80"/>
      <c r="B1847" s="80"/>
      <c r="C1847" s="80"/>
      <c r="D1847" s="80"/>
      <c r="E1847" s="80"/>
      <c r="F1847" s="80"/>
      <c r="G1847" s="80"/>
      <c r="H1847" s="353"/>
    </row>
    <row r="1848" spans="1:14">
      <c r="A1848" s="537" t="s">
        <v>4214</v>
      </c>
      <c r="B1848" s="538"/>
      <c r="C1848" s="538"/>
      <c r="D1848" s="538"/>
      <c r="E1848" s="538"/>
      <c r="F1848" s="538"/>
      <c r="G1848" s="538"/>
      <c r="H1848" s="539"/>
    </row>
    <row r="1849" spans="1:14">
      <c r="A1849" s="81"/>
      <c r="B1849" s="82"/>
      <c r="C1849" s="82"/>
      <c r="D1849" s="82"/>
      <c r="E1849" s="82"/>
      <c r="F1849" s="83"/>
      <c r="G1849" s="84"/>
      <c r="H1849" s="352">
        <f>ROUND((30/60)/8,4)</f>
        <v>6.25E-2</v>
      </c>
      <c r="I1849" s="105"/>
    </row>
    <row r="1850" spans="1:14">
      <c r="A1850" s="540" t="s">
        <v>4209</v>
      </c>
      <c r="B1850" s="542" t="str">
        <f>COSTOS!$C$14</f>
        <v>MODERNIZACION A TECNOLOGIA LED</v>
      </c>
      <c r="C1850" s="542"/>
      <c r="D1850" s="542"/>
      <c r="E1850" s="542"/>
      <c r="F1850" s="542"/>
      <c r="G1850" s="542"/>
      <c r="H1850" s="543" t="s">
        <v>4210</v>
      </c>
    </row>
    <row r="1851" spans="1:14">
      <c r="A1851" s="541"/>
      <c r="B1851" s="542"/>
      <c r="C1851" s="542"/>
      <c r="D1851" s="542"/>
      <c r="E1851" s="542"/>
      <c r="F1851" s="542"/>
      <c r="G1851" s="542"/>
      <c r="H1851" s="543"/>
    </row>
    <row r="1852" spans="1:14">
      <c r="A1852" s="541"/>
      <c r="B1852" s="542"/>
      <c r="C1852" s="542"/>
      <c r="D1852" s="542"/>
      <c r="E1852" s="542"/>
      <c r="F1852" s="542"/>
      <c r="G1852" s="542"/>
      <c r="H1852" s="543"/>
    </row>
    <row r="1853" spans="1:14" ht="15" customHeight="1">
      <c r="A1853" s="541"/>
      <c r="B1853" s="542"/>
      <c r="C1853" s="542"/>
      <c r="D1853" s="542"/>
      <c r="E1853" s="542"/>
      <c r="F1853" s="542"/>
      <c r="G1853" s="542"/>
      <c r="H1853" s="197">
        <f ca="1">TODAY()</f>
        <v>44889</v>
      </c>
      <c r="K1853" t="s">
        <v>4380</v>
      </c>
      <c r="L1853" t="s">
        <v>4381</v>
      </c>
      <c r="M1853" t="s">
        <v>4382</v>
      </c>
      <c r="N1853" t="s">
        <v>4383</v>
      </c>
    </row>
    <row r="1854" spans="1:14" ht="60.75" customHeight="1">
      <c r="A1854" s="209" t="s">
        <v>4211</v>
      </c>
      <c r="B1854" s="544" t="str">
        <f>COSTOS!$D$16</f>
        <v>Luminarias</v>
      </c>
      <c r="C1854" s="544"/>
      <c r="D1854" s="544"/>
      <c r="E1854" s="544"/>
      <c r="F1854" s="544"/>
      <c r="G1854" s="60" t="s">
        <v>4212</v>
      </c>
      <c r="H1854" s="363">
        <v>1.37</v>
      </c>
      <c r="K1854" s="55" t="e">
        <f>H1879</f>
        <v>#VALUE!</v>
      </c>
      <c r="L1854" s="55">
        <f>H1889</f>
        <v>20648</v>
      </c>
      <c r="M1854" s="55" t="e">
        <f>H1862</f>
        <v>#VALUE!</v>
      </c>
      <c r="N1854" s="55" t="e">
        <f>H1883</f>
        <v>#VALUE!</v>
      </c>
    </row>
    <row r="1855" spans="1:14" ht="43.2" customHeight="1">
      <c r="A1855" s="210" t="s">
        <v>4213</v>
      </c>
      <c r="B1855" s="545" t="str">
        <f>VLOOKUP(H1854,COSTOS!C:M,2,0)</f>
        <v>Reflector Led baja eficiencia 100w</v>
      </c>
      <c r="C1855" s="546"/>
      <c r="D1855" s="546"/>
      <c r="E1855" s="547"/>
      <c r="F1855" s="61" t="s">
        <v>0</v>
      </c>
      <c r="G1855" s="328" t="str">
        <f>VLOOKUP(H1854,COSTOS!C:M,8,0)</f>
        <v>Und</v>
      </c>
      <c r="H1855" s="248"/>
      <c r="I1855" s="278"/>
      <c r="J1855" s="280"/>
      <c r="K1855" s="280"/>
      <c r="L1855" s="280"/>
    </row>
    <row r="1856" spans="1:14">
      <c r="A1856" s="211"/>
      <c r="B1856" s="102"/>
      <c r="C1856" s="102"/>
      <c r="D1856" s="102"/>
      <c r="E1856" s="103"/>
      <c r="F1856" s="104" t="s">
        <v>1</v>
      </c>
      <c r="G1856" s="328">
        <f>VLOOKUP(H1854,COSTOS!C:M,9,0)</f>
        <v>0</v>
      </c>
      <c r="H1856" s="329"/>
      <c r="I1856" s="279"/>
    </row>
    <row r="1857" spans="1:15">
      <c r="A1857" s="212" t="s">
        <v>4215</v>
      </c>
      <c r="B1857" s="65"/>
      <c r="C1857" s="65"/>
      <c r="D1857" s="66"/>
      <c r="E1857" s="190"/>
      <c r="F1857" s="191"/>
      <c r="G1857" s="192" t="s">
        <v>4216</v>
      </c>
      <c r="H1857" s="198" t="e">
        <f>H1862+H1879+H1883+H1889</f>
        <v>#VALUE!</v>
      </c>
    </row>
    <row r="1858" spans="1:15" ht="41.4">
      <c r="A1858" s="548" t="s">
        <v>4213</v>
      </c>
      <c r="B1858" s="548"/>
      <c r="C1858" s="548"/>
      <c r="D1858" s="67" t="s">
        <v>0</v>
      </c>
      <c r="E1858" s="188" t="s">
        <v>4217</v>
      </c>
      <c r="F1858" s="189" t="s">
        <v>4204</v>
      </c>
      <c r="G1858" s="64" t="s">
        <v>2</v>
      </c>
      <c r="H1858" s="199" t="s">
        <v>4218</v>
      </c>
      <c r="K1858" s="281"/>
    </row>
    <row r="1859" spans="1:15">
      <c r="A1859" s="517" t="s">
        <v>3946</v>
      </c>
      <c r="B1859" s="549">
        <f>VLOOKUP(A1859,'Equip, Herr y Transp'!$B$2:$E$738,2,0)</f>
        <v>2</v>
      </c>
      <c r="C1859" s="549"/>
      <c r="D1859" s="85">
        <f>VLOOKUP(A1859,'Equip, Herr y Transp'!$B$2:$E$217,2,0)</f>
        <v>2</v>
      </c>
      <c r="E1859" s="85" t="str">
        <f>VLOOKUP(A1859,'Equip, Herr y Transp'!$B$2:$E$217,3,0)</f>
        <v>EQU</v>
      </c>
      <c r="F1859" s="86">
        <f>H1849</f>
        <v>6.25E-2</v>
      </c>
      <c r="G1859" s="112" t="e">
        <f>F1859*E1859</f>
        <v>#VALUE!</v>
      </c>
      <c r="H1859" s="108"/>
    </row>
    <row r="1860" spans="1:15">
      <c r="A1860" s="517" t="s">
        <v>3904</v>
      </c>
      <c r="B1860" s="549">
        <f>VLOOKUP(A1860,'Equip, Herr y Transp'!$B$2:$E$738,2,0)</f>
        <v>2</v>
      </c>
      <c r="C1860" s="549"/>
      <c r="D1860" s="85">
        <f>VLOOKUP(A1860,'Equip, Herr y Transp'!$B$2:$E$217,2,0)</f>
        <v>2</v>
      </c>
      <c r="E1860" s="85" t="str">
        <f>VLOOKUP(A1860,'Equip, Herr y Transp'!$B$2:$E$217,3,0)</f>
        <v>EQU</v>
      </c>
      <c r="F1860" s="86">
        <f>H1849</f>
        <v>6.25E-2</v>
      </c>
      <c r="G1860" s="112" t="e">
        <f>F1860*E1860</f>
        <v>#VALUE!</v>
      </c>
      <c r="H1860" s="107"/>
    </row>
    <row r="1861" spans="1:15">
      <c r="A1861" s="517" t="s">
        <v>3937</v>
      </c>
      <c r="B1861" s="549">
        <f>VLOOKUP(A1861,'Equip, Herr y Transp'!$B$2:$E$738,2,0)</f>
        <v>2</v>
      </c>
      <c r="C1861" s="549"/>
      <c r="D1861" s="85">
        <f>VLOOKUP(A1861,'Equip, Herr y Transp'!$B$2:$E$217,2,0)</f>
        <v>2</v>
      </c>
      <c r="E1861" s="85" t="str">
        <f>VLOOKUP(A1861,'Equip, Herr y Transp'!$B$2:$E$217,3,0)</f>
        <v>EQU</v>
      </c>
      <c r="F1861" s="86">
        <f>H1849</f>
        <v>6.25E-2</v>
      </c>
      <c r="G1861" s="112" t="e">
        <f>F1861*E1861</f>
        <v>#VALUE!</v>
      </c>
      <c r="H1861" s="107"/>
    </row>
    <row r="1862" spans="1:15">
      <c r="A1862" s="520" t="s">
        <v>4099</v>
      </c>
      <c r="B1862" s="521"/>
      <c r="C1862" s="521"/>
      <c r="D1862" s="521"/>
      <c r="E1862" s="521"/>
      <c r="F1862" s="521"/>
      <c r="G1862" s="521"/>
      <c r="H1862" s="87" t="e">
        <f>SUM(G1859:G1861)</f>
        <v>#VALUE!</v>
      </c>
    </row>
    <row r="1863" spans="1:15">
      <c r="A1863" s="550" t="s">
        <v>4219</v>
      </c>
      <c r="B1863" s="551"/>
      <c r="C1863" s="551"/>
      <c r="D1863" s="551"/>
      <c r="E1863" s="551"/>
      <c r="F1863" s="551"/>
      <c r="G1863" s="551"/>
      <c r="H1863" s="552"/>
      <c r="K1863" s="50"/>
      <c r="L1863" s="50"/>
      <c r="M1863" s="50"/>
      <c r="N1863" s="50"/>
      <c r="O1863" s="50"/>
    </row>
    <row r="1864" spans="1:15" ht="30" customHeight="1">
      <c r="A1864" s="553" t="s">
        <v>7</v>
      </c>
      <c r="B1864" s="554"/>
      <c r="C1864" s="99" t="s">
        <v>0</v>
      </c>
      <c r="D1864" s="100" t="s">
        <v>4097</v>
      </c>
      <c r="E1864" s="101" t="s">
        <v>1</v>
      </c>
      <c r="F1864" s="555" t="s">
        <v>4207</v>
      </c>
      <c r="G1864" s="555"/>
      <c r="H1864" s="196"/>
      <c r="K1864" s="50"/>
      <c r="L1864" s="50"/>
      <c r="M1864" s="50"/>
      <c r="N1864" s="50"/>
      <c r="O1864" s="50"/>
    </row>
    <row r="1865" spans="1:15">
      <c r="A1865" s="535" t="s">
        <v>4703</v>
      </c>
      <c r="B1865" s="536"/>
      <c r="C1865" s="88">
        <f>VLOOKUP(A1865,'Materiales '!$C$2:$G$396,3,0)</f>
        <v>4</v>
      </c>
      <c r="D1865" s="89" t="str">
        <f>VLOOKUP(A1865,'Materiales '!$C$2:$G$396,4,0)</f>
        <v>Und</v>
      </c>
      <c r="E1865" s="90">
        <v>1</v>
      </c>
      <c r="F1865" s="508" t="e">
        <f>E1865*D1865</f>
        <v>#VALUE!</v>
      </c>
      <c r="G1865" s="519"/>
      <c r="H1865" s="111"/>
      <c r="I1865">
        <f>E1865*G1856</f>
        <v>0</v>
      </c>
      <c r="J1865" s="57"/>
      <c r="K1865" s="50"/>
      <c r="L1865" s="50"/>
      <c r="M1865" s="50"/>
      <c r="N1865" s="50"/>
      <c r="O1865" s="50"/>
    </row>
    <row r="1866" spans="1:15">
      <c r="A1866" s="535" t="s">
        <v>4203</v>
      </c>
      <c r="B1866" s="536"/>
      <c r="C1866" s="88">
        <f>VLOOKUP(A1866,'Materiales '!$C$2:$G$396,3,0)</f>
        <v>4</v>
      </c>
      <c r="D1866" s="89" t="str">
        <f>VLOOKUP(A1866,'Materiales '!$C$2:$G$396,4,0)</f>
        <v>Und</v>
      </c>
      <c r="E1866" s="90">
        <v>1</v>
      </c>
      <c r="F1866" s="508" t="e">
        <f t="shared" ref="F1866:F1872" si="109">E1866*D1866</f>
        <v>#VALUE!</v>
      </c>
      <c r="G1866" s="519"/>
      <c r="H1866" s="111"/>
      <c r="I1866">
        <f>E1866*G1856</f>
        <v>0</v>
      </c>
      <c r="J1866" s="57"/>
      <c r="K1866" s="50"/>
      <c r="L1866" s="50"/>
      <c r="M1866" s="50"/>
      <c r="N1866" s="50"/>
      <c r="O1866" s="50"/>
    </row>
    <row r="1867" spans="1:15">
      <c r="A1867" s="517" t="s">
        <v>4473</v>
      </c>
      <c r="B1867" s="518">
        <f>VLOOKUP(A1867,'Materiales '!$C$2:$G$396,3,0)</f>
        <v>4</v>
      </c>
      <c r="C1867" s="88">
        <f>VLOOKUP(A1867,'Materiales '!$C$2:$G$396,3,0)</f>
        <v>4</v>
      </c>
      <c r="D1867" s="89" t="str">
        <f>VLOOKUP(A1867,'Materiales '!$C$2:$G$396,4,0)</f>
        <v>Und</v>
      </c>
      <c r="E1867" s="90">
        <v>2</v>
      </c>
      <c r="F1867" s="508" t="e">
        <f t="shared" si="109"/>
        <v>#VALUE!</v>
      </c>
      <c r="G1867" s="519"/>
      <c r="H1867" s="111"/>
      <c r="I1867">
        <f>E1867*G1856</f>
        <v>0</v>
      </c>
      <c r="J1867" s="58"/>
      <c r="K1867" s="50"/>
      <c r="L1867" s="50"/>
      <c r="M1867" s="50"/>
      <c r="N1867" s="50"/>
      <c r="O1867" s="50"/>
    </row>
    <row r="1868" spans="1:15">
      <c r="A1868" s="517" t="s">
        <v>4478</v>
      </c>
      <c r="B1868" s="518">
        <f>VLOOKUP(A1868,'Materiales '!$C$2:$G$396,3,0)</f>
        <v>4</v>
      </c>
      <c r="C1868" s="88">
        <f>VLOOKUP(A1868,'Materiales '!$C$2:$G$396,3,0)</f>
        <v>4</v>
      </c>
      <c r="D1868" s="89" t="str">
        <f>VLOOKUP(A1868,'Materiales '!$C$2:$G$396,4,0)</f>
        <v>Und</v>
      </c>
      <c r="E1868" s="90">
        <v>3</v>
      </c>
      <c r="F1868" s="508" t="e">
        <f t="shared" si="109"/>
        <v>#VALUE!</v>
      </c>
      <c r="G1868" s="519"/>
      <c r="H1868" s="111"/>
      <c r="I1868">
        <f>E1868*G1856</f>
        <v>0</v>
      </c>
      <c r="J1868" s="58"/>
      <c r="K1868" s="50"/>
      <c r="L1868" s="50"/>
      <c r="M1868" s="50"/>
      <c r="N1868" s="50"/>
      <c r="O1868" s="50"/>
    </row>
    <row r="1869" spans="1:15">
      <c r="A1869" s="517" t="s">
        <v>4543</v>
      </c>
      <c r="B1869" s="518">
        <f>VLOOKUP(A1869,'Materiales '!$C$2:$G$396,3,0)</f>
        <v>4</v>
      </c>
      <c r="C1869" s="88">
        <f>VLOOKUP(A1869,'Materiales '!$C$2:$G$396,3,0)</f>
        <v>4</v>
      </c>
      <c r="D1869" s="89" t="str">
        <f>VLOOKUP(A1869,'Materiales '!$C$2:$G$396,4,0)</f>
        <v>Und</v>
      </c>
      <c r="E1869" s="90">
        <v>2</v>
      </c>
      <c r="F1869" s="508" t="e">
        <f t="shared" si="109"/>
        <v>#VALUE!</v>
      </c>
      <c r="G1869" s="519"/>
      <c r="H1869" s="111"/>
      <c r="I1869">
        <f>E1869*G1856</f>
        <v>0</v>
      </c>
      <c r="J1869" s="58"/>
      <c r="K1869" s="50"/>
      <c r="L1869" s="50"/>
      <c r="M1869" s="50"/>
      <c r="N1869" s="50"/>
      <c r="O1869" s="50"/>
    </row>
    <row r="1870" spans="1:15">
      <c r="A1870" s="517" t="s">
        <v>4439</v>
      </c>
      <c r="B1870" s="518">
        <f>VLOOKUP(A1870,'Materiales '!$C$2:$G$396,3,0)</f>
        <v>2</v>
      </c>
      <c r="C1870" s="88">
        <f>VLOOKUP(A1870,'Materiales '!$C$2:$G$396,3,0)</f>
        <v>2</v>
      </c>
      <c r="D1870" s="89" t="str">
        <f>VLOOKUP(A1870,'Materiales '!$C$2:$G$396,4,0)</f>
        <v>Ml</v>
      </c>
      <c r="E1870" s="90">
        <v>1</v>
      </c>
      <c r="F1870" s="508" t="e">
        <f t="shared" si="109"/>
        <v>#VALUE!</v>
      </c>
      <c r="G1870" s="519"/>
      <c r="H1870" s="111"/>
      <c r="I1870">
        <f>E1870*G1856</f>
        <v>0</v>
      </c>
      <c r="J1870" s="58"/>
      <c r="K1870" s="50"/>
      <c r="L1870" s="50"/>
      <c r="M1870" s="50"/>
      <c r="N1870" s="50"/>
      <c r="O1870" s="50"/>
    </row>
    <row r="1871" spans="1:15">
      <c r="A1871" s="517" t="s">
        <v>4482</v>
      </c>
      <c r="B1871" s="518">
        <f>VLOOKUP(A1871,'Materiales '!$C$2:$G$396,3,0)</f>
        <v>4</v>
      </c>
      <c r="C1871" s="88">
        <f>VLOOKUP(A1871,'Materiales '!$C$2:$G$396,3,0)</f>
        <v>4</v>
      </c>
      <c r="D1871" s="89" t="str">
        <f>VLOOKUP(A1871,'Materiales '!$C$2:$G$396,4,0)</f>
        <v>Und</v>
      </c>
      <c r="E1871" s="90">
        <v>3</v>
      </c>
      <c r="F1871" s="508" t="e">
        <f t="shared" si="109"/>
        <v>#VALUE!</v>
      </c>
      <c r="G1871" s="519"/>
      <c r="H1871" s="111"/>
      <c r="I1871">
        <f>E1871*G1856</f>
        <v>0</v>
      </c>
      <c r="J1871" s="58"/>
      <c r="K1871" s="50"/>
      <c r="L1871" s="50"/>
      <c r="M1871" s="50"/>
      <c r="N1871" s="50"/>
      <c r="O1871" s="50"/>
    </row>
    <row r="1872" spans="1:15" ht="21.75" customHeight="1">
      <c r="A1872" s="517" t="s">
        <v>4628</v>
      </c>
      <c r="B1872" s="518">
        <f>VLOOKUP(A1872,'Materiales '!$C$2:$G$396,3,0)</f>
        <v>4</v>
      </c>
      <c r="C1872" s="88">
        <f>VLOOKUP(A1872,'Materiales '!$C$2:$G$396,3,0)</f>
        <v>4</v>
      </c>
      <c r="D1872" s="89" t="str">
        <f>VLOOKUP(A1872,'Materiales '!$C$2:$G$396,4,0)</f>
        <v>Und</v>
      </c>
      <c r="E1872" s="90">
        <v>1</v>
      </c>
      <c r="F1872" s="508" t="e">
        <f t="shared" si="109"/>
        <v>#VALUE!</v>
      </c>
      <c r="G1872" s="519"/>
      <c r="H1872" s="111"/>
      <c r="I1872">
        <f>E1872*G1856</f>
        <v>0</v>
      </c>
      <c r="J1872" s="58"/>
      <c r="K1872" s="50"/>
      <c r="L1872" s="50"/>
      <c r="M1872" s="50"/>
      <c r="N1872" s="50"/>
      <c r="O1872" s="50"/>
    </row>
    <row r="1873" spans="1:15">
      <c r="A1873" s="517" t="s">
        <v>8</v>
      </c>
      <c r="B1873" s="518">
        <f>VLOOKUP(A1873,'Materiales '!$C$2:$G$396,3,0)</f>
        <v>0</v>
      </c>
      <c r="C1873" s="88">
        <f>VLOOKUP(A1873,'Materiales '!$C$2:$G$396,3,0)</f>
        <v>0</v>
      </c>
      <c r="D1873" s="89" t="str">
        <f>VLOOKUP(A1873,'Materiales '!$C$2:$G$396,4,0)</f>
        <v>-</v>
      </c>
      <c r="E1873" s="90"/>
      <c r="F1873" s="508" t="e">
        <f>E1873*D1873</f>
        <v>#VALUE!</v>
      </c>
      <c r="G1873" s="519"/>
      <c r="H1873" s="110"/>
      <c r="I1873">
        <f>E1873*G1856</f>
        <v>0</v>
      </c>
      <c r="J1873" s="58"/>
      <c r="K1873" s="50"/>
      <c r="L1873" s="50"/>
      <c r="M1873" s="50"/>
      <c r="N1873" s="50"/>
      <c r="O1873" s="50"/>
    </row>
    <row r="1874" spans="1:15">
      <c r="A1874" s="517" t="s">
        <v>8</v>
      </c>
      <c r="B1874" s="518">
        <f>VLOOKUP(A1874,'Materiales '!$C$2:$G$396,3,0)</f>
        <v>0</v>
      </c>
      <c r="C1874" s="88">
        <f>VLOOKUP(A1874,'Materiales '!$C$2:$G$396,3,0)</f>
        <v>0</v>
      </c>
      <c r="D1874" s="89" t="str">
        <f>VLOOKUP(A1874,'Materiales '!$C$2:$G$396,4,0)</f>
        <v>-</v>
      </c>
      <c r="E1874" s="90"/>
      <c r="F1874" s="508" t="e">
        <f t="shared" ref="F1874:F1877" si="110">E1874*D1874</f>
        <v>#VALUE!</v>
      </c>
      <c r="G1874" s="519"/>
      <c r="H1874" s="111"/>
      <c r="I1874">
        <f>E1874*G1856</f>
        <v>0</v>
      </c>
      <c r="J1874" s="58"/>
      <c r="K1874" s="50"/>
      <c r="L1874" s="50"/>
      <c r="M1874" s="50"/>
      <c r="N1874" s="50"/>
      <c r="O1874" s="50"/>
    </row>
    <row r="1875" spans="1:15">
      <c r="A1875" s="517" t="s">
        <v>8</v>
      </c>
      <c r="B1875" s="518">
        <f>VLOOKUP(A1875,'Materiales '!$C$2:$G$396,3,0)</f>
        <v>0</v>
      </c>
      <c r="C1875" s="88">
        <f>VLOOKUP(A1875,'Materiales '!$C$2:$G$396,3,0)</f>
        <v>0</v>
      </c>
      <c r="D1875" s="89" t="str">
        <f>VLOOKUP(A1875,'Materiales '!$C$2:$G$396,4,0)</f>
        <v>-</v>
      </c>
      <c r="E1875" s="90"/>
      <c r="F1875" s="508" t="e">
        <f t="shared" si="110"/>
        <v>#VALUE!</v>
      </c>
      <c r="G1875" s="519"/>
      <c r="H1875" s="111"/>
      <c r="I1875">
        <f>E1875*G1856</f>
        <v>0</v>
      </c>
      <c r="J1875" s="58"/>
      <c r="K1875" s="50"/>
      <c r="L1875" s="50"/>
      <c r="M1875" s="50"/>
      <c r="N1875" s="50"/>
      <c r="O1875" s="50"/>
    </row>
    <row r="1876" spans="1:15">
      <c r="A1876" s="517" t="s">
        <v>8</v>
      </c>
      <c r="B1876" s="518">
        <f>VLOOKUP(A1876,'Materiales '!$C$2:$G$396,3,0)</f>
        <v>0</v>
      </c>
      <c r="C1876" s="88">
        <f>VLOOKUP(A1876,'Materiales '!$C$2:$G$396,3,0)</f>
        <v>0</v>
      </c>
      <c r="D1876" s="89" t="str">
        <f>VLOOKUP(A1876,'Materiales '!$C$2:$G$396,4,0)</f>
        <v>-</v>
      </c>
      <c r="E1876" s="90"/>
      <c r="F1876" s="508" t="e">
        <f t="shared" si="110"/>
        <v>#VALUE!</v>
      </c>
      <c r="G1876" s="519"/>
      <c r="H1876" s="111"/>
      <c r="I1876">
        <f>E1876*G1856</f>
        <v>0</v>
      </c>
      <c r="J1876" s="58"/>
      <c r="K1876" s="50"/>
      <c r="L1876" s="50"/>
      <c r="M1876" s="50"/>
      <c r="N1876" s="50"/>
      <c r="O1876" s="50"/>
    </row>
    <row r="1877" spans="1:15">
      <c r="A1877" s="517" t="s">
        <v>8</v>
      </c>
      <c r="B1877" s="518">
        <f>VLOOKUP(A1877,'Materiales '!$C$2:$G$396,3,0)</f>
        <v>0</v>
      </c>
      <c r="C1877" s="88">
        <f>VLOOKUP(A1877,'Materiales '!$C$2:$G$396,3,0)</f>
        <v>0</v>
      </c>
      <c r="D1877" s="89" t="str">
        <f>VLOOKUP(A1877,'Materiales '!$C$2:$G$396,4,0)</f>
        <v>-</v>
      </c>
      <c r="E1877" s="90"/>
      <c r="F1877" s="508" t="e">
        <f t="shared" si="110"/>
        <v>#VALUE!</v>
      </c>
      <c r="G1877" s="519"/>
      <c r="H1877" s="111"/>
      <c r="I1877">
        <f>E1877*G1856</f>
        <v>0</v>
      </c>
      <c r="J1877" s="58"/>
      <c r="K1877" s="50"/>
      <c r="L1877" s="50"/>
      <c r="M1877" s="50"/>
      <c r="N1877" s="50"/>
      <c r="O1877" s="50"/>
    </row>
    <row r="1878" spans="1:15">
      <c r="A1878" s="517" t="s">
        <v>8</v>
      </c>
      <c r="B1878" s="518">
        <f>VLOOKUP(A1878,'Materiales '!$C$2:$G$396,3,0)</f>
        <v>0</v>
      </c>
      <c r="C1878" s="88">
        <f>VLOOKUP(A1878,'Materiales '!$C$2:$G$396,3,0)</f>
        <v>0</v>
      </c>
      <c r="D1878" s="89" t="str">
        <f>VLOOKUP(A1878,'Materiales '!$C$2:$G$396,4,0)</f>
        <v>-</v>
      </c>
      <c r="E1878" s="90"/>
      <c r="F1878" s="508" t="e">
        <f>E1878*D1878</f>
        <v>#VALUE!</v>
      </c>
      <c r="G1878" s="519"/>
      <c r="H1878" s="110"/>
      <c r="I1878">
        <f>E1878*G1856</f>
        <v>0</v>
      </c>
      <c r="J1878" s="58"/>
      <c r="K1878" s="50"/>
      <c r="L1878" s="50"/>
      <c r="M1878" s="50"/>
      <c r="N1878" s="50"/>
      <c r="O1878" s="50"/>
    </row>
    <row r="1879" spans="1:15">
      <c r="A1879" s="520" t="s">
        <v>4098</v>
      </c>
      <c r="B1879" s="521"/>
      <c r="C1879" s="521"/>
      <c r="D1879" s="521"/>
      <c r="E1879" s="521"/>
      <c r="F1879" s="521"/>
      <c r="G1879" s="522"/>
      <c r="H1879" s="106" t="e">
        <f>SUM(F1865:F1878)</f>
        <v>#VALUE!</v>
      </c>
      <c r="J1879" s="58"/>
      <c r="K1879" s="50"/>
      <c r="L1879" s="50"/>
      <c r="M1879" s="50"/>
      <c r="N1879" s="50"/>
      <c r="O1879" s="50"/>
    </row>
    <row r="1880" spans="1:15">
      <c r="A1880" s="523" t="s">
        <v>4220</v>
      </c>
      <c r="B1880" s="524"/>
      <c r="C1880" s="524"/>
      <c r="D1880" s="524"/>
      <c r="E1880" s="525"/>
      <c r="F1880" s="524"/>
      <c r="G1880" s="524"/>
      <c r="H1880" s="526"/>
      <c r="J1880" s="58"/>
      <c r="K1880" s="50"/>
      <c r="L1880" s="50"/>
      <c r="M1880" s="50"/>
      <c r="N1880" s="50"/>
      <c r="O1880" s="50"/>
    </row>
    <row r="1881" spans="1:15">
      <c r="A1881" s="527" t="s">
        <v>7</v>
      </c>
      <c r="B1881" s="528"/>
      <c r="C1881" s="98" t="s">
        <v>4221</v>
      </c>
      <c r="D1881" s="97" t="s">
        <v>4222</v>
      </c>
      <c r="E1881" s="187" t="s">
        <v>4223</v>
      </c>
      <c r="F1881" s="529" t="s">
        <v>4207</v>
      </c>
      <c r="G1881" s="529"/>
      <c r="H1881" s="109"/>
      <c r="K1881" s="50"/>
      <c r="L1881" s="50"/>
      <c r="M1881" s="50"/>
      <c r="N1881" s="50"/>
      <c r="O1881" s="50"/>
    </row>
    <row r="1882" spans="1:15">
      <c r="A1882" s="506" t="s">
        <v>3928</v>
      </c>
      <c r="B1882" s="507"/>
      <c r="C1882" s="213">
        <v>1</v>
      </c>
      <c r="D1882" s="92">
        <v>0.03</v>
      </c>
      <c r="E1882" s="93" t="str">
        <f>VLOOKUP(A1882,'Equip, Herr y Transp'!$B$2:$E$217,3,0)</f>
        <v>TR</v>
      </c>
      <c r="F1882" s="530" t="e">
        <f>E1882*D1882*C1882</f>
        <v>#VALUE!</v>
      </c>
      <c r="G1882" s="531"/>
      <c r="H1882" s="107"/>
      <c r="M1882" s="50"/>
    </row>
    <row r="1883" spans="1:15">
      <c r="A1883" s="532" t="s">
        <v>4205</v>
      </c>
      <c r="B1883" s="533"/>
      <c r="C1883" s="533"/>
      <c r="D1883" s="533"/>
      <c r="E1883" s="533"/>
      <c r="F1883" s="533"/>
      <c r="G1883" s="533"/>
      <c r="H1883" s="95" t="e">
        <f>F1882</f>
        <v>#VALUE!</v>
      </c>
    </row>
    <row r="1884" spans="1:15">
      <c r="A1884" s="523" t="s">
        <v>4224</v>
      </c>
      <c r="B1884" s="524"/>
      <c r="C1884" s="524"/>
      <c r="D1884" s="524"/>
      <c r="E1884" s="524"/>
      <c r="F1884" s="524"/>
      <c r="G1884" s="524"/>
      <c r="H1884" s="526"/>
    </row>
    <row r="1885" spans="1:15">
      <c r="A1885" s="527" t="s">
        <v>7</v>
      </c>
      <c r="B1885" s="528"/>
      <c r="C1885" s="96" t="s">
        <v>1</v>
      </c>
      <c r="D1885" s="97" t="s">
        <v>4225</v>
      </c>
      <c r="E1885" s="98" t="s">
        <v>4204</v>
      </c>
      <c r="F1885" s="527" t="s">
        <v>5</v>
      </c>
      <c r="G1885" s="534"/>
      <c r="H1885" s="109"/>
    </row>
    <row r="1886" spans="1:15">
      <c r="A1886" s="506" t="s">
        <v>4191</v>
      </c>
      <c r="B1886" s="507"/>
      <c r="C1886" s="91">
        <v>1</v>
      </c>
      <c r="D1886" s="94">
        <f>VLOOKUP(A1886,'Mano Obra'!$B$2:$T$117,19,0)</f>
        <v>152456</v>
      </c>
      <c r="E1886" s="218">
        <f>H1849</f>
        <v>6.25E-2</v>
      </c>
      <c r="F1886" s="508">
        <f>E1886*D1886*C1886</f>
        <v>9528.5</v>
      </c>
      <c r="G1886" s="509"/>
      <c r="H1886" s="111"/>
      <c r="I1886" s="59"/>
      <c r="J1886" s="117">
        <f>((('Mano Obra'!$M$4/30)*F1886)/D1886)*G1856</f>
        <v>0</v>
      </c>
    </row>
    <row r="1887" spans="1:15">
      <c r="A1887" s="510" t="s">
        <v>4192</v>
      </c>
      <c r="B1887" s="511">
        <f>VLOOKUP(A1887,'Mano Obra'!$B$3:$D$290,2,0)</f>
        <v>1900000</v>
      </c>
      <c r="C1887" s="91">
        <v>1</v>
      </c>
      <c r="D1887" s="94">
        <f>VLOOKUP(A1887,'Mano Obra'!$B$2:$T$117,19,0)</f>
        <v>110488</v>
      </c>
      <c r="E1887" s="218">
        <f>H1849</f>
        <v>6.25E-2</v>
      </c>
      <c r="F1887" s="508">
        <f t="shared" ref="F1887:F1888" si="111">E1887*D1887*C1887</f>
        <v>6905.5</v>
      </c>
      <c r="G1887" s="509"/>
      <c r="H1887" s="111"/>
      <c r="J1887" s="117">
        <f>((('Mano Obra'!$M$5/30)*F1887)/D1887)*G1856</f>
        <v>0</v>
      </c>
    </row>
    <row r="1888" spans="1:15">
      <c r="A1888" s="510" t="s">
        <v>4181</v>
      </c>
      <c r="B1888" s="511">
        <f>VLOOKUP(A1888,'Mano Obra'!$B$3:$D$290,2,0)</f>
        <v>1000000</v>
      </c>
      <c r="C1888" s="91">
        <v>1</v>
      </c>
      <c r="D1888" s="94">
        <f>VLOOKUP(A1888,'Mano Obra'!$B$2:$T$117,19,0)</f>
        <v>67424</v>
      </c>
      <c r="E1888" s="218">
        <f>H1849</f>
        <v>6.25E-2</v>
      </c>
      <c r="F1888" s="508">
        <f t="shared" si="111"/>
        <v>4214</v>
      </c>
      <c r="G1888" s="509"/>
      <c r="H1888" s="110"/>
      <c r="J1888" s="117">
        <f>((('Mano Obra'!$M$6/30)*F1888)/D1888)*G1856</f>
        <v>0</v>
      </c>
    </row>
    <row r="1889" spans="1:14">
      <c r="A1889" s="512" t="s">
        <v>4100</v>
      </c>
      <c r="B1889" s="512"/>
      <c r="C1889" s="512"/>
      <c r="D1889" s="512"/>
      <c r="E1889" s="512"/>
      <c r="F1889" s="512"/>
      <c r="G1889" s="512"/>
      <c r="H1889" s="95">
        <f>SUM(F1886:F1888)</f>
        <v>20648</v>
      </c>
      <c r="J1889" s="117"/>
    </row>
    <row r="1890" spans="1:14">
      <c r="A1890" s="208" t="s">
        <v>4226</v>
      </c>
      <c r="B1890" s="186"/>
      <c r="C1890" s="186"/>
      <c r="D1890" s="183"/>
      <c r="E1890" s="184"/>
      <c r="F1890" s="185"/>
      <c r="G1890" s="184"/>
      <c r="H1890" s="193"/>
    </row>
    <row r="1891" spans="1:14">
      <c r="A1891" s="513" t="s">
        <v>4213</v>
      </c>
      <c r="B1891" s="514"/>
      <c r="C1891" s="514"/>
      <c r="D1891" s="514"/>
      <c r="E1891" s="181"/>
      <c r="F1891" s="182" t="s">
        <v>4227</v>
      </c>
      <c r="G1891" s="181" t="s">
        <v>4228</v>
      </c>
      <c r="H1891" s="194"/>
    </row>
    <row r="1892" spans="1:14">
      <c r="A1892" s="204" t="s">
        <v>4096</v>
      </c>
      <c r="B1892" s="62"/>
      <c r="C1892" s="62"/>
      <c r="D1892" s="63"/>
      <c r="E1892" s="68"/>
      <c r="F1892" s="69">
        <v>0</v>
      </c>
      <c r="G1892" s="70" t="e">
        <f>F1892*H1857</f>
        <v>#VALUE!</v>
      </c>
      <c r="H1892" s="193"/>
    </row>
    <row r="1893" spans="1:14">
      <c r="A1893" s="205" t="s">
        <v>4229</v>
      </c>
      <c r="B1893" s="71"/>
      <c r="C1893" s="71"/>
      <c r="D1893" s="72"/>
      <c r="E1893" s="68"/>
      <c r="F1893" s="69">
        <v>0</v>
      </c>
      <c r="G1893" s="70" t="e">
        <f>F1893*H1857</f>
        <v>#VALUE!</v>
      </c>
      <c r="H1893" s="193"/>
    </row>
    <row r="1894" spans="1:14">
      <c r="A1894" s="205" t="s">
        <v>4</v>
      </c>
      <c r="B1894" s="71"/>
      <c r="C1894" s="71"/>
      <c r="D1894" s="72"/>
      <c r="E1894" s="68"/>
      <c r="F1894" s="69">
        <v>0</v>
      </c>
      <c r="G1894" s="70" t="e">
        <f>F1894*H1857</f>
        <v>#VALUE!</v>
      </c>
      <c r="H1894" s="193"/>
    </row>
    <row r="1895" spans="1:14">
      <c r="A1895" s="206"/>
      <c r="B1895" s="73"/>
      <c r="C1895" s="65"/>
      <c r="D1895" s="74"/>
      <c r="E1895" s="75"/>
      <c r="F1895" s="76"/>
      <c r="G1895" s="77"/>
      <c r="H1895" s="195"/>
    </row>
    <row r="1896" spans="1:14">
      <c r="A1896" s="207"/>
      <c r="B1896" s="73"/>
      <c r="C1896" s="73"/>
      <c r="D1896" s="74"/>
      <c r="E1896" s="78"/>
      <c r="F1896" s="515" t="s">
        <v>4230</v>
      </c>
      <c r="G1896" s="516"/>
      <c r="H1896" s="214" t="e">
        <f>H1857+G1892+G1893+G1894</f>
        <v>#VALUE!</v>
      </c>
    </row>
    <row r="1897" spans="1:14">
      <c r="A1897" s="73"/>
      <c r="B1897" s="73"/>
      <c r="C1897" s="73"/>
      <c r="D1897" s="74"/>
      <c r="E1897" s="360"/>
      <c r="F1897" s="361"/>
      <c r="G1897" s="361"/>
      <c r="H1897" s="362"/>
    </row>
    <row r="1898" spans="1:14">
      <c r="A1898" s="80"/>
      <c r="B1898" s="80"/>
      <c r="C1898" s="80"/>
      <c r="D1898" s="80"/>
      <c r="E1898" s="80"/>
      <c r="F1898" s="80"/>
      <c r="G1898" s="80"/>
      <c r="H1898" s="353"/>
    </row>
    <row r="1899" spans="1:14">
      <c r="A1899" s="537" t="s">
        <v>4214</v>
      </c>
      <c r="B1899" s="538"/>
      <c r="C1899" s="538"/>
      <c r="D1899" s="538"/>
      <c r="E1899" s="538"/>
      <c r="F1899" s="538"/>
      <c r="G1899" s="538"/>
      <c r="H1899" s="539"/>
    </row>
    <row r="1900" spans="1:14">
      <c r="A1900" s="81"/>
      <c r="B1900" s="82"/>
      <c r="C1900" s="82"/>
      <c r="D1900" s="82"/>
      <c r="E1900" s="82"/>
      <c r="F1900" s="83"/>
      <c r="G1900" s="84"/>
      <c r="H1900" s="352">
        <f>ROUND((30/60)/8,4)</f>
        <v>6.25E-2</v>
      </c>
      <c r="I1900" s="105"/>
    </row>
    <row r="1901" spans="1:14">
      <c r="A1901" s="540" t="s">
        <v>4209</v>
      </c>
      <c r="B1901" s="542" t="str">
        <f>COSTOS!$C$14</f>
        <v>MODERNIZACION A TECNOLOGIA LED</v>
      </c>
      <c r="C1901" s="542"/>
      <c r="D1901" s="542"/>
      <c r="E1901" s="542"/>
      <c r="F1901" s="542"/>
      <c r="G1901" s="542"/>
      <c r="H1901" s="543" t="s">
        <v>4210</v>
      </c>
    </row>
    <row r="1902" spans="1:14">
      <c r="A1902" s="541"/>
      <c r="B1902" s="542"/>
      <c r="C1902" s="542"/>
      <c r="D1902" s="542"/>
      <c r="E1902" s="542"/>
      <c r="F1902" s="542"/>
      <c r="G1902" s="542"/>
      <c r="H1902" s="543"/>
    </row>
    <row r="1903" spans="1:14">
      <c r="A1903" s="541"/>
      <c r="B1903" s="542"/>
      <c r="C1903" s="542"/>
      <c r="D1903" s="542"/>
      <c r="E1903" s="542"/>
      <c r="F1903" s="542"/>
      <c r="G1903" s="542"/>
      <c r="H1903" s="543"/>
    </row>
    <row r="1904" spans="1:14" ht="15" customHeight="1">
      <c r="A1904" s="541"/>
      <c r="B1904" s="542"/>
      <c r="C1904" s="542"/>
      <c r="D1904" s="542"/>
      <c r="E1904" s="542"/>
      <c r="F1904" s="542"/>
      <c r="G1904" s="542"/>
      <c r="H1904" s="197">
        <f ca="1">TODAY()</f>
        <v>44889</v>
      </c>
      <c r="K1904" t="s">
        <v>4380</v>
      </c>
      <c r="L1904" t="s">
        <v>4381</v>
      </c>
      <c r="M1904" t="s">
        <v>4382</v>
      </c>
      <c r="N1904" t="s">
        <v>4383</v>
      </c>
    </row>
    <row r="1905" spans="1:15" ht="60.75" customHeight="1">
      <c r="A1905" s="209" t="s">
        <v>4211</v>
      </c>
      <c r="B1905" s="544" t="str">
        <f>COSTOS!$D$16</f>
        <v>Luminarias</v>
      </c>
      <c r="C1905" s="544"/>
      <c r="D1905" s="544"/>
      <c r="E1905" s="544"/>
      <c r="F1905" s="544"/>
      <c r="G1905" s="60" t="s">
        <v>4212</v>
      </c>
      <c r="H1905" s="363">
        <v>1.38</v>
      </c>
      <c r="K1905" s="55" t="e">
        <f>H1930</f>
        <v>#VALUE!</v>
      </c>
      <c r="L1905" s="55">
        <f>H1940</f>
        <v>20648</v>
      </c>
      <c r="M1905" s="55" t="e">
        <f>H1913</f>
        <v>#VALUE!</v>
      </c>
      <c r="N1905" s="55" t="e">
        <f>H1934</f>
        <v>#VALUE!</v>
      </c>
    </row>
    <row r="1906" spans="1:15" ht="43.2" customHeight="1">
      <c r="A1906" s="210" t="s">
        <v>4213</v>
      </c>
      <c r="B1906" s="545" t="str">
        <f>VLOOKUP(H1905,COSTOS!C:M,2,0)</f>
        <v>Reflector Led baja eficiencia 150w</v>
      </c>
      <c r="C1906" s="546"/>
      <c r="D1906" s="546"/>
      <c r="E1906" s="547"/>
      <c r="F1906" s="61" t="s">
        <v>0</v>
      </c>
      <c r="G1906" s="328" t="str">
        <f>VLOOKUP(H1905,COSTOS!C:M,8,0)</f>
        <v>Und</v>
      </c>
      <c r="H1906" s="248"/>
      <c r="I1906" s="278"/>
      <c r="J1906" s="280"/>
      <c r="K1906" s="280"/>
      <c r="L1906" s="280"/>
    </row>
    <row r="1907" spans="1:15">
      <c r="A1907" s="211"/>
      <c r="B1907" s="102"/>
      <c r="C1907" s="102"/>
      <c r="D1907" s="102"/>
      <c r="E1907" s="103"/>
      <c r="F1907" s="104" t="s">
        <v>1</v>
      </c>
      <c r="G1907" s="328">
        <f>VLOOKUP(H1905,COSTOS!C:M,9,0)</f>
        <v>0</v>
      </c>
      <c r="H1907" s="329"/>
      <c r="I1907" s="279"/>
    </row>
    <row r="1908" spans="1:15">
      <c r="A1908" s="212" t="s">
        <v>4215</v>
      </c>
      <c r="B1908" s="65"/>
      <c r="C1908" s="65"/>
      <c r="D1908" s="66"/>
      <c r="E1908" s="190"/>
      <c r="F1908" s="191"/>
      <c r="G1908" s="192" t="s">
        <v>4216</v>
      </c>
      <c r="H1908" s="198" t="e">
        <f>H1913+H1930+H1934+H1940</f>
        <v>#VALUE!</v>
      </c>
    </row>
    <row r="1909" spans="1:15" ht="41.4">
      <c r="A1909" s="548" t="s">
        <v>4213</v>
      </c>
      <c r="B1909" s="548"/>
      <c r="C1909" s="548"/>
      <c r="D1909" s="67" t="s">
        <v>0</v>
      </c>
      <c r="E1909" s="188" t="s">
        <v>4217</v>
      </c>
      <c r="F1909" s="189" t="s">
        <v>4204</v>
      </c>
      <c r="G1909" s="64" t="s">
        <v>2</v>
      </c>
      <c r="H1909" s="199" t="s">
        <v>4218</v>
      </c>
      <c r="K1909" s="281"/>
    </row>
    <row r="1910" spans="1:15">
      <c r="A1910" s="517" t="s">
        <v>3946</v>
      </c>
      <c r="B1910" s="549">
        <f>VLOOKUP(A1910,'Equip, Herr y Transp'!$B$2:$E$738,2,0)</f>
        <v>2</v>
      </c>
      <c r="C1910" s="549"/>
      <c r="D1910" s="85">
        <f>VLOOKUP(A1910,'Equip, Herr y Transp'!$B$2:$E$217,2,0)</f>
        <v>2</v>
      </c>
      <c r="E1910" s="85" t="str">
        <f>VLOOKUP(A1910,'Equip, Herr y Transp'!$B$2:$E$217,3,0)</f>
        <v>EQU</v>
      </c>
      <c r="F1910" s="86">
        <f>H1900</f>
        <v>6.25E-2</v>
      </c>
      <c r="G1910" s="112" t="e">
        <f>F1910*E1910</f>
        <v>#VALUE!</v>
      </c>
      <c r="H1910" s="108"/>
    </row>
    <row r="1911" spans="1:15">
      <c r="A1911" s="517" t="s">
        <v>3904</v>
      </c>
      <c r="B1911" s="549">
        <f>VLOOKUP(A1911,'Equip, Herr y Transp'!$B$2:$E$738,2,0)</f>
        <v>2</v>
      </c>
      <c r="C1911" s="549"/>
      <c r="D1911" s="85">
        <f>VLOOKUP(A1911,'Equip, Herr y Transp'!$B$2:$E$217,2,0)</f>
        <v>2</v>
      </c>
      <c r="E1911" s="85" t="str">
        <f>VLOOKUP(A1911,'Equip, Herr y Transp'!$B$2:$E$217,3,0)</f>
        <v>EQU</v>
      </c>
      <c r="F1911" s="86">
        <f>H1900</f>
        <v>6.25E-2</v>
      </c>
      <c r="G1911" s="112" t="e">
        <f>F1911*E1911</f>
        <v>#VALUE!</v>
      </c>
      <c r="H1911" s="107"/>
    </row>
    <row r="1912" spans="1:15">
      <c r="A1912" s="517" t="s">
        <v>3937</v>
      </c>
      <c r="B1912" s="549">
        <f>VLOOKUP(A1912,'Equip, Herr y Transp'!$B$2:$E$738,2,0)</f>
        <v>2</v>
      </c>
      <c r="C1912" s="549"/>
      <c r="D1912" s="85">
        <f>VLOOKUP(A1912,'Equip, Herr y Transp'!$B$2:$E$217,2,0)</f>
        <v>2</v>
      </c>
      <c r="E1912" s="85" t="str">
        <f>VLOOKUP(A1912,'Equip, Herr y Transp'!$B$2:$E$217,3,0)</f>
        <v>EQU</v>
      </c>
      <c r="F1912" s="86">
        <f>H1900</f>
        <v>6.25E-2</v>
      </c>
      <c r="G1912" s="112" t="e">
        <f>F1912*E1912</f>
        <v>#VALUE!</v>
      </c>
      <c r="H1912" s="107"/>
    </row>
    <row r="1913" spans="1:15">
      <c r="A1913" s="520" t="s">
        <v>4099</v>
      </c>
      <c r="B1913" s="521"/>
      <c r="C1913" s="521"/>
      <c r="D1913" s="521"/>
      <c r="E1913" s="521"/>
      <c r="F1913" s="521"/>
      <c r="G1913" s="521"/>
      <c r="H1913" s="87" t="e">
        <f>SUM(G1910:G1912)</f>
        <v>#VALUE!</v>
      </c>
    </row>
    <row r="1914" spans="1:15">
      <c r="A1914" s="550" t="s">
        <v>4219</v>
      </c>
      <c r="B1914" s="551"/>
      <c r="C1914" s="551"/>
      <c r="D1914" s="551"/>
      <c r="E1914" s="551"/>
      <c r="F1914" s="551"/>
      <c r="G1914" s="551"/>
      <c r="H1914" s="552"/>
      <c r="K1914" s="50"/>
      <c r="L1914" s="50"/>
      <c r="M1914" s="50"/>
      <c r="N1914" s="50"/>
      <c r="O1914" s="50"/>
    </row>
    <row r="1915" spans="1:15" ht="30" customHeight="1">
      <c r="A1915" s="553" t="s">
        <v>7</v>
      </c>
      <c r="B1915" s="554"/>
      <c r="C1915" s="99" t="s">
        <v>0</v>
      </c>
      <c r="D1915" s="100" t="s">
        <v>4097</v>
      </c>
      <c r="E1915" s="101" t="s">
        <v>1</v>
      </c>
      <c r="F1915" s="555" t="s">
        <v>4207</v>
      </c>
      <c r="G1915" s="555"/>
      <c r="H1915" s="196"/>
      <c r="K1915" s="50"/>
      <c r="L1915" s="50"/>
      <c r="M1915" s="50"/>
      <c r="N1915" s="50"/>
      <c r="O1915" s="50"/>
    </row>
    <row r="1916" spans="1:15">
      <c r="A1916" s="535" t="s">
        <v>4704</v>
      </c>
      <c r="B1916" s="536"/>
      <c r="C1916" s="88">
        <f>VLOOKUP(A1916,'Materiales '!$C$2:$G$396,3,0)</f>
        <v>4</v>
      </c>
      <c r="D1916" s="89" t="str">
        <f>VLOOKUP(A1916,'Materiales '!$C$2:$G$396,4,0)</f>
        <v>Und</v>
      </c>
      <c r="E1916" s="90">
        <v>1</v>
      </c>
      <c r="F1916" s="508" t="e">
        <f>E1916*D1916</f>
        <v>#VALUE!</v>
      </c>
      <c r="G1916" s="519"/>
      <c r="H1916" s="111"/>
      <c r="I1916">
        <f>E1916*G1907</f>
        <v>0</v>
      </c>
      <c r="J1916" s="57"/>
      <c r="K1916" s="50"/>
      <c r="L1916" s="50"/>
      <c r="M1916" s="50"/>
      <c r="N1916" s="50"/>
      <c r="O1916" s="50"/>
    </row>
    <row r="1917" spans="1:15">
      <c r="A1917" s="535" t="s">
        <v>4203</v>
      </c>
      <c r="B1917" s="536"/>
      <c r="C1917" s="88">
        <f>VLOOKUP(A1917,'Materiales '!$C$2:$G$396,3,0)</f>
        <v>4</v>
      </c>
      <c r="D1917" s="89" t="str">
        <f>VLOOKUP(A1917,'Materiales '!$C$2:$G$396,4,0)</f>
        <v>Und</v>
      </c>
      <c r="E1917" s="90">
        <v>1</v>
      </c>
      <c r="F1917" s="508" t="e">
        <f t="shared" ref="F1917:F1923" si="112">E1917*D1917</f>
        <v>#VALUE!</v>
      </c>
      <c r="G1917" s="519"/>
      <c r="H1917" s="111"/>
      <c r="I1917">
        <f>E1917*G1907</f>
        <v>0</v>
      </c>
      <c r="J1917" s="57"/>
      <c r="K1917" s="50"/>
      <c r="L1917" s="50"/>
      <c r="M1917" s="50"/>
      <c r="N1917" s="50"/>
      <c r="O1917" s="50"/>
    </row>
    <row r="1918" spans="1:15">
      <c r="A1918" s="517" t="s">
        <v>4473</v>
      </c>
      <c r="B1918" s="518">
        <f>VLOOKUP(A1918,'Materiales '!$C$2:$G$396,3,0)</f>
        <v>4</v>
      </c>
      <c r="C1918" s="88">
        <f>VLOOKUP(A1918,'Materiales '!$C$2:$G$396,3,0)</f>
        <v>4</v>
      </c>
      <c r="D1918" s="89" t="str">
        <f>VLOOKUP(A1918,'Materiales '!$C$2:$G$396,4,0)</f>
        <v>Und</v>
      </c>
      <c r="E1918" s="90">
        <v>2</v>
      </c>
      <c r="F1918" s="508" t="e">
        <f t="shared" si="112"/>
        <v>#VALUE!</v>
      </c>
      <c r="G1918" s="519"/>
      <c r="H1918" s="111"/>
      <c r="I1918">
        <f>E1918*G1907</f>
        <v>0</v>
      </c>
      <c r="J1918" s="58"/>
      <c r="K1918" s="50"/>
      <c r="L1918" s="50"/>
      <c r="M1918" s="50"/>
      <c r="N1918" s="50"/>
      <c r="O1918" s="50"/>
    </row>
    <row r="1919" spans="1:15">
      <c r="A1919" s="517" t="s">
        <v>4478</v>
      </c>
      <c r="B1919" s="518">
        <f>VLOOKUP(A1919,'Materiales '!$C$2:$G$396,3,0)</f>
        <v>4</v>
      </c>
      <c r="C1919" s="88">
        <f>VLOOKUP(A1919,'Materiales '!$C$2:$G$396,3,0)</f>
        <v>4</v>
      </c>
      <c r="D1919" s="89" t="str">
        <f>VLOOKUP(A1919,'Materiales '!$C$2:$G$396,4,0)</f>
        <v>Und</v>
      </c>
      <c r="E1919" s="90">
        <v>3</v>
      </c>
      <c r="F1919" s="508" t="e">
        <f t="shared" si="112"/>
        <v>#VALUE!</v>
      </c>
      <c r="G1919" s="519"/>
      <c r="H1919" s="111"/>
      <c r="I1919">
        <f>E1919*G1907</f>
        <v>0</v>
      </c>
      <c r="J1919" s="58"/>
      <c r="K1919" s="50"/>
      <c r="L1919" s="50"/>
      <c r="M1919" s="50"/>
      <c r="N1919" s="50"/>
      <c r="O1919" s="50"/>
    </row>
    <row r="1920" spans="1:15">
      <c r="A1920" s="517" t="s">
        <v>4543</v>
      </c>
      <c r="B1920" s="518">
        <f>VLOOKUP(A1920,'Materiales '!$C$2:$G$396,3,0)</f>
        <v>4</v>
      </c>
      <c r="C1920" s="88">
        <f>VLOOKUP(A1920,'Materiales '!$C$2:$G$396,3,0)</f>
        <v>4</v>
      </c>
      <c r="D1920" s="89" t="str">
        <f>VLOOKUP(A1920,'Materiales '!$C$2:$G$396,4,0)</f>
        <v>Und</v>
      </c>
      <c r="E1920" s="90">
        <v>2</v>
      </c>
      <c r="F1920" s="508" t="e">
        <f t="shared" si="112"/>
        <v>#VALUE!</v>
      </c>
      <c r="G1920" s="519"/>
      <c r="H1920" s="111"/>
      <c r="I1920">
        <f>E1920*G1907</f>
        <v>0</v>
      </c>
      <c r="J1920" s="58"/>
      <c r="K1920" s="50"/>
      <c r="L1920" s="50"/>
      <c r="M1920" s="50"/>
      <c r="N1920" s="50"/>
      <c r="O1920" s="50"/>
    </row>
    <row r="1921" spans="1:15">
      <c r="A1921" s="517" t="s">
        <v>4439</v>
      </c>
      <c r="B1921" s="518">
        <f>VLOOKUP(A1921,'Materiales '!$C$2:$G$396,3,0)</f>
        <v>2</v>
      </c>
      <c r="C1921" s="88">
        <f>VLOOKUP(A1921,'Materiales '!$C$2:$G$396,3,0)</f>
        <v>2</v>
      </c>
      <c r="D1921" s="89" t="str">
        <f>VLOOKUP(A1921,'Materiales '!$C$2:$G$396,4,0)</f>
        <v>Ml</v>
      </c>
      <c r="E1921" s="90">
        <v>1</v>
      </c>
      <c r="F1921" s="508" t="e">
        <f t="shared" si="112"/>
        <v>#VALUE!</v>
      </c>
      <c r="G1921" s="519"/>
      <c r="H1921" s="111"/>
      <c r="I1921">
        <f>E1921*G1907</f>
        <v>0</v>
      </c>
      <c r="J1921" s="58"/>
      <c r="K1921" s="50"/>
      <c r="L1921" s="50"/>
      <c r="M1921" s="50"/>
      <c r="N1921" s="50"/>
      <c r="O1921" s="50"/>
    </row>
    <row r="1922" spans="1:15">
      <c r="A1922" s="517" t="s">
        <v>4482</v>
      </c>
      <c r="B1922" s="518">
        <f>VLOOKUP(A1922,'Materiales '!$C$2:$G$396,3,0)</f>
        <v>4</v>
      </c>
      <c r="C1922" s="88">
        <f>VLOOKUP(A1922,'Materiales '!$C$2:$G$396,3,0)</f>
        <v>4</v>
      </c>
      <c r="D1922" s="89" t="str">
        <f>VLOOKUP(A1922,'Materiales '!$C$2:$G$396,4,0)</f>
        <v>Und</v>
      </c>
      <c r="E1922" s="90">
        <v>3</v>
      </c>
      <c r="F1922" s="508" t="e">
        <f t="shared" si="112"/>
        <v>#VALUE!</v>
      </c>
      <c r="G1922" s="519"/>
      <c r="H1922" s="111"/>
      <c r="I1922">
        <f>E1922*G1907</f>
        <v>0</v>
      </c>
      <c r="J1922" s="58"/>
      <c r="K1922" s="50"/>
      <c r="L1922" s="50"/>
      <c r="M1922" s="50"/>
      <c r="N1922" s="50"/>
      <c r="O1922" s="50"/>
    </row>
    <row r="1923" spans="1:15" ht="21.75" customHeight="1">
      <c r="A1923" s="517" t="s">
        <v>4628</v>
      </c>
      <c r="B1923" s="518">
        <f>VLOOKUP(A1923,'Materiales '!$C$2:$G$396,3,0)</f>
        <v>4</v>
      </c>
      <c r="C1923" s="88">
        <f>VLOOKUP(A1923,'Materiales '!$C$2:$G$396,3,0)</f>
        <v>4</v>
      </c>
      <c r="D1923" s="89" t="str">
        <f>VLOOKUP(A1923,'Materiales '!$C$2:$G$396,4,0)</f>
        <v>Und</v>
      </c>
      <c r="E1923" s="90">
        <v>1</v>
      </c>
      <c r="F1923" s="508" t="e">
        <f t="shared" si="112"/>
        <v>#VALUE!</v>
      </c>
      <c r="G1923" s="519"/>
      <c r="H1923" s="111"/>
      <c r="I1923">
        <f>E1923*G1907</f>
        <v>0</v>
      </c>
      <c r="J1923" s="58"/>
      <c r="K1923" s="50"/>
      <c r="L1923" s="50"/>
      <c r="M1923" s="50"/>
      <c r="N1923" s="50"/>
      <c r="O1923" s="50"/>
    </row>
    <row r="1924" spans="1:15">
      <c r="A1924" s="517" t="s">
        <v>8</v>
      </c>
      <c r="B1924" s="518">
        <f>VLOOKUP(A1924,'Materiales '!$C$2:$G$396,3,0)</f>
        <v>0</v>
      </c>
      <c r="C1924" s="88">
        <f>VLOOKUP(A1924,'Materiales '!$C$2:$G$396,3,0)</f>
        <v>0</v>
      </c>
      <c r="D1924" s="89" t="str">
        <f>VLOOKUP(A1924,'Materiales '!$C$2:$G$396,4,0)</f>
        <v>-</v>
      </c>
      <c r="E1924" s="90"/>
      <c r="F1924" s="508" t="e">
        <f>E1924*D1924</f>
        <v>#VALUE!</v>
      </c>
      <c r="G1924" s="519"/>
      <c r="H1924" s="110"/>
      <c r="I1924">
        <f>E1924*G1907</f>
        <v>0</v>
      </c>
      <c r="J1924" s="58"/>
      <c r="K1924" s="50"/>
      <c r="L1924" s="50"/>
      <c r="M1924" s="50"/>
      <c r="N1924" s="50"/>
      <c r="O1924" s="50"/>
    </row>
    <row r="1925" spans="1:15">
      <c r="A1925" s="517" t="s">
        <v>8</v>
      </c>
      <c r="B1925" s="518">
        <f>VLOOKUP(A1925,'Materiales '!$C$2:$G$396,3,0)</f>
        <v>0</v>
      </c>
      <c r="C1925" s="88">
        <f>VLOOKUP(A1925,'Materiales '!$C$2:$G$396,3,0)</f>
        <v>0</v>
      </c>
      <c r="D1925" s="89" t="str">
        <f>VLOOKUP(A1925,'Materiales '!$C$2:$G$396,4,0)</f>
        <v>-</v>
      </c>
      <c r="E1925" s="90"/>
      <c r="F1925" s="508" t="e">
        <f t="shared" ref="F1925:F1928" si="113">E1925*D1925</f>
        <v>#VALUE!</v>
      </c>
      <c r="G1925" s="519"/>
      <c r="H1925" s="111"/>
      <c r="I1925">
        <f>E1925*G1907</f>
        <v>0</v>
      </c>
      <c r="J1925" s="58"/>
      <c r="K1925" s="50"/>
      <c r="L1925" s="50"/>
      <c r="M1925" s="50"/>
      <c r="N1925" s="50"/>
      <c r="O1925" s="50"/>
    </row>
    <row r="1926" spans="1:15">
      <c r="A1926" s="517" t="s">
        <v>8</v>
      </c>
      <c r="B1926" s="518">
        <f>VLOOKUP(A1926,'Materiales '!$C$2:$G$396,3,0)</f>
        <v>0</v>
      </c>
      <c r="C1926" s="88">
        <f>VLOOKUP(A1926,'Materiales '!$C$2:$G$396,3,0)</f>
        <v>0</v>
      </c>
      <c r="D1926" s="89" t="str">
        <f>VLOOKUP(A1926,'Materiales '!$C$2:$G$396,4,0)</f>
        <v>-</v>
      </c>
      <c r="E1926" s="90"/>
      <c r="F1926" s="508" t="e">
        <f t="shared" si="113"/>
        <v>#VALUE!</v>
      </c>
      <c r="G1926" s="519"/>
      <c r="H1926" s="111"/>
      <c r="I1926">
        <f>E1926*G1907</f>
        <v>0</v>
      </c>
      <c r="J1926" s="58"/>
      <c r="K1926" s="50"/>
      <c r="L1926" s="50"/>
      <c r="M1926" s="50"/>
      <c r="N1926" s="50"/>
      <c r="O1926" s="50"/>
    </row>
    <row r="1927" spans="1:15">
      <c r="A1927" s="517" t="s">
        <v>8</v>
      </c>
      <c r="B1927" s="518">
        <f>VLOOKUP(A1927,'Materiales '!$C$2:$G$396,3,0)</f>
        <v>0</v>
      </c>
      <c r="C1927" s="88">
        <f>VLOOKUP(A1927,'Materiales '!$C$2:$G$396,3,0)</f>
        <v>0</v>
      </c>
      <c r="D1927" s="89" t="str">
        <f>VLOOKUP(A1927,'Materiales '!$C$2:$G$396,4,0)</f>
        <v>-</v>
      </c>
      <c r="E1927" s="90"/>
      <c r="F1927" s="508" t="e">
        <f t="shared" si="113"/>
        <v>#VALUE!</v>
      </c>
      <c r="G1927" s="519"/>
      <c r="H1927" s="111"/>
      <c r="I1927">
        <f>E1927*G1907</f>
        <v>0</v>
      </c>
      <c r="J1927" s="58"/>
      <c r="K1927" s="50"/>
      <c r="L1927" s="50"/>
      <c r="M1927" s="50"/>
      <c r="N1927" s="50"/>
      <c r="O1927" s="50"/>
    </row>
    <row r="1928" spans="1:15">
      <c r="A1928" s="517" t="s">
        <v>8</v>
      </c>
      <c r="B1928" s="518">
        <f>VLOOKUP(A1928,'Materiales '!$C$2:$G$396,3,0)</f>
        <v>0</v>
      </c>
      <c r="C1928" s="88">
        <f>VLOOKUP(A1928,'Materiales '!$C$2:$G$396,3,0)</f>
        <v>0</v>
      </c>
      <c r="D1928" s="89" t="str">
        <f>VLOOKUP(A1928,'Materiales '!$C$2:$G$396,4,0)</f>
        <v>-</v>
      </c>
      <c r="E1928" s="90"/>
      <c r="F1928" s="508" t="e">
        <f t="shared" si="113"/>
        <v>#VALUE!</v>
      </c>
      <c r="G1928" s="519"/>
      <c r="H1928" s="111"/>
      <c r="I1928">
        <f>E1928*G1907</f>
        <v>0</v>
      </c>
      <c r="J1928" s="58"/>
      <c r="K1928" s="50"/>
      <c r="L1928" s="50"/>
      <c r="M1928" s="50"/>
      <c r="N1928" s="50"/>
      <c r="O1928" s="50"/>
    </row>
    <row r="1929" spans="1:15">
      <c r="A1929" s="517" t="s">
        <v>8</v>
      </c>
      <c r="B1929" s="518">
        <f>VLOOKUP(A1929,'Materiales '!$C$2:$G$396,3,0)</f>
        <v>0</v>
      </c>
      <c r="C1929" s="88">
        <f>VLOOKUP(A1929,'Materiales '!$C$2:$G$396,3,0)</f>
        <v>0</v>
      </c>
      <c r="D1929" s="89" t="str">
        <f>VLOOKUP(A1929,'Materiales '!$C$2:$G$396,4,0)</f>
        <v>-</v>
      </c>
      <c r="E1929" s="90"/>
      <c r="F1929" s="508" t="e">
        <f>E1929*D1929</f>
        <v>#VALUE!</v>
      </c>
      <c r="G1929" s="519"/>
      <c r="H1929" s="110"/>
      <c r="I1929">
        <f>E1929*G1907</f>
        <v>0</v>
      </c>
      <c r="J1929" s="58"/>
      <c r="K1929" s="50"/>
      <c r="L1929" s="50"/>
      <c r="M1929" s="50"/>
      <c r="N1929" s="50"/>
      <c r="O1929" s="50"/>
    </row>
    <row r="1930" spans="1:15">
      <c r="A1930" s="520" t="s">
        <v>4098</v>
      </c>
      <c r="B1930" s="521"/>
      <c r="C1930" s="521"/>
      <c r="D1930" s="521"/>
      <c r="E1930" s="521"/>
      <c r="F1930" s="521"/>
      <c r="G1930" s="522"/>
      <c r="H1930" s="106" t="e">
        <f>SUM(F1916:F1929)</f>
        <v>#VALUE!</v>
      </c>
      <c r="J1930" s="58"/>
      <c r="K1930" s="50"/>
      <c r="L1930" s="50"/>
      <c r="M1930" s="50"/>
      <c r="N1930" s="50"/>
      <c r="O1930" s="50"/>
    </row>
    <row r="1931" spans="1:15">
      <c r="A1931" s="523" t="s">
        <v>4220</v>
      </c>
      <c r="B1931" s="524"/>
      <c r="C1931" s="524"/>
      <c r="D1931" s="524"/>
      <c r="E1931" s="525"/>
      <c r="F1931" s="524"/>
      <c r="G1931" s="524"/>
      <c r="H1931" s="526"/>
      <c r="J1931" s="58"/>
      <c r="K1931" s="50"/>
      <c r="L1931" s="50"/>
      <c r="M1931" s="50"/>
      <c r="N1931" s="50"/>
      <c r="O1931" s="50"/>
    </row>
    <row r="1932" spans="1:15">
      <c r="A1932" s="527" t="s">
        <v>7</v>
      </c>
      <c r="B1932" s="528"/>
      <c r="C1932" s="98" t="s">
        <v>4221</v>
      </c>
      <c r="D1932" s="97" t="s">
        <v>4222</v>
      </c>
      <c r="E1932" s="187" t="s">
        <v>4223</v>
      </c>
      <c r="F1932" s="529" t="s">
        <v>4207</v>
      </c>
      <c r="G1932" s="529"/>
      <c r="H1932" s="109"/>
      <c r="K1932" s="50"/>
      <c r="L1932" s="50"/>
      <c r="M1932" s="50"/>
      <c r="N1932" s="50"/>
      <c r="O1932" s="50"/>
    </row>
    <row r="1933" spans="1:15">
      <c r="A1933" s="506" t="s">
        <v>3928</v>
      </c>
      <c r="B1933" s="507"/>
      <c r="C1933" s="213">
        <v>1</v>
      </c>
      <c r="D1933" s="92">
        <v>0.03</v>
      </c>
      <c r="E1933" s="93" t="str">
        <f>VLOOKUP(A1933,'Equip, Herr y Transp'!$B$2:$E$217,3,0)</f>
        <v>TR</v>
      </c>
      <c r="F1933" s="530" t="e">
        <f>E1933*D1933*C1933</f>
        <v>#VALUE!</v>
      </c>
      <c r="G1933" s="531"/>
      <c r="H1933" s="107"/>
      <c r="M1933" s="50"/>
    </row>
    <row r="1934" spans="1:15">
      <c r="A1934" s="532" t="s">
        <v>4205</v>
      </c>
      <c r="B1934" s="533"/>
      <c r="C1934" s="533"/>
      <c r="D1934" s="533"/>
      <c r="E1934" s="533"/>
      <c r="F1934" s="533"/>
      <c r="G1934" s="533"/>
      <c r="H1934" s="95" t="e">
        <f>F1933</f>
        <v>#VALUE!</v>
      </c>
    </row>
    <row r="1935" spans="1:15">
      <c r="A1935" s="523" t="s">
        <v>4224</v>
      </c>
      <c r="B1935" s="524"/>
      <c r="C1935" s="524"/>
      <c r="D1935" s="524"/>
      <c r="E1935" s="524"/>
      <c r="F1935" s="524"/>
      <c r="G1935" s="524"/>
      <c r="H1935" s="526"/>
    </row>
    <row r="1936" spans="1:15">
      <c r="A1936" s="527" t="s">
        <v>7</v>
      </c>
      <c r="B1936" s="528"/>
      <c r="C1936" s="96" t="s">
        <v>1</v>
      </c>
      <c r="D1936" s="97" t="s">
        <v>4225</v>
      </c>
      <c r="E1936" s="98" t="s">
        <v>4204</v>
      </c>
      <c r="F1936" s="527" t="s">
        <v>5</v>
      </c>
      <c r="G1936" s="534"/>
      <c r="H1936" s="109"/>
    </row>
    <row r="1937" spans="1:10">
      <c r="A1937" s="506" t="s">
        <v>4191</v>
      </c>
      <c r="B1937" s="507"/>
      <c r="C1937" s="91">
        <v>1</v>
      </c>
      <c r="D1937" s="94">
        <f>VLOOKUP(A1937,'Mano Obra'!$B$2:$T$117,19,0)</f>
        <v>152456</v>
      </c>
      <c r="E1937" s="218">
        <f>H1900</f>
        <v>6.25E-2</v>
      </c>
      <c r="F1937" s="508">
        <f>E1937*D1937*C1937</f>
        <v>9528.5</v>
      </c>
      <c r="G1937" s="509"/>
      <c r="H1937" s="111"/>
      <c r="I1937" s="59"/>
      <c r="J1937" s="117">
        <f>((('Mano Obra'!$M$4/30)*F1937)/D1937)*G1907</f>
        <v>0</v>
      </c>
    </row>
    <row r="1938" spans="1:10">
      <c r="A1938" s="510" t="s">
        <v>4192</v>
      </c>
      <c r="B1938" s="511">
        <f>VLOOKUP(A1938,'Mano Obra'!$B$3:$D$290,2,0)</f>
        <v>1900000</v>
      </c>
      <c r="C1938" s="91">
        <v>1</v>
      </c>
      <c r="D1938" s="94">
        <f>VLOOKUP(A1938,'Mano Obra'!$B$2:$T$117,19,0)</f>
        <v>110488</v>
      </c>
      <c r="E1938" s="218">
        <f>H1900</f>
        <v>6.25E-2</v>
      </c>
      <c r="F1938" s="508">
        <f t="shared" ref="F1938:F1939" si="114">E1938*D1938*C1938</f>
        <v>6905.5</v>
      </c>
      <c r="G1938" s="509"/>
      <c r="H1938" s="111"/>
      <c r="J1938" s="117">
        <f>((('Mano Obra'!$M$5/30)*F1938)/D1938)*G1907</f>
        <v>0</v>
      </c>
    </row>
    <row r="1939" spans="1:10">
      <c r="A1939" s="510" t="s">
        <v>4181</v>
      </c>
      <c r="B1939" s="511">
        <f>VLOOKUP(A1939,'Mano Obra'!$B$3:$D$290,2,0)</f>
        <v>1000000</v>
      </c>
      <c r="C1939" s="91">
        <v>1</v>
      </c>
      <c r="D1939" s="94">
        <f>VLOOKUP(A1939,'Mano Obra'!$B$2:$T$117,19,0)</f>
        <v>67424</v>
      </c>
      <c r="E1939" s="218">
        <f>H1900</f>
        <v>6.25E-2</v>
      </c>
      <c r="F1939" s="508">
        <f t="shared" si="114"/>
        <v>4214</v>
      </c>
      <c r="G1939" s="509"/>
      <c r="H1939" s="110"/>
      <c r="J1939" s="117">
        <f>((('Mano Obra'!$M$6/30)*F1939)/D1939)*G1907</f>
        <v>0</v>
      </c>
    </row>
    <row r="1940" spans="1:10">
      <c r="A1940" s="512" t="s">
        <v>4100</v>
      </c>
      <c r="B1940" s="512"/>
      <c r="C1940" s="512"/>
      <c r="D1940" s="512"/>
      <c r="E1940" s="512"/>
      <c r="F1940" s="512"/>
      <c r="G1940" s="512"/>
      <c r="H1940" s="95">
        <f>SUM(F1937:F1939)</f>
        <v>20648</v>
      </c>
      <c r="J1940" s="117"/>
    </row>
    <row r="1941" spans="1:10">
      <c r="A1941" s="208" t="s">
        <v>4226</v>
      </c>
      <c r="B1941" s="186"/>
      <c r="C1941" s="186"/>
      <c r="D1941" s="183"/>
      <c r="E1941" s="184"/>
      <c r="F1941" s="185"/>
      <c r="G1941" s="184"/>
      <c r="H1941" s="193"/>
    </row>
    <row r="1942" spans="1:10">
      <c r="A1942" s="513" t="s">
        <v>4213</v>
      </c>
      <c r="B1942" s="514"/>
      <c r="C1942" s="514"/>
      <c r="D1942" s="514"/>
      <c r="E1942" s="181"/>
      <c r="F1942" s="182" t="s">
        <v>4227</v>
      </c>
      <c r="G1942" s="181" t="s">
        <v>4228</v>
      </c>
      <c r="H1942" s="194"/>
    </row>
    <row r="1943" spans="1:10">
      <c r="A1943" s="204" t="s">
        <v>4096</v>
      </c>
      <c r="B1943" s="62"/>
      <c r="C1943" s="62"/>
      <c r="D1943" s="63"/>
      <c r="E1943" s="68"/>
      <c r="F1943" s="69">
        <v>0</v>
      </c>
      <c r="G1943" s="70" t="e">
        <f>F1943*H1908</f>
        <v>#VALUE!</v>
      </c>
      <c r="H1943" s="193"/>
    </row>
    <row r="1944" spans="1:10">
      <c r="A1944" s="205" t="s">
        <v>4229</v>
      </c>
      <c r="B1944" s="71"/>
      <c r="C1944" s="71"/>
      <c r="D1944" s="72"/>
      <c r="E1944" s="68"/>
      <c r="F1944" s="69">
        <v>0</v>
      </c>
      <c r="G1944" s="70" t="e">
        <f>F1944*H1908</f>
        <v>#VALUE!</v>
      </c>
      <c r="H1944" s="193"/>
    </row>
    <row r="1945" spans="1:10">
      <c r="A1945" s="205" t="s">
        <v>4</v>
      </c>
      <c r="B1945" s="71"/>
      <c r="C1945" s="71"/>
      <c r="D1945" s="72"/>
      <c r="E1945" s="68"/>
      <c r="F1945" s="69">
        <v>0</v>
      </c>
      <c r="G1945" s="70" t="e">
        <f>F1945*H1908</f>
        <v>#VALUE!</v>
      </c>
      <c r="H1945" s="193"/>
    </row>
    <row r="1946" spans="1:10">
      <c r="A1946" s="206"/>
      <c r="B1946" s="73"/>
      <c r="C1946" s="65"/>
      <c r="D1946" s="74"/>
      <c r="E1946" s="75"/>
      <c r="F1946" s="76"/>
      <c r="G1946" s="77"/>
      <c r="H1946" s="195"/>
    </row>
    <row r="1947" spans="1:10">
      <c r="A1947" s="207"/>
      <c r="B1947" s="73"/>
      <c r="C1947" s="73"/>
      <c r="D1947" s="74"/>
      <c r="E1947" s="78"/>
      <c r="F1947" s="515" t="s">
        <v>4230</v>
      </c>
      <c r="G1947" s="516"/>
      <c r="H1947" s="214" t="e">
        <f>H1908+G1943+G1944+G1945</f>
        <v>#VALUE!</v>
      </c>
    </row>
    <row r="1948" spans="1:10">
      <c r="A1948" s="73"/>
      <c r="B1948" s="73"/>
      <c r="C1948" s="73"/>
      <c r="D1948" s="74"/>
      <c r="E1948" s="360"/>
      <c r="F1948" s="361"/>
      <c r="G1948" s="361"/>
      <c r="H1948" s="362"/>
    </row>
    <row r="1949" spans="1:10">
      <c r="A1949" s="80"/>
      <c r="B1949" s="80"/>
      <c r="C1949" s="80"/>
      <c r="D1949" s="80"/>
      <c r="E1949" s="80"/>
      <c r="F1949" s="80"/>
      <c r="G1949" s="80"/>
      <c r="H1949" s="353"/>
    </row>
    <row r="1950" spans="1:10">
      <c r="A1950" s="537" t="s">
        <v>4214</v>
      </c>
      <c r="B1950" s="538"/>
      <c r="C1950" s="538"/>
      <c r="D1950" s="538"/>
      <c r="E1950" s="538"/>
      <c r="F1950" s="538"/>
      <c r="G1950" s="538"/>
      <c r="H1950" s="539"/>
    </row>
    <row r="1951" spans="1:10">
      <c r="A1951" s="81"/>
      <c r="B1951" s="82"/>
      <c r="C1951" s="82"/>
      <c r="D1951" s="82"/>
      <c r="E1951" s="82"/>
      <c r="F1951" s="83"/>
      <c r="G1951" s="84"/>
      <c r="H1951" s="352">
        <f>ROUND((30/60)/8,4)</f>
        <v>6.25E-2</v>
      </c>
      <c r="I1951" s="105"/>
    </row>
    <row r="1952" spans="1:10">
      <c r="A1952" s="540" t="s">
        <v>4209</v>
      </c>
      <c r="B1952" s="542" t="str">
        <f>COSTOS!$C$14</f>
        <v>MODERNIZACION A TECNOLOGIA LED</v>
      </c>
      <c r="C1952" s="542"/>
      <c r="D1952" s="542"/>
      <c r="E1952" s="542"/>
      <c r="F1952" s="542"/>
      <c r="G1952" s="542"/>
      <c r="H1952" s="543" t="s">
        <v>4210</v>
      </c>
    </row>
    <row r="1953" spans="1:15">
      <c r="A1953" s="541"/>
      <c r="B1953" s="542"/>
      <c r="C1953" s="542"/>
      <c r="D1953" s="542"/>
      <c r="E1953" s="542"/>
      <c r="F1953" s="542"/>
      <c r="G1953" s="542"/>
      <c r="H1953" s="543"/>
    </row>
    <row r="1954" spans="1:15">
      <c r="A1954" s="541"/>
      <c r="B1954" s="542"/>
      <c r="C1954" s="542"/>
      <c r="D1954" s="542"/>
      <c r="E1954" s="542"/>
      <c r="F1954" s="542"/>
      <c r="G1954" s="542"/>
      <c r="H1954" s="543"/>
    </row>
    <row r="1955" spans="1:15" ht="15" customHeight="1">
      <c r="A1955" s="541"/>
      <c r="B1955" s="542"/>
      <c r="C1955" s="542"/>
      <c r="D1955" s="542"/>
      <c r="E1955" s="542"/>
      <c r="F1955" s="542"/>
      <c r="G1955" s="542"/>
      <c r="H1955" s="197">
        <f ca="1">TODAY()</f>
        <v>44889</v>
      </c>
      <c r="K1955" t="s">
        <v>4380</v>
      </c>
      <c r="L1955" t="s">
        <v>4381</v>
      </c>
      <c r="M1955" t="s">
        <v>4382</v>
      </c>
      <c r="N1955" t="s">
        <v>4383</v>
      </c>
    </row>
    <row r="1956" spans="1:15" ht="60.75" customHeight="1">
      <c r="A1956" s="209" t="s">
        <v>4211</v>
      </c>
      <c r="B1956" s="544" t="str">
        <f>COSTOS!$D$16</f>
        <v>Luminarias</v>
      </c>
      <c r="C1956" s="544"/>
      <c r="D1956" s="544"/>
      <c r="E1956" s="544"/>
      <c r="F1956" s="544"/>
      <c r="G1956" s="60" t="s">
        <v>4212</v>
      </c>
      <c r="H1956" s="363">
        <v>1.39</v>
      </c>
      <c r="K1956" s="55" t="e">
        <f>H1981</f>
        <v>#VALUE!</v>
      </c>
      <c r="L1956" s="55">
        <f>H1991</f>
        <v>20648</v>
      </c>
      <c r="M1956" s="55" t="e">
        <f>H1964</f>
        <v>#VALUE!</v>
      </c>
      <c r="N1956" s="55" t="e">
        <f>H1985</f>
        <v>#VALUE!</v>
      </c>
    </row>
    <row r="1957" spans="1:15" ht="43.2" customHeight="1">
      <c r="A1957" s="210" t="s">
        <v>4213</v>
      </c>
      <c r="B1957" s="545" t="str">
        <f>VLOOKUP(H1956,COSTOS!C:M,2,0)</f>
        <v>Reflector Led baja eficiencia 200w</v>
      </c>
      <c r="C1957" s="546"/>
      <c r="D1957" s="546"/>
      <c r="E1957" s="547"/>
      <c r="F1957" s="61" t="s">
        <v>0</v>
      </c>
      <c r="G1957" s="328" t="str">
        <f>VLOOKUP(H1956,COSTOS!C:M,8,0)</f>
        <v>Und</v>
      </c>
      <c r="H1957" s="248"/>
      <c r="I1957" s="278"/>
      <c r="J1957" s="280"/>
      <c r="K1957" s="280"/>
      <c r="L1957" s="280"/>
    </row>
    <row r="1958" spans="1:15">
      <c r="A1958" s="211"/>
      <c r="B1958" s="102"/>
      <c r="C1958" s="102"/>
      <c r="D1958" s="102"/>
      <c r="E1958" s="103"/>
      <c r="F1958" s="104" t="s">
        <v>1</v>
      </c>
      <c r="G1958" s="328">
        <f>VLOOKUP(H1956,COSTOS!C:M,9,0)</f>
        <v>0</v>
      </c>
      <c r="H1958" s="329"/>
      <c r="I1958" s="279"/>
    </row>
    <row r="1959" spans="1:15">
      <c r="A1959" s="212" t="s">
        <v>4215</v>
      </c>
      <c r="B1959" s="65"/>
      <c r="C1959" s="65"/>
      <c r="D1959" s="66"/>
      <c r="E1959" s="190"/>
      <c r="F1959" s="191"/>
      <c r="G1959" s="192" t="s">
        <v>4216</v>
      </c>
      <c r="H1959" s="198" t="e">
        <f>H1964+H1981+H1985+H1991</f>
        <v>#VALUE!</v>
      </c>
    </row>
    <row r="1960" spans="1:15" ht="41.4">
      <c r="A1960" s="548" t="s">
        <v>4213</v>
      </c>
      <c r="B1960" s="548"/>
      <c r="C1960" s="548"/>
      <c r="D1960" s="67" t="s">
        <v>0</v>
      </c>
      <c r="E1960" s="188" t="s">
        <v>4217</v>
      </c>
      <c r="F1960" s="189" t="s">
        <v>4204</v>
      </c>
      <c r="G1960" s="64" t="s">
        <v>2</v>
      </c>
      <c r="H1960" s="199" t="s">
        <v>4218</v>
      </c>
      <c r="K1960" s="281"/>
    </row>
    <row r="1961" spans="1:15">
      <c r="A1961" s="517" t="s">
        <v>3946</v>
      </c>
      <c r="B1961" s="549">
        <f>VLOOKUP(A1961,'Equip, Herr y Transp'!$B$2:$E$738,2,0)</f>
        <v>2</v>
      </c>
      <c r="C1961" s="549"/>
      <c r="D1961" s="85">
        <f>VLOOKUP(A1961,'Equip, Herr y Transp'!$B$2:$E$217,2,0)</f>
        <v>2</v>
      </c>
      <c r="E1961" s="85" t="str">
        <f>VLOOKUP(A1961,'Equip, Herr y Transp'!$B$2:$E$217,3,0)</f>
        <v>EQU</v>
      </c>
      <c r="F1961" s="86">
        <f>H1951</f>
        <v>6.25E-2</v>
      </c>
      <c r="G1961" s="112" t="e">
        <f>F1961*E1961</f>
        <v>#VALUE!</v>
      </c>
      <c r="H1961" s="108"/>
    </row>
    <row r="1962" spans="1:15">
      <c r="A1962" s="517" t="s">
        <v>3904</v>
      </c>
      <c r="B1962" s="549">
        <f>VLOOKUP(A1962,'Equip, Herr y Transp'!$B$2:$E$738,2,0)</f>
        <v>2</v>
      </c>
      <c r="C1962" s="549"/>
      <c r="D1962" s="85">
        <f>VLOOKUP(A1962,'Equip, Herr y Transp'!$B$2:$E$217,2,0)</f>
        <v>2</v>
      </c>
      <c r="E1962" s="85" t="str">
        <f>VLOOKUP(A1962,'Equip, Herr y Transp'!$B$2:$E$217,3,0)</f>
        <v>EQU</v>
      </c>
      <c r="F1962" s="86">
        <f>H1951</f>
        <v>6.25E-2</v>
      </c>
      <c r="G1962" s="112" t="e">
        <f>F1962*E1962</f>
        <v>#VALUE!</v>
      </c>
      <c r="H1962" s="107"/>
    </row>
    <row r="1963" spans="1:15">
      <c r="A1963" s="517" t="s">
        <v>3937</v>
      </c>
      <c r="B1963" s="549">
        <f>VLOOKUP(A1963,'Equip, Herr y Transp'!$B$2:$E$738,2,0)</f>
        <v>2</v>
      </c>
      <c r="C1963" s="549"/>
      <c r="D1963" s="85">
        <f>VLOOKUP(A1963,'Equip, Herr y Transp'!$B$2:$E$217,2,0)</f>
        <v>2</v>
      </c>
      <c r="E1963" s="85" t="str">
        <f>VLOOKUP(A1963,'Equip, Herr y Transp'!$B$2:$E$217,3,0)</f>
        <v>EQU</v>
      </c>
      <c r="F1963" s="86">
        <f>H1951</f>
        <v>6.25E-2</v>
      </c>
      <c r="G1963" s="112" t="e">
        <f>F1963*E1963</f>
        <v>#VALUE!</v>
      </c>
      <c r="H1963" s="107"/>
    </row>
    <row r="1964" spans="1:15">
      <c r="A1964" s="520" t="s">
        <v>4099</v>
      </c>
      <c r="B1964" s="521"/>
      <c r="C1964" s="521"/>
      <c r="D1964" s="521"/>
      <c r="E1964" s="521"/>
      <c r="F1964" s="521"/>
      <c r="G1964" s="521"/>
      <c r="H1964" s="87" t="e">
        <f>SUM(G1961:G1963)</f>
        <v>#VALUE!</v>
      </c>
    </row>
    <row r="1965" spans="1:15">
      <c r="A1965" s="550" t="s">
        <v>4219</v>
      </c>
      <c r="B1965" s="551"/>
      <c r="C1965" s="551"/>
      <c r="D1965" s="551"/>
      <c r="E1965" s="551"/>
      <c r="F1965" s="551"/>
      <c r="G1965" s="551"/>
      <c r="H1965" s="552"/>
      <c r="K1965" s="50"/>
      <c r="L1965" s="50"/>
      <c r="M1965" s="50"/>
      <c r="N1965" s="50"/>
      <c r="O1965" s="50"/>
    </row>
    <row r="1966" spans="1:15" ht="30" customHeight="1">
      <c r="A1966" s="553" t="s">
        <v>7</v>
      </c>
      <c r="B1966" s="554"/>
      <c r="C1966" s="99" t="s">
        <v>0</v>
      </c>
      <c r="D1966" s="100" t="s">
        <v>4097</v>
      </c>
      <c r="E1966" s="101" t="s">
        <v>1</v>
      </c>
      <c r="F1966" s="555" t="s">
        <v>4207</v>
      </c>
      <c r="G1966" s="555"/>
      <c r="H1966" s="196"/>
      <c r="K1966" s="50"/>
      <c r="L1966" s="50"/>
      <c r="M1966" s="50"/>
      <c r="N1966" s="50"/>
      <c r="O1966" s="50"/>
    </row>
    <row r="1967" spans="1:15">
      <c r="A1967" s="535" t="s">
        <v>4705</v>
      </c>
      <c r="B1967" s="536"/>
      <c r="C1967" s="88">
        <f>VLOOKUP(A1967,'Materiales '!$C$2:$G$396,3,0)</f>
        <v>4</v>
      </c>
      <c r="D1967" s="89" t="str">
        <f>VLOOKUP(A1967,'Materiales '!$C$2:$G$396,4,0)</f>
        <v>Und</v>
      </c>
      <c r="E1967" s="90">
        <v>1</v>
      </c>
      <c r="F1967" s="508" t="e">
        <f>E1967*D1967</f>
        <v>#VALUE!</v>
      </c>
      <c r="G1967" s="519"/>
      <c r="H1967" s="111"/>
      <c r="I1967">
        <f>E1967*G1958</f>
        <v>0</v>
      </c>
      <c r="J1967" s="57"/>
      <c r="K1967" s="50"/>
      <c r="L1967" s="50"/>
      <c r="M1967" s="50"/>
      <c r="N1967" s="50"/>
      <c r="O1967" s="50"/>
    </row>
    <row r="1968" spans="1:15">
      <c r="A1968" s="535" t="s">
        <v>4203</v>
      </c>
      <c r="B1968" s="536"/>
      <c r="C1968" s="88">
        <f>VLOOKUP(A1968,'Materiales '!$C$2:$G$396,3,0)</f>
        <v>4</v>
      </c>
      <c r="D1968" s="89" t="str">
        <f>VLOOKUP(A1968,'Materiales '!$C$2:$G$396,4,0)</f>
        <v>Und</v>
      </c>
      <c r="E1968" s="90">
        <v>1</v>
      </c>
      <c r="F1968" s="508" t="e">
        <f t="shared" ref="F1968:F1974" si="115">E1968*D1968</f>
        <v>#VALUE!</v>
      </c>
      <c r="G1968" s="519"/>
      <c r="H1968" s="111"/>
      <c r="I1968">
        <f>E1968*G1958</f>
        <v>0</v>
      </c>
      <c r="J1968" s="57"/>
      <c r="K1968" s="50"/>
      <c r="L1968" s="50"/>
      <c r="M1968" s="50"/>
      <c r="N1968" s="50"/>
      <c r="O1968" s="50"/>
    </row>
    <row r="1969" spans="1:15">
      <c r="A1969" s="517" t="s">
        <v>4473</v>
      </c>
      <c r="B1969" s="518">
        <f>VLOOKUP(A1969,'Materiales '!$C$2:$G$396,3,0)</f>
        <v>4</v>
      </c>
      <c r="C1969" s="88">
        <f>VLOOKUP(A1969,'Materiales '!$C$2:$G$396,3,0)</f>
        <v>4</v>
      </c>
      <c r="D1969" s="89" t="str">
        <f>VLOOKUP(A1969,'Materiales '!$C$2:$G$396,4,0)</f>
        <v>Und</v>
      </c>
      <c r="E1969" s="90">
        <v>2</v>
      </c>
      <c r="F1969" s="508" t="e">
        <f t="shared" si="115"/>
        <v>#VALUE!</v>
      </c>
      <c r="G1969" s="519"/>
      <c r="H1969" s="111"/>
      <c r="I1969">
        <f>E1969*G1958</f>
        <v>0</v>
      </c>
      <c r="J1969" s="58"/>
      <c r="K1969" s="50"/>
      <c r="L1969" s="50"/>
      <c r="M1969" s="50"/>
      <c r="N1969" s="50"/>
      <c r="O1969" s="50"/>
    </row>
    <row r="1970" spans="1:15">
      <c r="A1970" s="517" t="s">
        <v>4478</v>
      </c>
      <c r="B1970" s="518">
        <f>VLOOKUP(A1970,'Materiales '!$C$2:$G$396,3,0)</f>
        <v>4</v>
      </c>
      <c r="C1970" s="88">
        <f>VLOOKUP(A1970,'Materiales '!$C$2:$G$396,3,0)</f>
        <v>4</v>
      </c>
      <c r="D1970" s="89" t="str">
        <f>VLOOKUP(A1970,'Materiales '!$C$2:$G$396,4,0)</f>
        <v>Und</v>
      </c>
      <c r="E1970" s="90">
        <v>3</v>
      </c>
      <c r="F1970" s="508" t="e">
        <f t="shared" si="115"/>
        <v>#VALUE!</v>
      </c>
      <c r="G1970" s="519"/>
      <c r="H1970" s="111"/>
      <c r="I1970">
        <f>E1970*G1958</f>
        <v>0</v>
      </c>
      <c r="J1970" s="58"/>
      <c r="K1970" s="50"/>
      <c r="L1970" s="50"/>
      <c r="M1970" s="50"/>
      <c r="N1970" s="50"/>
      <c r="O1970" s="50"/>
    </row>
    <row r="1971" spans="1:15">
      <c r="A1971" s="517" t="s">
        <v>4543</v>
      </c>
      <c r="B1971" s="518">
        <f>VLOOKUP(A1971,'Materiales '!$C$2:$G$396,3,0)</f>
        <v>4</v>
      </c>
      <c r="C1971" s="88">
        <f>VLOOKUP(A1971,'Materiales '!$C$2:$G$396,3,0)</f>
        <v>4</v>
      </c>
      <c r="D1971" s="89" t="str">
        <f>VLOOKUP(A1971,'Materiales '!$C$2:$G$396,4,0)</f>
        <v>Und</v>
      </c>
      <c r="E1971" s="90">
        <v>2</v>
      </c>
      <c r="F1971" s="508" t="e">
        <f t="shared" si="115"/>
        <v>#VALUE!</v>
      </c>
      <c r="G1971" s="519"/>
      <c r="H1971" s="111"/>
      <c r="I1971">
        <f>E1971*G1958</f>
        <v>0</v>
      </c>
      <c r="J1971" s="58"/>
      <c r="K1971" s="50"/>
      <c r="L1971" s="50"/>
      <c r="M1971" s="50"/>
      <c r="N1971" s="50"/>
      <c r="O1971" s="50"/>
    </row>
    <row r="1972" spans="1:15">
      <c r="A1972" s="517" t="s">
        <v>4439</v>
      </c>
      <c r="B1972" s="518">
        <f>VLOOKUP(A1972,'Materiales '!$C$2:$G$396,3,0)</f>
        <v>2</v>
      </c>
      <c r="C1972" s="88">
        <f>VLOOKUP(A1972,'Materiales '!$C$2:$G$396,3,0)</f>
        <v>2</v>
      </c>
      <c r="D1972" s="89" t="str">
        <f>VLOOKUP(A1972,'Materiales '!$C$2:$G$396,4,0)</f>
        <v>Ml</v>
      </c>
      <c r="E1972" s="90">
        <v>1</v>
      </c>
      <c r="F1972" s="508" t="e">
        <f t="shared" si="115"/>
        <v>#VALUE!</v>
      </c>
      <c r="G1972" s="519"/>
      <c r="H1972" s="111"/>
      <c r="I1972">
        <f>E1972*G1958</f>
        <v>0</v>
      </c>
      <c r="J1972" s="58"/>
      <c r="K1972" s="50"/>
      <c r="L1972" s="50"/>
      <c r="M1972" s="50"/>
      <c r="N1972" s="50"/>
      <c r="O1972" s="50"/>
    </row>
    <row r="1973" spans="1:15">
      <c r="A1973" s="517" t="s">
        <v>4482</v>
      </c>
      <c r="B1973" s="518">
        <f>VLOOKUP(A1973,'Materiales '!$C$2:$G$396,3,0)</f>
        <v>4</v>
      </c>
      <c r="C1973" s="88">
        <f>VLOOKUP(A1973,'Materiales '!$C$2:$G$396,3,0)</f>
        <v>4</v>
      </c>
      <c r="D1973" s="89" t="str">
        <f>VLOOKUP(A1973,'Materiales '!$C$2:$G$396,4,0)</f>
        <v>Und</v>
      </c>
      <c r="E1973" s="90">
        <v>3</v>
      </c>
      <c r="F1973" s="508" t="e">
        <f t="shared" si="115"/>
        <v>#VALUE!</v>
      </c>
      <c r="G1973" s="519"/>
      <c r="H1973" s="111"/>
      <c r="I1973">
        <f>E1973*G1958</f>
        <v>0</v>
      </c>
      <c r="J1973" s="58"/>
      <c r="K1973" s="50"/>
      <c r="L1973" s="50"/>
      <c r="M1973" s="50"/>
      <c r="N1973" s="50"/>
      <c r="O1973" s="50"/>
    </row>
    <row r="1974" spans="1:15" ht="21.75" customHeight="1">
      <c r="A1974" s="517" t="s">
        <v>4628</v>
      </c>
      <c r="B1974" s="518">
        <f>VLOOKUP(A1974,'Materiales '!$C$2:$G$396,3,0)</f>
        <v>4</v>
      </c>
      <c r="C1974" s="88">
        <f>VLOOKUP(A1974,'Materiales '!$C$2:$G$396,3,0)</f>
        <v>4</v>
      </c>
      <c r="D1974" s="89" t="str">
        <f>VLOOKUP(A1974,'Materiales '!$C$2:$G$396,4,0)</f>
        <v>Und</v>
      </c>
      <c r="E1974" s="90">
        <v>1</v>
      </c>
      <c r="F1974" s="508" t="e">
        <f t="shared" si="115"/>
        <v>#VALUE!</v>
      </c>
      <c r="G1974" s="519"/>
      <c r="H1974" s="111"/>
      <c r="I1974">
        <f>E1974*G1958</f>
        <v>0</v>
      </c>
      <c r="J1974" s="58"/>
      <c r="K1974" s="50"/>
      <c r="L1974" s="50"/>
      <c r="M1974" s="50"/>
      <c r="N1974" s="50"/>
      <c r="O1974" s="50"/>
    </row>
    <row r="1975" spans="1:15">
      <c r="A1975" s="517" t="s">
        <v>8</v>
      </c>
      <c r="B1975" s="518">
        <f>VLOOKUP(A1975,'Materiales '!$C$2:$G$396,3,0)</f>
        <v>0</v>
      </c>
      <c r="C1975" s="88">
        <f>VLOOKUP(A1975,'Materiales '!$C$2:$G$396,3,0)</f>
        <v>0</v>
      </c>
      <c r="D1975" s="89" t="str">
        <f>VLOOKUP(A1975,'Materiales '!$C$2:$G$396,4,0)</f>
        <v>-</v>
      </c>
      <c r="E1975" s="90"/>
      <c r="F1975" s="508" t="e">
        <f>E1975*D1975</f>
        <v>#VALUE!</v>
      </c>
      <c r="G1975" s="519"/>
      <c r="H1975" s="110"/>
      <c r="I1975">
        <f>E1975*G1958</f>
        <v>0</v>
      </c>
      <c r="J1975" s="58"/>
      <c r="K1975" s="50"/>
      <c r="L1975" s="50"/>
      <c r="M1975" s="50"/>
      <c r="N1975" s="50"/>
      <c r="O1975" s="50"/>
    </row>
    <row r="1976" spans="1:15">
      <c r="A1976" s="517" t="s">
        <v>8</v>
      </c>
      <c r="B1976" s="518">
        <f>VLOOKUP(A1976,'Materiales '!$C$2:$G$396,3,0)</f>
        <v>0</v>
      </c>
      <c r="C1976" s="88">
        <f>VLOOKUP(A1976,'Materiales '!$C$2:$G$396,3,0)</f>
        <v>0</v>
      </c>
      <c r="D1976" s="89" t="str">
        <f>VLOOKUP(A1976,'Materiales '!$C$2:$G$396,4,0)</f>
        <v>-</v>
      </c>
      <c r="E1976" s="90"/>
      <c r="F1976" s="508" t="e">
        <f t="shared" ref="F1976:F1979" si="116">E1976*D1976</f>
        <v>#VALUE!</v>
      </c>
      <c r="G1976" s="519"/>
      <c r="H1976" s="111"/>
      <c r="I1976">
        <f>E1976*G1958</f>
        <v>0</v>
      </c>
      <c r="J1976" s="58"/>
      <c r="K1976" s="50"/>
      <c r="L1976" s="50"/>
      <c r="M1976" s="50"/>
      <c r="N1976" s="50"/>
      <c r="O1976" s="50"/>
    </row>
    <row r="1977" spans="1:15">
      <c r="A1977" s="517" t="s">
        <v>8</v>
      </c>
      <c r="B1977" s="518">
        <f>VLOOKUP(A1977,'Materiales '!$C$2:$G$396,3,0)</f>
        <v>0</v>
      </c>
      <c r="C1977" s="88">
        <f>VLOOKUP(A1977,'Materiales '!$C$2:$G$396,3,0)</f>
        <v>0</v>
      </c>
      <c r="D1977" s="89" t="str">
        <f>VLOOKUP(A1977,'Materiales '!$C$2:$G$396,4,0)</f>
        <v>-</v>
      </c>
      <c r="E1977" s="90"/>
      <c r="F1977" s="508" t="e">
        <f t="shared" si="116"/>
        <v>#VALUE!</v>
      </c>
      <c r="G1977" s="519"/>
      <c r="H1977" s="111"/>
      <c r="I1977">
        <f>E1977*G1958</f>
        <v>0</v>
      </c>
      <c r="J1977" s="58"/>
      <c r="K1977" s="50"/>
      <c r="L1977" s="50"/>
      <c r="M1977" s="50"/>
      <c r="N1977" s="50"/>
      <c r="O1977" s="50"/>
    </row>
    <row r="1978" spans="1:15">
      <c r="A1978" s="517" t="s">
        <v>8</v>
      </c>
      <c r="B1978" s="518">
        <f>VLOOKUP(A1978,'Materiales '!$C$2:$G$396,3,0)</f>
        <v>0</v>
      </c>
      <c r="C1978" s="88">
        <f>VLOOKUP(A1978,'Materiales '!$C$2:$G$396,3,0)</f>
        <v>0</v>
      </c>
      <c r="D1978" s="89" t="str">
        <f>VLOOKUP(A1978,'Materiales '!$C$2:$G$396,4,0)</f>
        <v>-</v>
      </c>
      <c r="E1978" s="90"/>
      <c r="F1978" s="508" t="e">
        <f t="shared" si="116"/>
        <v>#VALUE!</v>
      </c>
      <c r="G1978" s="519"/>
      <c r="H1978" s="111"/>
      <c r="I1978">
        <f>E1978*G1958</f>
        <v>0</v>
      </c>
      <c r="J1978" s="58"/>
      <c r="K1978" s="50"/>
      <c r="L1978" s="50"/>
      <c r="M1978" s="50"/>
      <c r="N1978" s="50"/>
      <c r="O1978" s="50"/>
    </row>
    <row r="1979" spans="1:15">
      <c r="A1979" s="517" t="s">
        <v>8</v>
      </c>
      <c r="B1979" s="518">
        <f>VLOOKUP(A1979,'Materiales '!$C$2:$G$396,3,0)</f>
        <v>0</v>
      </c>
      <c r="C1979" s="88">
        <f>VLOOKUP(A1979,'Materiales '!$C$2:$G$396,3,0)</f>
        <v>0</v>
      </c>
      <c r="D1979" s="89" t="str">
        <f>VLOOKUP(A1979,'Materiales '!$C$2:$G$396,4,0)</f>
        <v>-</v>
      </c>
      <c r="E1979" s="90"/>
      <c r="F1979" s="508" t="e">
        <f t="shared" si="116"/>
        <v>#VALUE!</v>
      </c>
      <c r="G1979" s="519"/>
      <c r="H1979" s="111"/>
      <c r="I1979">
        <f>E1979*G1958</f>
        <v>0</v>
      </c>
      <c r="J1979" s="58"/>
      <c r="K1979" s="50"/>
      <c r="L1979" s="50"/>
      <c r="M1979" s="50"/>
      <c r="N1979" s="50"/>
      <c r="O1979" s="50"/>
    </row>
    <row r="1980" spans="1:15">
      <c r="A1980" s="517" t="s">
        <v>8</v>
      </c>
      <c r="B1980" s="518">
        <f>VLOOKUP(A1980,'Materiales '!$C$2:$G$396,3,0)</f>
        <v>0</v>
      </c>
      <c r="C1980" s="88">
        <f>VLOOKUP(A1980,'Materiales '!$C$2:$G$396,3,0)</f>
        <v>0</v>
      </c>
      <c r="D1980" s="89" t="str">
        <f>VLOOKUP(A1980,'Materiales '!$C$2:$G$396,4,0)</f>
        <v>-</v>
      </c>
      <c r="E1980" s="90"/>
      <c r="F1980" s="508" t="e">
        <f>E1980*D1980</f>
        <v>#VALUE!</v>
      </c>
      <c r="G1980" s="519"/>
      <c r="H1980" s="110"/>
      <c r="I1980">
        <f>E1980*G1958</f>
        <v>0</v>
      </c>
      <c r="J1980" s="58"/>
      <c r="K1980" s="50"/>
      <c r="L1980" s="50"/>
      <c r="M1980" s="50"/>
      <c r="N1980" s="50"/>
      <c r="O1980" s="50"/>
    </row>
    <row r="1981" spans="1:15">
      <c r="A1981" s="520" t="s">
        <v>4098</v>
      </c>
      <c r="B1981" s="521"/>
      <c r="C1981" s="521"/>
      <c r="D1981" s="521"/>
      <c r="E1981" s="521"/>
      <c r="F1981" s="521"/>
      <c r="G1981" s="522"/>
      <c r="H1981" s="106" t="e">
        <f>SUM(F1967:F1980)</f>
        <v>#VALUE!</v>
      </c>
      <c r="J1981" s="58"/>
      <c r="K1981" s="50"/>
      <c r="L1981" s="50"/>
      <c r="M1981" s="50"/>
      <c r="N1981" s="50"/>
      <c r="O1981" s="50"/>
    </row>
    <row r="1982" spans="1:15">
      <c r="A1982" s="523" t="s">
        <v>4220</v>
      </c>
      <c r="B1982" s="524"/>
      <c r="C1982" s="524"/>
      <c r="D1982" s="524"/>
      <c r="E1982" s="525"/>
      <c r="F1982" s="524"/>
      <c r="G1982" s="524"/>
      <c r="H1982" s="526"/>
      <c r="J1982" s="58"/>
      <c r="K1982" s="50"/>
      <c r="L1982" s="50"/>
      <c r="M1982" s="50"/>
      <c r="N1982" s="50"/>
      <c r="O1982" s="50"/>
    </row>
    <row r="1983" spans="1:15">
      <c r="A1983" s="527" t="s">
        <v>7</v>
      </c>
      <c r="B1983" s="528"/>
      <c r="C1983" s="98" t="s">
        <v>4221</v>
      </c>
      <c r="D1983" s="97" t="s">
        <v>4222</v>
      </c>
      <c r="E1983" s="187" t="s">
        <v>4223</v>
      </c>
      <c r="F1983" s="529" t="s">
        <v>4207</v>
      </c>
      <c r="G1983" s="529"/>
      <c r="H1983" s="109"/>
      <c r="K1983" s="50"/>
      <c r="L1983" s="50"/>
      <c r="M1983" s="50"/>
      <c r="N1983" s="50"/>
      <c r="O1983" s="50"/>
    </row>
    <row r="1984" spans="1:15">
      <c r="A1984" s="506" t="s">
        <v>3928</v>
      </c>
      <c r="B1984" s="507"/>
      <c r="C1984" s="213">
        <v>1</v>
      </c>
      <c r="D1984" s="92">
        <v>0.03</v>
      </c>
      <c r="E1984" s="93" t="str">
        <f>VLOOKUP(A1984,'Equip, Herr y Transp'!$B$2:$E$217,3,0)</f>
        <v>TR</v>
      </c>
      <c r="F1984" s="530" t="e">
        <f>E1984*D1984*C1984</f>
        <v>#VALUE!</v>
      </c>
      <c r="G1984" s="531"/>
      <c r="H1984" s="107"/>
      <c r="M1984" s="50"/>
    </row>
    <row r="1985" spans="1:10">
      <c r="A1985" s="532" t="s">
        <v>4205</v>
      </c>
      <c r="B1985" s="533"/>
      <c r="C1985" s="533"/>
      <c r="D1985" s="533"/>
      <c r="E1985" s="533"/>
      <c r="F1985" s="533"/>
      <c r="G1985" s="533"/>
      <c r="H1985" s="95" t="e">
        <f>F1984</f>
        <v>#VALUE!</v>
      </c>
    </row>
    <row r="1986" spans="1:10">
      <c r="A1986" s="523" t="s">
        <v>4224</v>
      </c>
      <c r="B1986" s="524"/>
      <c r="C1986" s="524"/>
      <c r="D1986" s="524"/>
      <c r="E1986" s="524"/>
      <c r="F1986" s="524"/>
      <c r="G1986" s="524"/>
      <c r="H1986" s="526"/>
    </row>
    <row r="1987" spans="1:10">
      <c r="A1987" s="527" t="s">
        <v>7</v>
      </c>
      <c r="B1987" s="528"/>
      <c r="C1987" s="96" t="s">
        <v>1</v>
      </c>
      <c r="D1987" s="97" t="s">
        <v>4225</v>
      </c>
      <c r="E1987" s="98" t="s">
        <v>4204</v>
      </c>
      <c r="F1987" s="527" t="s">
        <v>5</v>
      </c>
      <c r="G1987" s="534"/>
      <c r="H1987" s="109"/>
    </row>
    <row r="1988" spans="1:10">
      <c r="A1988" s="506" t="s">
        <v>4191</v>
      </c>
      <c r="B1988" s="507"/>
      <c r="C1988" s="91">
        <v>1</v>
      </c>
      <c r="D1988" s="94">
        <f>VLOOKUP(A1988,'Mano Obra'!$B$2:$T$117,19,0)</f>
        <v>152456</v>
      </c>
      <c r="E1988" s="218">
        <f>H1951</f>
        <v>6.25E-2</v>
      </c>
      <c r="F1988" s="508">
        <f>E1988*D1988*C1988</f>
        <v>9528.5</v>
      </c>
      <c r="G1988" s="509"/>
      <c r="H1988" s="111"/>
      <c r="I1988" s="59"/>
      <c r="J1988" s="117">
        <f>((('Mano Obra'!$M$4/30)*F1988)/D1988)*G1958</f>
        <v>0</v>
      </c>
    </row>
    <row r="1989" spans="1:10">
      <c r="A1989" s="510" t="s">
        <v>4192</v>
      </c>
      <c r="B1989" s="511">
        <f>VLOOKUP(A1989,'Mano Obra'!$B$3:$D$290,2,0)</f>
        <v>1900000</v>
      </c>
      <c r="C1989" s="91">
        <v>1</v>
      </c>
      <c r="D1989" s="94">
        <f>VLOOKUP(A1989,'Mano Obra'!$B$2:$T$117,19,0)</f>
        <v>110488</v>
      </c>
      <c r="E1989" s="218">
        <f>H1951</f>
        <v>6.25E-2</v>
      </c>
      <c r="F1989" s="508">
        <f t="shared" ref="F1989:F1990" si="117">E1989*D1989*C1989</f>
        <v>6905.5</v>
      </c>
      <c r="G1989" s="509"/>
      <c r="H1989" s="111"/>
      <c r="J1989" s="117">
        <f>((('Mano Obra'!$M$5/30)*F1989)/D1989)*G1958</f>
        <v>0</v>
      </c>
    </row>
    <row r="1990" spans="1:10">
      <c r="A1990" s="510" t="s">
        <v>4181</v>
      </c>
      <c r="B1990" s="511">
        <f>VLOOKUP(A1990,'Mano Obra'!$B$3:$D$290,2,0)</f>
        <v>1000000</v>
      </c>
      <c r="C1990" s="91">
        <v>1</v>
      </c>
      <c r="D1990" s="94">
        <f>VLOOKUP(A1990,'Mano Obra'!$B$2:$T$117,19,0)</f>
        <v>67424</v>
      </c>
      <c r="E1990" s="218">
        <f>H1951</f>
        <v>6.25E-2</v>
      </c>
      <c r="F1990" s="508">
        <f t="shared" si="117"/>
        <v>4214</v>
      </c>
      <c r="G1990" s="509"/>
      <c r="H1990" s="110"/>
      <c r="J1990" s="117">
        <f>((('Mano Obra'!$M$6/30)*F1990)/D1990)*G1958</f>
        <v>0</v>
      </c>
    </row>
    <row r="1991" spans="1:10">
      <c r="A1991" s="512" t="s">
        <v>4100</v>
      </c>
      <c r="B1991" s="512"/>
      <c r="C1991" s="512"/>
      <c r="D1991" s="512"/>
      <c r="E1991" s="512"/>
      <c r="F1991" s="512"/>
      <c r="G1991" s="512"/>
      <c r="H1991" s="95">
        <f>SUM(F1988:F1990)</f>
        <v>20648</v>
      </c>
      <c r="J1991" s="117"/>
    </row>
    <row r="1992" spans="1:10">
      <c r="A1992" s="208" t="s">
        <v>4226</v>
      </c>
      <c r="B1992" s="186"/>
      <c r="C1992" s="186"/>
      <c r="D1992" s="183"/>
      <c r="E1992" s="184"/>
      <c r="F1992" s="185"/>
      <c r="G1992" s="184"/>
      <c r="H1992" s="193"/>
    </row>
    <row r="1993" spans="1:10">
      <c r="A1993" s="513" t="s">
        <v>4213</v>
      </c>
      <c r="B1993" s="514"/>
      <c r="C1993" s="514"/>
      <c r="D1993" s="514"/>
      <c r="E1993" s="181"/>
      <c r="F1993" s="182" t="s">
        <v>4227</v>
      </c>
      <c r="G1993" s="181" t="s">
        <v>4228</v>
      </c>
      <c r="H1993" s="194"/>
    </row>
    <row r="1994" spans="1:10">
      <c r="A1994" s="204" t="s">
        <v>4096</v>
      </c>
      <c r="B1994" s="62"/>
      <c r="C1994" s="62"/>
      <c r="D1994" s="63"/>
      <c r="E1994" s="68"/>
      <c r="F1994" s="69">
        <v>0</v>
      </c>
      <c r="G1994" s="70" t="e">
        <f>F1994*H1959</f>
        <v>#VALUE!</v>
      </c>
      <c r="H1994" s="193"/>
    </row>
    <row r="1995" spans="1:10">
      <c r="A1995" s="205" t="s">
        <v>4229</v>
      </c>
      <c r="B1995" s="71"/>
      <c r="C1995" s="71"/>
      <c r="D1995" s="72"/>
      <c r="E1995" s="68"/>
      <c r="F1995" s="69">
        <v>0</v>
      </c>
      <c r="G1995" s="70" t="e">
        <f>F1995*H1959</f>
        <v>#VALUE!</v>
      </c>
      <c r="H1995" s="193"/>
    </row>
    <row r="1996" spans="1:10">
      <c r="A1996" s="205" t="s">
        <v>4</v>
      </c>
      <c r="B1996" s="71"/>
      <c r="C1996" s="71"/>
      <c r="D1996" s="72"/>
      <c r="E1996" s="68"/>
      <c r="F1996" s="69">
        <v>0</v>
      </c>
      <c r="G1996" s="70" t="e">
        <f>F1996*H1959</f>
        <v>#VALUE!</v>
      </c>
      <c r="H1996" s="193"/>
    </row>
    <row r="1997" spans="1:10">
      <c r="A1997" s="206"/>
      <c r="B1997" s="73"/>
      <c r="C1997" s="65"/>
      <c r="D1997" s="74"/>
      <c r="E1997" s="75"/>
      <c r="F1997" s="76"/>
      <c r="G1997" s="77"/>
      <c r="H1997" s="195"/>
    </row>
    <row r="1998" spans="1:10">
      <c r="A1998" s="207"/>
      <c r="B1998" s="73"/>
      <c r="C1998" s="73"/>
      <c r="D1998" s="74"/>
      <c r="E1998" s="78"/>
      <c r="F1998" s="515" t="s">
        <v>4230</v>
      </c>
      <c r="G1998" s="516"/>
      <c r="H1998" s="214" t="e">
        <f>H1959+G1994+G1995+G1996</f>
        <v>#VALUE!</v>
      </c>
    </row>
    <row r="1999" spans="1:10">
      <c r="A1999" s="73"/>
      <c r="B1999" s="73"/>
      <c r="C1999" s="73"/>
      <c r="D1999" s="74"/>
      <c r="E1999" s="360"/>
      <c r="F1999" s="361"/>
      <c r="G1999" s="361"/>
      <c r="H1999" s="362"/>
    </row>
    <row r="2000" spans="1:10">
      <c r="A2000" s="80"/>
      <c r="B2000" s="80"/>
      <c r="C2000" s="80"/>
      <c r="D2000" s="80"/>
      <c r="E2000" s="80"/>
      <c r="F2000" s="80"/>
      <c r="G2000" s="80"/>
      <c r="H2000" s="353"/>
    </row>
    <row r="2001" spans="1:15">
      <c r="A2001" s="537" t="s">
        <v>4214</v>
      </c>
      <c r="B2001" s="538"/>
      <c r="C2001" s="538"/>
      <c r="D2001" s="538"/>
      <c r="E2001" s="538"/>
      <c r="F2001" s="538"/>
      <c r="G2001" s="538"/>
      <c r="H2001" s="539"/>
    </row>
    <row r="2002" spans="1:15">
      <c r="A2002" s="81"/>
      <c r="B2002" s="82"/>
      <c r="C2002" s="82"/>
      <c r="D2002" s="82"/>
      <c r="E2002" s="82"/>
      <c r="F2002" s="83"/>
      <c r="G2002" s="84"/>
      <c r="H2002" s="352">
        <f>ROUND((25/60)/8,4)</f>
        <v>5.21E-2</v>
      </c>
      <c r="I2002" s="105"/>
    </row>
    <row r="2003" spans="1:15">
      <c r="A2003" s="540" t="s">
        <v>4209</v>
      </c>
      <c r="B2003" s="542" t="str">
        <f>COSTOS!$C$14</f>
        <v>MODERNIZACION A TECNOLOGIA LED</v>
      </c>
      <c r="C2003" s="542"/>
      <c r="D2003" s="542"/>
      <c r="E2003" s="542"/>
      <c r="F2003" s="542"/>
      <c r="G2003" s="542"/>
      <c r="H2003" s="543" t="s">
        <v>4210</v>
      </c>
    </row>
    <row r="2004" spans="1:15">
      <c r="A2004" s="541"/>
      <c r="B2004" s="542"/>
      <c r="C2004" s="542"/>
      <c r="D2004" s="542"/>
      <c r="E2004" s="542"/>
      <c r="F2004" s="542"/>
      <c r="G2004" s="542"/>
      <c r="H2004" s="543"/>
    </row>
    <row r="2005" spans="1:15">
      <c r="A2005" s="541"/>
      <c r="B2005" s="542"/>
      <c r="C2005" s="542"/>
      <c r="D2005" s="542"/>
      <c r="E2005" s="542"/>
      <c r="F2005" s="542"/>
      <c r="G2005" s="542"/>
      <c r="H2005" s="543"/>
    </row>
    <row r="2006" spans="1:15" ht="15" customHeight="1">
      <c r="A2006" s="541"/>
      <c r="B2006" s="542"/>
      <c r="C2006" s="542"/>
      <c r="D2006" s="542"/>
      <c r="E2006" s="542"/>
      <c r="F2006" s="542"/>
      <c r="G2006" s="542"/>
      <c r="H2006" s="197">
        <f ca="1">TODAY()</f>
        <v>44889</v>
      </c>
      <c r="K2006" t="s">
        <v>4380</v>
      </c>
      <c r="L2006" t="s">
        <v>4381</v>
      </c>
      <c r="M2006" t="s">
        <v>4382</v>
      </c>
      <c r="N2006" t="s">
        <v>4383</v>
      </c>
    </row>
    <row r="2007" spans="1:15" ht="60.75" customHeight="1">
      <c r="A2007" s="209" t="s">
        <v>4211</v>
      </c>
      <c r="B2007" s="544" t="str">
        <f>COSTOS!$D$16</f>
        <v>Luminarias</v>
      </c>
      <c r="C2007" s="544"/>
      <c r="D2007" s="544"/>
      <c r="E2007" s="544"/>
      <c r="F2007" s="544"/>
      <c r="G2007" s="60" t="s">
        <v>4212</v>
      </c>
      <c r="H2007" s="363" t="s">
        <v>4701</v>
      </c>
      <c r="K2007" s="55" t="e">
        <f>H2032</f>
        <v>#VALUE!</v>
      </c>
      <c r="L2007" s="55">
        <f>H2042</f>
        <v>17212.1728</v>
      </c>
      <c r="M2007" s="55" t="e">
        <f>H2015</f>
        <v>#VALUE!</v>
      </c>
      <c r="N2007" s="55" t="e">
        <f>H2036</f>
        <v>#VALUE!</v>
      </c>
    </row>
    <row r="2008" spans="1:15" ht="43.2" customHeight="1">
      <c r="A2008" s="210" t="s">
        <v>4213</v>
      </c>
      <c r="B2008" s="545" t="str">
        <f>VLOOKUP(H2007,COSTOS!C:M,2,0)</f>
        <v>Luminaria con bombillo Led 20w</v>
      </c>
      <c r="C2008" s="546"/>
      <c r="D2008" s="546"/>
      <c r="E2008" s="547"/>
      <c r="F2008" s="61" t="s">
        <v>0</v>
      </c>
      <c r="G2008" s="328" t="str">
        <f>VLOOKUP(H2007,COSTOS!C:M,8,0)</f>
        <v>Und</v>
      </c>
      <c r="H2008" s="248"/>
      <c r="I2008" s="278"/>
      <c r="J2008" s="280"/>
      <c r="K2008" s="280"/>
      <c r="L2008" s="280"/>
    </row>
    <row r="2009" spans="1:15">
      <c r="A2009" s="211"/>
      <c r="B2009" s="102"/>
      <c r="C2009" s="102"/>
      <c r="D2009" s="102"/>
      <c r="E2009" s="103"/>
      <c r="F2009" s="104" t="s">
        <v>1</v>
      </c>
      <c r="G2009" s="328">
        <f>VLOOKUP(H2007,COSTOS!C:M,9,0)</f>
        <v>0</v>
      </c>
      <c r="H2009" s="329"/>
      <c r="I2009" s="279"/>
    </row>
    <row r="2010" spans="1:15">
      <c r="A2010" s="212" t="s">
        <v>4215</v>
      </c>
      <c r="B2010" s="65"/>
      <c r="C2010" s="65"/>
      <c r="D2010" s="66"/>
      <c r="E2010" s="190"/>
      <c r="F2010" s="191"/>
      <c r="G2010" s="192" t="s">
        <v>4216</v>
      </c>
      <c r="H2010" s="198" t="e">
        <f>H2015+H2032+H2036+H2042</f>
        <v>#VALUE!</v>
      </c>
    </row>
    <row r="2011" spans="1:15" ht="41.4">
      <c r="A2011" s="548" t="s">
        <v>4213</v>
      </c>
      <c r="B2011" s="548"/>
      <c r="C2011" s="548"/>
      <c r="D2011" s="67" t="s">
        <v>0</v>
      </c>
      <c r="E2011" s="188" t="s">
        <v>4217</v>
      </c>
      <c r="F2011" s="189" t="s">
        <v>4204</v>
      </c>
      <c r="G2011" s="64" t="s">
        <v>2</v>
      </c>
      <c r="H2011" s="199" t="s">
        <v>4218</v>
      </c>
      <c r="K2011" s="281"/>
    </row>
    <row r="2012" spans="1:15">
      <c r="A2012" s="517" t="s">
        <v>3946</v>
      </c>
      <c r="B2012" s="549">
        <f>VLOOKUP(A2012,'Equip, Herr y Transp'!$B$2:$E$738,2,0)</f>
        <v>2</v>
      </c>
      <c r="C2012" s="549"/>
      <c r="D2012" s="85">
        <f>VLOOKUP(A2012,'Equip, Herr y Transp'!$B$2:$E$217,2,0)</f>
        <v>2</v>
      </c>
      <c r="E2012" s="85" t="str">
        <f>VLOOKUP(A2012,'Equip, Herr y Transp'!$B$2:$E$217,3,0)</f>
        <v>EQU</v>
      </c>
      <c r="F2012" s="86">
        <f>H2002</f>
        <v>5.21E-2</v>
      </c>
      <c r="G2012" s="112" t="e">
        <f>F2012*E2012</f>
        <v>#VALUE!</v>
      </c>
      <c r="H2012" s="108"/>
    </row>
    <row r="2013" spans="1:15">
      <c r="A2013" s="517" t="s">
        <v>3904</v>
      </c>
      <c r="B2013" s="549">
        <f>VLOOKUP(A2013,'Equip, Herr y Transp'!$B$2:$E$738,2,0)</f>
        <v>2</v>
      </c>
      <c r="C2013" s="549"/>
      <c r="D2013" s="85">
        <f>VLOOKUP(A2013,'Equip, Herr y Transp'!$B$2:$E$217,2,0)</f>
        <v>2</v>
      </c>
      <c r="E2013" s="85" t="str">
        <f>VLOOKUP(A2013,'Equip, Herr y Transp'!$B$2:$E$217,3,0)</f>
        <v>EQU</v>
      </c>
      <c r="F2013" s="86">
        <f>H2002</f>
        <v>5.21E-2</v>
      </c>
      <c r="G2013" s="112" t="e">
        <f>F2013*E2013</f>
        <v>#VALUE!</v>
      </c>
      <c r="H2013" s="107"/>
    </row>
    <row r="2014" spans="1:15">
      <c r="A2014" s="517" t="s">
        <v>3937</v>
      </c>
      <c r="B2014" s="549">
        <f>VLOOKUP(A2014,'Equip, Herr y Transp'!$B$2:$E$738,2,0)</f>
        <v>2</v>
      </c>
      <c r="C2014" s="549"/>
      <c r="D2014" s="85">
        <f>VLOOKUP(A2014,'Equip, Herr y Transp'!$B$2:$E$217,2,0)</f>
        <v>2</v>
      </c>
      <c r="E2014" s="85" t="str">
        <f>VLOOKUP(A2014,'Equip, Herr y Transp'!$B$2:$E$217,3,0)</f>
        <v>EQU</v>
      </c>
      <c r="F2014" s="86">
        <f>H2002</f>
        <v>5.21E-2</v>
      </c>
      <c r="G2014" s="112" t="e">
        <f>F2014*E2014</f>
        <v>#VALUE!</v>
      </c>
      <c r="H2014" s="107"/>
    </row>
    <row r="2015" spans="1:15">
      <c r="A2015" s="520" t="s">
        <v>4099</v>
      </c>
      <c r="B2015" s="521"/>
      <c r="C2015" s="521"/>
      <c r="D2015" s="521"/>
      <c r="E2015" s="521"/>
      <c r="F2015" s="521"/>
      <c r="G2015" s="521"/>
      <c r="H2015" s="87" t="e">
        <f>SUM(G2012:G2014)</f>
        <v>#VALUE!</v>
      </c>
    </row>
    <row r="2016" spans="1:15">
      <c r="A2016" s="550" t="s">
        <v>4219</v>
      </c>
      <c r="B2016" s="551"/>
      <c r="C2016" s="551"/>
      <c r="D2016" s="551"/>
      <c r="E2016" s="551"/>
      <c r="F2016" s="551"/>
      <c r="G2016" s="551"/>
      <c r="H2016" s="552"/>
      <c r="K2016" s="50"/>
      <c r="L2016" s="50"/>
      <c r="M2016" s="50"/>
      <c r="N2016" s="50"/>
      <c r="O2016" s="50"/>
    </row>
    <row r="2017" spans="1:15" ht="30" customHeight="1">
      <c r="A2017" s="553" t="s">
        <v>7</v>
      </c>
      <c r="B2017" s="554"/>
      <c r="C2017" s="99" t="s">
        <v>0</v>
      </c>
      <c r="D2017" s="100" t="s">
        <v>4097</v>
      </c>
      <c r="E2017" s="101" t="s">
        <v>1</v>
      </c>
      <c r="F2017" s="555" t="s">
        <v>4207</v>
      </c>
      <c r="G2017" s="555"/>
      <c r="H2017" s="196"/>
      <c r="K2017" s="50"/>
      <c r="L2017" s="50"/>
      <c r="M2017" s="50"/>
      <c r="N2017" s="50"/>
      <c r="O2017" s="50"/>
    </row>
    <row r="2018" spans="1:15">
      <c r="A2018" s="535" t="s">
        <v>4711</v>
      </c>
      <c r="B2018" s="536"/>
      <c r="C2018" s="88">
        <f>VLOOKUP(A2018,'Materiales '!$C$2:$G$396,3,0)</f>
        <v>4</v>
      </c>
      <c r="D2018" s="89" t="str">
        <f>VLOOKUP(A2018,'Materiales '!$C$2:$G$396,4,0)</f>
        <v>Und</v>
      </c>
      <c r="E2018" s="90">
        <v>1</v>
      </c>
      <c r="F2018" s="508" t="e">
        <f>E2018*D2018</f>
        <v>#VALUE!</v>
      </c>
      <c r="G2018" s="519"/>
      <c r="H2018" s="111"/>
      <c r="I2018">
        <f>E2018*G2009</f>
        <v>0</v>
      </c>
      <c r="J2018" s="57"/>
      <c r="K2018" s="50"/>
      <c r="L2018" s="50"/>
      <c r="M2018" s="50"/>
      <c r="N2018" s="50"/>
      <c r="O2018" s="50"/>
    </row>
    <row r="2019" spans="1:15">
      <c r="A2019" s="535" t="s">
        <v>4203</v>
      </c>
      <c r="B2019" s="536"/>
      <c r="C2019" s="88">
        <f>VLOOKUP(A2019,'Materiales '!$C$2:$G$396,3,0)</f>
        <v>4</v>
      </c>
      <c r="D2019" s="89" t="str">
        <f>VLOOKUP(A2019,'Materiales '!$C$2:$G$396,4,0)</f>
        <v>Und</v>
      </c>
      <c r="E2019" s="90">
        <v>1</v>
      </c>
      <c r="F2019" s="508" t="e">
        <f t="shared" ref="F2019:F2025" si="118">E2019*D2019</f>
        <v>#VALUE!</v>
      </c>
      <c r="G2019" s="519"/>
      <c r="H2019" s="111"/>
      <c r="I2019">
        <f>E2019*G2009</f>
        <v>0</v>
      </c>
      <c r="J2019" s="57"/>
      <c r="K2019" s="50"/>
      <c r="L2019" s="50"/>
      <c r="M2019" s="50"/>
      <c r="N2019" s="50"/>
      <c r="O2019" s="50"/>
    </row>
    <row r="2020" spans="1:15">
      <c r="A2020" s="517" t="s">
        <v>4473</v>
      </c>
      <c r="B2020" s="518">
        <f>VLOOKUP(A2020,'Materiales '!$C$2:$G$396,3,0)</f>
        <v>4</v>
      </c>
      <c r="C2020" s="88">
        <f>VLOOKUP(A2020,'Materiales '!$C$2:$G$396,3,0)</f>
        <v>4</v>
      </c>
      <c r="D2020" s="89" t="str">
        <f>VLOOKUP(A2020,'Materiales '!$C$2:$G$396,4,0)</f>
        <v>Und</v>
      </c>
      <c r="E2020" s="90">
        <v>2</v>
      </c>
      <c r="F2020" s="508" t="e">
        <f t="shared" si="118"/>
        <v>#VALUE!</v>
      </c>
      <c r="G2020" s="519"/>
      <c r="H2020" s="111"/>
      <c r="I2020">
        <f>E2020*G2009</f>
        <v>0</v>
      </c>
      <c r="J2020" s="58"/>
      <c r="K2020" s="50"/>
      <c r="L2020" s="50"/>
      <c r="M2020" s="50"/>
      <c r="N2020" s="50"/>
      <c r="O2020" s="50"/>
    </row>
    <row r="2021" spans="1:15">
      <c r="A2021" s="517" t="s">
        <v>4478</v>
      </c>
      <c r="B2021" s="518">
        <f>VLOOKUP(A2021,'Materiales '!$C$2:$G$396,3,0)</f>
        <v>4</v>
      </c>
      <c r="C2021" s="88">
        <f>VLOOKUP(A2021,'Materiales '!$C$2:$G$396,3,0)</f>
        <v>4</v>
      </c>
      <c r="D2021" s="89" t="str">
        <f>VLOOKUP(A2021,'Materiales '!$C$2:$G$396,4,0)</f>
        <v>Und</v>
      </c>
      <c r="E2021" s="90">
        <v>3</v>
      </c>
      <c r="F2021" s="508" t="e">
        <f t="shared" si="118"/>
        <v>#VALUE!</v>
      </c>
      <c r="G2021" s="519"/>
      <c r="H2021" s="111"/>
      <c r="I2021">
        <f>E2021*G2009</f>
        <v>0</v>
      </c>
      <c r="J2021" s="58"/>
      <c r="K2021" s="50"/>
      <c r="L2021" s="50"/>
      <c r="M2021" s="50"/>
      <c r="N2021" s="50"/>
      <c r="O2021" s="50"/>
    </row>
    <row r="2022" spans="1:15">
      <c r="A2022" s="517" t="s">
        <v>4543</v>
      </c>
      <c r="B2022" s="518">
        <f>VLOOKUP(A2022,'Materiales '!$C$2:$G$396,3,0)</f>
        <v>4</v>
      </c>
      <c r="C2022" s="88">
        <f>VLOOKUP(A2022,'Materiales '!$C$2:$G$396,3,0)</f>
        <v>4</v>
      </c>
      <c r="D2022" s="89" t="str">
        <f>VLOOKUP(A2022,'Materiales '!$C$2:$G$396,4,0)</f>
        <v>Und</v>
      </c>
      <c r="E2022" s="90">
        <v>2</v>
      </c>
      <c r="F2022" s="508" t="e">
        <f t="shared" si="118"/>
        <v>#VALUE!</v>
      </c>
      <c r="G2022" s="519"/>
      <c r="H2022" s="111"/>
      <c r="I2022">
        <f>E2022*G2009</f>
        <v>0</v>
      </c>
      <c r="J2022" s="58"/>
      <c r="K2022" s="50"/>
      <c r="L2022" s="50"/>
      <c r="M2022" s="50"/>
      <c r="N2022" s="50"/>
      <c r="O2022" s="50"/>
    </row>
    <row r="2023" spans="1:15">
      <c r="A2023" s="517" t="s">
        <v>4439</v>
      </c>
      <c r="B2023" s="518">
        <f>VLOOKUP(A2023,'Materiales '!$C$2:$G$396,3,0)</f>
        <v>2</v>
      </c>
      <c r="C2023" s="88">
        <f>VLOOKUP(A2023,'Materiales '!$C$2:$G$396,3,0)</f>
        <v>2</v>
      </c>
      <c r="D2023" s="89" t="str">
        <f>VLOOKUP(A2023,'Materiales '!$C$2:$G$396,4,0)</f>
        <v>Ml</v>
      </c>
      <c r="E2023" s="90">
        <v>1</v>
      </c>
      <c r="F2023" s="508" t="e">
        <f t="shared" si="118"/>
        <v>#VALUE!</v>
      </c>
      <c r="G2023" s="519"/>
      <c r="H2023" s="111"/>
      <c r="I2023">
        <f>E2023*G2009</f>
        <v>0</v>
      </c>
      <c r="J2023" s="58"/>
      <c r="K2023" s="50"/>
      <c r="L2023" s="50"/>
      <c r="M2023" s="50"/>
      <c r="N2023" s="50"/>
      <c r="O2023" s="50"/>
    </row>
    <row r="2024" spans="1:15">
      <c r="A2024" s="517" t="s">
        <v>4482</v>
      </c>
      <c r="B2024" s="518">
        <f>VLOOKUP(A2024,'Materiales '!$C$2:$G$396,3,0)</f>
        <v>4</v>
      </c>
      <c r="C2024" s="88">
        <f>VLOOKUP(A2024,'Materiales '!$C$2:$G$396,3,0)</f>
        <v>4</v>
      </c>
      <c r="D2024" s="89" t="str">
        <f>VLOOKUP(A2024,'Materiales '!$C$2:$G$396,4,0)</f>
        <v>Und</v>
      </c>
      <c r="E2024" s="90">
        <v>3</v>
      </c>
      <c r="F2024" s="508" t="e">
        <f t="shared" si="118"/>
        <v>#VALUE!</v>
      </c>
      <c r="G2024" s="519"/>
      <c r="H2024" s="111"/>
      <c r="I2024">
        <f>E2024*G2009</f>
        <v>0</v>
      </c>
      <c r="J2024" s="58"/>
      <c r="K2024" s="50"/>
      <c r="L2024" s="50"/>
      <c r="M2024" s="50"/>
      <c r="N2024" s="50"/>
      <c r="O2024" s="50"/>
    </row>
    <row r="2025" spans="1:15" ht="21.75" customHeight="1">
      <c r="A2025" s="517" t="s">
        <v>4424</v>
      </c>
      <c r="B2025" s="518">
        <f>VLOOKUP(A2025,'Materiales '!$C$2:$G$396,3,0)</f>
        <v>4</v>
      </c>
      <c r="C2025" s="88">
        <f>VLOOKUP(A2025,'Materiales '!$C$2:$G$396,3,0)</f>
        <v>4</v>
      </c>
      <c r="D2025" s="89" t="str">
        <f>VLOOKUP(A2025,'Materiales '!$C$2:$G$396,4,0)</f>
        <v>Und</v>
      </c>
      <c r="E2025" s="90">
        <v>1</v>
      </c>
      <c r="F2025" s="508" t="e">
        <f t="shared" si="118"/>
        <v>#VALUE!</v>
      </c>
      <c r="G2025" s="519"/>
      <c r="H2025" s="111"/>
      <c r="I2025">
        <f>E2025*G2009</f>
        <v>0</v>
      </c>
      <c r="J2025" s="58"/>
      <c r="K2025" s="50"/>
      <c r="L2025" s="50"/>
      <c r="M2025" s="50"/>
      <c r="N2025" s="50"/>
      <c r="O2025" s="50"/>
    </row>
    <row r="2026" spans="1:15">
      <c r="A2026" s="517" t="s">
        <v>8</v>
      </c>
      <c r="B2026" s="518">
        <f>VLOOKUP(A2026,'Materiales '!$C$2:$G$396,3,0)</f>
        <v>0</v>
      </c>
      <c r="C2026" s="88">
        <f>VLOOKUP(A2026,'Materiales '!$C$2:$G$396,3,0)</f>
        <v>0</v>
      </c>
      <c r="D2026" s="89" t="str">
        <f>VLOOKUP(A2026,'Materiales '!$C$2:$G$396,4,0)</f>
        <v>-</v>
      </c>
      <c r="E2026" s="90"/>
      <c r="F2026" s="508" t="e">
        <f>E2026*D2026</f>
        <v>#VALUE!</v>
      </c>
      <c r="G2026" s="519"/>
      <c r="H2026" s="110"/>
      <c r="I2026">
        <f>E2026*G2009</f>
        <v>0</v>
      </c>
      <c r="J2026" s="58"/>
      <c r="K2026" s="50"/>
      <c r="L2026" s="50"/>
      <c r="M2026" s="50"/>
      <c r="N2026" s="50"/>
      <c r="O2026" s="50"/>
    </row>
    <row r="2027" spans="1:15">
      <c r="A2027" s="517" t="s">
        <v>8</v>
      </c>
      <c r="B2027" s="518">
        <f>VLOOKUP(A2027,'Materiales '!$C$2:$G$396,3,0)</f>
        <v>0</v>
      </c>
      <c r="C2027" s="88">
        <f>VLOOKUP(A2027,'Materiales '!$C$2:$G$396,3,0)</f>
        <v>0</v>
      </c>
      <c r="D2027" s="89" t="str">
        <f>VLOOKUP(A2027,'Materiales '!$C$2:$G$396,4,0)</f>
        <v>-</v>
      </c>
      <c r="E2027" s="90"/>
      <c r="F2027" s="508" t="e">
        <f t="shared" ref="F2027:F2030" si="119">E2027*D2027</f>
        <v>#VALUE!</v>
      </c>
      <c r="G2027" s="519"/>
      <c r="H2027" s="111"/>
      <c r="I2027">
        <f>E2027*G2009</f>
        <v>0</v>
      </c>
      <c r="J2027" s="58"/>
      <c r="K2027" s="50"/>
      <c r="L2027" s="50"/>
      <c r="M2027" s="50"/>
      <c r="N2027" s="50"/>
      <c r="O2027" s="50"/>
    </row>
    <row r="2028" spans="1:15">
      <c r="A2028" s="517" t="s">
        <v>8</v>
      </c>
      <c r="B2028" s="518">
        <f>VLOOKUP(A2028,'Materiales '!$C$2:$G$396,3,0)</f>
        <v>0</v>
      </c>
      <c r="C2028" s="88">
        <f>VLOOKUP(A2028,'Materiales '!$C$2:$G$396,3,0)</f>
        <v>0</v>
      </c>
      <c r="D2028" s="89" t="str">
        <f>VLOOKUP(A2028,'Materiales '!$C$2:$G$396,4,0)</f>
        <v>-</v>
      </c>
      <c r="E2028" s="90"/>
      <c r="F2028" s="508" t="e">
        <f t="shared" si="119"/>
        <v>#VALUE!</v>
      </c>
      <c r="G2028" s="519"/>
      <c r="H2028" s="111"/>
      <c r="I2028">
        <f>E2028*G2009</f>
        <v>0</v>
      </c>
      <c r="J2028" s="58"/>
      <c r="K2028" s="50"/>
      <c r="L2028" s="50"/>
      <c r="M2028" s="50"/>
      <c r="N2028" s="50"/>
      <c r="O2028" s="50"/>
    </row>
    <row r="2029" spans="1:15">
      <c r="A2029" s="517" t="s">
        <v>8</v>
      </c>
      <c r="B2029" s="518">
        <f>VLOOKUP(A2029,'Materiales '!$C$2:$G$396,3,0)</f>
        <v>0</v>
      </c>
      <c r="C2029" s="88">
        <f>VLOOKUP(A2029,'Materiales '!$C$2:$G$396,3,0)</f>
        <v>0</v>
      </c>
      <c r="D2029" s="89" t="str">
        <f>VLOOKUP(A2029,'Materiales '!$C$2:$G$396,4,0)</f>
        <v>-</v>
      </c>
      <c r="E2029" s="90"/>
      <c r="F2029" s="508" t="e">
        <f t="shared" si="119"/>
        <v>#VALUE!</v>
      </c>
      <c r="G2029" s="519"/>
      <c r="H2029" s="111"/>
      <c r="I2029">
        <f>E2029*G2009</f>
        <v>0</v>
      </c>
      <c r="J2029" s="58"/>
      <c r="K2029" s="50"/>
      <c r="L2029" s="50"/>
      <c r="M2029" s="50"/>
      <c r="N2029" s="50"/>
      <c r="O2029" s="50"/>
    </row>
    <row r="2030" spans="1:15">
      <c r="A2030" s="517" t="s">
        <v>8</v>
      </c>
      <c r="B2030" s="518">
        <f>VLOOKUP(A2030,'Materiales '!$C$2:$G$396,3,0)</f>
        <v>0</v>
      </c>
      <c r="C2030" s="88">
        <f>VLOOKUP(A2030,'Materiales '!$C$2:$G$396,3,0)</f>
        <v>0</v>
      </c>
      <c r="D2030" s="89" t="str">
        <f>VLOOKUP(A2030,'Materiales '!$C$2:$G$396,4,0)</f>
        <v>-</v>
      </c>
      <c r="E2030" s="90"/>
      <c r="F2030" s="508" t="e">
        <f t="shared" si="119"/>
        <v>#VALUE!</v>
      </c>
      <c r="G2030" s="519"/>
      <c r="H2030" s="111"/>
      <c r="I2030">
        <f>E2030*G2009</f>
        <v>0</v>
      </c>
      <c r="J2030" s="58"/>
      <c r="K2030" s="50"/>
      <c r="L2030" s="50"/>
      <c r="M2030" s="50"/>
      <c r="N2030" s="50"/>
      <c r="O2030" s="50"/>
    </row>
    <row r="2031" spans="1:15">
      <c r="A2031" s="517" t="s">
        <v>8</v>
      </c>
      <c r="B2031" s="518">
        <f>VLOOKUP(A2031,'Materiales '!$C$2:$G$396,3,0)</f>
        <v>0</v>
      </c>
      <c r="C2031" s="88">
        <f>VLOOKUP(A2031,'Materiales '!$C$2:$G$396,3,0)</f>
        <v>0</v>
      </c>
      <c r="D2031" s="89" t="str">
        <f>VLOOKUP(A2031,'Materiales '!$C$2:$G$396,4,0)</f>
        <v>-</v>
      </c>
      <c r="E2031" s="90"/>
      <c r="F2031" s="508" t="e">
        <f>E2031*D2031</f>
        <v>#VALUE!</v>
      </c>
      <c r="G2031" s="519"/>
      <c r="H2031" s="110"/>
      <c r="I2031">
        <f>E2031*G2009</f>
        <v>0</v>
      </c>
      <c r="J2031" s="58"/>
      <c r="K2031" s="50"/>
      <c r="L2031" s="50"/>
      <c r="M2031" s="50"/>
      <c r="N2031" s="50"/>
      <c r="O2031" s="50"/>
    </row>
    <row r="2032" spans="1:15">
      <c r="A2032" s="520" t="s">
        <v>4098</v>
      </c>
      <c r="B2032" s="521"/>
      <c r="C2032" s="521"/>
      <c r="D2032" s="521"/>
      <c r="E2032" s="521"/>
      <c r="F2032" s="521"/>
      <c r="G2032" s="522"/>
      <c r="H2032" s="106" t="e">
        <f>SUM(F2018:F2031)</f>
        <v>#VALUE!</v>
      </c>
      <c r="J2032" s="58"/>
      <c r="K2032" s="50"/>
      <c r="L2032" s="50"/>
      <c r="M2032" s="50"/>
      <c r="N2032" s="50"/>
      <c r="O2032" s="50"/>
    </row>
    <row r="2033" spans="1:15">
      <c r="A2033" s="523" t="s">
        <v>4220</v>
      </c>
      <c r="B2033" s="524"/>
      <c r="C2033" s="524"/>
      <c r="D2033" s="524"/>
      <c r="E2033" s="525"/>
      <c r="F2033" s="524"/>
      <c r="G2033" s="524"/>
      <c r="H2033" s="526"/>
      <c r="J2033" s="58"/>
      <c r="K2033" s="50"/>
      <c r="L2033" s="50"/>
      <c r="M2033" s="50"/>
      <c r="N2033" s="50"/>
      <c r="O2033" s="50"/>
    </row>
    <row r="2034" spans="1:15">
      <c r="A2034" s="527" t="s">
        <v>7</v>
      </c>
      <c r="B2034" s="528"/>
      <c r="C2034" s="98" t="s">
        <v>4221</v>
      </c>
      <c r="D2034" s="97" t="s">
        <v>4222</v>
      </c>
      <c r="E2034" s="187" t="s">
        <v>4223</v>
      </c>
      <c r="F2034" s="529" t="s">
        <v>4207</v>
      </c>
      <c r="G2034" s="529"/>
      <c r="H2034" s="109"/>
      <c r="K2034" s="50"/>
      <c r="L2034" s="50"/>
      <c r="M2034" s="50"/>
      <c r="N2034" s="50"/>
      <c r="O2034" s="50"/>
    </row>
    <row r="2035" spans="1:15">
      <c r="A2035" s="506" t="s">
        <v>3928</v>
      </c>
      <c r="B2035" s="507"/>
      <c r="C2035" s="213">
        <v>1</v>
      </c>
      <c r="D2035" s="92">
        <v>0.03</v>
      </c>
      <c r="E2035" s="93" t="str">
        <f>VLOOKUP(A2035,'Equip, Herr y Transp'!$B$2:$E$217,3,0)</f>
        <v>TR</v>
      </c>
      <c r="F2035" s="530" t="e">
        <f>E2035*D2035*C2035</f>
        <v>#VALUE!</v>
      </c>
      <c r="G2035" s="531"/>
      <c r="H2035" s="107"/>
      <c r="M2035" s="50"/>
    </row>
    <row r="2036" spans="1:15">
      <c r="A2036" s="532" t="s">
        <v>4205</v>
      </c>
      <c r="B2036" s="533"/>
      <c r="C2036" s="533"/>
      <c r="D2036" s="533"/>
      <c r="E2036" s="533"/>
      <c r="F2036" s="533"/>
      <c r="G2036" s="533"/>
      <c r="H2036" s="95" t="e">
        <f>F2035</f>
        <v>#VALUE!</v>
      </c>
    </row>
    <row r="2037" spans="1:15">
      <c r="A2037" s="523" t="s">
        <v>4224</v>
      </c>
      <c r="B2037" s="524"/>
      <c r="C2037" s="524"/>
      <c r="D2037" s="524"/>
      <c r="E2037" s="524"/>
      <c r="F2037" s="524"/>
      <c r="G2037" s="524"/>
      <c r="H2037" s="526"/>
    </row>
    <row r="2038" spans="1:15">
      <c r="A2038" s="527" t="s">
        <v>7</v>
      </c>
      <c r="B2038" s="528"/>
      <c r="C2038" s="96" t="s">
        <v>1</v>
      </c>
      <c r="D2038" s="97" t="s">
        <v>4225</v>
      </c>
      <c r="E2038" s="98" t="s">
        <v>4204</v>
      </c>
      <c r="F2038" s="527" t="s">
        <v>5</v>
      </c>
      <c r="G2038" s="534"/>
      <c r="H2038" s="109"/>
    </row>
    <row r="2039" spans="1:15">
      <c r="A2039" s="506" t="s">
        <v>4191</v>
      </c>
      <c r="B2039" s="507"/>
      <c r="C2039" s="91">
        <v>1</v>
      </c>
      <c r="D2039" s="94">
        <f>VLOOKUP(A2039,'Mano Obra'!$B$2:$T$117,19,0)</f>
        <v>152456</v>
      </c>
      <c r="E2039" s="218">
        <f>H2002</f>
        <v>5.21E-2</v>
      </c>
      <c r="F2039" s="508">
        <f>E2039*D2039*C2039</f>
        <v>7942.9575999999997</v>
      </c>
      <c r="G2039" s="509"/>
      <c r="H2039" s="111"/>
      <c r="I2039" s="59"/>
      <c r="J2039" s="117">
        <f>((('Mano Obra'!$M$4/30)*F2039)/D2039)*G2009</f>
        <v>0</v>
      </c>
    </row>
    <row r="2040" spans="1:15">
      <c r="A2040" s="510" t="s">
        <v>4192</v>
      </c>
      <c r="B2040" s="511">
        <f>VLOOKUP(A2040,'Mano Obra'!$B$3:$D$290,2,0)</f>
        <v>1900000</v>
      </c>
      <c r="C2040" s="91">
        <v>1</v>
      </c>
      <c r="D2040" s="94">
        <f>VLOOKUP(A2040,'Mano Obra'!$B$2:$T$117,19,0)</f>
        <v>110488</v>
      </c>
      <c r="E2040" s="218">
        <f>H2002</f>
        <v>5.21E-2</v>
      </c>
      <c r="F2040" s="508">
        <f t="shared" ref="F2040:F2041" si="120">E2040*D2040*C2040</f>
        <v>5756.4247999999998</v>
      </c>
      <c r="G2040" s="509"/>
      <c r="H2040" s="111"/>
      <c r="J2040" s="117">
        <f>((('Mano Obra'!$M$5/30)*F2040)/D2040)*G2009</f>
        <v>0</v>
      </c>
    </row>
    <row r="2041" spans="1:15">
      <c r="A2041" s="510" t="s">
        <v>4181</v>
      </c>
      <c r="B2041" s="511">
        <f>VLOOKUP(A2041,'Mano Obra'!$B$3:$D$290,2,0)</f>
        <v>1000000</v>
      </c>
      <c r="C2041" s="91">
        <v>1</v>
      </c>
      <c r="D2041" s="94">
        <f>VLOOKUP(A2041,'Mano Obra'!$B$2:$T$117,19,0)</f>
        <v>67424</v>
      </c>
      <c r="E2041" s="218">
        <f>H2002</f>
        <v>5.21E-2</v>
      </c>
      <c r="F2041" s="508">
        <f t="shared" si="120"/>
        <v>3512.7903999999999</v>
      </c>
      <c r="G2041" s="509"/>
      <c r="H2041" s="110"/>
      <c r="J2041" s="117">
        <f>((('Mano Obra'!$M$6/30)*F2041)/D2041)*G2009</f>
        <v>0</v>
      </c>
    </row>
    <row r="2042" spans="1:15">
      <c r="A2042" s="512" t="s">
        <v>4100</v>
      </c>
      <c r="B2042" s="512"/>
      <c r="C2042" s="512"/>
      <c r="D2042" s="512"/>
      <c r="E2042" s="512"/>
      <c r="F2042" s="512"/>
      <c r="G2042" s="512"/>
      <c r="H2042" s="95">
        <f>SUM(F2039:F2041)</f>
        <v>17212.1728</v>
      </c>
      <c r="J2042" s="117"/>
    </row>
    <row r="2043" spans="1:15">
      <c r="A2043" s="208" t="s">
        <v>4226</v>
      </c>
      <c r="B2043" s="186"/>
      <c r="C2043" s="186"/>
      <c r="D2043" s="183"/>
      <c r="E2043" s="184"/>
      <c r="F2043" s="185"/>
      <c r="G2043" s="184"/>
      <c r="H2043" s="193"/>
    </row>
    <row r="2044" spans="1:15">
      <c r="A2044" s="513" t="s">
        <v>4213</v>
      </c>
      <c r="B2044" s="514"/>
      <c r="C2044" s="514"/>
      <c r="D2044" s="514"/>
      <c r="E2044" s="181"/>
      <c r="F2044" s="182" t="s">
        <v>4227</v>
      </c>
      <c r="G2044" s="181" t="s">
        <v>4228</v>
      </c>
      <c r="H2044" s="194"/>
    </row>
    <row r="2045" spans="1:15">
      <c r="A2045" s="204" t="s">
        <v>4096</v>
      </c>
      <c r="B2045" s="62"/>
      <c r="C2045" s="62"/>
      <c r="D2045" s="63"/>
      <c r="E2045" s="68"/>
      <c r="F2045" s="69">
        <v>0</v>
      </c>
      <c r="G2045" s="70" t="e">
        <f>F2045*H2010</f>
        <v>#VALUE!</v>
      </c>
      <c r="H2045" s="193"/>
    </row>
    <row r="2046" spans="1:15">
      <c r="A2046" s="205" t="s">
        <v>4229</v>
      </c>
      <c r="B2046" s="71"/>
      <c r="C2046" s="71"/>
      <c r="D2046" s="72"/>
      <c r="E2046" s="68"/>
      <c r="F2046" s="69">
        <v>0</v>
      </c>
      <c r="G2046" s="70" t="e">
        <f>F2046*H2010</f>
        <v>#VALUE!</v>
      </c>
      <c r="H2046" s="193"/>
    </row>
    <row r="2047" spans="1:15">
      <c r="A2047" s="205" t="s">
        <v>4</v>
      </c>
      <c r="B2047" s="71"/>
      <c r="C2047" s="71"/>
      <c r="D2047" s="72"/>
      <c r="E2047" s="68"/>
      <c r="F2047" s="69">
        <v>0</v>
      </c>
      <c r="G2047" s="70" t="e">
        <f>F2047*H2010</f>
        <v>#VALUE!</v>
      </c>
      <c r="H2047" s="193"/>
    </row>
    <row r="2048" spans="1:15">
      <c r="A2048" s="206"/>
      <c r="B2048" s="73"/>
      <c r="C2048" s="65"/>
      <c r="D2048" s="74"/>
      <c r="E2048" s="75"/>
      <c r="F2048" s="76"/>
      <c r="G2048" s="77"/>
      <c r="H2048" s="195"/>
    </row>
    <row r="2049" spans="1:14">
      <c r="A2049" s="207"/>
      <c r="B2049" s="73"/>
      <c r="C2049" s="73"/>
      <c r="D2049" s="74"/>
      <c r="E2049" s="78"/>
      <c r="F2049" s="515" t="s">
        <v>4230</v>
      </c>
      <c r="G2049" s="516"/>
      <c r="H2049" s="214" t="e">
        <f>H2010+G2045+G2046+G2047</f>
        <v>#VALUE!</v>
      </c>
    </row>
    <row r="2050" spans="1:14">
      <c r="A2050" s="73"/>
      <c r="B2050" s="73"/>
      <c r="C2050" s="73"/>
      <c r="D2050" s="74"/>
      <c r="E2050" s="360"/>
      <c r="F2050" s="361"/>
      <c r="G2050" s="361"/>
      <c r="H2050" s="362"/>
    </row>
    <row r="2051" spans="1:14">
      <c r="A2051" s="80"/>
      <c r="B2051" s="80"/>
      <c r="C2051" s="80"/>
      <c r="D2051" s="80"/>
      <c r="E2051" s="80"/>
      <c r="F2051" s="80"/>
      <c r="G2051" s="80"/>
      <c r="H2051" s="353"/>
    </row>
    <row r="2052" spans="1:14">
      <c r="A2052" s="537" t="s">
        <v>4214</v>
      </c>
      <c r="B2052" s="538"/>
      <c r="C2052" s="538"/>
      <c r="D2052" s="538"/>
      <c r="E2052" s="538"/>
      <c r="F2052" s="538"/>
      <c r="G2052" s="538"/>
      <c r="H2052" s="539"/>
    </row>
    <row r="2053" spans="1:14">
      <c r="A2053" s="81"/>
      <c r="B2053" s="82"/>
      <c r="C2053" s="82"/>
      <c r="D2053" s="82"/>
      <c r="E2053" s="82"/>
      <c r="F2053" s="83"/>
      <c r="G2053" s="84"/>
      <c r="H2053" s="352">
        <f>ROUND((25/60)/8,4)</f>
        <v>5.21E-2</v>
      </c>
      <c r="I2053" s="105"/>
    </row>
    <row r="2054" spans="1:14">
      <c r="A2054" s="540" t="s">
        <v>4209</v>
      </c>
      <c r="B2054" s="542" t="str">
        <f>COSTOS!$C$14</f>
        <v>MODERNIZACION A TECNOLOGIA LED</v>
      </c>
      <c r="C2054" s="542"/>
      <c r="D2054" s="542"/>
      <c r="E2054" s="542"/>
      <c r="F2054" s="542"/>
      <c r="G2054" s="542"/>
      <c r="H2054" s="543" t="s">
        <v>4210</v>
      </c>
    </row>
    <row r="2055" spans="1:14">
      <c r="A2055" s="541"/>
      <c r="B2055" s="542"/>
      <c r="C2055" s="542"/>
      <c r="D2055" s="542"/>
      <c r="E2055" s="542"/>
      <c r="F2055" s="542"/>
      <c r="G2055" s="542"/>
      <c r="H2055" s="543"/>
    </row>
    <row r="2056" spans="1:14">
      <c r="A2056" s="541"/>
      <c r="B2056" s="542"/>
      <c r="C2056" s="542"/>
      <c r="D2056" s="542"/>
      <c r="E2056" s="542"/>
      <c r="F2056" s="542"/>
      <c r="G2056" s="542"/>
      <c r="H2056" s="543"/>
    </row>
    <row r="2057" spans="1:14" ht="15" customHeight="1">
      <c r="A2057" s="541"/>
      <c r="B2057" s="542"/>
      <c r="C2057" s="542"/>
      <c r="D2057" s="542"/>
      <c r="E2057" s="542"/>
      <c r="F2057" s="542"/>
      <c r="G2057" s="542"/>
      <c r="H2057" s="197">
        <f ca="1">TODAY()</f>
        <v>44889</v>
      </c>
      <c r="K2057" t="s">
        <v>4380</v>
      </c>
      <c r="L2057" t="s">
        <v>4381</v>
      </c>
      <c r="M2057" t="s">
        <v>4382</v>
      </c>
      <c r="N2057" t="s">
        <v>4383</v>
      </c>
    </row>
    <row r="2058" spans="1:14" ht="60.75" customHeight="1">
      <c r="A2058" s="209" t="s">
        <v>4211</v>
      </c>
      <c r="B2058" s="544" t="str">
        <f>COSTOS!$D$16</f>
        <v>Luminarias</v>
      </c>
      <c r="C2058" s="544"/>
      <c r="D2058" s="544"/>
      <c r="E2058" s="544"/>
      <c r="F2058" s="544"/>
      <c r="G2058" s="60" t="s">
        <v>4212</v>
      </c>
      <c r="H2058" s="363">
        <v>1.41</v>
      </c>
      <c r="K2058" s="55" t="e">
        <f>H2083</f>
        <v>#VALUE!</v>
      </c>
      <c r="L2058" s="55">
        <f>H2093</f>
        <v>17212.1728</v>
      </c>
      <c r="M2058" s="55" t="e">
        <f>H2066</f>
        <v>#VALUE!</v>
      </c>
      <c r="N2058" s="55" t="e">
        <f>H2087</f>
        <v>#VALUE!</v>
      </c>
    </row>
    <row r="2059" spans="1:14" ht="43.2" customHeight="1">
      <c r="A2059" s="210" t="s">
        <v>4213</v>
      </c>
      <c r="B2059" s="545" t="str">
        <f>VLOOKUP(H2058,COSTOS!C:M,2,0)</f>
        <v>Luminaria Led baja eficiencia 30w</v>
      </c>
      <c r="C2059" s="546"/>
      <c r="D2059" s="546"/>
      <c r="E2059" s="547"/>
      <c r="F2059" s="61" t="s">
        <v>0</v>
      </c>
      <c r="G2059" s="328" t="str">
        <f>VLOOKUP(H2058,COSTOS!C:M,8,0)</f>
        <v>Und</v>
      </c>
      <c r="H2059" s="248"/>
      <c r="I2059" s="278"/>
      <c r="J2059" s="280"/>
      <c r="K2059" s="280"/>
      <c r="L2059" s="280"/>
    </row>
    <row r="2060" spans="1:14">
      <c r="A2060" s="211"/>
      <c r="B2060" s="102"/>
      <c r="C2060" s="102"/>
      <c r="D2060" s="102"/>
      <c r="E2060" s="103"/>
      <c r="F2060" s="104" t="s">
        <v>1</v>
      </c>
      <c r="G2060" s="328">
        <f>VLOOKUP(H2058,COSTOS!C:M,9,0)</f>
        <v>0</v>
      </c>
      <c r="H2060" s="329"/>
      <c r="I2060" s="279"/>
    </row>
    <row r="2061" spans="1:14">
      <c r="A2061" s="212" t="s">
        <v>4215</v>
      </c>
      <c r="B2061" s="65"/>
      <c r="C2061" s="65"/>
      <c r="D2061" s="66"/>
      <c r="E2061" s="190"/>
      <c r="F2061" s="191"/>
      <c r="G2061" s="192" t="s">
        <v>4216</v>
      </c>
      <c r="H2061" s="198" t="e">
        <f>H2066+H2083+H2087+H2093</f>
        <v>#VALUE!</v>
      </c>
    </row>
    <row r="2062" spans="1:14" ht="41.4">
      <c r="A2062" s="548" t="s">
        <v>4213</v>
      </c>
      <c r="B2062" s="548"/>
      <c r="C2062" s="548"/>
      <c r="D2062" s="67" t="s">
        <v>0</v>
      </c>
      <c r="E2062" s="188" t="s">
        <v>4217</v>
      </c>
      <c r="F2062" s="189" t="s">
        <v>4204</v>
      </c>
      <c r="G2062" s="64" t="s">
        <v>2</v>
      </c>
      <c r="H2062" s="199" t="s">
        <v>4218</v>
      </c>
      <c r="K2062" s="281"/>
    </row>
    <row r="2063" spans="1:14">
      <c r="A2063" s="517" t="s">
        <v>3946</v>
      </c>
      <c r="B2063" s="549">
        <f>VLOOKUP(A2063,'Equip, Herr y Transp'!$B$2:$E$738,2,0)</f>
        <v>2</v>
      </c>
      <c r="C2063" s="549"/>
      <c r="D2063" s="85">
        <f>VLOOKUP(A2063,'Equip, Herr y Transp'!$B$2:$E$217,2,0)</f>
        <v>2</v>
      </c>
      <c r="E2063" s="85" t="str">
        <f>VLOOKUP(A2063,'Equip, Herr y Transp'!$B$2:$E$217,3,0)</f>
        <v>EQU</v>
      </c>
      <c r="F2063" s="86">
        <f>H2053</f>
        <v>5.21E-2</v>
      </c>
      <c r="G2063" s="112" t="e">
        <f>F2063*E2063</f>
        <v>#VALUE!</v>
      </c>
      <c r="H2063" s="108"/>
    </row>
    <row r="2064" spans="1:14">
      <c r="A2064" s="517" t="s">
        <v>3904</v>
      </c>
      <c r="B2064" s="549">
        <f>VLOOKUP(A2064,'Equip, Herr y Transp'!$B$2:$E$738,2,0)</f>
        <v>2</v>
      </c>
      <c r="C2064" s="549"/>
      <c r="D2064" s="85">
        <f>VLOOKUP(A2064,'Equip, Herr y Transp'!$B$2:$E$217,2,0)</f>
        <v>2</v>
      </c>
      <c r="E2064" s="85" t="str">
        <f>VLOOKUP(A2064,'Equip, Herr y Transp'!$B$2:$E$217,3,0)</f>
        <v>EQU</v>
      </c>
      <c r="F2064" s="86">
        <f>H2053</f>
        <v>5.21E-2</v>
      </c>
      <c r="G2064" s="112" t="e">
        <f>F2064*E2064</f>
        <v>#VALUE!</v>
      </c>
      <c r="H2064" s="107"/>
    </row>
    <row r="2065" spans="1:15">
      <c r="A2065" s="517" t="s">
        <v>3937</v>
      </c>
      <c r="B2065" s="549">
        <f>VLOOKUP(A2065,'Equip, Herr y Transp'!$B$2:$E$738,2,0)</f>
        <v>2</v>
      </c>
      <c r="C2065" s="549"/>
      <c r="D2065" s="85">
        <f>VLOOKUP(A2065,'Equip, Herr y Transp'!$B$2:$E$217,2,0)</f>
        <v>2</v>
      </c>
      <c r="E2065" s="85" t="str">
        <f>VLOOKUP(A2065,'Equip, Herr y Transp'!$B$2:$E$217,3,0)</f>
        <v>EQU</v>
      </c>
      <c r="F2065" s="86">
        <f>H2053</f>
        <v>5.21E-2</v>
      </c>
      <c r="G2065" s="112" t="e">
        <f>F2065*E2065</f>
        <v>#VALUE!</v>
      </c>
      <c r="H2065" s="107"/>
    </row>
    <row r="2066" spans="1:15">
      <c r="A2066" s="520" t="s">
        <v>4099</v>
      </c>
      <c r="B2066" s="521"/>
      <c r="C2066" s="521"/>
      <c r="D2066" s="521"/>
      <c r="E2066" s="521"/>
      <c r="F2066" s="521"/>
      <c r="G2066" s="521"/>
      <c r="H2066" s="87" t="e">
        <f>SUM(G2063:G2065)</f>
        <v>#VALUE!</v>
      </c>
    </row>
    <row r="2067" spans="1:15">
      <c r="A2067" s="550" t="s">
        <v>4219</v>
      </c>
      <c r="B2067" s="551"/>
      <c r="C2067" s="551"/>
      <c r="D2067" s="551"/>
      <c r="E2067" s="551"/>
      <c r="F2067" s="551"/>
      <c r="G2067" s="551"/>
      <c r="H2067" s="552"/>
      <c r="K2067" s="50"/>
      <c r="L2067" s="50"/>
      <c r="M2067" s="50"/>
      <c r="N2067" s="50"/>
      <c r="O2067" s="50"/>
    </row>
    <row r="2068" spans="1:15" ht="30" customHeight="1">
      <c r="A2068" s="553" t="s">
        <v>7</v>
      </c>
      <c r="B2068" s="554"/>
      <c r="C2068" s="99" t="s">
        <v>0</v>
      </c>
      <c r="D2068" s="100" t="s">
        <v>4097</v>
      </c>
      <c r="E2068" s="101" t="s">
        <v>1</v>
      </c>
      <c r="F2068" s="555" t="s">
        <v>4207</v>
      </c>
      <c r="G2068" s="555"/>
      <c r="H2068" s="196"/>
      <c r="K2068" s="50"/>
      <c r="L2068" s="50"/>
      <c r="M2068" s="50"/>
      <c r="N2068" s="50"/>
      <c r="O2068" s="50"/>
    </row>
    <row r="2069" spans="1:15">
      <c r="A2069" s="535" t="s">
        <v>4712</v>
      </c>
      <c r="B2069" s="536"/>
      <c r="C2069" s="88">
        <f>VLOOKUP(A2069,'Materiales '!$C$2:$G$396,3,0)</f>
        <v>4</v>
      </c>
      <c r="D2069" s="89" t="str">
        <f>VLOOKUP(A2069,'Materiales '!$C$2:$G$396,4,0)</f>
        <v>Und</v>
      </c>
      <c r="E2069" s="90">
        <v>1</v>
      </c>
      <c r="F2069" s="508" t="e">
        <f>E2069*D2069</f>
        <v>#VALUE!</v>
      </c>
      <c r="G2069" s="519"/>
      <c r="H2069" s="111"/>
      <c r="I2069">
        <f>E2069*G2060</f>
        <v>0</v>
      </c>
      <c r="J2069" s="57"/>
      <c r="K2069" s="50"/>
      <c r="L2069" s="50"/>
      <c r="M2069" s="50"/>
      <c r="N2069" s="50"/>
      <c r="O2069" s="50"/>
    </row>
    <row r="2070" spans="1:15">
      <c r="A2070" s="535" t="s">
        <v>4203</v>
      </c>
      <c r="B2070" s="536"/>
      <c r="C2070" s="88">
        <f>VLOOKUP(A2070,'Materiales '!$C$2:$G$396,3,0)</f>
        <v>4</v>
      </c>
      <c r="D2070" s="89" t="str">
        <f>VLOOKUP(A2070,'Materiales '!$C$2:$G$396,4,0)</f>
        <v>Und</v>
      </c>
      <c r="E2070" s="90">
        <v>1</v>
      </c>
      <c r="F2070" s="508" t="e">
        <f t="shared" ref="F2070:F2076" si="121">E2070*D2070</f>
        <v>#VALUE!</v>
      </c>
      <c r="G2070" s="519"/>
      <c r="H2070" s="111"/>
      <c r="I2070">
        <f>E2070*G2060</f>
        <v>0</v>
      </c>
      <c r="J2070" s="57"/>
      <c r="K2070" s="50"/>
      <c r="L2070" s="50"/>
      <c r="M2070" s="50"/>
      <c r="N2070" s="50"/>
      <c r="O2070" s="50"/>
    </row>
    <row r="2071" spans="1:15">
      <c r="A2071" s="517" t="s">
        <v>4473</v>
      </c>
      <c r="B2071" s="518">
        <f>VLOOKUP(A2071,'Materiales '!$C$2:$G$396,3,0)</f>
        <v>4</v>
      </c>
      <c r="C2071" s="88">
        <f>VLOOKUP(A2071,'Materiales '!$C$2:$G$396,3,0)</f>
        <v>4</v>
      </c>
      <c r="D2071" s="89" t="str">
        <f>VLOOKUP(A2071,'Materiales '!$C$2:$G$396,4,0)</f>
        <v>Und</v>
      </c>
      <c r="E2071" s="90">
        <v>2</v>
      </c>
      <c r="F2071" s="508" t="e">
        <f t="shared" si="121"/>
        <v>#VALUE!</v>
      </c>
      <c r="G2071" s="519"/>
      <c r="H2071" s="111"/>
      <c r="I2071">
        <f>E2071*G2060</f>
        <v>0</v>
      </c>
      <c r="J2071" s="58"/>
      <c r="K2071" s="50"/>
      <c r="L2071" s="50"/>
      <c r="M2071" s="50"/>
      <c r="N2071" s="50"/>
      <c r="O2071" s="50"/>
    </row>
    <row r="2072" spans="1:15">
      <c r="A2072" s="517" t="s">
        <v>4478</v>
      </c>
      <c r="B2072" s="518">
        <f>VLOOKUP(A2072,'Materiales '!$C$2:$G$396,3,0)</f>
        <v>4</v>
      </c>
      <c r="C2072" s="88">
        <f>VLOOKUP(A2072,'Materiales '!$C$2:$G$396,3,0)</f>
        <v>4</v>
      </c>
      <c r="D2072" s="89" t="str">
        <f>VLOOKUP(A2072,'Materiales '!$C$2:$G$396,4,0)</f>
        <v>Und</v>
      </c>
      <c r="E2072" s="90">
        <v>3</v>
      </c>
      <c r="F2072" s="508" t="e">
        <f t="shared" si="121"/>
        <v>#VALUE!</v>
      </c>
      <c r="G2072" s="519"/>
      <c r="H2072" s="111"/>
      <c r="I2072">
        <f>E2072*G2060</f>
        <v>0</v>
      </c>
      <c r="J2072" s="58"/>
      <c r="K2072" s="50"/>
      <c r="L2072" s="50"/>
      <c r="M2072" s="50"/>
      <c r="N2072" s="50"/>
      <c r="O2072" s="50"/>
    </row>
    <row r="2073" spans="1:15">
      <c r="A2073" s="517" t="s">
        <v>4543</v>
      </c>
      <c r="B2073" s="518">
        <f>VLOOKUP(A2073,'Materiales '!$C$2:$G$396,3,0)</f>
        <v>4</v>
      </c>
      <c r="C2073" s="88">
        <f>VLOOKUP(A2073,'Materiales '!$C$2:$G$396,3,0)</f>
        <v>4</v>
      </c>
      <c r="D2073" s="89" t="str">
        <f>VLOOKUP(A2073,'Materiales '!$C$2:$G$396,4,0)</f>
        <v>Und</v>
      </c>
      <c r="E2073" s="90">
        <v>2</v>
      </c>
      <c r="F2073" s="508" t="e">
        <f t="shared" si="121"/>
        <v>#VALUE!</v>
      </c>
      <c r="G2073" s="519"/>
      <c r="H2073" s="111"/>
      <c r="I2073">
        <f>E2073*G2060</f>
        <v>0</v>
      </c>
      <c r="J2073" s="58"/>
      <c r="K2073" s="50"/>
      <c r="L2073" s="50"/>
      <c r="M2073" s="50"/>
      <c r="N2073" s="50"/>
      <c r="O2073" s="50"/>
    </row>
    <row r="2074" spans="1:15">
      <c r="A2074" s="517" t="s">
        <v>4439</v>
      </c>
      <c r="B2074" s="518">
        <f>VLOOKUP(A2074,'Materiales '!$C$2:$G$396,3,0)</f>
        <v>2</v>
      </c>
      <c r="C2074" s="88">
        <f>VLOOKUP(A2074,'Materiales '!$C$2:$G$396,3,0)</f>
        <v>2</v>
      </c>
      <c r="D2074" s="89" t="str">
        <f>VLOOKUP(A2074,'Materiales '!$C$2:$G$396,4,0)</f>
        <v>Ml</v>
      </c>
      <c r="E2074" s="90">
        <v>1</v>
      </c>
      <c r="F2074" s="508" t="e">
        <f t="shared" si="121"/>
        <v>#VALUE!</v>
      </c>
      <c r="G2074" s="519"/>
      <c r="H2074" s="111"/>
      <c r="I2074">
        <f>E2074*G2060</f>
        <v>0</v>
      </c>
      <c r="J2074" s="58"/>
      <c r="K2074" s="50"/>
      <c r="L2074" s="50"/>
      <c r="M2074" s="50"/>
      <c r="N2074" s="50"/>
      <c r="O2074" s="50"/>
    </row>
    <row r="2075" spans="1:15">
      <c r="A2075" s="517" t="s">
        <v>4482</v>
      </c>
      <c r="B2075" s="518">
        <f>VLOOKUP(A2075,'Materiales '!$C$2:$G$396,3,0)</f>
        <v>4</v>
      </c>
      <c r="C2075" s="88">
        <f>VLOOKUP(A2075,'Materiales '!$C$2:$G$396,3,0)</f>
        <v>4</v>
      </c>
      <c r="D2075" s="89" t="str">
        <f>VLOOKUP(A2075,'Materiales '!$C$2:$G$396,4,0)</f>
        <v>Und</v>
      </c>
      <c r="E2075" s="90">
        <v>3</v>
      </c>
      <c r="F2075" s="508" t="e">
        <f t="shared" si="121"/>
        <v>#VALUE!</v>
      </c>
      <c r="G2075" s="519"/>
      <c r="H2075" s="111"/>
      <c r="I2075">
        <f>E2075*G2060</f>
        <v>0</v>
      </c>
      <c r="J2075" s="58"/>
      <c r="K2075" s="50"/>
      <c r="L2075" s="50"/>
      <c r="M2075" s="50"/>
      <c r="N2075" s="50"/>
      <c r="O2075" s="50"/>
    </row>
    <row r="2076" spans="1:15" ht="21.75" customHeight="1">
      <c r="A2076" s="517" t="s">
        <v>4424</v>
      </c>
      <c r="B2076" s="518">
        <f>VLOOKUP(A2076,'Materiales '!$C$2:$G$396,3,0)</f>
        <v>4</v>
      </c>
      <c r="C2076" s="88">
        <f>VLOOKUP(A2076,'Materiales '!$C$2:$G$396,3,0)</f>
        <v>4</v>
      </c>
      <c r="D2076" s="89" t="str">
        <f>VLOOKUP(A2076,'Materiales '!$C$2:$G$396,4,0)</f>
        <v>Und</v>
      </c>
      <c r="E2076" s="90">
        <v>1</v>
      </c>
      <c r="F2076" s="508" t="e">
        <f t="shared" si="121"/>
        <v>#VALUE!</v>
      </c>
      <c r="G2076" s="519"/>
      <c r="H2076" s="111"/>
      <c r="I2076">
        <f>E2076*G2060</f>
        <v>0</v>
      </c>
      <c r="J2076" s="58"/>
      <c r="K2076" s="50"/>
      <c r="L2076" s="50"/>
      <c r="M2076" s="50"/>
      <c r="N2076" s="50"/>
      <c r="O2076" s="50"/>
    </row>
    <row r="2077" spans="1:15">
      <c r="A2077" s="517" t="s">
        <v>8</v>
      </c>
      <c r="B2077" s="518">
        <f>VLOOKUP(A2077,'Materiales '!$C$2:$G$396,3,0)</f>
        <v>0</v>
      </c>
      <c r="C2077" s="88">
        <f>VLOOKUP(A2077,'Materiales '!$C$2:$G$396,3,0)</f>
        <v>0</v>
      </c>
      <c r="D2077" s="89" t="str">
        <f>VLOOKUP(A2077,'Materiales '!$C$2:$G$396,4,0)</f>
        <v>-</v>
      </c>
      <c r="E2077" s="90"/>
      <c r="F2077" s="508" t="e">
        <f>E2077*D2077</f>
        <v>#VALUE!</v>
      </c>
      <c r="G2077" s="519"/>
      <c r="H2077" s="110"/>
      <c r="I2077">
        <f>E2077*G2060</f>
        <v>0</v>
      </c>
      <c r="J2077" s="58"/>
      <c r="K2077" s="50"/>
      <c r="L2077" s="50"/>
      <c r="M2077" s="50"/>
      <c r="N2077" s="50"/>
      <c r="O2077" s="50"/>
    </row>
    <row r="2078" spans="1:15">
      <c r="A2078" s="517" t="s">
        <v>8</v>
      </c>
      <c r="B2078" s="518">
        <f>VLOOKUP(A2078,'Materiales '!$C$2:$G$396,3,0)</f>
        <v>0</v>
      </c>
      <c r="C2078" s="88">
        <f>VLOOKUP(A2078,'Materiales '!$C$2:$G$396,3,0)</f>
        <v>0</v>
      </c>
      <c r="D2078" s="89" t="str">
        <f>VLOOKUP(A2078,'Materiales '!$C$2:$G$396,4,0)</f>
        <v>-</v>
      </c>
      <c r="E2078" s="90"/>
      <c r="F2078" s="508" t="e">
        <f t="shared" ref="F2078:F2081" si="122">E2078*D2078</f>
        <v>#VALUE!</v>
      </c>
      <c r="G2078" s="519"/>
      <c r="H2078" s="111"/>
      <c r="I2078">
        <f>E2078*G2060</f>
        <v>0</v>
      </c>
      <c r="J2078" s="58"/>
      <c r="K2078" s="50"/>
      <c r="L2078" s="50"/>
      <c r="M2078" s="50"/>
      <c r="N2078" s="50"/>
      <c r="O2078" s="50"/>
    </row>
    <row r="2079" spans="1:15">
      <c r="A2079" s="517" t="s">
        <v>8</v>
      </c>
      <c r="B2079" s="518">
        <f>VLOOKUP(A2079,'Materiales '!$C$2:$G$396,3,0)</f>
        <v>0</v>
      </c>
      <c r="C2079" s="88">
        <f>VLOOKUP(A2079,'Materiales '!$C$2:$G$396,3,0)</f>
        <v>0</v>
      </c>
      <c r="D2079" s="89" t="str">
        <f>VLOOKUP(A2079,'Materiales '!$C$2:$G$396,4,0)</f>
        <v>-</v>
      </c>
      <c r="E2079" s="90"/>
      <c r="F2079" s="508" t="e">
        <f t="shared" si="122"/>
        <v>#VALUE!</v>
      </c>
      <c r="G2079" s="519"/>
      <c r="H2079" s="111"/>
      <c r="I2079">
        <f>E2079*G2060</f>
        <v>0</v>
      </c>
      <c r="J2079" s="58"/>
      <c r="K2079" s="50"/>
      <c r="L2079" s="50"/>
      <c r="M2079" s="50"/>
      <c r="N2079" s="50"/>
      <c r="O2079" s="50"/>
    </row>
    <row r="2080" spans="1:15">
      <c r="A2080" s="517" t="s">
        <v>8</v>
      </c>
      <c r="B2080" s="518">
        <f>VLOOKUP(A2080,'Materiales '!$C$2:$G$396,3,0)</f>
        <v>0</v>
      </c>
      <c r="C2080" s="88">
        <f>VLOOKUP(A2080,'Materiales '!$C$2:$G$396,3,0)</f>
        <v>0</v>
      </c>
      <c r="D2080" s="89" t="str">
        <f>VLOOKUP(A2080,'Materiales '!$C$2:$G$396,4,0)</f>
        <v>-</v>
      </c>
      <c r="E2080" s="90"/>
      <c r="F2080" s="508" t="e">
        <f t="shared" si="122"/>
        <v>#VALUE!</v>
      </c>
      <c r="G2080" s="519"/>
      <c r="H2080" s="111"/>
      <c r="I2080">
        <f>E2080*G2060</f>
        <v>0</v>
      </c>
      <c r="J2080" s="58"/>
      <c r="K2080" s="50"/>
      <c r="L2080" s="50"/>
      <c r="M2080" s="50"/>
      <c r="N2080" s="50"/>
      <c r="O2080" s="50"/>
    </row>
    <row r="2081" spans="1:15">
      <c r="A2081" s="517" t="s">
        <v>8</v>
      </c>
      <c r="B2081" s="518">
        <f>VLOOKUP(A2081,'Materiales '!$C$2:$G$396,3,0)</f>
        <v>0</v>
      </c>
      <c r="C2081" s="88">
        <f>VLOOKUP(A2081,'Materiales '!$C$2:$G$396,3,0)</f>
        <v>0</v>
      </c>
      <c r="D2081" s="89" t="str">
        <f>VLOOKUP(A2081,'Materiales '!$C$2:$G$396,4,0)</f>
        <v>-</v>
      </c>
      <c r="E2081" s="90"/>
      <c r="F2081" s="508" t="e">
        <f t="shared" si="122"/>
        <v>#VALUE!</v>
      </c>
      <c r="G2081" s="519"/>
      <c r="H2081" s="111"/>
      <c r="I2081">
        <f>E2081*G2060</f>
        <v>0</v>
      </c>
      <c r="J2081" s="58"/>
      <c r="K2081" s="50"/>
      <c r="L2081" s="50"/>
      <c r="M2081" s="50"/>
      <c r="N2081" s="50"/>
      <c r="O2081" s="50"/>
    </row>
    <row r="2082" spans="1:15">
      <c r="A2082" s="517" t="s">
        <v>8</v>
      </c>
      <c r="B2082" s="518">
        <f>VLOOKUP(A2082,'Materiales '!$C$2:$G$396,3,0)</f>
        <v>0</v>
      </c>
      <c r="C2082" s="88">
        <f>VLOOKUP(A2082,'Materiales '!$C$2:$G$396,3,0)</f>
        <v>0</v>
      </c>
      <c r="D2082" s="89" t="str">
        <f>VLOOKUP(A2082,'Materiales '!$C$2:$G$396,4,0)</f>
        <v>-</v>
      </c>
      <c r="E2082" s="90"/>
      <c r="F2082" s="508" t="e">
        <f>E2082*D2082</f>
        <v>#VALUE!</v>
      </c>
      <c r="G2082" s="519"/>
      <c r="H2082" s="110"/>
      <c r="I2082">
        <f>E2082*G2060</f>
        <v>0</v>
      </c>
      <c r="J2082" s="58"/>
      <c r="K2082" s="50"/>
      <c r="L2082" s="50"/>
      <c r="M2082" s="50"/>
      <c r="N2082" s="50"/>
      <c r="O2082" s="50"/>
    </row>
    <row r="2083" spans="1:15">
      <c r="A2083" s="520" t="s">
        <v>4098</v>
      </c>
      <c r="B2083" s="521"/>
      <c r="C2083" s="521"/>
      <c r="D2083" s="521"/>
      <c r="E2083" s="521"/>
      <c r="F2083" s="521"/>
      <c r="G2083" s="522"/>
      <c r="H2083" s="106" t="e">
        <f>SUM(F2069:F2082)</f>
        <v>#VALUE!</v>
      </c>
      <c r="J2083" s="58"/>
      <c r="K2083" s="50"/>
      <c r="L2083" s="50"/>
      <c r="M2083" s="50"/>
      <c r="N2083" s="50"/>
      <c r="O2083" s="50"/>
    </row>
    <row r="2084" spans="1:15">
      <c r="A2084" s="523" t="s">
        <v>4220</v>
      </c>
      <c r="B2084" s="524"/>
      <c r="C2084" s="524"/>
      <c r="D2084" s="524"/>
      <c r="E2084" s="525"/>
      <c r="F2084" s="524"/>
      <c r="G2084" s="524"/>
      <c r="H2084" s="526"/>
      <c r="J2084" s="58"/>
      <c r="K2084" s="50"/>
      <c r="L2084" s="50"/>
      <c r="M2084" s="50"/>
      <c r="N2084" s="50"/>
      <c r="O2084" s="50"/>
    </row>
    <row r="2085" spans="1:15">
      <c r="A2085" s="527" t="s">
        <v>7</v>
      </c>
      <c r="B2085" s="528"/>
      <c r="C2085" s="98" t="s">
        <v>4221</v>
      </c>
      <c r="D2085" s="97" t="s">
        <v>4222</v>
      </c>
      <c r="E2085" s="187" t="s">
        <v>4223</v>
      </c>
      <c r="F2085" s="529" t="s">
        <v>4207</v>
      </c>
      <c r="G2085" s="529"/>
      <c r="H2085" s="109"/>
      <c r="K2085" s="50"/>
      <c r="L2085" s="50"/>
      <c r="M2085" s="50"/>
      <c r="N2085" s="50"/>
      <c r="O2085" s="50"/>
    </row>
    <row r="2086" spans="1:15">
      <c r="A2086" s="506" t="s">
        <v>3928</v>
      </c>
      <c r="B2086" s="507"/>
      <c r="C2086" s="213">
        <v>1</v>
      </c>
      <c r="D2086" s="92">
        <v>0.03</v>
      </c>
      <c r="E2086" s="93" t="str">
        <f>VLOOKUP(A2086,'Equip, Herr y Transp'!$B$2:$E$217,3,0)</f>
        <v>TR</v>
      </c>
      <c r="F2086" s="530" t="e">
        <f>E2086*D2086*C2086</f>
        <v>#VALUE!</v>
      </c>
      <c r="G2086" s="531"/>
      <c r="H2086" s="107"/>
      <c r="M2086" s="50"/>
    </row>
    <row r="2087" spans="1:15">
      <c r="A2087" s="532" t="s">
        <v>4205</v>
      </c>
      <c r="B2087" s="533"/>
      <c r="C2087" s="533"/>
      <c r="D2087" s="533"/>
      <c r="E2087" s="533"/>
      <c r="F2087" s="533"/>
      <c r="G2087" s="533"/>
      <c r="H2087" s="95" t="e">
        <f>F2086</f>
        <v>#VALUE!</v>
      </c>
    </row>
    <row r="2088" spans="1:15">
      <c r="A2088" s="523" t="s">
        <v>4224</v>
      </c>
      <c r="B2088" s="524"/>
      <c r="C2088" s="524"/>
      <c r="D2088" s="524"/>
      <c r="E2088" s="524"/>
      <c r="F2088" s="524"/>
      <c r="G2088" s="524"/>
      <c r="H2088" s="526"/>
    </row>
    <row r="2089" spans="1:15">
      <c r="A2089" s="527" t="s">
        <v>7</v>
      </c>
      <c r="B2089" s="528"/>
      <c r="C2089" s="96" t="s">
        <v>1</v>
      </c>
      <c r="D2089" s="97" t="s">
        <v>4225</v>
      </c>
      <c r="E2089" s="98" t="s">
        <v>4204</v>
      </c>
      <c r="F2089" s="527" t="s">
        <v>5</v>
      </c>
      <c r="G2089" s="534"/>
      <c r="H2089" s="109"/>
    </row>
    <row r="2090" spans="1:15">
      <c r="A2090" s="506" t="s">
        <v>4191</v>
      </c>
      <c r="B2090" s="507"/>
      <c r="C2090" s="91">
        <v>1</v>
      </c>
      <c r="D2090" s="94">
        <f>VLOOKUP(A2090,'Mano Obra'!$B$2:$T$117,19,0)</f>
        <v>152456</v>
      </c>
      <c r="E2090" s="218">
        <f>H2053</f>
        <v>5.21E-2</v>
      </c>
      <c r="F2090" s="508">
        <f>E2090*D2090*C2090</f>
        <v>7942.9575999999997</v>
      </c>
      <c r="G2090" s="509"/>
      <c r="H2090" s="111"/>
      <c r="I2090" s="59"/>
      <c r="J2090" s="117">
        <f>((('Mano Obra'!$M$4/30)*F2090)/D2090)*G2060</f>
        <v>0</v>
      </c>
    </row>
    <row r="2091" spans="1:15">
      <c r="A2091" s="510" t="s">
        <v>4192</v>
      </c>
      <c r="B2091" s="511">
        <f>VLOOKUP(A2091,'Mano Obra'!$B$3:$D$290,2,0)</f>
        <v>1900000</v>
      </c>
      <c r="C2091" s="91">
        <v>1</v>
      </c>
      <c r="D2091" s="94">
        <f>VLOOKUP(A2091,'Mano Obra'!$B$2:$T$117,19,0)</f>
        <v>110488</v>
      </c>
      <c r="E2091" s="218">
        <f>H2053</f>
        <v>5.21E-2</v>
      </c>
      <c r="F2091" s="508">
        <f t="shared" ref="F2091:F2092" si="123">E2091*D2091*C2091</f>
        <v>5756.4247999999998</v>
      </c>
      <c r="G2091" s="509"/>
      <c r="H2091" s="111"/>
      <c r="J2091" s="117">
        <f>((('Mano Obra'!$M$5/30)*F2091)/D2091)*G2060</f>
        <v>0</v>
      </c>
    </row>
    <row r="2092" spans="1:15">
      <c r="A2092" s="510" t="s">
        <v>4181</v>
      </c>
      <c r="B2092" s="511">
        <f>VLOOKUP(A2092,'Mano Obra'!$B$3:$D$290,2,0)</f>
        <v>1000000</v>
      </c>
      <c r="C2092" s="91">
        <v>1</v>
      </c>
      <c r="D2092" s="94">
        <f>VLOOKUP(A2092,'Mano Obra'!$B$2:$T$117,19,0)</f>
        <v>67424</v>
      </c>
      <c r="E2092" s="218">
        <f>H2053</f>
        <v>5.21E-2</v>
      </c>
      <c r="F2092" s="508">
        <f t="shared" si="123"/>
        <v>3512.7903999999999</v>
      </c>
      <c r="G2092" s="509"/>
      <c r="H2092" s="110"/>
      <c r="J2092" s="117">
        <f>((('Mano Obra'!$M$6/30)*F2092)/D2092)*G2060</f>
        <v>0</v>
      </c>
    </row>
    <row r="2093" spans="1:15">
      <c r="A2093" s="512" t="s">
        <v>4100</v>
      </c>
      <c r="B2093" s="512"/>
      <c r="C2093" s="512"/>
      <c r="D2093" s="512"/>
      <c r="E2093" s="512"/>
      <c r="F2093" s="512"/>
      <c r="G2093" s="512"/>
      <c r="H2093" s="95">
        <f>SUM(F2090:F2092)</f>
        <v>17212.1728</v>
      </c>
      <c r="J2093" s="117"/>
    </row>
    <row r="2094" spans="1:15">
      <c r="A2094" s="208" t="s">
        <v>4226</v>
      </c>
      <c r="B2094" s="186"/>
      <c r="C2094" s="186"/>
      <c r="D2094" s="183"/>
      <c r="E2094" s="184"/>
      <c r="F2094" s="185"/>
      <c r="G2094" s="184"/>
      <c r="H2094" s="193"/>
    </row>
    <row r="2095" spans="1:15">
      <c r="A2095" s="513" t="s">
        <v>4213</v>
      </c>
      <c r="B2095" s="514"/>
      <c r="C2095" s="514"/>
      <c r="D2095" s="514"/>
      <c r="E2095" s="181"/>
      <c r="F2095" s="182" t="s">
        <v>4227</v>
      </c>
      <c r="G2095" s="181" t="s">
        <v>4228</v>
      </c>
      <c r="H2095" s="194"/>
    </row>
    <row r="2096" spans="1:15">
      <c r="A2096" s="204" t="s">
        <v>4096</v>
      </c>
      <c r="B2096" s="62"/>
      <c r="C2096" s="62"/>
      <c r="D2096" s="63"/>
      <c r="E2096" s="68"/>
      <c r="F2096" s="69">
        <v>0</v>
      </c>
      <c r="G2096" s="70" t="e">
        <f>F2096*H2061</f>
        <v>#VALUE!</v>
      </c>
      <c r="H2096" s="193"/>
    </row>
    <row r="2097" spans="1:14">
      <c r="A2097" s="205" t="s">
        <v>4229</v>
      </c>
      <c r="B2097" s="71"/>
      <c r="C2097" s="71"/>
      <c r="D2097" s="72"/>
      <c r="E2097" s="68"/>
      <c r="F2097" s="69">
        <v>0</v>
      </c>
      <c r="G2097" s="70" t="e">
        <f>F2097*H2061</f>
        <v>#VALUE!</v>
      </c>
      <c r="H2097" s="193"/>
    </row>
    <row r="2098" spans="1:14">
      <c r="A2098" s="205" t="s">
        <v>4</v>
      </c>
      <c r="B2098" s="71"/>
      <c r="C2098" s="71"/>
      <c r="D2098" s="72"/>
      <c r="E2098" s="68"/>
      <c r="F2098" s="69">
        <v>0</v>
      </c>
      <c r="G2098" s="70" t="e">
        <f>F2098*H2061</f>
        <v>#VALUE!</v>
      </c>
      <c r="H2098" s="193"/>
    </row>
    <row r="2099" spans="1:14">
      <c r="A2099" s="206"/>
      <c r="B2099" s="73"/>
      <c r="C2099" s="65"/>
      <c r="D2099" s="74"/>
      <c r="E2099" s="75"/>
      <c r="F2099" s="76"/>
      <c r="G2099" s="77"/>
      <c r="H2099" s="195"/>
    </row>
    <row r="2100" spans="1:14">
      <c r="A2100" s="207"/>
      <c r="B2100" s="73"/>
      <c r="C2100" s="73"/>
      <c r="D2100" s="74"/>
      <c r="E2100" s="78"/>
      <c r="F2100" s="515" t="s">
        <v>4230</v>
      </c>
      <c r="G2100" s="516"/>
      <c r="H2100" s="214" t="e">
        <f>H2061+G2096+G2097+G2098</f>
        <v>#VALUE!</v>
      </c>
    </row>
    <row r="2101" spans="1:14">
      <c r="A2101" s="73"/>
      <c r="B2101" s="73"/>
      <c r="C2101" s="73"/>
      <c r="D2101" s="74"/>
      <c r="E2101" s="360"/>
      <c r="F2101" s="361"/>
      <c r="G2101" s="361"/>
      <c r="H2101" s="362"/>
    </row>
    <row r="2102" spans="1:14">
      <c r="A2102" s="80"/>
      <c r="B2102" s="80"/>
      <c r="C2102" s="80"/>
      <c r="D2102" s="80"/>
      <c r="E2102" s="80"/>
      <c r="F2102" s="80"/>
      <c r="G2102" s="80"/>
      <c r="H2102" s="353"/>
    </row>
    <row r="2103" spans="1:14">
      <c r="A2103" s="537" t="s">
        <v>4214</v>
      </c>
      <c r="B2103" s="538"/>
      <c r="C2103" s="538"/>
      <c r="D2103" s="538"/>
      <c r="E2103" s="538"/>
      <c r="F2103" s="538"/>
      <c r="G2103" s="538"/>
      <c r="H2103" s="539"/>
    </row>
    <row r="2104" spans="1:14">
      <c r="A2104" s="81"/>
      <c r="B2104" s="82"/>
      <c r="C2104" s="82"/>
      <c r="D2104" s="82"/>
      <c r="E2104" s="82"/>
      <c r="F2104" s="83"/>
      <c r="G2104" s="84"/>
      <c r="H2104" s="352">
        <f>ROUND((25/60)/8,4)</f>
        <v>5.21E-2</v>
      </c>
      <c r="I2104" s="105"/>
    </row>
    <row r="2105" spans="1:14">
      <c r="A2105" s="540" t="s">
        <v>4209</v>
      </c>
      <c r="B2105" s="542" t="str">
        <f>COSTOS!$C$14</f>
        <v>MODERNIZACION A TECNOLOGIA LED</v>
      </c>
      <c r="C2105" s="542"/>
      <c r="D2105" s="542"/>
      <c r="E2105" s="542"/>
      <c r="F2105" s="542"/>
      <c r="G2105" s="542"/>
      <c r="H2105" s="543" t="s">
        <v>4210</v>
      </c>
    </row>
    <row r="2106" spans="1:14">
      <c r="A2106" s="541"/>
      <c r="B2106" s="542"/>
      <c r="C2106" s="542"/>
      <c r="D2106" s="542"/>
      <c r="E2106" s="542"/>
      <c r="F2106" s="542"/>
      <c r="G2106" s="542"/>
      <c r="H2106" s="543"/>
    </row>
    <row r="2107" spans="1:14">
      <c r="A2107" s="541"/>
      <c r="B2107" s="542"/>
      <c r="C2107" s="542"/>
      <c r="D2107" s="542"/>
      <c r="E2107" s="542"/>
      <c r="F2107" s="542"/>
      <c r="G2107" s="542"/>
      <c r="H2107" s="543"/>
    </row>
    <row r="2108" spans="1:14" ht="15" customHeight="1">
      <c r="A2108" s="541"/>
      <c r="B2108" s="542"/>
      <c r="C2108" s="542"/>
      <c r="D2108" s="542"/>
      <c r="E2108" s="542"/>
      <c r="F2108" s="542"/>
      <c r="G2108" s="542"/>
      <c r="H2108" s="197">
        <f ca="1">TODAY()</f>
        <v>44889</v>
      </c>
      <c r="K2108" t="s">
        <v>4380</v>
      </c>
      <c r="L2108" t="s">
        <v>4381</v>
      </c>
      <c r="M2108" t="s">
        <v>4382</v>
      </c>
      <c r="N2108" t="s">
        <v>4383</v>
      </c>
    </row>
    <row r="2109" spans="1:14" ht="60.75" customHeight="1">
      <c r="A2109" s="209" t="s">
        <v>4211</v>
      </c>
      <c r="B2109" s="544" t="str">
        <f>COSTOS!$D$16</f>
        <v>Luminarias</v>
      </c>
      <c r="C2109" s="544"/>
      <c r="D2109" s="544"/>
      <c r="E2109" s="544"/>
      <c r="F2109" s="544"/>
      <c r="G2109" s="60" t="s">
        <v>4212</v>
      </c>
      <c r="H2109" s="363">
        <v>1.42</v>
      </c>
      <c r="K2109" s="55" t="e">
        <f>H2134</f>
        <v>#VALUE!</v>
      </c>
      <c r="L2109" s="55">
        <f>H2144</f>
        <v>17212.1728</v>
      </c>
      <c r="M2109" s="55" t="e">
        <f>H2117</f>
        <v>#VALUE!</v>
      </c>
      <c r="N2109" s="55" t="e">
        <f>H2138</f>
        <v>#VALUE!</v>
      </c>
    </row>
    <row r="2110" spans="1:14" ht="43.2" customHeight="1">
      <c r="A2110" s="210" t="s">
        <v>4213</v>
      </c>
      <c r="B2110" s="545" t="str">
        <f>VLOOKUP(H2109,COSTOS!C:M,2,0)</f>
        <v>Luminaria Led baja eficiencia 60w</v>
      </c>
      <c r="C2110" s="546"/>
      <c r="D2110" s="546"/>
      <c r="E2110" s="547"/>
      <c r="F2110" s="61" t="s">
        <v>0</v>
      </c>
      <c r="G2110" s="328" t="str">
        <f>VLOOKUP(H2109,COSTOS!C:M,8,0)</f>
        <v>Und</v>
      </c>
      <c r="H2110" s="248"/>
      <c r="I2110" s="278"/>
      <c r="J2110" s="280"/>
      <c r="K2110" s="280"/>
      <c r="L2110" s="280"/>
    </row>
    <row r="2111" spans="1:14">
      <c r="A2111" s="211"/>
      <c r="B2111" s="102"/>
      <c r="C2111" s="102"/>
      <c r="D2111" s="102"/>
      <c r="E2111" s="103"/>
      <c r="F2111" s="104" t="s">
        <v>1</v>
      </c>
      <c r="G2111" s="328">
        <f>VLOOKUP(H2109,COSTOS!C:M,9,0)</f>
        <v>0</v>
      </c>
      <c r="H2111" s="329"/>
      <c r="I2111" s="279"/>
    </row>
    <row r="2112" spans="1:14">
      <c r="A2112" s="212" t="s">
        <v>4215</v>
      </c>
      <c r="B2112" s="65"/>
      <c r="C2112" s="65"/>
      <c r="D2112" s="66"/>
      <c r="E2112" s="190"/>
      <c r="F2112" s="191"/>
      <c r="G2112" s="192" t="s">
        <v>4216</v>
      </c>
      <c r="H2112" s="198" t="e">
        <f>H2117+H2134+H2138+H2144</f>
        <v>#VALUE!</v>
      </c>
    </row>
    <row r="2113" spans="1:15" ht="41.4">
      <c r="A2113" s="548" t="s">
        <v>4213</v>
      </c>
      <c r="B2113" s="548"/>
      <c r="C2113" s="548"/>
      <c r="D2113" s="67" t="s">
        <v>0</v>
      </c>
      <c r="E2113" s="188" t="s">
        <v>4217</v>
      </c>
      <c r="F2113" s="189" t="s">
        <v>4204</v>
      </c>
      <c r="G2113" s="64" t="s">
        <v>2</v>
      </c>
      <c r="H2113" s="199" t="s">
        <v>4218</v>
      </c>
      <c r="K2113" s="281"/>
    </row>
    <row r="2114" spans="1:15">
      <c r="A2114" s="517" t="s">
        <v>3946</v>
      </c>
      <c r="B2114" s="549">
        <f>VLOOKUP(A2114,'Equip, Herr y Transp'!$B$2:$E$738,2,0)</f>
        <v>2</v>
      </c>
      <c r="C2114" s="549"/>
      <c r="D2114" s="85">
        <f>VLOOKUP(A2114,'Equip, Herr y Transp'!$B$2:$E$217,2,0)</f>
        <v>2</v>
      </c>
      <c r="E2114" s="85" t="str">
        <f>VLOOKUP(A2114,'Equip, Herr y Transp'!$B$2:$E$217,3,0)</f>
        <v>EQU</v>
      </c>
      <c r="F2114" s="86">
        <f>H2104</f>
        <v>5.21E-2</v>
      </c>
      <c r="G2114" s="112" t="e">
        <f>F2114*E2114</f>
        <v>#VALUE!</v>
      </c>
      <c r="H2114" s="108"/>
    </row>
    <row r="2115" spans="1:15">
      <c r="A2115" s="517" t="s">
        <v>3904</v>
      </c>
      <c r="B2115" s="549">
        <f>VLOOKUP(A2115,'Equip, Herr y Transp'!$B$2:$E$738,2,0)</f>
        <v>2</v>
      </c>
      <c r="C2115" s="549"/>
      <c r="D2115" s="85">
        <f>VLOOKUP(A2115,'Equip, Herr y Transp'!$B$2:$E$217,2,0)</f>
        <v>2</v>
      </c>
      <c r="E2115" s="85" t="str">
        <f>VLOOKUP(A2115,'Equip, Herr y Transp'!$B$2:$E$217,3,0)</f>
        <v>EQU</v>
      </c>
      <c r="F2115" s="86">
        <f>H2104</f>
        <v>5.21E-2</v>
      </c>
      <c r="G2115" s="112" t="e">
        <f>F2115*E2115</f>
        <v>#VALUE!</v>
      </c>
      <c r="H2115" s="107"/>
    </row>
    <row r="2116" spans="1:15">
      <c r="A2116" s="517" t="s">
        <v>3937</v>
      </c>
      <c r="B2116" s="549">
        <f>VLOOKUP(A2116,'Equip, Herr y Transp'!$B$2:$E$738,2,0)</f>
        <v>2</v>
      </c>
      <c r="C2116" s="549"/>
      <c r="D2116" s="85">
        <f>VLOOKUP(A2116,'Equip, Herr y Transp'!$B$2:$E$217,2,0)</f>
        <v>2</v>
      </c>
      <c r="E2116" s="85" t="str">
        <f>VLOOKUP(A2116,'Equip, Herr y Transp'!$B$2:$E$217,3,0)</f>
        <v>EQU</v>
      </c>
      <c r="F2116" s="86">
        <f>H2104</f>
        <v>5.21E-2</v>
      </c>
      <c r="G2116" s="112" t="e">
        <f>F2116*E2116</f>
        <v>#VALUE!</v>
      </c>
      <c r="H2116" s="107"/>
    </row>
    <row r="2117" spans="1:15">
      <c r="A2117" s="520" t="s">
        <v>4099</v>
      </c>
      <c r="B2117" s="521"/>
      <c r="C2117" s="521"/>
      <c r="D2117" s="521"/>
      <c r="E2117" s="521"/>
      <c r="F2117" s="521"/>
      <c r="G2117" s="521"/>
      <c r="H2117" s="87" t="e">
        <f>SUM(G2114:G2116)</f>
        <v>#VALUE!</v>
      </c>
    </row>
    <row r="2118" spans="1:15">
      <c r="A2118" s="550" t="s">
        <v>4219</v>
      </c>
      <c r="B2118" s="551"/>
      <c r="C2118" s="551"/>
      <c r="D2118" s="551"/>
      <c r="E2118" s="551"/>
      <c r="F2118" s="551"/>
      <c r="G2118" s="551"/>
      <c r="H2118" s="552"/>
      <c r="K2118" s="50"/>
      <c r="L2118" s="50"/>
      <c r="M2118" s="50"/>
      <c r="N2118" s="50"/>
      <c r="O2118" s="50"/>
    </row>
    <row r="2119" spans="1:15" ht="30" customHeight="1">
      <c r="A2119" s="553" t="s">
        <v>7</v>
      </c>
      <c r="B2119" s="554"/>
      <c r="C2119" s="99" t="s">
        <v>0</v>
      </c>
      <c r="D2119" s="100" t="s">
        <v>4097</v>
      </c>
      <c r="E2119" s="101" t="s">
        <v>1</v>
      </c>
      <c r="F2119" s="555" t="s">
        <v>4207</v>
      </c>
      <c r="G2119" s="555"/>
      <c r="H2119" s="196"/>
      <c r="K2119" s="50"/>
      <c r="L2119" s="50"/>
      <c r="M2119" s="50"/>
      <c r="N2119" s="50"/>
      <c r="O2119" s="50"/>
    </row>
    <row r="2120" spans="1:15">
      <c r="A2120" s="535" t="s">
        <v>4713</v>
      </c>
      <c r="B2120" s="536"/>
      <c r="C2120" s="88">
        <f>VLOOKUP(A2120,'Materiales '!$C$2:$G$396,3,0)</f>
        <v>4</v>
      </c>
      <c r="D2120" s="89" t="str">
        <f>VLOOKUP(A2120,'Materiales '!$C$2:$G$396,4,0)</f>
        <v>Und</v>
      </c>
      <c r="E2120" s="90">
        <v>1</v>
      </c>
      <c r="F2120" s="508" t="e">
        <f>E2120*D2120</f>
        <v>#VALUE!</v>
      </c>
      <c r="G2120" s="519"/>
      <c r="H2120" s="111"/>
      <c r="I2120">
        <f>E2120*G2111</f>
        <v>0</v>
      </c>
      <c r="J2120" s="57"/>
      <c r="K2120" s="50"/>
      <c r="L2120" s="50"/>
      <c r="M2120" s="50"/>
      <c r="N2120" s="50"/>
      <c r="O2120" s="50"/>
    </row>
    <row r="2121" spans="1:15">
      <c r="A2121" s="535" t="s">
        <v>4203</v>
      </c>
      <c r="B2121" s="536"/>
      <c r="C2121" s="88">
        <f>VLOOKUP(A2121,'Materiales '!$C$2:$G$396,3,0)</f>
        <v>4</v>
      </c>
      <c r="D2121" s="89" t="str">
        <f>VLOOKUP(A2121,'Materiales '!$C$2:$G$396,4,0)</f>
        <v>Und</v>
      </c>
      <c r="E2121" s="90">
        <v>1</v>
      </c>
      <c r="F2121" s="508" t="e">
        <f t="shared" ref="F2121:F2127" si="124">E2121*D2121</f>
        <v>#VALUE!</v>
      </c>
      <c r="G2121" s="519"/>
      <c r="H2121" s="111"/>
      <c r="I2121">
        <f>E2121*G2111</f>
        <v>0</v>
      </c>
      <c r="J2121" s="57"/>
      <c r="K2121" s="50"/>
      <c r="L2121" s="50"/>
      <c r="M2121" s="50"/>
      <c r="N2121" s="50"/>
      <c r="O2121" s="50"/>
    </row>
    <row r="2122" spans="1:15">
      <c r="A2122" s="517" t="s">
        <v>4473</v>
      </c>
      <c r="B2122" s="518">
        <f>VLOOKUP(A2122,'Materiales '!$C$2:$G$396,3,0)</f>
        <v>4</v>
      </c>
      <c r="C2122" s="88">
        <f>VLOOKUP(A2122,'Materiales '!$C$2:$G$396,3,0)</f>
        <v>4</v>
      </c>
      <c r="D2122" s="89" t="str">
        <f>VLOOKUP(A2122,'Materiales '!$C$2:$G$396,4,0)</f>
        <v>Und</v>
      </c>
      <c r="E2122" s="90">
        <v>2</v>
      </c>
      <c r="F2122" s="508" t="e">
        <f t="shared" si="124"/>
        <v>#VALUE!</v>
      </c>
      <c r="G2122" s="519"/>
      <c r="H2122" s="111"/>
      <c r="I2122">
        <f>E2122*G2111</f>
        <v>0</v>
      </c>
      <c r="J2122" s="58"/>
      <c r="K2122" s="50"/>
      <c r="L2122" s="50"/>
      <c r="M2122" s="50"/>
      <c r="N2122" s="50"/>
      <c r="O2122" s="50"/>
    </row>
    <row r="2123" spans="1:15">
      <c r="A2123" s="517" t="s">
        <v>4478</v>
      </c>
      <c r="B2123" s="518">
        <f>VLOOKUP(A2123,'Materiales '!$C$2:$G$396,3,0)</f>
        <v>4</v>
      </c>
      <c r="C2123" s="88">
        <f>VLOOKUP(A2123,'Materiales '!$C$2:$G$396,3,0)</f>
        <v>4</v>
      </c>
      <c r="D2123" s="89" t="str">
        <f>VLOOKUP(A2123,'Materiales '!$C$2:$G$396,4,0)</f>
        <v>Und</v>
      </c>
      <c r="E2123" s="90">
        <v>3</v>
      </c>
      <c r="F2123" s="508" t="e">
        <f t="shared" si="124"/>
        <v>#VALUE!</v>
      </c>
      <c r="G2123" s="519"/>
      <c r="H2123" s="111"/>
      <c r="I2123">
        <f>E2123*G2111</f>
        <v>0</v>
      </c>
      <c r="J2123" s="58"/>
      <c r="K2123" s="50"/>
      <c r="L2123" s="50"/>
      <c r="M2123" s="50"/>
      <c r="N2123" s="50"/>
      <c r="O2123" s="50"/>
    </row>
    <row r="2124" spans="1:15">
      <c r="A2124" s="517" t="s">
        <v>4543</v>
      </c>
      <c r="B2124" s="518">
        <f>VLOOKUP(A2124,'Materiales '!$C$2:$G$396,3,0)</f>
        <v>4</v>
      </c>
      <c r="C2124" s="88">
        <f>VLOOKUP(A2124,'Materiales '!$C$2:$G$396,3,0)</f>
        <v>4</v>
      </c>
      <c r="D2124" s="89" t="str">
        <f>VLOOKUP(A2124,'Materiales '!$C$2:$G$396,4,0)</f>
        <v>Und</v>
      </c>
      <c r="E2124" s="90">
        <v>2</v>
      </c>
      <c r="F2124" s="508" t="e">
        <f t="shared" si="124"/>
        <v>#VALUE!</v>
      </c>
      <c r="G2124" s="519"/>
      <c r="H2124" s="111"/>
      <c r="I2124">
        <f>E2124*G2111</f>
        <v>0</v>
      </c>
      <c r="J2124" s="58"/>
      <c r="K2124" s="50"/>
      <c r="L2124" s="50"/>
      <c r="M2124" s="50"/>
      <c r="N2124" s="50"/>
      <c r="O2124" s="50"/>
    </row>
    <row r="2125" spans="1:15">
      <c r="A2125" s="517" t="s">
        <v>4439</v>
      </c>
      <c r="B2125" s="518">
        <f>VLOOKUP(A2125,'Materiales '!$C$2:$G$396,3,0)</f>
        <v>2</v>
      </c>
      <c r="C2125" s="88">
        <f>VLOOKUP(A2125,'Materiales '!$C$2:$G$396,3,0)</f>
        <v>2</v>
      </c>
      <c r="D2125" s="89" t="str">
        <f>VLOOKUP(A2125,'Materiales '!$C$2:$G$396,4,0)</f>
        <v>Ml</v>
      </c>
      <c r="E2125" s="90">
        <v>1</v>
      </c>
      <c r="F2125" s="508" t="e">
        <f t="shared" si="124"/>
        <v>#VALUE!</v>
      </c>
      <c r="G2125" s="519"/>
      <c r="H2125" s="111"/>
      <c r="I2125">
        <f>E2125*G2111</f>
        <v>0</v>
      </c>
      <c r="J2125" s="58"/>
      <c r="K2125" s="50"/>
      <c r="L2125" s="50"/>
      <c r="M2125" s="50"/>
      <c r="N2125" s="50"/>
      <c r="O2125" s="50"/>
    </row>
    <row r="2126" spans="1:15">
      <c r="A2126" s="517" t="s">
        <v>4482</v>
      </c>
      <c r="B2126" s="518">
        <f>VLOOKUP(A2126,'Materiales '!$C$2:$G$396,3,0)</f>
        <v>4</v>
      </c>
      <c r="C2126" s="88">
        <f>VLOOKUP(A2126,'Materiales '!$C$2:$G$396,3,0)</f>
        <v>4</v>
      </c>
      <c r="D2126" s="89" t="str">
        <f>VLOOKUP(A2126,'Materiales '!$C$2:$G$396,4,0)</f>
        <v>Und</v>
      </c>
      <c r="E2126" s="90">
        <v>3</v>
      </c>
      <c r="F2126" s="508" t="e">
        <f t="shared" si="124"/>
        <v>#VALUE!</v>
      </c>
      <c r="G2126" s="519"/>
      <c r="H2126" s="111"/>
      <c r="I2126">
        <f>E2126*G2111</f>
        <v>0</v>
      </c>
      <c r="J2126" s="58"/>
      <c r="K2126" s="50"/>
      <c r="L2126" s="50"/>
      <c r="M2126" s="50"/>
      <c r="N2126" s="50"/>
      <c r="O2126" s="50"/>
    </row>
    <row r="2127" spans="1:15" ht="21.75" customHeight="1">
      <c r="A2127" s="517" t="s">
        <v>4424</v>
      </c>
      <c r="B2127" s="518">
        <f>VLOOKUP(A2127,'Materiales '!$C$2:$G$396,3,0)</f>
        <v>4</v>
      </c>
      <c r="C2127" s="88">
        <f>VLOOKUP(A2127,'Materiales '!$C$2:$G$396,3,0)</f>
        <v>4</v>
      </c>
      <c r="D2127" s="89" t="str">
        <f>VLOOKUP(A2127,'Materiales '!$C$2:$G$396,4,0)</f>
        <v>Und</v>
      </c>
      <c r="E2127" s="90">
        <v>1</v>
      </c>
      <c r="F2127" s="508" t="e">
        <f t="shared" si="124"/>
        <v>#VALUE!</v>
      </c>
      <c r="G2127" s="519"/>
      <c r="H2127" s="111"/>
      <c r="I2127">
        <f>E2127*G2111</f>
        <v>0</v>
      </c>
      <c r="J2127" s="58"/>
      <c r="K2127" s="50"/>
      <c r="L2127" s="50"/>
      <c r="M2127" s="50"/>
      <c r="N2127" s="50"/>
      <c r="O2127" s="50"/>
    </row>
    <row r="2128" spans="1:15">
      <c r="A2128" s="517" t="s">
        <v>8</v>
      </c>
      <c r="B2128" s="518">
        <f>VLOOKUP(A2128,'Materiales '!$C$2:$G$396,3,0)</f>
        <v>0</v>
      </c>
      <c r="C2128" s="88">
        <f>VLOOKUP(A2128,'Materiales '!$C$2:$G$396,3,0)</f>
        <v>0</v>
      </c>
      <c r="D2128" s="89" t="str">
        <f>VLOOKUP(A2128,'Materiales '!$C$2:$G$396,4,0)</f>
        <v>-</v>
      </c>
      <c r="E2128" s="90"/>
      <c r="F2128" s="508" t="e">
        <f>E2128*D2128</f>
        <v>#VALUE!</v>
      </c>
      <c r="G2128" s="519"/>
      <c r="H2128" s="110"/>
      <c r="I2128">
        <f>E2128*G2111</f>
        <v>0</v>
      </c>
      <c r="J2128" s="58"/>
      <c r="K2128" s="50"/>
      <c r="L2128" s="50"/>
      <c r="M2128" s="50"/>
      <c r="N2128" s="50"/>
      <c r="O2128" s="50"/>
    </row>
    <row r="2129" spans="1:15">
      <c r="A2129" s="517" t="s">
        <v>8</v>
      </c>
      <c r="B2129" s="518">
        <f>VLOOKUP(A2129,'Materiales '!$C$2:$G$396,3,0)</f>
        <v>0</v>
      </c>
      <c r="C2129" s="88">
        <f>VLOOKUP(A2129,'Materiales '!$C$2:$G$396,3,0)</f>
        <v>0</v>
      </c>
      <c r="D2129" s="89" t="str">
        <f>VLOOKUP(A2129,'Materiales '!$C$2:$G$396,4,0)</f>
        <v>-</v>
      </c>
      <c r="E2129" s="90"/>
      <c r="F2129" s="508" t="e">
        <f t="shared" ref="F2129:F2132" si="125">E2129*D2129</f>
        <v>#VALUE!</v>
      </c>
      <c r="G2129" s="519"/>
      <c r="H2129" s="111"/>
      <c r="I2129">
        <f>E2129*G2111</f>
        <v>0</v>
      </c>
      <c r="J2129" s="58"/>
      <c r="K2129" s="50"/>
      <c r="L2129" s="50"/>
      <c r="M2129" s="50"/>
      <c r="N2129" s="50"/>
      <c r="O2129" s="50"/>
    </row>
    <row r="2130" spans="1:15">
      <c r="A2130" s="517" t="s">
        <v>8</v>
      </c>
      <c r="B2130" s="518">
        <f>VLOOKUP(A2130,'Materiales '!$C$2:$G$396,3,0)</f>
        <v>0</v>
      </c>
      <c r="C2130" s="88">
        <f>VLOOKUP(A2130,'Materiales '!$C$2:$G$396,3,0)</f>
        <v>0</v>
      </c>
      <c r="D2130" s="89" t="str">
        <f>VLOOKUP(A2130,'Materiales '!$C$2:$G$396,4,0)</f>
        <v>-</v>
      </c>
      <c r="E2130" s="90"/>
      <c r="F2130" s="508" t="e">
        <f t="shared" si="125"/>
        <v>#VALUE!</v>
      </c>
      <c r="G2130" s="519"/>
      <c r="H2130" s="111"/>
      <c r="I2130">
        <f>E2130*G2111</f>
        <v>0</v>
      </c>
      <c r="J2130" s="58"/>
      <c r="K2130" s="50"/>
      <c r="L2130" s="50"/>
      <c r="M2130" s="50"/>
      <c r="N2130" s="50"/>
      <c r="O2130" s="50"/>
    </row>
    <row r="2131" spans="1:15">
      <c r="A2131" s="517" t="s">
        <v>8</v>
      </c>
      <c r="B2131" s="518">
        <f>VLOOKUP(A2131,'Materiales '!$C$2:$G$396,3,0)</f>
        <v>0</v>
      </c>
      <c r="C2131" s="88">
        <f>VLOOKUP(A2131,'Materiales '!$C$2:$G$396,3,0)</f>
        <v>0</v>
      </c>
      <c r="D2131" s="89" t="str">
        <f>VLOOKUP(A2131,'Materiales '!$C$2:$G$396,4,0)</f>
        <v>-</v>
      </c>
      <c r="E2131" s="90"/>
      <c r="F2131" s="508" t="e">
        <f t="shared" si="125"/>
        <v>#VALUE!</v>
      </c>
      <c r="G2131" s="519"/>
      <c r="H2131" s="111"/>
      <c r="I2131">
        <f>E2131*G2111</f>
        <v>0</v>
      </c>
      <c r="J2131" s="58"/>
      <c r="K2131" s="50"/>
      <c r="L2131" s="50"/>
      <c r="M2131" s="50"/>
      <c r="N2131" s="50"/>
      <c r="O2131" s="50"/>
    </row>
    <row r="2132" spans="1:15">
      <c r="A2132" s="517" t="s">
        <v>8</v>
      </c>
      <c r="B2132" s="518">
        <f>VLOOKUP(A2132,'Materiales '!$C$2:$G$396,3,0)</f>
        <v>0</v>
      </c>
      <c r="C2132" s="88">
        <f>VLOOKUP(A2132,'Materiales '!$C$2:$G$396,3,0)</f>
        <v>0</v>
      </c>
      <c r="D2132" s="89" t="str">
        <f>VLOOKUP(A2132,'Materiales '!$C$2:$G$396,4,0)</f>
        <v>-</v>
      </c>
      <c r="E2132" s="90"/>
      <c r="F2132" s="508" t="e">
        <f t="shared" si="125"/>
        <v>#VALUE!</v>
      </c>
      <c r="G2132" s="519"/>
      <c r="H2132" s="111"/>
      <c r="I2132">
        <f>E2132*G2111</f>
        <v>0</v>
      </c>
      <c r="J2132" s="58"/>
      <c r="K2132" s="50"/>
      <c r="L2132" s="50"/>
      <c r="M2132" s="50"/>
      <c r="N2132" s="50"/>
      <c r="O2132" s="50"/>
    </row>
    <row r="2133" spans="1:15">
      <c r="A2133" s="517" t="s">
        <v>8</v>
      </c>
      <c r="B2133" s="518">
        <f>VLOOKUP(A2133,'Materiales '!$C$2:$G$396,3,0)</f>
        <v>0</v>
      </c>
      <c r="C2133" s="88">
        <f>VLOOKUP(A2133,'Materiales '!$C$2:$G$396,3,0)</f>
        <v>0</v>
      </c>
      <c r="D2133" s="89" t="str">
        <f>VLOOKUP(A2133,'Materiales '!$C$2:$G$396,4,0)</f>
        <v>-</v>
      </c>
      <c r="E2133" s="90"/>
      <c r="F2133" s="508" t="e">
        <f>E2133*D2133</f>
        <v>#VALUE!</v>
      </c>
      <c r="G2133" s="519"/>
      <c r="H2133" s="110"/>
      <c r="I2133">
        <f>E2133*G2111</f>
        <v>0</v>
      </c>
      <c r="J2133" s="58"/>
      <c r="K2133" s="50"/>
      <c r="L2133" s="50"/>
      <c r="M2133" s="50"/>
      <c r="N2133" s="50"/>
      <c r="O2133" s="50"/>
    </row>
    <row r="2134" spans="1:15">
      <c r="A2134" s="520" t="s">
        <v>4098</v>
      </c>
      <c r="B2134" s="521"/>
      <c r="C2134" s="521"/>
      <c r="D2134" s="521"/>
      <c r="E2134" s="521"/>
      <c r="F2134" s="521"/>
      <c r="G2134" s="522"/>
      <c r="H2134" s="106" t="e">
        <f>SUM(F2120:F2133)</f>
        <v>#VALUE!</v>
      </c>
      <c r="J2134" s="58"/>
      <c r="K2134" s="50"/>
      <c r="L2134" s="50"/>
      <c r="M2134" s="50"/>
      <c r="N2134" s="50"/>
      <c r="O2134" s="50"/>
    </row>
    <row r="2135" spans="1:15">
      <c r="A2135" s="523" t="s">
        <v>4220</v>
      </c>
      <c r="B2135" s="524"/>
      <c r="C2135" s="524"/>
      <c r="D2135" s="524"/>
      <c r="E2135" s="525"/>
      <c r="F2135" s="524"/>
      <c r="G2135" s="524"/>
      <c r="H2135" s="526"/>
      <c r="J2135" s="58"/>
      <c r="K2135" s="50"/>
      <c r="L2135" s="50"/>
      <c r="M2135" s="50"/>
      <c r="N2135" s="50"/>
      <c r="O2135" s="50"/>
    </row>
    <row r="2136" spans="1:15">
      <c r="A2136" s="527" t="s">
        <v>7</v>
      </c>
      <c r="B2136" s="528"/>
      <c r="C2136" s="98" t="s">
        <v>4221</v>
      </c>
      <c r="D2136" s="97" t="s">
        <v>4222</v>
      </c>
      <c r="E2136" s="187" t="s">
        <v>4223</v>
      </c>
      <c r="F2136" s="529" t="s">
        <v>4207</v>
      </c>
      <c r="G2136" s="529"/>
      <c r="H2136" s="109"/>
      <c r="K2136" s="50"/>
      <c r="L2136" s="50"/>
      <c r="M2136" s="50"/>
      <c r="N2136" s="50"/>
      <c r="O2136" s="50"/>
    </row>
    <row r="2137" spans="1:15">
      <c r="A2137" s="506" t="s">
        <v>3928</v>
      </c>
      <c r="B2137" s="507"/>
      <c r="C2137" s="213">
        <v>1</v>
      </c>
      <c r="D2137" s="92">
        <v>0.03</v>
      </c>
      <c r="E2137" s="93" t="str">
        <f>VLOOKUP(A2137,'Equip, Herr y Transp'!$B$2:$E$217,3,0)</f>
        <v>TR</v>
      </c>
      <c r="F2137" s="530" t="e">
        <f>E2137*D2137*C2137</f>
        <v>#VALUE!</v>
      </c>
      <c r="G2137" s="531"/>
      <c r="H2137" s="107"/>
      <c r="M2137" s="50"/>
    </row>
    <row r="2138" spans="1:15">
      <c r="A2138" s="532" t="s">
        <v>4205</v>
      </c>
      <c r="B2138" s="533"/>
      <c r="C2138" s="533"/>
      <c r="D2138" s="533"/>
      <c r="E2138" s="533"/>
      <c r="F2138" s="533"/>
      <c r="G2138" s="533"/>
      <c r="H2138" s="95" t="e">
        <f>F2137</f>
        <v>#VALUE!</v>
      </c>
    </row>
    <row r="2139" spans="1:15">
      <c r="A2139" s="523" t="s">
        <v>4224</v>
      </c>
      <c r="B2139" s="524"/>
      <c r="C2139" s="524"/>
      <c r="D2139" s="524"/>
      <c r="E2139" s="524"/>
      <c r="F2139" s="524"/>
      <c r="G2139" s="524"/>
      <c r="H2139" s="526"/>
    </row>
    <row r="2140" spans="1:15">
      <c r="A2140" s="527" t="s">
        <v>7</v>
      </c>
      <c r="B2140" s="528"/>
      <c r="C2140" s="96" t="s">
        <v>1</v>
      </c>
      <c r="D2140" s="97" t="s">
        <v>4225</v>
      </c>
      <c r="E2140" s="98" t="s">
        <v>4204</v>
      </c>
      <c r="F2140" s="527" t="s">
        <v>5</v>
      </c>
      <c r="G2140" s="534"/>
      <c r="H2140" s="109"/>
    </row>
    <row r="2141" spans="1:15">
      <c r="A2141" s="506" t="s">
        <v>4191</v>
      </c>
      <c r="B2141" s="507"/>
      <c r="C2141" s="91">
        <v>1</v>
      </c>
      <c r="D2141" s="94">
        <f>VLOOKUP(A2141,'Mano Obra'!$B$2:$T$117,19,0)</f>
        <v>152456</v>
      </c>
      <c r="E2141" s="218">
        <f>H2104</f>
        <v>5.21E-2</v>
      </c>
      <c r="F2141" s="508">
        <f>E2141*D2141*C2141</f>
        <v>7942.9575999999997</v>
      </c>
      <c r="G2141" s="509"/>
      <c r="H2141" s="111"/>
      <c r="I2141" s="59"/>
      <c r="J2141" s="117">
        <f>((('Mano Obra'!$M$4/30)*F2141)/D2141)*G2111</f>
        <v>0</v>
      </c>
    </row>
    <row r="2142" spans="1:15">
      <c r="A2142" s="510" t="s">
        <v>4192</v>
      </c>
      <c r="B2142" s="511">
        <f>VLOOKUP(A2142,'Mano Obra'!$B$3:$D$290,2,0)</f>
        <v>1900000</v>
      </c>
      <c r="C2142" s="91">
        <v>1</v>
      </c>
      <c r="D2142" s="94">
        <f>VLOOKUP(A2142,'Mano Obra'!$B$2:$T$117,19,0)</f>
        <v>110488</v>
      </c>
      <c r="E2142" s="218">
        <f>H2104</f>
        <v>5.21E-2</v>
      </c>
      <c r="F2142" s="508">
        <f t="shared" ref="F2142:F2143" si="126">E2142*D2142*C2142</f>
        <v>5756.4247999999998</v>
      </c>
      <c r="G2142" s="509"/>
      <c r="H2142" s="111"/>
      <c r="J2142" s="117">
        <f>((('Mano Obra'!$M$5/30)*F2142)/D2142)*G2111</f>
        <v>0</v>
      </c>
    </row>
    <row r="2143" spans="1:15">
      <c r="A2143" s="510" t="s">
        <v>4181</v>
      </c>
      <c r="B2143" s="511">
        <f>VLOOKUP(A2143,'Mano Obra'!$B$3:$D$290,2,0)</f>
        <v>1000000</v>
      </c>
      <c r="C2143" s="91">
        <v>1</v>
      </c>
      <c r="D2143" s="94">
        <f>VLOOKUP(A2143,'Mano Obra'!$B$2:$T$117,19,0)</f>
        <v>67424</v>
      </c>
      <c r="E2143" s="218">
        <f>H2104</f>
        <v>5.21E-2</v>
      </c>
      <c r="F2143" s="508">
        <f t="shared" si="126"/>
        <v>3512.7903999999999</v>
      </c>
      <c r="G2143" s="509"/>
      <c r="H2143" s="110"/>
      <c r="J2143" s="117">
        <f>((('Mano Obra'!$M$6/30)*F2143)/D2143)*G2111</f>
        <v>0</v>
      </c>
    </row>
    <row r="2144" spans="1:15">
      <c r="A2144" s="512" t="s">
        <v>4100</v>
      </c>
      <c r="B2144" s="512"/>
      <c r="C2144" s="512"/>
      <c r="D2144" s="512"/>
      <c r="E2144" s="512"/>
      <c r="F2144" s="512"/>
      <c r="G2144" s="512"/>
      <c r="H2144" s="95">
        <f>SUM(F2141:F2143)</f>
        <v>17212.1728</v>
      </c>
      <c r="J2144" s="117"/>
    </row>
    <row r="2145" spans="1:14">
      <c r="A2145" s="208" t="s">
        <v>4226</v>
      </c>
      <c r="B2145" s="186"/>
      <c r="C2145" s="186"/>
      <c r="D2145" s="183"/>
      <c r="E2145" s="184"/>
      <c r="F2145" s="185"/>
      <c r="G2145" s="184"/>
      <c r="H2145" s="193"/>
    </row>
    <row r="2146" spans="1:14">
      <c r="A2146" s="513" t="s">
        <v>4213</v>
      </c>
      <c r="B2146" s="514"/>
      <c r="C2146" s="514"/>
      <c r="D2146" s="514"/>
      <c r="E2146" s="181"/>
      <c r="F2146" s="182" t="s">
        <v>4227</v>
      </c>
      <c r="G2146" s="181" t="s">
        <v>4228</v>
      </c>
      <c r="H2146" s="194"/>
    </row>
    <row r="2147" spans="1:14">
      <c r="A2147" s="204" t="s">
        <v>4096</v>
      </c>
      <c r="B2147" s="62"/>
      <c r="C2147" s="62"/>
      <c r="D2147" s="63"/>
      <c r="E2147" s="68"/>
      <c r="F2147" s="69">
        <v>0</v>
      </c>
      <c r="G2147" s="70" t="e">
        <f>F2147*H2112</f>
        <v>#VALUE!</v>
      </c>
      <c r="H2147" s="193"/>
    </row>
    <row r="2148" spans="1:14">
      <c r="A2148" s="205" t="s">
        <v>4229</v>
      </c>
      <c r="B2148" s="71"/>
      <c r="C2148" s="71"/>
      <c r="D2148" s="72"/>
      <c r="E2148" s="68"/>
      <c r="F2148" s="69">
        <v>0</v>
      </c>
      <c r="G2148" s="70" t="e">
        <f>F2148*H2112</f>
        <v>#VALUE!</v>
      </c>
      <c r="H2148" s="193"/>
    </row>
    <row r="2149" spans="1:14">
      <c r="A2149" s="205" t="s">
        <v>4</v>
      </c>
      <c r="B2149" s="71"/>
      <c r="C2149" s="71"/>
      <c r="D2149" s="72"/>
      <c r="E2149" s="68"/>
      <c r="F2149" s="69">
        <v>0</v>
      </c>
      <c r="G2149" s="70" t="e">
        <f>F2149*H2112</f>
        <v>#VALUE!</v>
      </c>
      <c r="H2149" s="193"/>
    </row>
    <row r="2150" spans="1:14">
      <c r="A2150" s="206"/>
      <c r="B2150" s="73"/>
      <c r="C2150" s="65"/>
      <c r="D2150" s="74"/>
      <c r="E2150" s="75"/>
      <c r="F2150" s="76"/>
      <c r="G2150" s="77"/>
      <c r="H2150" s="195"/>
    </row>
    <row r="2151" spans="1:14">
      <c r="A2151" s="207"/>
      <c r="B2151" s="73"/>
      <c r="C2151" s="73"/>
      <c r="D2151" s="74"/>
      <c r="E2151" s="78"/>
      <c r="F2151" s="515" t="s">
        <v>4230</v>
      </c>
      <c r="G2151" s="516"/>
      <c r="H2151" s="214" t="e">
        <f>H2112+G2147+G2148+G2149</f>
        <v>#VALUE!</v>
      </c>
    </row>
    <row r="2152" spans="1:14">
      <c r="A2152" s="73"/>
      <c r="B2152" s="73"/>
      <c r="C2152" s="73"/>
      <c r="D2152" s="74"/>
      <c r="E2152" s="360"/>
      <c r="F2152" s="361"/>
      <c r="G2152" s="361"/>
      <c r="H2152" s="362"/>
    </row>
    <row r="2153" spans="1:14">
      <c r="A2153" s="80"/>
      <c r="B2153" s="80"/>
      <c r="C2153" s="80"/>
      <c r="D2153" s="80"/>
      <c r="E2153" s="80"/>
      <c r="F2153" s="80"/>
      <c r="G2153" s="80"/>
      <c r="H2153" s="353"/>
    </row>
    <row r="2154" spans="1:14">
      <c r="A2154" s="537" t="s">
        <v>4214</v>
      </c>
      <c r="B2154" s="538"/>
      <c r="C2154" s="538"/>
      <c r="D2154" s="538"/>
      <c r="E2154" s="538"/>
      <c r="F2154" s="538"/>
      <c r="G2154" s="538"/>
      <c r="H2154" s="539"/>
    </row>
    <row r="2155" spans="1:14">
      <c r="A2155" s="81"/>
      <c r="B2155" s="82"/>
      <c r="C2155" s="82"/>
      <c r="D2155" s="82"/>
      <c r="E2155" s="82"/>
      <c r="F2155" s="83"/>
      <c r="G2155" s="84"/>
      <c r="H2155" s="352">
        <f>ROUND((25/60)/8,4)</f>
        <v>5.21E-2</v>
      </c>
      <c r="I2155" s="105"/>
    </row>
    <row r="2156" spans="1:14">
      <c r="A2156" s="540" t="s">
        <v>4209</v>
      </c>
      <c r="B2156" s="542" t="str">
        <f>COSTOS!$C$14</f>
        <v>MODERNIZACION A TECNOLOGIA LED</v>
      </c>
      <c r="C2156" s="542"/>
      <c r="D2156" s="542"/>
      <c r="E2156" s="542"/>
      <c r="F2156" s="542"/>
      <c r="G2156" s="542"/>
      <c r="H2156" s="543" t="s">
        <v>4210</v>
      </c>
    </row>
    <row r="2157" spans="1:14">
      <c r="A2157" s="541"/>
      <c r="B2157" s="542"/>
      <c r="C2157" s="542"/>
      <c r="D2157" s="542"/>
      <c r="E2157" s="542"/>
      <c r="F2157" s="542"/>
      <c r="G2157" s="542"/>
      <c r="H2157" s="543"/>
    </row>
    <row r="2158" spans="1:14">
      <c r="A2158" s="541"/>
      <c r="B2158" s="542"/>
      <c r="C2158" s="542"/>
      <c r="D2158" s="542"/>
      <c r="E2158" s="542"/>
      <c r="F2158" s="542"/>
      <c r="G2158" s="542"/>
      <c r="H2158" s="543"/>
    </row>
    <row r="2159" spans="1:14" ht="15" customHeight="1">
      <c r="A2159" s="541"/>
      <c r="B2159" s="542"/>
      <c r="C2159" s="542"/>
      <c r="D2159" s="542"/>
      <c r="E2159" s="542"/>
      <c r="F2159" s="542"/>
      <c r="G2159" s="542"/>
      <c r="H2159" s="197">
        <f ca="1">TODAY()</f>
        <v>44889</v>
      </c>
      <c r="K2159" t="s">
        <v>4380</v>
      </c>
      <c r="L2159" t="s">
        <v>4381</v>
      </c>
      <c r="M2159" t="s">
        <v>4382</v>
      </c>
      <c r="N2159" t="s">
        <v>4383</v>
      </c>
    </row>
    <row r="2160" spans="1:14" ht="60.75" customHeight="1">
      <c r="A2160" s="209" t="s">
        <v>4211</v>
      </c>
      <c r="B2160" s="544" t="str">
        <f>COSTOS!$D$16</f>
        <v>Luminarias</v>
      </c>
      <c r="C2160" s="544"/>
      <c r="D2160" s="544"/>
      <c r="E2160" s="544"/>
      <c r="F2160" s="544"/>
      <c r="G2160" s="60" t="s">
        <v>4212</v>
      </c>
      <c r="H2160" s="363">
        <v>1.43</v>
      </c>
      <c r="K2160" s="55" t="e">
        <f>H2185</f>
        <v>#VALUE!</v>
      </c>
      <c r="L2160" s="55">
        <f>H2195</f>
        <v>17212.1728</v>
      </c>
      <c r="M2160" s="55" t="e">
        <f>H2168</f>
        <v>#VALUE!</v>
      </c>
      <c r="N2160" s="55" t="e">
        <f>H2189</f>
        <v>#VALUE!</v>
      </c>
    </row>
    <row r="2161" spans="1:15" ht="43.2" customHeight="1">
      <c r="A2161" s="210" t="s">
        <v>4213</v>
      </c>
      <c r="B2161" s="545" t="str">
        <f>VLOOKUP(H2160,COSTOS!C:M,2,0)</f>
        <v>Bala de piso Led 18w</v>
      </c>
      <c r="C2161" s="546"/>
      <c r="D2161" s="546"/>
      <c r="E2161" s="547"/>
      <c r="F2161" s="61" t="s">
        <v>0</v>
      </c>
      <c r="G2161" s="328" t="str">
        <f>VLOOKUP(H2160,COSTOS!C:M,8,0)</f>
        <v>Und</v>
      </c>
      <c r="H2161" s="248"/>
      <c r="I2161" s="278"/>
      <c r="J2161" s="280"/>
      <c r="K2161" s="280"/>
      <c r="L2161" s="280"/>
    </row>
    <row r="2162" spans="1:15">
      <c r="A2162" s="211"/>
      <c r="B2162" s="102"/>
      <c r="C2162" s="102"/>
      <c r="D2162" s="102"/>
      <c r="E2162" s="103"/>
      <c r="F2162" s="104" t="s">
        <v>1</v>
      </c>
      <c r="G2162" s="328">
        <f>VLOOKUP(H2160,COSTOS!C:M,9,0)</f>
        <v>0</v>
      </c>
      <c r="H2162" s="329"/>
      <c r="I2162" s="279"/>
    </row>
    <row r="2163" spans="1:15">
      <c r="A2163" s="212" t="s">
        <v>4215</v>
      </c>
      <c r="B2163" s="65"/>
      <c r="C2163" s="65"/>
      <c r="D2163" s="66"/>
      <c r="E2163" s="190"/>
      <c r="F2163" s="191"/>
      <c r="G2163" s="192" t="s">
        <v>4216</v>
      </c>
      <c r="H2163" s="198" t="e">
        <f>H2168+H2185+H2189+H2195</f>
        <v>#VALUE!</v>
      </c>
    </row>
    <row r="2164" spans="1:15" ht="41.4">
      <c r="A2164" s="548" t="s">
        <v>4213</v>
      </c>
      <c r="B2164" s="548"/>
      <c r="C2164" s="548"/>
      <c r="D2164" s="67" t="s">
        <v>0</v>
      </c>
      <c r="E2164" s="188" t="s">
        <v>4217</v>
      </c>
      <c r="F2164" s="189" t="s">
        <v>4204</v>
      </c>
      <c r="G2164" s="64" t="s">
        <v>2</v>
      </c>
      <c r="H2164" s="199" t="s">
        <v>4218</v>
      </c>
      <c r="K2164" s="281"/>
    </row>
    <row r="2165" spans="1:15">
      <c r="A2165" s="517" t="s">
        <v>3946</v>
      </c>
      <c r="B2165" s="549">
        <f>VLOOKUP(A2165,'Equip, Herr y Transp'!$B$2:$E$738,2,0)</f>
        <v>2</v>
      </c>
      <c r="C2165" s="549"/>
      <c r="D2165" s="85">
        <f>VLOOKUP(A2165,'Equip, Herr y Transp'!$B$2:$E$217,2,0)</f>
        <v>2</v>
      </c>
      <c r="E2165" s="85" t="str">
        <f>VLOOKUP(A2165,'Equip, Herr y Transp'!$B$2:$E$217,3,0)</f>
        <v>EQU</v>
      </c>
      <c r="F2165" s="86">
        <f>H2155</f>
        <v>5.21E-2</v>
      </c>
      <c r="G2165" s="112" t="e">
        <f>F2165*E2165</f>
        <v>#VALUE!</v>
      </c>
      <c r="H2165" s="108"/>
    </row>
    <row r="2166" spans="1:15">
      <c r="A2166" s="517" t="s">
        <v>3937</v>
      </c>
      <c r="B2166" s="549">
        <f>VLOOKUP(A2166,'Equip, Herr y Transp'!$B$2:$E$738,2,0)</f>
        <v>2</v>
      </c>
      <c r="C2166" s="549"/>
      <c r="D2166" s="85">
        <f>VLOOKUP(A2166,'Equip, Herr y Transp'!$B$2:$E$217,2,0)</f>
        <v>2</v>
      </c>
      <c r="E2166" s="85" t="str">
        <f>VLOOKUP(A2166,'Equip, Herr y Transp'!$B$2:$E$217,3,0)</f>
        <v>EQU</v>
      </c>
      <c r="F2166" s="86">
        <f>H2155</f>
        <v>5.21E-2</v>
      </c>
      <c r="G2166" s="112" t="e">
        <f>F2166*E2166</f>
        <v>#VALUE!</v>
      </c>
      <c r="H2166" s="107"/>
    </row>
    <row r="2167" spans="1:15">
      <c r="A2167" s="517" t="s">
        <v>8</v>
      </c>
      <c r="B2167" s="549" t="e">
        <f>VLOOKUP(A2167,'Equip, Herr y Transp'!$B$2:$E$738,2,0)</f>
        <v>#N/A</v>
      </c>
      <c r="C2167" s="549"/>
      <c r="D2167" s="85" t="e">
        <f>VLOOKUP(A2167,'Equip, Herr y Transp'!$B$2:$E$217,2,0)</f>
        <v>#N/A</v>
      </c>
      <c r="E2167" s="85" t="e">
        <f>VLOOKUP(A2167,'Equip, Herr y Transp'!$B$2:$E$217,3,0)</f>
        <v>#N/A</v>
      </c>
      <c r="F2167" s="86">
        <f>H2155</f>
        <v>5.21E-2</v>
      </c>
      <c r="G2167" s="112" t="e">
        <f>F2167*E2167</f>
        <v>#N/A</v>
      </c>
      <c r="H2167" s="107"/>
    </row>
    <row r="2168" spans="1:15">
      <c r="A2168" s="520" t="s">
        <v>4099</v>
      </c>
      <c r="B2168" s="521"/>
      <c r="C2168" s="521"/>
      <c r="D2168" s="521"/>
      <c r="E2168" s="521"/>
      <c r="F2168" s="521"/>
      <c r="G2168" s="521"/>
      <c r="H2168" s="87" t="e">
        <f>SUM(G2165:G2167)</f>
        <v>#VALUE!</v>
      </c>
    </row>
    <row r="2169" spans="1:15">
      <c r="A2169" s="550" t="s">
        <v>4219</v>
      </c>
      <c r="B2169" s="551"/>
      <c r="C2169" s="551"/>
      <c r="D2169" s="551"/>
      <c r="E2169" s="551"/>
      <c r="F2169" s="551"/>
      <c r="G2169" s="551"/>
      <c r="H2169" s="552"/>
      <c r="K2169" s="50"/>
      <c r="L2169" s="50"/>
      <c r="M2169" s="50"/>
      <c r="N2169" s="50"/>
      <c r="O2169" s="50"/>
    </row>
    <row r="2170" spans="1:15" ht="30" customHeight="1">
      <c r="A2170" s="553" t="s">
        <v>7</v>
      </c>
      <c r="B2170" s="554"/>
      <c r="C2170" s="99" t="s">
        <v>0</v>
      </c>
      <c r="D2170" s="100" t="s">
        <v>4097</v>
      </c>
      <c r="E2170" s="101" t="s">
        <v>1</v>
      </c>
      <c r="F2170" s="555" t="s">
        <v>4207</v>
      </c>
      <c r="G2170" s="555"/>
      <c r="H2170" s="196"/>
      <c r="K2170" s="50"/>
      <c r="L2170" s="50"/>
      <c r="M2170" s="50"/>
      <c r="N2170" s="50"/>
      <c r="O2170" s="50"/>
    </row>
    <row r="2171" spans="1:15">
      <c r="A2171" s="535" t="s">
        <v>4714</v>
      </c>
      <c r="B2171" s="536"/>
      <c r="C2171" s="88">
        <f>VLOOKUP(A2171,'Materiales '!$C$2:$G$396,3,0)</f>
        <v>4</v>
      </c>
      <c r="D2171" s="89" t="str">
        <f>VLOOKUP(A2171,'Materiales '!$C$2:$G$396,4,0)</f>
        <v>Und</v>
      </c>
      <c r="E2171" s="90">
        <v>1</v>
      </c>
      <c r="F2171" s="508" t="e">
        <f>E2171*D2171</f>
        <v>#VALUE!</v>
      </c>
      <c r="G2171" s="519"/>
      <c r="H2171" s="111"/>
      <c r="I2171">
        <f>E2171*G2162</f>
        <v>0</v>
      </c>
      <c r="J2171" s="57"/>
      <c r="K2171" s="50"/>
      <c r="L2171" s="50"/>
      <c r="M2171" s="50"/>
      <c r="N2171" s="50"/>
      <c r="O2171" s="50"/>
    </row>
    <row r="2172" spans="1:15">
      <c r="A2172" s="535" t="s">
        <v>4625</v>
      </c>
      <c r="B2172" s="536"/>
      <c r="C2172" s="88">
        <f>VLOOKUP(A2172,'Materiales '!$C$2:$G$396,3,0)</f>
        <v>4</v>
      </c>
      <c r="D2172" s="89" t="str">
        <f>VLOOKUP(A2172,'Materiales '!$C$2:$G$396,4,0)</f>
        <v>Und</v>
      </c>
      <c r="E2172" s="90">
        <v>1</v>
      </c>
      <c r="F2172" s="508" t="e">
        <f t="shared" ref="F2172:F2178" si="127">E2172*D2172</f>
        <v>#VALUE!</v>
      </c>
      <c r="G2172" s="519"/>
      <c r="H2172" s="111"/>
      <c r="I2172">
        <f>E2172*G2162</f>
        <v>0</v>
      </c>
      <c r="J2172" s="57"/>
      <c r="K2172" s="50"/>
      <c r="L2172" s="50"/>
      <c r="M2172" s="50"/>
      <c r="N2172" s="50"/>
      <c r="O2172" s="50"/>
    </row>
    <row r="2173" spans="1:15">
      <c r="A2173" s="517" t="s">
        <v>4586</v>
      </c>
      <c r="B2173" s="518">
        <f>VLOOKUP(A2173,'Materiales '!$C$2:$G$396,3,0)</f>
        <v>4</v>
      </c>
      <c r="C2173" s="88">
        <f>VLOOKUP(A2173,'Materiales '!$C$2:$G$396,3,0)</f>
        <v>4</v>
      </c>
      <c r="D2173" s="89" t="str">
        <f>VLOOKUP(A2173,'Materiales '!$C$2:$G$396,4,0)</f>
        <v>Und</v>
      </c>
      <c r="E2173" s="90">
        <v>0.2</v>
      </c>
      <c r="F2173" s="508" t="e">
        <f t="shared" si="127"/>
        <v>#VALUE!</v>
      </c>
      <c r="G2173" s="519"/>
      <c r="H2173" s="111"/>
      <c r="I2173">
        <f>E2173*G2162</f>
        <v>0</v>
      </c>
      <c r="J2173" s="58"/>
      <c r="K2173" s="50"/>
      <c r="L2173" s="50"/>
      <c r="M2173" s="50"/>
      <c r="N2173" s="50"/>
      <c r="O2173" s="50"/>
    </row>
    <row r="2174" spans="1:15">
      <c r="A2174" s="517" t="s">
        <v>4439</v>
      </c>
      <c r="B2174" s="518">
        <f>VLOOKUP(A2174,'Materiales '!$C$2:$G$396,3,0)</f>
        <v>2</v>
      </c>
      <c r="C2174" s="88">
        <f>VLOOKUP(A2174,'Materiales '!$C$2:$G$396,3,0)</f>
        <v>2</v>
      </c>
      <c r="D2174" s="89" t="str">
        <f>VLOOKUP(A2174,'Materiales '!$C$2:$G$396,4,0)</f>
        <v>Ml</v>
      </c>
      <c r="E2174" s="90">
        <v>1</v>
      </c>
      <c r="F2174" s="508" t="e">
        <f t="shared" si="127"/>
        <v>#VALUE!</v>
      </c>
      <c r="G2174" s="519"/>
      <c r="H2174" s="111"/>
      <c r="I2174">
        <f>E2174*G2162</f>
        <v>0</v>
      </c>
      <c r="J2174" s="58"/>
      <c r="K2174" s="50"/>
      <c r="L2174" s="50"/>
      <c r="M2174" s="50"/>
      <c r="N2174" s="50"/>
      <c r="O2174" s="50"/>
    </row>
    <row r="2175" spans="1:15">
      <c r="A2175" s="517" t="s">
        <v>4482</v>
      </c>
      <c r="B2175" s="518">
        <f>VLOOKUP(A2175,'Materiales '!$C$2:$G$396,3,0)</f>
        <v>4</v>
      </c>
      <c r="C2175" s="88">
        <f>VLOOKUP(A2175,'Materiales '!$C$2:$G$396,3,0)</f>
        <v>4</v>
      </c>
      <c r="D2175" s="89" t="str">
        <f>VLOOKUP(A2175,'Materiales '!$C$2:$G$396,4,0)</f>
        <v>Und</v>
      </c>
      <c r="E2175" s="90">
        <v>3</v>
      </c>
      <c r="F2175" s="508" t="e">
        <f t="shared" si="127"/>
        <v>#VALUE!</v>
      </c>
      <c r="G2175" s="519"/>
      <c r="H2175" s="111"/>
      <c r="I2175">
        <f>E2175*G2162</f>
        <v>0</v>
      </c>
      <c r="J2175" s="58"/>
      <c r="K2175" s="50"/>
      <c r="L2175" s="50"/>
      <c r="M2175" s="50"/>
      <c r="N2175" s="50"/>
      <c r="O2175" s="50"/>
    </row>
    <row r="2176" spans="1:15">
      <c r="A2176" s="517" t="s">
        <v>4626</v>
      </c>
      <c r="B2176" s="518">
        <f>VLOOKUP(A2176,'Materiales '!$C$2:$G$396,3,0)</f>
        <v>4</v>
      </c>
      <c r="C2176" s="88">
        <f>VLOOKUP(A2176,'Materiales '!$C$2:$G$396,3,0)</f>
        <v>4</v>
      </c>
      <c r="D2176" s="89" t="str">
        <f>VLOOKUP(A2176,'Materiales '!$C$2:$G$396,4,0)</f>
        <v>Und</v>
      </c>
      <c r="E2176" s="90">
        <v>0.1</v>
      </c>
      <c r="F2176" s="508" t="e">
        <f t="shared" si="127"/>
        <v>#VALUE!</v>
      </c>
      <c r="G2176" s="519"/>
      <c r="H2176" s="111"/>
      <c r="I2176">
        <f>E2176*G2162</f>
        <v>0</v>
      </c>
      <c r="J2176" s="58"/>
      <c r="K2176" s="50"/>
      <c r="L2176" s="50"/>
      <c r="M2176" s="50"/>
      <c r="N2176" s="50"/>
      <c r="O2176" s="50"/>
    </row>
    <row r="2177" spans="1:15">
      <c r="A2177" s="517" t="s">
        <v>4627</v>
      </c>
      <c r="B2177" s="518">
        <f>VLOOKUP(A2177,'Materiales '!$C$2:$G$396,3,0)</f>
        <v>4</v>
      </c>
      <c r="C2177" s="88">
        <f>VLOOKUP(A2177,'Materiales '!$C$2:$G$396,3,0)</f>
        <v>4</v>
      </c>
      <c r="D2177" s="89" t="str">
        <f>VLOOKUP(A2177,'Materiales '!$C$2:$G$396,4,0)</f>
        <v>Und</v>
      </c>
      <c r="E2177" s="90">
        <v>1</v>
      </c>
      <c r="F2177" s="508" t="e">
        <f t="shared" si="127"/>
        <v>#VALUE!</v>
      </c>
      <c r="G2177" s="519"/>
      <c r="H2177" s="111"/>
      <c r="I2177">
        <f>E2177*G2162</f>
        <v>0</v>
      </c>
      <c r="J2177" s="58"/>
      <c r="K2177" s="50"/>
      <c r="L2177" s="50"/>
      <c r="M2177" s="50"/>
      <c r="N2177" s="50"/>
      <c r="O2177" s="50"/>
    </row>
    <row r="2178" spans="1:15" ht="21.75" customHeight="1">
      <c r="A2178" s="517" t="s">
        <v>4563</v>
      </c>
      <c r="B2178" s="518">
        <f>VLOOKUP(A2178,'Materiales '!$C$2:$G$396,3,0)</f>
        <v>4</v>
      </c>
      <c r="C2178" s="88">
        <f>VLOOKUP(A2178,'Materiales '!$C$2:$G$396,3,0)</f>
        <v>4</v>
      </c>
      <c r="D2178" s="89" t="str">
        <f>VLOOKUP(A2178,'Materiales '!$C$2:$G$396,4,0)</f>
        <v>Und</v>
      </c>
      <c r="E2178" s="90">
        <v>1</v>
      </c>
      <c r="F2178" s="508" t="e">
        <f t="shared" si="127"/>
        <v>#VALUE!</v>
      </c>
      <c r="G2178" s="519"/>
      <c r="H2178" s="111"/>
      <c r="I2178">
        <f>E2178*G2162</f>
        <v>0</v>
      </c>
      <c r="J2178" s="58"/>
      <c r="K2178" s="50"/>
      <c r="L2178" s="50"/>
      <c r="M2178" s="50"/>
      <c r="N2178" s="50"/>
      <c r="O2178" s="50"/>
    </row>
    <row r="2179" spans="1:15">
      <c r="A2179" s="517" t="s">
        <v>8</v>
      </c>
      <c r="B2179" s="518">
        <f>VLOOKUP(A2179,'Materiales '!$C$2:$G$396,3,0)</f>
        <v>0</v>
      </c>
      <c r="C2179" s="88">
        <f>VLOOKUP(A2179,'Materiales '!$C$2:$G$396,3,0)</f>
        <v>0</v>
      </c>
      <c r="D2179" s="89" t="str">
        <f>VLOOKUP(A2179,'Materiales '!$C$2:$G$396,4,0)</f>
        <v>-</v>
      </c>
      <c r="E2179" s="90"/>
      <c r="F2179" s="508" t="e">
        <f>E2179*D2179</f>
        <v>#VALUE!</v>
      </c>
      <c r="G2179" s="519"/>
      <c r="H2179" s="110"/>
      <c r="I2179">
        <f>E2179*G2162</f>
        <v>0</v>
      </c>
      <c r="J2179" s="58"/>
      <c r="K2179" s="50"/>
      <c r="L2179" s="50"/>
      <c r="M2179" s="50"/>
      <c r="N2179" s="50"/>
      <c r="O2179" s="50"/>
    </row>
    <row r="2180" spans="1:15">
      <c r="A2180" s="517" t="s">
        <v>8</v>
      </c>
      <c r="B2180" s="518">
        <f>VLOOKUP(A2180,'Materiales '!$C$2:$G$396,3,0)</f>
        <v>0</v>
      </c>
      <c r="C2180" s="88">
        <f>VLOOKUP(A2180,'Materiales '!$C$2:$G$396,3,0)</f>
        <v>0</v>
      </c>
      <c r="D2180" s="89" t="str">
        <f>VLOOKUP(A2180,'Materiales '!$C$2:$G$396,4,0)</f>
        <v>-</v>
      </c>
      <c r="E2180" s="90"/>
      <c r="F2180" s="508" t="e">
        <f t="shared" ref="F2180:F2183" si="128">E2180*D2180</f>
        <v>#VALUE!</v>
      </c>
      <c r="G2180" s="519"/>
      <c r="H2180" s="111"/>
      <c r="I2180">
        <f>E2180*G2162</f>
        <v>0</v>
      </c>
      <c r="J2180" s="58"/>
      <c r="K2180" s="50"/>
      <c r="L2180" s="50"/>
      <c r="M2180" s="50"/>
      <c r="N2180" s="50"/>
      <c r="O2180" s="50"/>
    </row>
    <row r="2181" spans="1:15">
      <c r="A2181" s="517" t="s">
        <v>8</v>
      </c>
      <c r="B2181" s="518">
        <f>VLOOKUP(A2181,'Materiales '!$C$2:$G$396,3,0)</f>
        <v>0</v>
      </c>
      <c r="C2181" s="88">
        <f>VLOOKUP(A2181,'Materiales '!$C$2:$G$396,3,0)</f>
        <v>0</v>
      </c>
      <c r="D2181" s="89" t="str">
        <f>VLOOKUP(A2181,'Materiales '!$C$2:$G$396,4,0)</f>
        <v>-</v>
      </c>
      <c r="E2181" s="90"/>
      <c r="F2181" s="508" t="e">
        <f t="shared" si="128"/>
        <v>#VALUE!</v>
      </c>
      <c r="G2181" s="519"/>
      <c r="H2181" s="111"/>
      <c r="I2181">
        <f>E2181*G2162</f>
        <v>0</v>
      </c>
      <c r="J2181" s="58"/>
      <c r="K2181" s="50"/>
      <c r="L2181" s="50"/>
      <c r="M2181" s="50"/>
      <c r="N2181" s="50"/>
      <c r="O2181" s="50"/>
    </row>
    <row r="2182" spans="1:15">
      <c r="A2182" s="517" t="s">
        <v>8</v>
      </c>
      <c r="B2182" s="518">
        <f>VLOOKUP(A2182,'Materiales '!$C$2:$G$396,3,0)</f>
        <v>0</v>
      </c>
      <c r="C2182" s="88">
        <f>VLOOKUP(A2182,'Materiales '!$C$2:$G$396,3,0)</f>
        <v>0</v>
      </c>
      <c r="D2182" s="89" t="str">
        <f>VLOOKUP(A2182,'Materiales '!$C$2:$G$396,4,0)</f>
        <v>-</v>
      </c>
      <c r="E2182" s="90"/>
      <c r="F2182" s="508" t="e">
        <f t="shared" si="128"/>
        <v>#VALUE!</v>
      </c>
      <c r="G2182" s="519"/>
      <c r="H2182" s="111"/>
      <c r="I2182">
        <f>E2182*G2162</f>
        <v>0</v>
      </c>
      <c r="J2182" s="58"/>
      <c r="K2182" s="50"/>
      <c r="L2182" s="50"/>
      <c r="M2182" s="50"/>
      <c r="N2182" s="50"/>
      <c r="O2182" s="50"/>
    </row>
    <row r="2183" spans="1:15">
      <c r="A2183" s="517" t="s">
        <v>8</v>
      </c>
      <c r="B2183" s="518">
        <f>VLOOKUP(A2183,'Materiales '!$C$2:$G$396,3,0)</f>
        <v>0</v>
      </c>
      <c r="C2183" s="88">
        <f>VLOOKUP(A2183,'Materiales '!$C$2:$G$396,3,0)</f>
        <v>0</v>
      </c>
      <c r="D2183" s="89" t="str">
        <f>VLOOKUP(A2183,'Materiales '!$C$2:$G$396,4,0)</f>
        <v>-</v>
      </c>
      <c r="E2183" s="90"/>
      <c r="F2183" s="508" t="e">
        <f t="shared" si="128"/>
        <v>#VALUE!</v>
      </c>
      <c r="G2183" s="519"/>
      <c r="H2183" s="111"/>
      <c r="I2183">
        <f>E2183*G2162</f>
        <v>0</v>
      </c>
      <c r="J2183" s="58"/>
      <c r="K2183" s="50"/>
      <c r="L2183" s="50"/>
      <c r="M2183" s="50"/>
      <c r="N2183" s="50"/>
      <c r="O2183" s="50"/>
    </row>
    <row r="2184" spans="1:15">
      <c r="A2184" s="517" t="s">
        <v>8</v>
      </c>
      <c r="B2184" s="518">
        <f>VLOOKUP(A2184,'Materiales '!$C$2:$G$396,3,0)</f>
        <v>0</v>
      </c>
      <c r="C2184" s="88">
        <f>VLOOKUP(A2184,'Materiales '!$C$2:$G$396,3,0)</f>
        <v>0</v>
      </c>
      <c r="D2184" s="89" t="str">
        <f>VLOOKUP(A2184,'Materiales '!$C$2:$G$396,4,0)</f>
        <v>-</v>
      </c>
      <c r="E2184" s="90"/>
      <c r="F2184" s="508" t="e">
        <f>E2184*D2184</f>
        <v>#VALUE!</v>
      </c>
      <c r="G2184" s="519"/>
      <c r="H2184" s="110"/>
      <c r="I2184">
        <f>E2184*G2162</f>
        <v>0</v>
      </c>
      <c r="J2184" s="58"/>
      <c r="K2184" s="50"/>
      <c r="L2184" s="50"/>
      <c r="M2184" s="50"/>
      <c r="N2184" s="50"/>
      <c r="O2184" s="50"/>
    </row>
    <row r="2185" spans="1:15">
      <c r="A2185" s="520" t="s">
        <v>4098</v>
      </c>
      <c r="B2185" s="521"/>
      <c r="C2185" s="521"/>
      <c r="D2185" s="521"/>
      <c r="E2185" s="521"/>
      <c r="F2185" s="521"/>
      <c r="G2185" s="522"/>
      <c r="H2185" s="106" t="e">
        <f>SUM(F2171:F2184)</f>
        <v>#VALUE!</v>
      </c>
      <c r="J2185" s="58"/>
      <c r="K2185" s="50"/>
      <c r="L2185" s="50"/>
      <c r="M2185" s="50"/>
      <c r="N2185" s="50"/>
      <c r="O2185" s="50"/>
    </row>
    <row r="2186" spans="1:15">
      <c r="A2186" s="523" t="s">
        <v>4220</v>
      </c>
      <c r="B2186" s="524"/>
      <c r="C2186" s="524"/>
      <c r="D2186" s="524"/>
      <c r="E2186" s="525"/>
      <c r="F2186" s="524"/>
      <c r="G2186" s="524"/>
      <c r="H2186" s="526"/>
      <c r="J2186" s="58"/>
      <c r="K2186" s="50"/>
      <c r="L2186" s="50"/>
      <c r="M2186" s="50"/>
      <c r="N2186" s="50"/>
      <c r="O2186" s="50"/>
    </row>
    <row r="2187" spans="1:15">
      <c r="A2187" s="527" t="s">
        <v>7</v>
      </c>
      <c r="B2187" s="528"/>
      <c r="C2187" s="98" t="s">
        <v>4221</v>
      </c>
      <c r="D2187" s="97" t="s">
        <v>4222</v>
      </c>
      <c r="E2187" s="187" t="s">
        <v>4223</v>
      </c>
      <c r="F2187" s="529" t="s">
        <v>4207</v>
      </c>
      <c r="G2187" s="529"/>
      <c r="H2187" s="109"/>
      <c r="K2187" s="50"/>
      <c r="L2187" s="50"/>
      <c r="M2187" s="50"/>
      <c r="N2187" s="50"/>
      <c r="O2187" s="50"/>
    </row>
    <row r="2188" spans="1:15">
      <c r="A2188" s="506" t="s">
        <v>3928</v>
      </c>
      <c r="B2188" s="507"/>
      <c r="C2188" s="213">
        <v>1</v>
      </c>
      <c r="D2188" s="92">
        <v>0.03</v>
      </c>
      <c r="E2188" s="93" t="str">
        <f>VLOOKUP(A2188,'Equip, Herr y Transp'!$B$2:$E$217,3,0)</f>
        <v>TR</v>
      </c>
      <c r="F2188" s="530" t="e">
        <f>E2188*D2188*C2188</f>
        <v>#VALUE!</v>
      </c>
      <c r="G2188" s="531"/>
      <c r="H2188" s="107"/>
      <c r="M2188" s="50"/>
    </row>
    <row r="2189" spans="1:15">
      <c r="A2189" s="532" t="s">
        <v>4205</v>
      </c>
      <c r="B2189" s="533"/>
      <c r="C2189" s="533"/>
      <c r="D2189" s="533"/>
      <c r="E2189" s="533"/>
      <c r="F2189" s="533"/>
      <c r="G2189" s="533"/>
      <c r="H2189" s="95" t="e">
        <f>F2188</f>
        <v>#VALUE!</v>
      </c>
    </row>
    <row r="2190" spans="1:15">
      <c r="A2190" s="523" t="s">
        <v>4224</v>
      </c>
      <c r="B2190" s="524"/>
      <c r="C2190" s="524"/>
      <c r="D2190" s="524"/>
      <c r="E2190" s="524"/>
      <c r="F2190" s="524"/>
      <c r="G2190" s="524"/>
      <c r="H2190" s="526"/>
    </row>
    <row r="2191" spans="1:15">
      <c r="A2191" s="527" t="s">
        <v>7</v>
      </c>
      <c r="B2191" s="528"/>
      <c r="C2191" s="96" t="s">
        <v>1</v>
      </c>
      <c r="D2191" s="97" t="s">
        <v>4225</v>
      </c>
      <c r="E2191" s="98" t="s">
        <v>4204</v>
      </c>
      <c r="F2191" s="527" t="s">
        <v>5</v>
      </c>
      <c r="G2191" s="534"/>
      <c r="H2191" s="109"/>
    </row>
    <row r="2192" spans="1:15">
      <c r="A2192" s="506" t="s">
        <v>4191</v>
      </c>
      <c r="B2192" s="507"/>
      <c r="C2192" s="91">
        <v>1</v>
      </c>
      <c r="D2192" s="94">
        <f>VLOOKUP(A2192,'Mano Obra'!$B$2:$T$117,19,0)</f>
        <v>152456</v>
      </c>
      <c r="E2192" s="218">
        <f>H2155</f>
        <v>5.21E-2</v>
      </c>
      <c r="F2192" s="508">
        <f>E2192*D2192*C2192</f>
        <v>7942.9575999999997</v>
      </c>
      <c r="G2192" s="509"/>
      <c r="H2192" s="111"/>
      <c r="I2192" s="59"/>
      <c r="J2192" s="117">
        <f>((('Mano Obra'!$M$4/30)*F2192)/D2192)*G2162</f>
        <v>0</v>
      </c>
    </row>
    <row r="2193" spans="1:10">
      <c r="A2193" s="510" t="s">
        <v>4192</v>
      </c>
      <c r="B2193" s="511">
        <f>VLOOKUP(A2193,'Mano Obra'!$B$3:$D$290,2,0)</f>
        <v>1900000</v>
      </c>
      <c r="C2193" s="91">
        <v>1</v>
      </c>
      <c r="D2193" s="94">
        <f>VLOOKUP(A2193,'Mano Obra'!$B$2:$T$117,19,0)</f>
        <v>110488</v>
      </c>
      <c r="E2193" s="218">
        <f>H2155</f>
        <v>5.21E-2</v>
      </c>
      <c r="F2193" s="508">
        <f t="shared" ref="F2193:F2194" si="129">E2193*D2193*C2193</f>
        <v>5756.4247999999998</v>
      </c>
      <c r="G2193" s="509"/>
      <c r="H2193" s="111"/>
      <c r="J2193" s="117">
        <f>((('Mano Obra'!$M$5/30)*F2193)/D2193)*G2162</f>
        <v>0</v>
      </c>
    </row>
    <row r="2194" spans="1:10">
      <c r="A2194" s="510" t="s">
        <v>4181</v>
      </c>
      <c r="B2194" s="511">
        <f>VLOOKUP(A2194,'Mano Obra'!$B$3:$D$290,2,0)</f>
        <v>1000000</v>
      </c>
      <c r="C2194" s="91">
        <v>1</v>
      </c>
      <c r="D2194" s="94">
        <f>VLOOKUP(A2194,'Mano Obra'!$B$2:$T$117,19,0)</f>
        <v>67424</v>
      </c>
      <c r="E2194" s="218">
        <f>H2155</f>
        <v>5.21E-2</v>
      </c>
      <c r="F2194" s="508">
        <f t="shared" si="129"/>
        <v>3512.7903999999999</v>
      </c>
      <c r="G2194" s="509"/>
      <c r="H2194" s="110"/>
      <c r="J2194" s="117">
        <f>((('Mano Obra'!$M$6/30)*F2194)/D2194)*G2162</f>
        <v>0</v>
      </c>
    </row>
    <row r="2195" spans="1:10">
      <c r="A2195" s="512" t="s">
        <v>4100</v>
      </c>
      <c r="B2195" s="512"/>
      <c r="C2195" s="512"/>
      <c r="D2195" s="512"/>
      <c r="E2195" s="512"/>
      <c r="F2195" s="512"/>
      <c r="G2195" s="512"/>
      <c r="H2195" s="95">
        <f>SUM(F2192:F2194)</f>
        <v>17212.1728</v>
      </c>
      <c r="J2195" s="117"/>
    </row>
    <row r="2196" spans="1:10">
      <c r="A2196" s="208" t="s">
        <v>4226</v>
      </c>
      <c r="B2196" s="186"/>
      <c r="C2196" s="186"/>
      <c r="D2196" s="183"/>
      <c r="E2196" s="184"/>
      <c r="F2196" s="185"/>
      <c r="G2196" s="184"/>
      <c r="H2196" s="193"/>
    </row>
    <row r="2197" spans="1:10">
      <c r="A2197" s="513" t="s">
        <v>4213</v>
      </c>
      <c r="B2197" s="514"/>
      <c r="C2197" s="514"/>
      <c r="D2197" s="514"/>
      <c r="E2197" s="181"/>
      <c r="F2197" s="182" t="s">
        <v>4227</v>
      </c>
      <c r="G2197" s="181" t="s">
        <v>4228</v>
      </c>
      <c r="H2197" s="194"/>
    </row>
    <row r="2198" spans="1:10">
      <c r="A2198" s="204" t="s">
        <v>4096</v>
      </c>
      <c r="B2198" s="62"/>
      <c r="C2198" s="62"/>
      <c r="D2198" s="63"/>
      <c r="E2198" s="68"/>
      <c r="F2198" s="69">
        <v>0</v>
      </c>
      <c r="G2198" s="70" t="e">
        <f>F2198*H2163</f>
        <v>#VALUE!</v>
      </c>
      <c r="H2198" s="193"/>
    </row>
    <row r="2199" spans="1:10">
      <c r="A2199" s="205" t="s">
        <v>4229</v>
      </c>
      <c r="B2199" s="71"/>
      <c r="C2199" s="71"/>
      <c r="D2199" s="72"/>
      <c r="E2199" s="68"/>
      <c r="F2199" s="69">
        <v>0</v>
      </c>
      <c r="G2199" s="70" t="e">
        <f>F2199*H2163</f>
        <v>#VALUE!</v>
      </c>
      <c r="H2199" s="193"/>
    </row>
    <row r="2200" spans="1:10">
      <c r="A2200" s="205" t="s">
        <v>4</v>
      </c>
      <c r="B2200" s="71"/>
      <c r="C2200" s="71"/>
      <c r="D2200" s="72"/>
      <c r="E2200" s="68"/>
      <c r="F2200" s="69">
        <v>0</v>
      </c>
      <c r="G2200" s="70" t="e">
        <f>F2200*H2163</f>
        <v>#VALUE!</v>
      </c>
      <c r="H2200" s="193"/>
    </row>
    <row r="2201" spans="1:10">
      <c r="A2201" s="206"/>
      <c r="B2201" s="73"/>
      <c r="C2201" s="65"/>
      <c r="D2201" s="74"/>
      <c r="E2201" s="75"/>
      <c r="F2201" s="76"/>
      <c r="G2201" s="77"/>
      <c r="H2201" s="195"/>
    </row>
    <row r="2202" spans="1:10">
      <c r="A2202" s="207"/>
      <c r="B2202" s="73"/>
      <c r="C2202" s="73"/>
      <c r="D2202" s="74"/>
      <c r="E2202" s="78"/>
      <c r="F2202" s="515" t="s">
        <v>4230</v>
      </c>
      <c r="G2202" s="516"/>
      <c r="H2202" s="214" t="e">
        <f>H2163+G2198+G2199+G2200</f>
        <v>#VALUE!</v>
      </c>
    </row>
    <row r="2203" spans="1:10">
      <c r="A2203" s="73"/>
      <c r="B2203" s="73"/>
      <c r="C2203" s="73"/>
      <c r="D2203" s="74"/>
      <c r="E2203" s="360"/>
      <c r="F2203" s="361"/>
      <c r="G2203" s="361"/>
      <c r="H2203" s="362"/>
    </row>
    <row r="2204" spans="1:10">
      <c r="A2204" s="73"/>
      <c r="B2204" s="73"/>
      <c r="C2204" s="73"/>
      <c r="D2204" s="74"/>
      <c r="E2204" s="360"/>
      <c r="F2204" s="361"/>
      <c r="G2204" s="361"/>
      <c r="H2204" s="362"/>
    </row>
    <row r="2205" spans="1:10">
      <c r="A2205" s="80"/>
      <c r="B2205" s="80"/>
      <c r="C2205" s="80"/>
      <c r="D2205" s="80"/>
      <c r="E2205" s="80"/>
      <c r="F2205" s="80"/>
      <c r="G2205" s="80"/>
      <c r="H2205" s="353"/>
    </row>
    <row r="2206" spans="1:10">
      <c r="A2206" s="537" t="s">
        <v>4214</v>
      </c>
      <c r="B2206" s="538"/>
      <c r="C2206" s="538"/>
      <c r="D2206" s="538"/>
      <c r="E2206" s="538"/>
      <c r="F2206" s="538"/>
      <c r="G2206" s="538"/>
      <c r="H2206" s="539"/>
    </row>
    <row r="2207" spans="1:10">
      <c r="A2207" s="81"/>
      <c r="B2207" s="82"/>
      <c r="C2207" s="82"/>
      <c r="D2207" s="82"/>
      <c r="E2207" s="82"/>
      <c r="F2207" s="83"/>
      <c r="G2207" s="84"/>
      <c r="H2207" s="352">
        <f>ROUND((25/60)/8,4)</f>
        <v>5.21E-2</v>
      </c>
      <c r="I2207" s="105"/>
    </row>
    <row r="2208" spans="1:10">
      <c r="A2208" s="540" t="s">
        <v>4209</v>
      </c>
      <c r="B2208" s="542" t="str">
        <f>COSTOS!$C$14</f>
        <v>MODERNIZACION A TECNOLOGIA LED</v>
      </c>
      <c r="C2208" s="542"/>
      <c r="D2208" s="542"/>
      <c r="E2208" s="542"/>
      <c r="F2208" s="542"/>
      <c r="G2208" s="542"/>
      <c r="H2208" s="543" t="s">
        <v>4210</v>
      </c>
    </row>
    <row r="2209" spans="1:15">
      <c r="A2209" s="541"/>
      <c r="B2209" s="542"/>
      <c r="C2209" s="542"/>
      <c r="D2209" s="542"/>
      <c r="E2209" s="542"/>
      <c r="F2209" s="542"/>
      <c r="G2209" s="542"/>
      <c r="H2209" s="543"/>
    </row>
    <row r="2210" spans="1:15">
      <c r="A2210" s="541"/>
      <c r="B2210" s="542"/>
      <c r="C2210" s="542"/>
      <c r="D2210" s="542"/>
      <c r="E2210" s="542"/>
      <c r="F2210" s="542"/>
      <c r="G2210" s="542"/>
      <c r="H2210" s="543"/>
    </row>
    <row r="2211" spans="1:15" ht="15" customHeight="1">
      <c r="A2211" s="541"/>
      <c r="B2211" s="542"/>
      <c r="C2211" s="542"/>
      <c r="D2211" s="542"/>
      <c r="E2211" s="542"/>
      <c r="F2211" s="542"/>
      <c r="G2211" s="542"/>
      <c r="H2211" s="197">
        <f ca="1">TODAY()</f>
        <v>44889</v>
      </c>
      <c r="K2211" t="s">
        <v>4380</v>
      </c>
      <c r="L2211" t="s">
        <v>4381</v>
      </c>
      <c r="M2211" t="s">
        <v>4382</v>
      </c>
      <c r="N2211" t="s">
        <v>4383</v>
      </c>
    </row>
    <row r="2212" spans="1:15" ht="60.75" customHeight="1">
      <c r="A2212" s="209" t="s">
        <v>4211</v>
      </c>
      <c r="B2212" s="544" t="str">
        <f>COSTOS!$D$16</f>
        <v>Luminarias</v>
      </c>
      <c r="C2212" s="544"/>
      <c r="D2212" s="544"/>
      <c r="E2212" s="544"/>
      <c r="F2212" s="544"/>
      <c r="G2212" s="60" t="s">
        <v>4212</v>
      </c>
      <c r="H2212" s="363">
        <v>1.44</v>
      </c>
      <c r="K2212" s="55" t="e">
        <f>H2237</f>
        <v>#VALUE!</v>
      </c>
      <c r="L2212" s="55">
        <f>H2247</f>
        <v>17212.1728</v>
      </c>
      <c r="M2212" s="55" t="e">
        <f>H2220</f>
        <v>#VALUE!</v>
      </c>
      <c r="N2212" s="55" t="e">
        <f>H2241</f>
        <v>#VALUE!</v>
      </c>
    </row>
    <row r="2213" spans="1:15" ht="43.2" customHeight="1">
      <c r="A2213" s="210" t="s">
        <v>4213</v>
      </c>
      <c r="B2213" s="545" t="str">
        <f>VLOOKUP(H2212,COSTOS!C:M,2,0)</f>
        <v>Spot Led 18w</v>
      </c>
      <c r="C2213" s="546"/>
      <c r="D2213" s="546"/>
      <c r="E2213" s="547"/>
      <c r="F2213" s="61" t="s">
        <v>0</v>
      </c>
      <c r="G2213" s="328" t="str">
        <f>VLOOKUP(H2212,COSTOS!C:M,8,0)</f>
        <v>Und</v>
      </c>
      <c r="H2213" s="248"/>
      <c r="I2213" s="278"/>
      <c r="J2213" s="280"/>
      <c r="K2213" s="280"/>
      <c r="L2213" s="280"/>
    </row>
    <row r="2214" spans="1:15">
      <c r="A2214" s="211"/>
      <c r="B2214" s="102"/>
      <c r="C2214" s="102"/>
      <c r="D2214" s="102"/>
      <c r="E2214" s="103"/>
      <c r="F2214" s="104" t="s">
        <v>1</v>
      </c>
      <c r="G2214" s="328">
        <f>VLOOKUP(H2212,COSTOS!C:M,9,0)</f>
        <v>0</v>
      </c>
      <c r="H2214" s="329"/>
      <c r="I2214" s="279"/>
    </row>
    <row r="2215" spans="1:15">
      <c r="A2215" s="212" t="s">
        <v>4215</v>
      </c>
      <c r="B2215" s="65"/>
      <c r="C2215" s="65"/>
      <c r="D2215" s="66"/>
      <c r="E2215" s="190"/>
      <c r="F2215" s="191"/>
      <c r="G2215" s="192" t="s">
        <v>4216</v>
      </c>
      <c r="H2215" s="198" t="e">
        <f>H2220+H2237+H2241+H2247</f>
        <v>#VALUE!</v>
      </c>
    </row>
    <row r="2216" spans="1:15" ht="41.4">
      <c r="A2216" s="548" t="s">
        <v>4213</v>
      </c>
      <c r="B2216" s="548"/>
      <c r="C2216" s="548"/>
      <c r="D2216" s="67" t="s">
        <v>0</v>
      </c>
      <c r="E2216" s="188" t="s">
        <v>4217</v>
      </c>
      <c r="F2216" s="189" t="s">
        <v>4204</v>
      </c>
      <c r="G2216" s="64" t="s">
        <v>2</v>
      </c>
      <c r="H2216" s="199" t="s">
        <v>4218</v>
      </c>
      <c r="K2216" s="281"/>
    </row>
    <row r="2217" spans="1:15">
      <c r="A2217" s="517" t="s">
        <v>3946</v>
      </c>
      <c r="B2217" s="549">
        <f>VLOOKUP(A2217,'Equip, Herr y Transp'!$B$2:$E$738,2,0)</f>
        <v>2</v>
      </c>
      <c r="C2217" s="549"/>
      <c r="D2217" s="85">
        <f>VLOOKUP(A2217,'Equip, Herr y Transp'!$B$2:$E$217,2,0)</f>
        <v>2</v>
      </c>
      <c r="E2217" s="85" t="str">
        <f>VLOOKUP(A2217,'Equip, Herr y Transp'!$B$2:$E$217,3,0)</f>
        <v>EQU</v>
      </c>
      <c r="F2217" s="86">
        <f>H2207</f>
        <v>5.21E-2</v>
      </c>
      <c r="G2217" s="112" t="e">
        <f>F2217*E2217</f>
        <v>#VALUE!</v>
      </c>
      <c r="H2217" s="108"/>
    </row>
    <row r="2218" spans="1:15">
      <c r="A2218" s="517" t="s">
        <v>3937</v>
      </c>
      <c r="B2218" s="549">
        <f>VLOOKUP(A2218,'Equip, Herr y Transp'!$B$2:$E$738,2,0)</f>
        <v>2</v>
      </c>
      <c r="C2218" s="549"/>
      <c r="D2218" s="85">
        <f>VLOOKUP(A2218,'Equip, Herr y Transp'!$B$2:$E$217,2,0)</f>
        <v>2</v>
      </c>
      <c r="E2218" s="85" t="str">
        <f>VLOOKUP(A2218,'Equip, Herr y Transp'!$B$2:$E$217,3,0)</f>
        <v>EQU</v>
      </c>
      <c r="F2218" s="86">
        <f>H2207</f>
        <v>5.21E-2</v>
      </c>
      <c r="G2218" s="112" t="e">
        <f>F2218*E2218</f>
        <v>#VALUE!</v>
      </c>
      <c r="H2218" s="107"/>
    </row>
    <row r="2219" spans="1:15">
      <c r="A2219" s="517" t="s">
        <v>3903</v>
      </c>
      <c r="B2219" s="549">
        <f>VLOOKUP(A2219,'Equip, Herr y Transp'!$B$2:$E$738,2,0)</f>
        <v>2</v>
      </c>
      <c r="C2219" s="549"/>
      <c r="D2219" s="85">
        <f>VLOOKUP(A2219,'Equip, Herr y Transp'!$B$2:$E$217,2,0)</f>
        <v>2</v>
      </c>
      <c r="E2219" s="85" t="str">
        <f>VLOOKUP(A2219,'Equip, Herr y Transp'!$B$2:$E$217,3,0)</f>
        <v>EQU</v>
      </c>
      <c r="F2219" s="86">
        <f>H2207</f>
        <v>5.21E-2</v>
      </c>
      <c r="G2219" s="112" t="e">
        <f>F2219*E2219</f>
        <v>#VALUE!</v>
      </c>
      <c r="H2219" s="107"/>
    </row>
    <row r="2220" spans="1:15">
      <c r="A2220" s="520" t="s">
        <v>4099</v>
      </c>
      <c r="B2220" s="521"/>
      <c r="C2220" s="521"/>
      <c r="D2220" s="521"/>
      <c r="E2220" s="521"/>
      <c r="F2220" s="521"/>
      <c r="G2220" s="521"/>
      <c r="H2220" s="87" t="e">
        <f>SUM(G2217:G2219)</f>
        <v>#VALUE!</v>
      </c>
    </row>
    <row r="2221" spans="1:15">
      <c r="A2221" s="550" t="s">
        <v>4219</v>
      </c>
      <c r="B2221" s="551"/>
      <c r="C2221" s="551"/>
      <c r="D2221" s="551"/>
      <c r="E2221" s="551"/>
      <c r="F2221" s="551"/>
      <c r="G2221" s="551"/>
      <c r="H2221" s="552"/>
      <c r="K2221" s="50"/>
      <c r="L2221" s="50"/>
      <c r="M2221" s="50"/>
      <c r="N2221" s="50"/>
      <c r="O2221" s="50"/>
    </row>
    <row r="2222" spans="1:15" ht="30" customHeight="1">
      <c r="A2222" s="553" t="s">
        <v>7</v>
      </c>
      <c r="B2222" s="554"/>
      <c r="C2222" s="99" t="s">
        <v>0</v>
      </c>
      <c r="D2222" s="100" t="s">
        <v>4097</v>
      </c>
      <c r="E2222" s="101" t="s">
        <v>1</v>
      </c>
      <c r="F2222" s="555" t="s">
        <v>4207</v>
      </c>
      <c r="G2222" s="555"/>
      <c r="H2222" s="196"/>
      <c r="K2222" s="50"/>
      <c r="L2222" s="50"/>
      <c r="M2222" s="50"/>
      <c r="N2222" s="50"/>
      <c r="O2222" s="50"/>
    </row>
    <row r="2223" spans="1:15">
      <c r="A2223" s="535" t="s">
        <v>4715</v>
      </c>
      <c r="B2223" s="536"/>
      <c r="C2223" s="88">
        <f>VLOOKUP(A2223,'Materiales '!$C$2:$G$396,3,0)</f>
        <v>4</v>
      </c>
      <c r="D2223" s="89" t="str">
        <f>VLOOKUP(A2223,'Materiales '!$C$2:$G$396,4,0)</f>
        <v>Und</v>
      </c>
      <c r="E2223" s="90">
        <v>1</v>
      </c>
      <c r="F2223" s="508" t="e">
        <f>E2223*D2223</f>
        <v>#VALUE!</v>
      </c>
      <c r="G2223" s="519"/>
      <c r="H2223" s="111"/>
      <c r="I2223">
        <f>E2223*G2214</f>
        <v>0</v>
      </c>
      <c r="J2223" s="57"/>
      <c r="K2223" s="50"/>
      <c r="L2223" s="50"/>
      <c r="M2223" s="50"/>
      <c r="N2223" s="50"/>
      <c r="O2223" s="50"/>
    </row>
    <row r="2224" spans="1:15">
      <c r="A2224" s="535" t="s">
        <v>4625</v>
      </c>
      <c r="B2224" s="536"/>
      <c r="C2224" s="88">
        <f>VLOOKUP(A2224,'Materiales '!$C$2:$G$396,3,0)</f>
        <v>4</v>
      </c>
      <c r="D2224" s="89" t="str">
        <f>VLOOKUP(A2224,'Materiales '!$C$2:$G$396,4,0)</f>
        <v>Und</v>
      </c>
      <c r="E2224" s="90">
        <v>1</v>
      </c>
      <c r="F2224" s="508" t="e">
        <f t="shared" ref="F2224:F2230" si="130">E2224*D2224</f>
        <v>#VALUE!</v>
      </c>
      <c r="G2224" s="519"/>
      <c r="H2224" s="111"/>
      <c r="I2224">
        <f>E2224*G2214</f>
        <v>0</v>
      </c>
      <c r="J2224" s="57"/>
      <c r="K2224" s="50"/>
      <c r="L2224" s="50"/>
      <c r="M2224" s="50"/>
      <c r="N2224" s="50"/>
      <c r="O2224" s="50"/>
    </row>
    <row r="2225" spans="1:15">
      <c r="A2225" s="517" t="s">
        <v>4628</v>
      </c>
      <c r="B2225" s="518">
        <f>VLOOKUP(A2225,'Materiales '!$C$2:$G$396,3,0)</f>
        <v>4</v>
      </c>
      <c r="C2225" s="88">
        <f>VLOOKUP(A2225,'Materiales '!$C$2:$G$396,3,0)</f>
        <v>4</v>
      </c>
      <c r="D2225" s="89" t="str">
        <f>VLOOKUP(A2225,'Materiales '!$C$2:$G$396,4,0)</f>
        <v>Und</v>
      </c>
      <c r="E2225" s="90">
        <v>0.1</v>
      </c>
      <c r="F2225" s="508" t="e">
        <f t="shared" si="130"/>
        <v>#VALUE!</v>
      </c>
      <c r="G2225" s="519"/>
      <c r="H2225" s="111"/>
      <c r="I2225">
        <f>E2225*G2214</f>
        <v>0</v>
      </c>
      <c r="J2225" s="58"/>
      <c r="K2225" s="50"/>
      <c r="L2225" s="50"/>
      <c r="M2225" s="50"/>
      <c r="N2225" s="50"/>
      <c r="O2225" s="50"/>
    </row>
    <row r="2226" spans="1:15">
      <c r="A2226" s="517" t="s">
        <v>4439</v>
      </c>
      <c r="B2226" s="518">
        <f>VLOOKUP(A2226,'Materiales '!$C$2:$G$396,3,0)</f>
        <v>2</v>
      </c>
      <c r="C2226" s="88">
        <f>VLOOKUP(A2226,'Materiales '!$C$2:$G$396,3,0)</f>
        <v>2</v>
      </c>
      <c r="D2226" s="89" t="str">
        <f>VLOOKUP(A2226,'Materiales '!$C$2:$G$396,4,0)</f>
        <v>Ml</v>
      </c>
      <c r="E2226" s="90">
        <v>1</v>
      </c>
      <c r="F2226" s="508" t="e">
        <f t="shared" si="130"/>
        <v>#VALUE!</v>
      </c>
      <c r="G2226" s="519"/>
      <c r="H2226" s="111"/>
      <c r="I2226">
        <f>E2226*G2214</f>
        <v>0</v>
      </c>
      <c r="J2226" s="58"/>
      <c r="K2226" s="50"/>
      <c r="L2226" s="50"/>
      <c r="M2226" s="50"/>
      <c r="N2226" s="50"/>
      <c r="O2226" s="50"/>
    </row>
    <row r="2227" spans="1:15">
      <c r="A2227" s="517" t="s">
        <v>4482</v>
      </c>
      <c r="B2227" s="518">
        <f>VLOOKUP(A2227,'Materiales '!$C$2:$G$396,3,0)</f>
        <v>4</v>
      </c>
      <c r="C2227" s="88">
        <f>VLOOKUP(A2227,'Materiales '!$C$2:$G$396,3,0)</f>
        <v>4</v>
      </c>
      <c r="D2227" s="89" t="str">
        <f>VLOOKUP(A2227,'Materiales '!$C$2:$G$396,4,0)</f>
        <v>Und</v>
      </c>
      <c r="E2227" s="90">
        <v>3</v>
      </c>
      <c r="F2227" s="508" t="e">
        <f t="shared" si="130"/>
        <v>#VALUE!</v>
      </c>
      <c r="G2227" s="519"/>
      <c r="H2227" s="111"/>
      <c r="I2227">
        <f>E2227*G2214</f>
        <v>0</v>
      </c>
      <c r="J2227" s="58"/>
      <c r="K2227" s="50"/>
      <c r="L2227" s="50"/>
      <c r="M2227" s="50"/>
      <c r="N2227" s="50"/>
      <c r="O2227" s="50"/>
    </row>
    <row r="2228" spans="1:15">
      <c r="A2228" s="517" t="s">
        <v>4627</v>
      </c>
      <c r="B2228" s="518">
        <f>VLOOKUP(A2228,'Materiales '!$C$2:$G$396,3,0)</f>
        <v>4</v>
      </c>
      <c r="C2228" s="88">
        <f>VLOOKUP(A2228,'Materiales '!$C$2:$G$396,3,0)</f>
        <v>4</v>
      </c>
      <c r="D2228" s="89" t="str">
        <f>VLOOKUP(A2228,'Materiales '!$C$2:$G$396,4,0)</f>
        <v>Und</v>
      </c>
      <c r="E2228" s="90">
        <v>1</v>
      </c>
      <c r="F2228" s="508" t="e">
        <f t="shared" si="130"/>
        <v>#VALUE!</v>
      </c>
      <c r="G2228" s="519"/>
      <c r="H2228" s="111"/>
      <c r="I2228">
        <f>E2228*G2214</f>
        <v>0</v>
      </c>
      <c r="J2228" s="58"/>
      <c r="K2228" s="50"/>
      <c r="L2228" s="50"/>
      <c r="M2228" s="50"/>
      <c r="N2228" s="50"/>
      <c r="O2228" s="50"/>
    </row>
    <row r="2229" spans="1:15">
      <c r="A2229" s="517" t="s">
        <v>4563</v>
      </c>
      <c r="B2229" s="518">
        <f>VLOOKUP(A2229,'Materiales '!$C$2:$G$396,3,0)</f>
        <v>4</v>
      </c>
      <c r="C2229" s="88">
        <f>VLOOKUP(A2229,'Materiales '!$C$2:$G$396,3,0)</f>
        <v>4</v>
      </c>
      <c r="D2229" s="89" t="str">
        <f>VLOOKUP(A2229,'Materiales '!$C$2:$G$396,4,0)</f>
        <v>Und</v>
      </c>
      <c r="E2229" s="90">
        <v>1</v>
      </c>
      <c r="F2229" s="508" t="e">
        <f t="shared" si="130"/>
        <v>#VALUE!</v>
      </c>
      <c r="G2229" s="519"/>
      <c r="H2229" s="111"/>
      <c r="I2229">
        <f>E2229*G2214</f>
        <v>0</v>
      </c>
      <c r="J2229" s="58"/>
      <c r="K2229" s="50"/>
      <c r="L2229" s="50"/>
      <c r="M2229" s="50"/>
      <c r="N2229" s="50"/>
      <c r="O2229" s="50"/>
    </row>
    <row r="2230" spans="1:15" ht="21.75" customHeight="1">
      <c r="A2230" s="517" t="s">
        <v>8</v>
      </c>
      <c r="B2230" s="518">
        <f>VLOOKUP(A2230,'Materiales '!$C$2:$G$396,3,0)</f>
        <v>0</v>
      </c>
      <c r="C2230" s="88">
        <f>VLOOKUP(A2230,'Materiales '!$C$2:$G$396,3,0)</f>
        <v>0</v>
      </c>
      <c r="D2230" s="89" t="str">
        <f>VLOOKUP(A2230,'Materiales '!$C$2:$G$396,4,0)</f>
        <v>-</v>
      </c>
      <c r="E2230" s="90"/>
      <c r="F2230" s="508" t="e">
        <f t="shared" si="130"/>
        <v>#VALUE!</v>
      </c>
      <c r="G2230" s="519"/>
      <c r="H2230" s="111"/>
      <c r="I2230">
        <f>E2230*G2214</f>
        <v>0</v>
      </c>
      <c r="J2230" s="58"/>
      <c r="K2230" s="50"/>
      <c r="L2230" s="50"/>
      <c r="M2230" s="50"/>
      <c r="N2230" s="50"/>
      <c r="O2230" s="50"/>
    </row>
    <row r="2231" spans="1:15">
      <c r="A2231" s="517" t="s">
        <v>8</v>
      </c>
      <c r="B2231" s="518">
        <f>VLOOKUP(A2231,'Materiales '!$C$2:$G$396,3,0)</f>
        <v>0</v>
      </c>
      <c r="C2231" s="88">
        <f>VLOOKUP(A2231,'Materiales '!$C$2:$G$396,3,0)</f>
        <v>0</v>
      </c>
      <c r="D2231" s="89" t="str">
        <f>VLOOKUP(A2231,'Materiales '!$C$2:$G$396,4,0)</f>
        <v>-</v>
      </c>
      <c r="E2231" s="90"/>
      <c r="F2231" s="508" t="e">
        <f>E2231*D2231</f>
        <v>#VALUE!</v>
      </c>
      <c r="G2231" s="519"/>
      <c r="H2231" s="110"/>
      <c r="I2231">
        <f>E2231*G2214</f>
        <v>0</v>
      </c>
      <c r="J2231" s="58"/>
      <c r="K2231" s="50"/>
      <c r="L2231" s="50"/>
      <c r="M2231" s="50"/>
      <c r="N2231" s="50"/>
      <c r="O2231" s="50"/>
    </row>
    <row r="2232" spans="1:15">
      <c r="A2232" s="517" t="s">
        <v>8</v>
      </c>
      <c r="B2232" s="518">
        <f>VLOOKUP(A2232,'Materiales '!$C$2:$G$396,3,0)</f>
        <v>0</v>
      </c>
      <c r="C2232" s="88">
        <f>VLOOKUP(A2232,'Materiales '!$C$2:$G$396,3,0)</f>
        <v>0</v>
      </c>
      <c r="D2232" s="89" t="str">
        <f>VLOOKUP(A2232,'Materiales '!$C$2:$G$396,4,0)</f>
        <v>-</v>
      </c>
      <c r="E2232" s="90"/>
      <c r="F2232" s="508" t="e">
        <f t="shared" ref="F2232:F2235" si="131">E2232*D2232</f>
        <v>#VALUE!</v>
      </c>
      <c r="G2232" s="519"/>
      <c r="H2232" s="111"/>
      <c r="I2232">
        <f>E2232*G2214</f>
        <v>0</v>
      </c>
      <c r="J2232" s="58"/>
      <c r="K2232" s="50"/>
      <c r="L2232" s="50"/>
      <c r="M2232" s="50"/>
      <c r="N2232" s="50"/>
      <c r="O2232" s="50"/>
    </row>
    <row r="2233" spans="1:15">
      <c r="A2233" s="517" t="s">
        <v>8</v>
      </c>
      <c r="B2233" s="518">
        <f>VLOOKUP(A2233,'Materiales '!$C$2:$G$396,3,0)</f>
        <v>0</v>
      </c>
      <c r="C2233" s="88">
        <f>VLOOKUP(A2233,'Materiales '!$C$2:$G$396,3,0)</f>
        <v>0</v>
      </c>
      <c r="D2233" s="89" t="str">
        <f>VLOOKUP(A2233,'Materiales '!$C$2:$G$396,4,0)</f>
        <v>-</v>
      </c>
      <c r="E2233" s="90"/>
      <c r="F2233" s="508" t="e">
        <f t="shared" si="131"/>
        <v>#VALUE!</v>
      </c>
      <c r="G2233" s="519"/>
      <c r="H2233" s="111"/>
      <c r="I2233">
        <f>E2233*G2214</f>
        <v>0</v>
      </c>
      <c r="J2233" s="58"/>
      <c r="K2233" s="50"/>
      <c r="L2233" s="50"/>
      <c r="M2233" s="50"/>
      <c r="N2233" s="50"/>
      <c r="O2233" s="50"/>
    </row>
    <row r="2234" spans="1:15">
      <c r="A2234" s="517" t="s">
        <v>8</v>
      </c>
      <c r="B2234" s="518">
        <f>VLOOKUP(A2234,'Materiales '!$C$2:$G$396,3,0)</f>
        <v>0</v>
      </c>
      <c r="C2234" s="88">
        <f>VLOOKUP(A2234,'Materiales '!$C$2:$G$396,3,0)</f>
        <v>0</v>
      </c>
      <c r="D2234" s="89" t="str">
        <f>VLOOKUP(A2234,'Materiales '!$C$2:$G$396,4,0)</f>
        <v>-</v>
      </c>
      <c r="E2234" s="90"/>
      <c r="F2234" s="508" t="e">
        <f t="shared" si="131"/>
        <v>#VALUE!</v>
      </c>
      <c r="G2234" s="519"/>
      <c r="H2234" s="111"/>
      <c r="I2234">
        <f>E2234*G2214</f>
        <v>0</v>
      </c>
      <c r="J2234" s="58"/>
      <c r="K2234" s="50"/>
      <c r="L2234" s="50"/>
      <c r="M2234" s="50"/>
      <c r="N2234" s="50"/>
      <c r="O2234" s="50"/>
    </row>
    <row r="2235" spans="1:15">
      <c r="A2235" s="517" t="s">
        <v>8</v>
      </c>
      <c r="B2235" s="518">
        <f>VLOOKUP(A2235,'Materiales '!$C$2:$G$396,3,0)</f>
        <v>0</v>
      </c>
      <c r="C2235" s="88">
        <f>VLOOKUP(A2235,'Materiales '!$C$2:$G$396,3,0)</f>
        <v>0</v>
      </c>
      <c r="D2235" s="89" t="str">
        <f>VLOOKUP(A2235,'Materiales '!$C$2:$G$396,4,0)</f>
        <v>-</v>
      </c>
      <c r="E2235" s="90"/>
      <c r="F2235" s="508" t="e">
        <f t="shared" si="131"/>
        <v>#VALUE!</v>
      </c>
      <c r="G2235" s="519"/>
      <c r="H2235" s="111"/>
      <c r="I2235">
        <f>E2235*G2214</f>
        <v>0</v>
      </c>
      <c r="J2235" s="58"/>
      <c r="K2235" s="50"/>
      <c r="L2235" s="50"/>
      <c r="M2235" s="50"/>
      <c r="N2235" s="50"/>
      <c r="O2235" s="50"/>
    </row>
    <row r="2236" spans="1:15">
      <c r="A2236" s="517" t="s">
        <v>8</v>
      </c>
      <c r="B2236" s="518">
        <f>VLOOKUP(A2236,'Materiales '!$C$2:$G$396,3,0)</f>
        <v>0</v>
      </c>
      <c r="C2236" s="88">
        <f>VLOOKUP(A2236,'Materiales '!$C$2:$G$396,3,0)</f>
        <v>0</v>
      </c>
      <c r="D2236" s="89" t="str">
        <f>VLOOKUP(A2236,'Materiales '!$C$2:$G$396,4,0)</f>
        <v>-</v>
      </c>
      <c r="E2236" s="90"/>
      <c r="F2236" s="508" t="e">
        <f>E2236*D2236</f>
        <v>#VALUE!</v>
      </c>
      <c r="G2236" s="519"/>
      <c r="H2236" s="110"/>
      <c r="I2236">
        <f>E2236*G2214</f>
        <v>0</v>
      </c>
      <c r="J2236" s="58"/>
      <c r="K2236" s="50"/>
      <c r="L2236" s="50"/>
      <c r="M2236" s="50"/>
      <c r="N2236" s="50"/>
      <c r="O2236" s="50"/>
    </row>
    <row r="2237" spans="1:15">
      <c r="A2237" s="520" t="s">
        <v>4098</v>
      </c>
      <c r="B2237" s="521"/>
      <c r="C2237" s="521"/>
      <c r="D2237" s="521"/>
      <c r="E2237" s="521"/>
      <c r="F2237" s="521"/>
      <c r="G2237" s="522"/>
      <c r="H2237" s="106" t="e">
        <f>SUM(F2223:F2236)</f>
        <v>#VALUE!</v>
      </c>
      <c r="J2237" s="58"/>
      <c r="K2237" s="50"/>
      <c r="L2237" s="50"/>
      <c r="M2237" s="50"/>
      <c r="N2237" s="50"/>
      <c r="O2237" s="50"/>
    </row>
    <row r="2238" spans="1:15">
      <c r="A2238" s="523" t="s">
        <v>4220</v>
      </c>
      <c r="B2238" s="524"/>
      <c r="C2238" s="524"/>
      <c r="D2238" s="524"/>
      <c r="E2238" s="525"/>
      <c r="F2238" s="524"/>
      <c r="G2238" s="524"/>
      <c r="H2238" s="526"/>
      <c r="J2238" s="58"/>
      <c r="K2238" s="50"/>
      <c r="L2238" s="50"/>
      <c r="M2238" s="50"/>
      <c r="N2238" s="50"/>
      <c r="O2238" s="50"/>
    </row>
    <row r="2239" spans="1:15">
      <c r="A2239" s="527" t="s">
        <v>7</v>
      </c>
      <c r="B2239" s="528"/>
      <c r="C2239" s="98" t="s">
        <v>4221</v>
      </c>
      <c r="D2239" s="97" t="s">
        <v>4222</v>
      </c>
      <c r="E2239" s="187" t="s">
        <v>4223</v>
      </c>
      <c r="F2239" s="529" t="s">
        <v>4207</v>
      </c>
      <c r="G2239" s="529"/>
      <c r="H2239" s="109"/>
      <c r="K2239" s="50"/>
      <c r="L2239" s="50"/>
      <c r="M2239" s="50"/>
      <c r="N2239" s="50"/>
      <c r="O2239" s="50"/>
    </row>
    <row r="2240" spans="1:15">
      <c r="A2240" s="506" t="s">
        <v>3928</v>
      </c>
      <c r="B2240" s="507"/>
      <c r="C2240" s="213">
        <v>1</v>
      </c>
      <c r="D2240" s="92">
        <v>0.03</v>
      </c>
      <c r="E2240" s="93" t="str">
        <f>VLOOKUP(A2240,'Equip, Herr y Transp'!$B$2:$E$217,3,0)</f>
        <v>TR</v>
      </c>
      <c r="F2240" s="530" t="e">
        <f>E2240*D2240*C2240</f>
        <v>#VALUE!</v>
      </c>
      <c r="G2240" s="531"/>
      <c r="H2240" s="107"/>
      <c r="M2240" s="50"/>
    </row>
    <row r="2241" spans="1:10">
      <c r="A2241" s="532" t="s">
        <v>4205</v>
      </c>
      <c r="B2241" s="533"/>
      <c r="C2241" s="533"/>
      <c r="D2241" s="533"/>
      <c r="E2241" s="533"/>
      <c r="F2241" s="533"/>
      <c r="G2241" s="533"/>
      <c r="H2241" s="95" t="e">
        <f>F2240</f>
        <v>#VALUE!</v>
      </c>
    </row>
    <row r="2242" spans="1:10">
      <c r="A2242" s="523" t="s">
        <v>4224</v>
      </c>
      <c r="B2242" s="524"/>
      <c r="C2242" s="524"/>
      <c r="D2242" s="524"/>
      <c r="E2242" s="524"/>
      <c r="F2242" s="524"/>
      <c r="G2242" s="524"/>
      <c r="H2242" s="526"/>
    </row>
    <row r="2243" spans="1:10">
      <c r="A2243" s="527" t="s">
        <v>7</v>
      </c>
      <c r="B2243" s="528"/>
      <c r="C2243" s="96" t="s">
        <v>1</v>
      </c>
      <c r="D2243" s="97" t="s">
        <v>4225</v>
      </c>
      <c r="E2243" s="98" t="s">
        <v>4204</v>
      </c>
      <c r="F2243" s="527" t="s">
        <v>5</v>
      </c>
      <c r="G2243" s="534"/>
      <c r="H2243" s="109"/>
    </row>
    <row r="2244" spans="1:10">
      <c r="A2244" s="506" t="s">
        <v>4191</v>
      </c>
      <c r="B2244" s="507"/>
      <c r="C2244" s="91">
        <v>1</v>
      </c>
      <c r="D2244" s="94">
        <f>VLOOKUP(A2244,'Mano Obra'!$B$2:$T$117,19,0)</f>
        <v>152456</v>
      </c>
      <c r="E2244" s="218">
        <f>H2207</f>
        <v>5.21E-2</v>
      </c>
      <c r="F2244" s="508">
        <f>E2244*D2244*C2244</f>
        <v>7942.9575999999997</v>
      </c>
      <c r="G2244" s="509"/>
      <c r="H2244" s="111"/>
      <c r="I2244" s="59"/>
      <c r="J2244" s="117">
        <f>((('Mano Obra'!$M$4/30)*F2244)/D2244)*G2214</f>
        <v>0</v>
      </c>
    </row>
    <row r="2245" spans="1:10">
      <c r="A2245" s="510" t="s">
        <v>4192</v>
      </c>
      <c r="B2245" s="511">
        <f>VLOOKUP(A2245,'Mano Obra'!$B$3:$D$290,2,0)</f>
        <v>1900000</v>
      </c>
      <c r="C2245" s="91">
        <v>1</v>
      </c>
      <c r="D2245" s="94">
        <f>VLOOKUP(A2245,'Mano Obra'!$B$2:$T$117,19,0)</f>
        <v>110488</v>
      </c>
      <c r="E2245" s="218">
        <f>H2207</f>
        <v>5.21E-2</v>
      </c>
      <c r="F2245" s="508">
        <f t="shared" ref="F2245:F2246" si="132">E2245*D2245*C2245</f>
        <v>5756.4247999999998</v>
      </c>
      <c r="G2245" s="509"/>
      <c r="H2245" s="111"/>
      <c r="J2245" s="117">
        <f>((('Mano Obra'!$M$5/30)*F2245)/D2245)*G2214</f>
        <v>0</v>
      </c>
    </row>
    <row r="2246" spans="1:10">
      <c r="A2246" s="510" t="s">
        <v>4181</v>
      </c>
      <c r="B2246" s="511">
        <f>VLOOKUP(A2246,'Mano Obra'!$B$3:$D$290,2,0)</f>
        <v>1000000</v>
      </c>
      <c r="C2246" s="91">
        <v>1</v>
      </c>
      <c r="D2246" s="94">
        <f>VLOOKUP(A2246,'Mano Obra'!$B$2:$T$117,19,0)</f>
        <v>67424</v>
      </c>
      <c r="E2246" s="218">
        <f>H2207</f>
        <v>5.21E-2</v>
      </c>
      <c r="F2246" s="508">
        <f t="shared" si="132"/>
        <v>3512.7903999999999</v>
      </c>
      <c r="G2246" s="509"/>
      <c r="H2246" s="110"/>
      <c r="J2246" s="117">
        <f>((('Mano Obra'!$M$6/30)*F2246)/D2246)*G2214</f>
        <v>0</v>
      </c>
    </row>
    <row r="2247" spans="1:10">
      <c r="A2247" s="512" t="s">
        <v>4100</v>
      </c>
      <c r="B2247" s="512"/>
      <c r="C2247" s="512"/>
      <c r="D2247" s="512"/>
      <c r="E2247" s="512"/>
      <c r="F2247" s="512"/>
      <c r="G2247" s="512"/>
      <c r="H2247" s="95">
        <f>SUM(F2244:F2246)</f>
        <v>17212.1728</v>
      </c>
      <c r="J2247" s="117"/>
    </row>
    <row r="2248" spans="1:10">
      <c r="A2248" s="208" t="s">
        <v>4226</v>
      </c>
      <c r="B2248" s="186"/>
      <c r="C2248" s="186"/>
      <c r="D2248" s="183"/>
      <c r="E2248" s="184"/>
      <c r="F2248" s="185"/>
      <c r="G2248" s="184"/>
      <c r="H2248" s="193"/>
    </row>
    <row r="2249" spans="1:10">
      <c r="A2249" s="513" t="s">
        <v>4213</v>
      </c>
      <c r="B2249" s="514"/>
      <c r="C2249" s="514"/>
      <c r="D2249" s="514"/>
      <c r="E2249" s="181"/>
      <c r="F2249" s="182" t="s">
        <v>4227</v>
      </c>
      <c r="G2249" s="181" t="s">
        <v>4228</v>
      </c>
      <c r="H2249" s="194"/>
    </row>
    <row r="2250" spans="1:10">
      <c r="A2250" s="204" t="s">
        <v>4096</v>
      </c>
      <c r="B2250" s="62"/>
      <c r="C2250" s="62"/>
      <c r="D2250" s="63"/>
      <c r="E2250" s="68"/>
      <c r="F2250" s="69">
        <v>0</v>
      </c>
      <c r="G2250" s="70" t="e">
        <f>F2250*H2215</f>
        <v>#VALUE!</v>
      </c>
      <c r="H2250" s="193"/>
    </row>
    <row r="2251" spans="1:10">
      <c r="A2251" s="205" t="s">
        <v>4229</v>
      </c>
      <c r="B2251" s="71"/>
      <c r="C2251" s="71"/>
      <c r="D2251" s="72"/>
      <c r="E2251" s="68"/>
      <c r="F2251" s="69">
        <v>0</v>
      </c>
      <c r="G2251" s="70" t="e">
        <f>F2251*H2215</f>
        <v>#VALUE!</v>
      </c>
      <c r="H2251" s="193"/>
    </row>
    <row r="2252" spans="1:10">
      <c r="A2252" s="205" t="s">
        <v>4</v>
      </c>
      <c r="B2252" s="71"/>
      <c r="C2252" s="71"/>
      <c r="D2252" s="72"/>
      <c r="E2252" s="68"/>
      <c r="F2252" s="69">
        <v>0</v>
      </c>
      <c r="G2252" s="70" t="e">
        <f>F2252*H2215</f>
        <v>#VALUE!</v>
      </c>
      <c r="H2252" s="193"/>
    </row>
    <row r="2253" spans="1:10">
      <c r="A2253" s="206"/>
      <c r="B2253" s="73"/>
      <c r="C2253" s="65"/>
      <c r="D2253" s="74"/>
      <c r="E2253" s="75"/>
      <c r="F2253" s="76"/>
      <c r="G2253" s="77"/>
      <c r="H2253" s="195"/>
    </row>
    <row r="2254" spans="1:10">
      <c r="A2254" s="207"/>
      <c r="B2254" s="73"/>
      <c r="C2254" s="73"/>
      <c r="D2254" s="74"/>
      <c r="E2254" s="78"/>
      <c r="F2254" s="515" t="s">
        <v>4230</v>
      </c>
      <c r="G2254" s="516"/>
      <c r="H2254" s="214" t="e">
        <f>H2215+G2250+G2251+G2252</f>
        <v>#VALUE!</v>
      </c>
    </row>
    <row r="2255" spans="1:10">
      <c r="A2255" s="73"/>
      <c r="B2255" s="73"/>
      <c r="C2255" s="73"/>
      <c r="D2255" s="74"/>
      <c r="E2255" s="360"/>
      <c r="F2255" s="361"/>
      <c r="G2255" s="361"/>
      <c r="H2255" s="362"/>
    </row>
    <row r="2256" spans="1:10">
      <c r="A2256" s="80"/>
      <c r="B2256" s="80"/>
      <c r="C2256" s="80"/>
      <c r="D2256" s="80"/>
      <c r="E2256" s="80"/>
      <c r="F2256" s="80"/>
      <c r="G2256" s="80"/>
      <c r="H2256" s="353"/>
    </row>
    <row r="2257" spans="1:15">
      <c r="A2257" s="537" t="s">
        <v>4214</v>
      </c>
      <c r="B2257" s="538"/>
      <c r="C2257" s="538"/>
      <c r="D2257" s="538"/>
      <c r="E2257" s="538"/>
      <c r="F2257" s="538"/>
      <c r="G2257" s="538"/>
      <c r="H2257" s="539"/>
    </row>
    <row r="2258" spans="1:15">
      <c r="A2258" s="81"/>
      <c r="B2258" s="82"/>
      <c r="C2258" s="82"/>
      <c r="D2258" s="82"/>
      <c r="E2258" s="82"/>
      <c r="F2258" s="83"/>
      <c r="G2258" s="84"/>
      <c r="H2258" s="352">
        <f>ROUND((25/60)/8,4)</f>
        <v>5.21E-2</v>
      </c>
      <c r="I2258" s="105"/>
    </row>
    <row r="2259" spans="1:15">
      <c r="A2259" s="540" t="s">
        <v>4209</v>
      </c>
      <c r="B2259" s="542" t="str">
        <f>COSTOS!$C$14</f>
        <v>MODERNIZACION A TECNOLOGIA LED</v>
      </c>
      <c r="C2259" s="542"/>
      <c r="D2259" s="542"/>
      <c r="E2259" s="542"/>
      <c r="F2259" s="542"/>
      <c r="G2259" s="542"/>
      <c r="H2259" s="543" t="s">
        <v>4210</v>
      </c>
    </row>
    <row r="2260" spans="1:15">
      <c r="A2260" s="541"/>
      <c r="B2260" s="542"/>
      <c r="C2260" s="542"/>
      <c r="D2260" s="542"/>
      <c r="E2260" s="542"/>
      <c r="F2260" s="542"/>
      <c r="G2260" s="542"/>
      <c r="H2260" s="543"/>
    </row>
    <row r="2261" spans="1:15">
      <c r="A2261" s="541"/>
      <c r="B2261" s="542"/>
      <c r="C2261" s="542"/>
      <c r="D2261" s="542"/>
      <c r="E2261" s="542"/>
      <c r="F2261" s="542"/>
      <c r="G2261" s="542"/>
      <c r="H2261" s="543"/>
    </row>
    <row r="2262" spans="1:15" ht="15" customHeight="1">
      <c r="A2262" s="541"/>
      <c r="B2262" s="542"/>
      <c r="C2262" s="542"/>
      <c r="D2262" s="542"/>
      <c r="E2262" s="542"/>
      <c r="F2262" s="542"/>
      <c r="G2262" s="542"/>
      <c r="H2262" s="197">
        <f ca="1">TODAY()</f>
        <v>44889</v>
      </c>
      <c r="K2262" t="s">
        <v>4380</v>
      </c>
      <c r="L2262" t="s">
        <v>4381</v>
      </c>
      <c r="M2262" t="s">
        <v>4382</v>
      </c>
      <c r="N2262" t="s">
        <v>4383</v>
      </c>
    </row>
    <row r="2263" spans="1:15" ht="60.75" customHeight="1">
      <c r="A2263" s="209" t="s">
        <v>4211</v>
      </c>
      <c r="B2263" s="544" t="str">
        <f>COSTOS!$D$16</f>
        <v>Luminarias</v>
      </c>
      <c r="C2263" s="544"/>
      <c r="D2263" s="544"/>
      <c r="E2263" s="544"/>
      <c r="F2263" s="544"/>
      <c r="G2263" s="60" t="s">
        <v>4212</v>
      </c>
      <c r="H2263" s="363">
        <v>1.45</v>
      </c>
      <c r="K2263" s="55" t="e">
        <f>H2288</f>
        <v>#VALUE!</v>
      </c>
      <c r="L2263" s="55">
        <f>H2298</f>
        <v>17212.1728</v>
      </c>
      <c r="M2263" s="55" t="e">
        <f>H2271</f>
        <v>#VALUE!</v>
      </c>
      <c r="N2263" s="55" t="e">
        <f>H2292</f>
        <v>#VALUE!</v>
      </c>
    </row>
    <row r="2264" spans="1:15" ht="43.2" customHeight="1">
      <c r="A2264" s="210" t="s">
        <v>4213</v>
      </c>
      <c r="B2264" s="545" t="str">
        <f>VLOOKUP(H2263,COSTOS!C:M,2,0)</f>
        <v>Luminaria Metal Halide 70w</v>
      </c>
      <c r="C2264" s="546"/>
      <c r="D2264" s="546"/>
      <c r="E2264" s="547"/>
      <c r="F2264" s="61" t="s">
        <v>0</v>
      </c>
      <c r="G2264" s="328" t="str">
        <f>VLOOKUP(H2263,COSTOS!C:M,8,0)</f>
        <v>Und</v>
      </c>
      <c r="H2264" s="248"/>
      <c r="I2264" s="278"/>
      <c r="J2264" s="280"/>
      <c r="K2264" s="280"/>
      <c r="L2264" s="280"/>
    </row>
    <row r="2265" spans="1:15">
      <c r="A2265" s="211"/>
      <c r="B2265" s="102"/>
      <c r="C2265" s="102"/>
      <c r="D2265" s="102"/>
      <c r="E2265" s="103"/>
      <c r="F2265" s="104" t="s">
        <v>1</v>
      </c>
      <c r="G2265" s="328">
        <f>VLOOKUP(H2263,COSTOS!C:M,9,0)</f>
        <v>0</v>
      </c>
      <c r="H2265" s="329"/>
      <c r="I2265" s="279"/>
    </row>
    <row r="2266" spans="1:15">
      <c r="A2266" s="212" t="s">
        <v>4215</v>
      </c>
      <c r="B2266" s="65"/>
      <c r="C2266" s="65"/>
      <c r="D2266" s="66"/>
      <c r="E2266" s="190"/>
      <c r="F2266" s="191"/>
      <c r="G2266" s="192" t="s">
        <v>4216</v>
      </c>
      <c r="H2266" s="198" t="e">
        <f>H2271+H2288+H2292+H2298</f>
        <v>#VALUE!</v>
      </c>
    </row>
    <row r="2267" spans="1:15" ht="41.4">
      <c r="A2267" s="548" t="s">
        <v>4213</v>
      </c>
      <c r="B2267" s="548"/>
      <c r="C2267" s="548"/>
      <c r="D2267" s="67" t="s">
        <v>0</v>
      </c>
      <c r="E2267" s="188" t="s">
        <v>4217</v>
      </c>
      <c r="F2267" s="189" t="s">
        <v>4204</v>
      </c>
      <c r="G2267" s="64" t="s">
        <v>2</v>
      </c>
      <c r="H2267" s="199" t="s">
        <v>4218</v>
      </c>
      <c r="K2267" s="281"/>
    </row>
    <row r="2268" spans="1:15">
      <c r="A2268" s="517" t="s">
        <v>3946</v>
      </c>
      <c r="B2268" s="549">
        <f>VLOOKUP(A2268,'Equip, Herr y Transp'!$B$2:$E$738,2,0)</f>
        <v>2</v>
      </c>
      <c r="C2268" s="549"/>
      <c r="D2268" s="85">
        <f>VLOOKUP(A2268,'Equip, Herr y Transp'!$B$2:$E$217,2,0)</f>
        <v>2</v>
      </c>
      <c r="E2268" s="85" t="str">
        <f>VLOOKUP(A2268,'Equip, Herr y Transp'!$B$2:$E$217,3,0)</f>
        <v>EQU</v>
      </c>
      <c r="F2268" s="86">
        <f>H2258</f>
        <v>5.21E-2</v>
      </c>
      <c r="G2268" s="112" t="e">
        <f>F2268*E2268</f>
        <v>#VALUE!</v>
      </c>
      <c r="H2268" s="108"/>
    </row>
    <row r="2269" spans="1:15">
      <c r="A2269" s="517" t="s">
        <v>3937</v>
      </c>
      <c r="B2269" s="549">
        <f>VLOOKUP(A2269,'Equip, Herr y Transp'!$B$2:$E$738,2,0)</f>
        <v>2</v>
      </c>
      <c r="C2269" s="549"/>
      <c r="D2269" s="85">
        <f>VLOOKUP(A2269,'Equip, Herr y Transp'!$B$2:$E$217,2,0)</f>
        <v>2</v>
      </c>
      <c r="E2269" s="85" t="str">
        <f>VLOOKUP(A2269,'Equip, Herr y Transp'!$B$2:$E$217,3,0)</f>
        <v>EQU</v>
      </c>
      <c r="F2269" s="86">
        <f>H2258</f>
        <v>5.21E-2</v>
      </c>
      <c r="G2269" s="112" t="e">
        <f>F2269*E2269</f>
        <v>#VALUE!</v>
      </c>
      <c r="H2269" s="107"/>
    </row>
    <row r="2270" spans="1:15">
      <c r="A2270" s="517" t="s">
        <v>3903</v>
      </c>
      <c r="B2270" s="549">
        <f>VLOOKUP(A2270,'Equip, Herr y Transp'!$B$2:$E$738,2,0)</f>
        <v>2</v>
      </c>
      <c r="C2270" s="549"/>
      <c r="D2270" s="85">
        <f>VLOOKUP(A2270,'Equip, Herr y Transp'!$B$2:$E$217,2,0)</f>
        <v>2</v>
      </c>
      <c r="E2270" s="85" t="str">
        <f>VLOOKUP(A2270,'Equip, Herr y Transp'!$B$2:$E$217,3,0)</f>
        <v>EQU</v>
      </c>
      <c r="F2270" s="86">
        <f>H2258</f>
        <v>5.21E-2</v>
      </c>
      <c r="G2270" s="112" t="e">
        <f>F2270*E2270</f>
        <v>#VALUE!</v>
      </c>
      <c r="H2270" s="107"/>
    </row>
    <row r="2271" spans="1:15">
      <c r="A2271" s="520" t="s">
        <v>4099</v>
      </c>
      <c r="B2271" s="521"/>
      <c r="C2271" s="521"/>
      <c r="D2271" s="521"/>
      <c r="E2271" s="521"/>
      <c r="F2271" s="521"/>
      <c r="G2271" s="521"/>
      <c r="H2271" s="87" t="e">
        <f>SUM(G2268:G2270)</f>
        <v>#VALUE!</v>
      </c>
    </row>
    <row r="2272" spans="1:15">
      <c r="A2272" s="550" t="s">
        <v>4219</v>
      </c>
      <c r="B2272" s="551"/>
      <c r="C2272" s="551"/>
      <c r="D2272" s="551"/>
      <c r="E2272" s="551"/>
      <c r="F2272" s="551"/>
      <c r="G2272" s="551"/>
      <c r="H2272" s="552"/>
      <c r="K2272" s="50"/>
      <c r="L2272" s="50"/>
      <c r="M2272" s="50"/>
      <c r="N2272" s="50"/>
      <c r="O2272" s="50"/>
    </row>
    <row r="2273" spans="1:15" ht="30" customHeight="1">
      <c r="A2273" s="553" t="s">
        <v>7</v>
      </c>
      <c r="B2273" s="554"/>
      <c r="C2273" s="99" t="s">
        <v>0</v>
      </c>
      <c r="D2273" s="100" t="s">
        <v>4097</v>
      </c>
      <c r="E2273" s="101" t="s">
        <v>1</v>
      </c>
      <c r="F2273" s="555" t="s">
        <v>4207</v>
      </c>
      <c r="G2273" s="555"/>
      <c r="H2273" s="196"/>
      <c r="K2273" s="50"/>
      <c r="L2273" s="50"/>
      <c r="M2273" s="50"/>
      <c r="N2273" s="50"/>
      <c r="O2273" s="50"/>
    </row>
    <row r="2274" spans="1:15">
      <c r="A2274" s="535" t="s">
        <v>4719</v>
      </c>
      <c r="B2274" s="536"/>
      <c r="C2274" s="88">
        <f>VLOOKUP(A2274,'Materiales '!$C$2:$G$396,3,0)</f>
        <v>4</v>
      </c>
      <c r="D2274" s="89" t="str">
        <f>VLOOKUP(A2274,'Materiales '!$C$2:$G$396,4,0)</f>
        <v>Und</v>
      </c>
      <c r="E2274" s="90">
        <v>1</v>
      </c>
      <c r="F2274" s="508" t="e">
        <f>E2274*D2274</f>
        <v>#VALUE!</v>
      </c>
      <c r="G2274" s="519"/>
      <c r="H2274" s="111"/>
      <c r="I2274">
        <f>E2274*G2265</f>
        <v>0</v>
      </c>
      <c r="J2274" s="57"/>
      <c r="K2274" s="50"/>
      <c r="L2274" s="50"/>
      <c r="M2274" s="50"/>
      <c r="N2274" s="50"/>
      <c r="O2274" s="50"/>
    </row>
    <row r="2275" spans="1:15">
      <c r="A2275" s="535" t="s">
        <v>4203</v>
      </c>
      <c r="B2275" s="536"/>
      <c r="C2275" s="88">
        <f>VLOOKUP(A2275,'Materiales '!$C$2:$G$396,3,0)</f>
        <v>4</v>
      </c>
      <c r="D2275" s="89" t="str">
        <f>VLOOKUP(A2275,'Materiales '!$C$2:$G$396,4,0)</f>
        <v>Und</v>
      </c>
      <c r="E2275" s="90">
        <v>1</v>
      </c>
      <c r="F2275" s="508" t="e">
        <f t="shared" ref="F2275:F2281" si="133">E2275*D2275</f>
        <v>#VALUE!</v>
      </c>
      <c r="G2275" s="519"/>
      <c r="H2275" s="111"/>
      <c r="I2275">
        <f>E2275*G2265</f>
        <v>0</v>
      </c>
      <c r="J2275" s="57"/>
      <c r="K2275" s="50"/>
      <c r="L2275" s="50"/>
      <c r="M2275" s="50"/>
      <c r="N2275" s="50"/>
      <c r="O2275" s="50"/>
    </row>
    <row r="2276" spans="1:15">
      <c r="A2276" s="517" t="s">
        <v>4473</v>
      </c>
      <c r="B2276" s="518">
        <f>VLOOKUP(A2276,'Materiales '!$C$2:$G$396,3,0)</f>
        <v>4</v>
      </c>
      <c r="C2276" s="88">
        <f>VLOOKUP(A2276,'Materiales '!$C$2:$G$396,3,0)</f>
        <v>4</v>
      </c>
      <c r="D2276" s="89" t="str">
        <f>VLOOKUP(A2276,'Materiales '!$C$2:$G$396,4,0)</f>
        <v>Und</v>
      </c>
      <c r="E2276" s="90">
        <v>2</v>
      </c>
      <c r="F2276" s="508" t="e">
        <f t="shared" si="133"/>
        <v>#VALUE!</v>
      </c>
      <c r="G2276" s="519"/>
      <c r="H2276" s="111"/>
      <c r="I2276">
        <f>E2276*G2265</f>
        <v>0</v>
      </c>
      <c r="J2276" s="58"/>
      <c r="K2276" s="50"/>
      <c r="L2276" s="50"/>
      <c r="M2276" s="50"/>
      <c r="N2276" s="50"/>
      <c r="O2276" s="50"/>
    </row>
    <row r="2277" spans="1:15">
      <c r="A2277" s="517" t="s">
        <v>4478</v>
      </c>
      <c r="B2277" s="518">
        <f>VLOOKUP(A2277,'Materiales '!$C$2:$G$396,3,0)</f>
        <v>4</v>
      </c>
      <c r="C2277" s="88">
        <f>VLOOKUP(A2277,'Materiales '!$C$2:$G$396,3,0)</f>
        <v>4</v>
      </c>
      <c r="D2277" s="89" t="str">
        <f>VLOOKUP(A2277,'Materiales '!$C$2:$G$396,4,0)</f>
        <v>Und</v>
      </c>
      <c r="E2277" s="90">
        <v>3</v>
      </c>
      <c r="F2277" s="508" t="e">
        <f t="shared" si="133"/>
        <v>#VALUE!</v>
      </c>
      <c r="G2277" s="519"/>
      <c r="H2277" s="111"/>
      <c r="I2277">
        <f>E2277*G2265</f>
        <v>0</v>
      </c>
      <c r="J2277" s="58"/>
      <c r="K2277" s="50"/>
      <c r="L2277" s="50"/>
      <c r="M2277" s="50"/>
      <c r="N2277" s="50"/>
      <c r="O2277" s="50"/>
    </row>
    <row r="2278" spans="1:15">
      <c r="A2278" s="517" t="s">
        <v>4543</v>
      </c>
      <c r="B2278" s="518">
        <f>VLOOKUP(A2278,'Materiales '!$C$2:$G$396,3,0)</f>
        <v>4</v>
      </c>
      <c r="C2278" s="88">
        <f>VLOOKUP(A2278,'Materiales '!$C$2:$G$396,3,0)</f>
        <v>4</v>
      </c>
      <c r="D2278" s="89" t="str">
        <f>VLOOKUP(A2278,'Materiales '!$C$2:$G$396,4,0)</f>
        <v>Und</v>
      </c>
      <c r="E2278" s="90">
        <v>2</v>
      </c>
      <c r="F2278" s="508" t="e">
        <f t="shared" si="133"/>
        <v>#VALUE!</v>
      </c>
      <c r="G2278" s="519"/>
      <c r="H2278" s="111"/>
      <c r="I2278">
        <f>E2278*G2265</f>
        <v>0</v>
      </c>
      <c r="J2278" s="58"/>
      <c r="K2278" s="50"/>
      <c r="L2278" s="50"/>
      <c r="M2278" s="50"/>
      <c r="N2278" s="50"/>
      <c r="O2278" s="50"/>
    </row>
    <row r="2279" spans="1:15">
      <c r="A2279" s="517" t="s">
        <v>4439</v>
      </c>
      <c r="B2279" s="518">
        <f>VLOOKUP(A2279,'Materiales '!$C$2:$G$396,3,0)</f>
        <v>2</v>
      </c>
      <c r="C2279" s="88">
        <f>VLOOKUP(A2279,'Materiales '!$C$2:$G$396,3,0)</f>
        <v>2</v>
      </c>
      <c r="D2279" s="89" t="str">
        <f>VLOOKUP(A2279,'Materiales '!$C$2:$G$396,4,0)</f>
        <v>Ml</v>
      </c>
      <c r="E2279" s="90">
        <v>1</v>
      </c>
      <c r="F2279" s="508" t="e">
        <f t="shared" si="133"/>
        <v>#VALUE!</v>
      </c>
      <c r="G2279" s="519"/>
      <c r="H2279" s="111"/>
      <c r="I2279">
        <f>E2279*G2265</f>
        <v>0</v>
      </c>
      <c r="J2279" s="58"/>
      <c r="K2279" s="50"/>
      <c r="L2279" s="50"/>
      <c r="M2279" s="50"/>
      <c r="N2279" s="50"/>
      <c r="O2279" s="50"/>
    </row>
    <row r="2280" spans="1:15">
      <c r="A2280" s="517" t="s">
        <v>4482</v>
      </c>
      <c r="B2280" s="518">
        <f>VLOOKUP(A2280,'Materiales '!$C$2:$G$396,3,0)</f>
        <v>4</v>
      </c>
      <c r="C2280" s="88">
        <f>VLOOKUP(A2280,'Materiales '!$C$2:$G$396,3,0)</f>
        <v>4</v>
      </c>
      <c r="D2280" s="89" t="str">
        <f>VLOOKUP(A2280,'Materiales '!$C$2:$G$396,4,0)</f>
        <v>Und</v>
      </c>
      <c r="E2280" s="90">
        <v>3</v>
      </c>
      <c r="F2280" s="508" t="e">
        <f t="shared" si="133"/>
        <v>#VALUE!</v>
      </c>
      <c r="G2280" s="519"/>
      <c r="H2280" s="111"/>
      <c r="I2280">
        <f>E2280*G2265</f>
        <v>0</v>
      </c>
      <c r="J2280" s="58"/>
      <c r="K2280" s="50"/>
      <c r="L2280" s="50"/>
      <c r="M2280" s="50"/>
      <c r="N2280" s="50"/>
      <c r="O2280" s="50"/>
    </row>
    <row r="2281" spans="1:15" ht="21.75" customHeight="1">
      <c r="A2281" s="517" t="s">
        <v>4424</v>
      </c>
      <c r="B2281" s="518">
        <f>VLOOKUP(A2281,'Materiales '!$C$2:$G$396,3,0)</f>
        <v>4</v>
      </c>
      <c r="C2281" s="88">
        <f>VLOOKUP(A2281,'Materiales '!$C$2:$G$396,3,0)</f>
        <v>4</v>
      </c>
      <c r="D2281" s="89" t="str">
        <f>VLOOKUP(A2281,'Materiales '!$C$2:$G$396,4,0)</f>
        <v>Und</v>
      </c>
      <c r="E2281" s="90">
        <v>1</v>
      </c>
      <c r="F2281" s="508" t="e">
        <f t="shared" si="133"/>
        <v>#VALUE!</v>
      </c>
      <c r="G2281" s="519"/>
      <c r="H2281" s="111"/>
      <c r="I2281">
        <f>E2281*G2265</f>
        <v>0</v>
      </c>
      <c r="J2281" s="58"/>
      <c r="K2281" s="50"/>
      <c r="L2281" s="50"/>
      <c r="M2281" s="50"/>
      <c r="N2281" s="50"/>
      <c r="O2281" s="50"/>
    </row>
    <row r="2282" spans="1:15">
      <c r="A2282" s="517" t="s">
        <v>8</v>
      </c>
      <c r="B2282" s="518">
        <f>VLOOKUP(A2282,'Materiales '!$C$2:$G$396,3,0)</f>
        <v>0</v>
      </c>
      <c r="C2282" s="88">
        <f>VLOOKUP(A2282,'Materiales '!$C$2:$G$396,3,0)</f>
        <v>0</v>
      </c>
      <c r="D2282" s="89" t="str">
        <f>VLOOKUP(A2282,'Materiales '!$C$2:$G$396,4,0)</f>
        <v>-</v>
      </c>
      <c r="E2282" s="90"/>
      <c r="F2282" s="508" t="e">
        <f>E2282*D2282</f>
        <v>#VALUE!</v>
      </c>
      <c r="G2282" s="519"/>
      <c r="H2282" s="110"/>
      <c r="I2282">
        <f>E2282*G2265</f>
        <v>0</v>
      </c>
      <c r="J2282" s="58"/>
      <c r="K2282" s="50"/>
      <c r="L2282" s="50"/>
      <c r="M2282" s="50"/>
      <c r="N2282" s="50"/>
      <c r="O2282" s="50"/>
    </row>
    <row r="2283" spans="1:15">
      <c r="A2283" s="517" t="s">
        <v>8</v>
      </c>
      <c r="B2283" s="518">
        <f>VLOOKUP(A2283,'Materiales '!$C$2:$G$396,3,0)</f>
        <v>0</v>
      </c>
      <c r="C2283" s="88">
        <f>VLOOKUP(A2283,'Materiales '!$C$2:$G$396,3,0)</f>
        <v>0</v>
      </c>
      <c r="D2283" s="89" t="str">
        <f>VLOOKUP(A2283,'Materiales '!$C$2:$G$396,4,0)</f>
        <v>-</v>
      </c>
      <c r="E2283" s="90"/>
      <c r="F2283" s="508" t="e">
        <f t="shared" ref="F2283:F2286" si="134">E2283*D2283</f>
        <v>#VALUE!</v>
      </c>
      <c r="G2283" s="519"/>
      <c r="H2283" s="111"/>
      <c r="I2283">
        <f>E2283*G2265</f>
        <v>0</v>
      </c>
      <c r="J2283" s="58"/>
      <c r="K2283" s="50"/>
      <c r="L2283" s="50"/>
      <c r="M2283" s="50"/>
      <c r="N2283" s="50"/>
      <c r="O2283" s="50"/>
    </row>
    <row r="2284" spans="1:15">
      <c r="A2284" s="517" t="s">
        <v>8</v>
      </c>
      <c r="B2284" s="518">
        <f>VLOOKUP(A2284,'Materiales '!$C$2:$G$396,3,0)</f>
        <v>0</v>
      </c>
      <c r="C2284" s="88">
        <f>VLOOKUP(A2284,'Materiales '!$C$2:$G$396,3,0)</f>
        <v>0</v>
      </c>
      <c r="D2284" s="89" t="str">
        <f>VLOOKUP(A2284,'Materiales '!$C$2:$G$396,4,0)</f>
        <v>-</v>
      </c>
      <c r="E2284" s="90"/>
      <c r="F2284" s="508" t="e">
        <f t="shared" si="134"/>
        <v>#VALUE!</v>
      </c>
      <c r="G2284" s="519"/>
      <c r="H2284" s="111"/>
      <c r="I2284">
        <f>E2284*G2265</f>
        <v>0</v>
      </c>
      <c r="J2284" s="58"/>
      <c r="K2284" s="50"/>
      <c r="L2284" s="50"/>
      <c r="M2284" s="50"/>
      <c r="N2284" s="50"/>
      <c r="O2284" s="50"/>
    </row>
    <row r="2285" spans="1:15">
      <c r="A2285" s="517" t="s">
        <v>8</v>
      </c>
      <c r="B2285" s="518">
        <f>VLOOKUP(A2285,'Materiales '!$C$2:$G$396,3,0)</f>
        <v>0</v>
      </c>
      <c r="C2285" s="88">
        <f>VLOOKUP(A2285,'Materiales '!$C$2:$G$396,3,0)</f>
        <v>0</v>
      </c>
      <c r="D2285" s="89" t="str">
        <f>VLOOKUP(A2285,'Materiales '!$C$2:$G$396,4,0)</f>
        <v>-</v>
      </c>
      <c r="E2285" s="90"/>
      <c r="F2285" s="508" t="e">
        <f t="shared" si="134"/>
        <v>#VALUE!</v>
      </c>
      <c r="G2285" s="519"/>
      <c r="H2285" s="111"/>
      <c r="I2285">
        <f>E2285*G2265</f>
        <v>0</v>
      </c>
      <c r="J2285" s="58"/>
      <c r="K2285" s="50"/>
      <c r="L2285" s="50"/>
      <c r="M2285" s="50"/>
      <c r="N2285" s="50"/>
      <c r="O2285" s="50"/>
    </row>
    <row r="2286" spans="1:15">
      <c r="A2286" s="517" t="s">
        <v>8</v>
      </c>
      <c r="B2286" s="518">
        <f>VLOOKUP(A2286,'Materiales '!$C$2:$G$396,3,0)</f>
        <v>0</v>
      </c>
      <c r="C2286" s="88">
        <f>VLOOKUP(A2286,'Materiales '!$C$2:$G$396,3,0)</f>
        <v>0</v>
      </c>
      <c r="D2286" s="89" t="str">
        <f>VLOOKUP(A2286,'Materiales '!$C$2:$G$396,4,0)</f>
        <v>-</v>
      </c>
      <c r="E2286" s="90"/>
      <c r="F2286" s="508" t="e">
        <f t="shared" si="134"/>
        <v>#VALUE!</v>
      </c>
      <c r="G2286" s="519"/>
      <c r="H2286" s="111"/>
      <c r="I2286">
        <f>E2286*G2265</f>
        <v>0</v>
      </c>
      <c r="J2286" s="58"/>
      <c r="K2286" s="50"/>
      <c r="L2286" s="50"/>
      <c r="M2286" s="50"/>
      <c r="N2286" s="50"/>
      <c r="O2286" s="50"/>
    </row>
    <row r="2287" spans="1:15">
      <c r="A2287" s="517" t="s">
        <v>8</v>
      </c>
      <c r="B2287" s="518">
        <f>VLOOKUP(A2287,'Materiales '!$C$2:$G$396,3,0)</f>
        <v>0</v>
      </c>
      <c r="C2287" s="88">
        <f>VLOOKUP(A2287,'Materiales '!$C$2:$G$396,3,0)</f>
        <v>0</v>
      </c>
      <c r="D2287" s="89" t="str">
        <f>VLOOKUP(A2287,'Materiales '!$C$2:$G$396,4,0)</f>
        <v>-</v>
      </c>
      <c r="E2287" s="90"/>
      <c r="F2287" s="508" t="e">
        <f>E2287*D2287</f>
        <v>#VALUE!</v>
      </c>
      <c r="G2287" s="519"/>
      <c r="H2287" s="110"/>
      <c r="I2287">
        <f>E2287*G2265</f>
        <v>0</v>
      </c>
      <c r="J2287" s="58"/>
      <c r="K2287" s="50"/>
      <c r="L2287" s="50"/>
      <c r="M2287" s="50"/>
      <c r="N2287" s="50"/>
      <c r="O2287" s="50"/>
    </row>
    <row r="2288" spans="1:15">
      <c r="A2288" s="520" t="s">
        <v>4098</v>
      </c>
      <c r="B2288" s="521"/>
      <c r="C2288" s="521"/>
      <c r="D2288" s="521"/>
      <c r="E2288" s="521"/>
      <c r="F2288" s="521"/>
      <c r="G2288" s="522"/>
      <c r="H2288" s="106" t="e">
        <f>SUM(F2274:F2287)</f>
        <v>#VALUE!</v>
      </c>
      <c r="J2288" s="58"/>
      <c r="K2288" s="50"/>
      <c r="L2288" s="50"/>
      <c r="M2288" s="50"/>
      <c r="N2288" s="50"/>
      <c r="O2288" s="50"/>
    </row>
    <row r="2289" spans="1:15">
      <c r="A2289" s="523" t="s">
        <v>4220</v>
      </c>
      <c r="B2289" s="524"/>
      <c r="C2289" s="524"/>
      <c r="D2289" s="524"/>
      <c r="E2289" s="525"/>
      <c r="F2289" s="524"/>
      <c r="G2289" s="524"/>
      <c r="H2289" s="526"/>
      <c r="J2289" s="58"/>
      <c r="K2289" s="50"/>
      <c r="L2289" s="50"/>
      <c r="M2289" s="50"/>
      <c r="N2289" s="50"/>
      <c r="O2289" s="50"/>
    </row>
    <row r="2290" spans="1:15">
      <c r="A2290" s="527" t="s">
        <v>7</v>
      </c>
      <c r="B2290" s="528"/>
      <c r="C2290" s="98" t="s">
        <v>4221</v>
      </c>
      <c r="D2290" s="97" t="s">
        <v>4222</v>
      </c>
      <c r="E2290" s="187" t="s">
        <v>4223</v>
      </c>
      <c r="F2290" s="529" t="s">
        <v>4207</v>
      </c>
      <c r="G2290" s="529"/>
      <c r="H2290" s="109"/>
      <c r="K2290" s="50"/>
      <c r="L2290" s="50"/>
      <c r="M2290" s="50"/>
      <c r="N2290" s="50"/>
      <c r="O2290" s="50"/>
    </row>
    <row r="2291" spans="1:15">
      <c r="A2291" s="506" t="s">
        <v>3928</v>
      </c>
      <c r="B2291" s="507"/>
      <c r="C2291" s="213">
        <v>1</v>
      </c>
      <c r="D2291" s="92">
        <v>0.03</v>
      </c>
      <c r="E2291" s="93" t="str">
        <f>VLOOKUP(A2291,'Equip, Herr y Transp'!$B$2:$E$217,3,0)</f>
        <v>TR</v>
      </c>
      <c r="F2291" s="530" t="e">
        <f>E2291*D2291*C2291</f>
        <v>#VALUE!</v>
      </c>
      <c r="G2291" s="531"/>
      <c r="H2291" s="107"/>
      <c r="M2291" s="50"/>
    </row>
    <row r="2292" spans="1:15">
      <c r="A2292" s="532" t="s">
        <v>4205</v>
      </c>
      <c r="B2292" s="533"/>
      <c r="C2292" s="533"/>
      <c r="D2292" s="533"/>
      <c r="E2292" s="533"/>
      <c r="F2292" s="533"/>
      <c r="G2292" s="533"/>
      <c r="H2292" s="95" t="e">
        <f>F2291</f>
        <v>#VALUE!</v>
      </c>
    </row>
    <row r="2293" spans="1:15">
      <c r="A2293" s="523" t="s">
        <v>4224</v>
      </c>
      <c r="B2293" s="524"/>
      <c r="C2293" s="524"/>
      <c r="D2293" s="524"/>
      <c r="E2293" s="524"/>
      <c r="F2293" s="524"/>
      <c r="G2293" s="524"/>
      <c r="H2293" s="526"/>
    </row>
    <row r="2294" spans="1:15">
      <c r="A2294" s="527" t="s">
        <v>7</v>
      </c>
      <c r="B2294" s="528"/>
      <c r="C2294" s="96" t="s">
        <v>1</v>
      </c>
      <c r="D2294" s="97" t="s">
        <v>4225</v>
      </c>
      <c r="E2294" s="98" t="s">
        <v>4204</v>
      </c>
      <c r="F2294" s="527" t="s">
        <v>5</v>
      </c>
      <c r="G2294" s="534"/>
      <c r="H2294" s="109"/>
    </row>
    <row r="2295" spans="1:15">
      <c r="A2295" s="506" t="s">
        <v>4191</v>
      </c>
      <c r="B2295" s="507"/>
      <c r="C2295" s="91">
        <v>1</v>
      </c>
      <c r="D2295" s="94">
        <f>VLOOKUP(A2295,'Mano Obra'!$B$2:$T$117,19,0)</f>
        <v>152456</v>
      </c>
      <c r="E2295" s="218">
        <f>H2258</f>
        <v>5.21E-2</v>
      </c>
      <c r="F2295" s="508">
        <f>E2295*D2295*C2295</f>
        <v>7942.9575999999997</v>
      </c>
      <c r="G2295" s="509"/>
      <c r="H2295" s="111"/>
      <c r="I2295" s="59"/>
      <c r="J2295" s="117">
        <f>((('Mano Obra'!$M$4/30)*F2295)/D2295)*G2265</f>
        <v>0</v>
      </c>
    </row>
    <row r="2296" spans="1:15">
      <c r="A2296" s="510" t="s">
        <v>4192</v>
      </c>
      <c r="B2296" s="511">
        <f>VLOOKUP(A2296,'Mano Obra'!$B$3:$D$290,2,0)</f>
        <v>1900000</v>
      </c>
      <c r="C2296" s="91">
        <v>1</v>
      </c>
      <c r="D2296" s="94">
        <f>VLOOKUP(A2296,'Mano Obra'!$B$2:$T$117,19,0)</f>
        <v>110488</v>
      </c>
      <c r="E2296" s="218">
        <f>H2258</f>
        <v>5.21E-2</v>
      </c>
      <c r="F2296" s="508">
        <f t="shared" ref="F2296:F2297" si="135">E2296*D2296*C2296</f>
        <v>5756.4247999999998</v>
      </c>
      <c r="G2296" s="509"/>
      <c r="H2296" s="111"/>
      <c r="J2296" s="117">
        <f>((('Mano Obra'!$M$5/30)*F2296)/D2296)*G2265</f>
        <v>0</v>
      </c>
    </row>
    <row r="2297" spans="1:15">
      <c r="A2297" s="510" t="s">
        <v>4181</v>
      </c>
      <c r="B2297" s="511">
        <f>VLOOKUP(A2297,'Mano Obra'!$B$3:$D$290,2,0)</f>
        <v>1000000</v>
      </c>
      <c r="C2297" s="91">
        <v>1</v>
      </c>
      <c r="D2297" s="94">
        <f>VLOOKUP(A2297,'Mano Obra'!$B$2:$T$117,19,0)</f>
        <v>67424</v>
      </c>
      <c r="E2297" s="218">
        <f>H2258</f>
        <v>5.21E-2</v>
      </c>
      <c r="F2297" s="508">
        <f t="shared" si="135"/>
        <v>3512.7903999999999</v>
      </c>
      <c r="G2297" s="509"/>
      <c r="H2297" s="110"/>
      <c r="J2297" s="117">
        <f>((('Mano Obra'!$M$6/30)*F2297)/D2297)*G2265</f>
        <v>0</v>
      </c>
    </row>
    <row r="2298" spans="1:15">
      <c r="A2298" s="512" t="s">
        <v>4100</v>
      </c>
      <c r="B2298" s="512"/>
      <c r="C2298" s="512"/>
      <c r="D2298" s="512"/>
      <c r="E2298" s="512"/>
      <c r="F2298" s="512"/>
      <c r="G2298" s="512"/>
      <c r="H2298" s="95">
        <f>SUM(F2295:F2297)</f>
        <v>17212.1728</v>
      </c>
      <c r="J2298" s="117"/>
    </row>
    <row r="2299" spans="1:15">
      <c r="A2299" s="208" t="s">
        <v>4226</v>
      </c>
      <c r="B2299" s="186"/>
      <c r="C2299" s="186"/>
      <c r="D2299" s="183"/>
      <c r="E2299" s="184"/>
      <c r="F2299" s="185"/>
      <c r="G2299" s="184"/>
      <c r="H2299" s="193"/>
    </row>
    <row r="2300" spans="1:15">
      <c r="A2300" s="513" t="s">
        <v>4213</v>
      </c>
      <c r="B2300" s="514"/>
      <c r="C2300" s="514"/>
      <c r="D2300" s="514"/>
      <c r="E2300" s="181"/>
      <c r="F2300" s="182" t="s">
        <v>4227</v>
      </c>
      <c r="G2300" s="181" t="s">
        <v>4228</v>
      </c>
      <c r="H2300" s="194"/>
    </row>
    <row r="2301" spans="1:15">
      <c r="A2301" s="204" t="s">
        <v>4096</v>
      </c>
      <c r="B2301" s="62"/>
      <c r="C2301" s="62"/>
      <c r="D2301" s="63"/>
      <c r="E2301" s="68"/>
      <c r="F2301" s="69">
        <v>0</v>
      </c>
      <c r="G2301" s="70" t="e">
        <f>F2301*H2266</f>
        <v>#VALUE!</v>
      </c>
      <c r="H2301" s="193"/>
    </row>
    <row r="2302" spans="1:15">
      <c r="A2302" s="205" t="s">
        <v>4229</v>
      </c>
      <c r="B2302" s="71"/>
      <c r="C2302" s="71"/>
      <c r="D2302" s="72"/>
      <c r="E2302" s="68"/>
      <c r="F2302" s="69">
        <v>0</v>
      </c>
      <c r="G2302" s="70" t="e">
        <f>F2302*H2266</f>
        <v>#VALUE!</v>
      </c>
      <c r="H2302" s="193"/>
    </row>
    <row r="2303" spans="1:15">
      <c r="A2303" s="205" t="s">
        <v>4</v>
      </c>
      <c r="B2303" s="71"/>
      <c r="C2303" s="71"/>
      <c r="D2303" s="72"/>
      <c r="E2303" s="68"/>
      <c r="F2303" s="69">
        <v>0</v>
      </c>
      <c r="G2303" s="70" t="e">
        <f>F2303*H2266</f>
        <v>#VALUE!</v>
      </c>
      <c r="H2303" s="193"/>
    </row>
    <row r="2304" spans="1:15">
      <c r="A2304" s="206"/>
      <c r="B2304" s="73"/>
      <c r="C2304" s="65"/>
      <c r="D2304" s="74"/>
      <c r="E2304" s="75"/>
      <c r="F2304" s="76"/>
      <c r="G2304" s="77"/>
      <c r="H2304" s="195"/>
    </row>
    <row r="2305" spans="1:14">
      <c r="A2305" s="207"/>
      <c r="B2305" s="73"/>
      <c r="C2305" s="73"/>
      <c r="D2305" s="74"/>
      <c r="E2305" s="78"/>
      <c r="F2305" s="515" t="s">
        <v>4230</v>
      </c>
      <c r="G2305" s="516"/>
      <c r="H2305" s="214" t="e">
        <f>H2266+G2301+G2302+G2303</f>
        <v>#VALUE!</v>
      </c>
    </row>
    <row r="2306" spans="1:14">
      <c r="A2306" s="73"/>
      <c r="B2306" s="73"/>
      <c r="C2306" s="73"/>
      <c r="D2306" s="74"/>
      <c r="E2306" s="360"/>
      <c r="F2306" s="361"/>
      <c r="G2306" s="361"/>
      <c r="H2306" s="362"/>
    </row>
    <row r="2307" spans="1:14">
      <c r="A2307" s="80"/>
      <c r="B2307" s="80"/>
      <c r="C2307" s="80"/>
      <c r="D2307" s="80"/>
      <c r="E2307" s="80"/>
      <c r="F2307" s="80"/>
      <c r="G2307" s="80"/>
      <c r="H2307" s="353"/>
    </row>
    <row r="2308" spans="1:14">
      <c r="A2308" s="537" t="s">
        <v>4214</v>
      </c>
      <c r="B2308" s="538"/>
      <c r="C2308" s="538"/>
      <c r="D2308" s="538"/>
      <c r="E2308" s="538"/>
      <c r="F2308" s="538"/>
      <c r="G2308" s="538"/>
      <c r="H2308" s="539"/>
    </row>
    <row r="2309" spans="1:14">
      <c r="A2309" s="81"/>
      <c r="B2309" s="82"/>
      <c r="C2309" s="82"/>
      <c r="D2309" s="82"/>
      <c r="E2309" s="82"/>
      <c r="F2309" s="83"/>
      <c r="G2309" s="84"/>
      <c r="H2309" s="352">
        <f>ROUND((25/60)/8,4)</f>
        <v>5.21E-2</v>
      </c>
      <c r="I2309" s="105"/>
    </row>
    <row r="2310" spans="1:14">
      <c r="A2310" s="540" t="s">
        <v>4209</v>
      </c>
      <c r="B2310" s="542" t="str">
        <f>COSTOS!$C$14</f>
        <v>MODERNIZACION A TECNOLOGIA LED</v>
      </c>
      <c r="C2310" s="542"/>
      <c r="D2310" s="542"/>
      <c r="E2310" s="542"/>
      <c r="F2310" s="542"/>
      <c r="G2310" s="542"/>
      <c r="H2310" s="543" t="s">
        <v>4210</v>
      </c>
    </row>
    <row r="2311" spans="1:14">
      <c r="A2311" s="541"/>
      <c r="B2311" s="542"/>
      <c r="C2311" s="542"/>
      <c r="D2311" s="542"/>
      <c r="E2311" s="542"/>
      <c r="F2311" s="542"/>
      <c r="G2311" s="542"/>
      <c r="H2311" s="543"/>
    </row>
    <row r="2312" spans="1:14">
      <c r="A2312" s="541"/>
      <c r="B2312" s="542"/>
      <c r="C2312" s="542"/>
      <c r="D2312" s="542"/>
      <c r="E2312" s="542"/>
      <c r="F2312" s="542"/>
      <c r="G2312" s="542"/>
      <c r="H2312" s="543"/>
    </row>
    <row r="2313" spans="1:14" ht="15" customHeight="1">
      <c r="A2313" s="541"/>
      <c r="B2313" s="542"/>
      <c r="C2313" s="542"/>
      <c r="D2313" s="542"/>
      <c r="E2313" s="542"/>
      <c r="F2313" s="542"/>
      <c r="G2313" s="542"/>
      <c r="H2313" s="197">
        <f ca="1">TODAY()</f>
        <v>44889</v>
      </c>
      <c r="K2313" t="s">
        <v>4380</v>
      </c>
      <c r="L2313" t="s">
        <v>4381</v>
      </c>
      <c r="M2313" t="s">
        <v>4382</v>
      </c>
      <c r="N2313" t="s">
        <v>4383</v>
      </c>
    </row>
    <row r="2314" spans="1:14" ht="60.75" customHeight="1">
      <c r="A2314" s="209" t="s">
        <v>4211</v>
      </c>
      <c r="B2314" s="544" t="str">
        <f>COSTOS!$D$16</f>
        <v>Luminarias</v>
      </c>
      <c r="C2314" s="544"/>
      <c r="D2314" s="544"/>
      <c r="E2314" s="544"/>
      <c r="F2314" s="544"/>
      <c r="G2314" s="60" t="s">
        <v>4212</v>
      </c>
      <c r="H2314" s="363">
        <v>1.46</v>
      </c>
      <c r="K2314" s="55" t="e">
        <f>H2339</f>
        <v>#VALUE!</v>
      </c>
      <c r="L2314" s="55">
        <f>H2349</f>
        <v>17212.1728</v>
      </c>
      <c r="M2314" s="55" t="e">
        <f>H2322</f>
        <v>#VALUE!</v>
      </c>
      <c r="N2314" s="55" t="e">
        <f>H2343</f>
        <v>#VALUE!</v>
      </c>
    </row>
    <row r="2315" spans="1:14" ht="43.2" customHeight="1">
      <c r="A2315" s="210" t="s">
        <v>4213</v>
      </c>
      <c r="B2315" s="545" t="str">
        <f>VLOOKUP(H2314,COSTOS!C:M,2,0)</f>
        <v>Reflector Sodio 150w</v>
      </c>
      <c r="C2315" s="546"/>
      <c r="D2315" s="546"/>
      <c r="E2315" s="547"/>
      <c r="F2315" s="61" t="s">
        <v>0</v>
      </c>
      <c r="G2315" s="328" t="str">
        <f>VLOOKUP(H2314,COSTOS!C:M,8,0)</f>
        <v>Und</v>
      </c>
      <c r="H2315" s="248"/>
      <c r="I2315" s="278"/>
      <c r="J2315" s="280"/>
      <c r="K2315" s="280"/>
      <c r="L2315" s="280"/>
    </row>
    <row r="2316" spans="1:14">
      <c r="A2316" s="211"/>
      <c r="B2316" s="102"/>
      <c r="C2316" s="102"/>
      <c r="D2316" s="102"/>
      <c r="E2316" s="103"/>
      <c r="F2316" s="104" t="s">
        <v>1</v>
      </c>
      <c r="G2316" s="328">
        <f>VLOOKUP(H2314,COSTOS!C:M,9,0)</f>
        <v>0</v>
      </c>
      <c r="H2316" s="329"/>
      <c r="I2316" s="279"/>
    </row>
    <row r="2317" spans="1:14">
      <c r="A2317" s="212" t="s">
        <v>4215</v>
      </c>
      <c r="B2317" s="65"/>
      <c r="C2317" s="65"/>
      <c r="D2317" s="66"/>
      <c r="E2317" s="190"/>
      <c r="F2317" s="191"/>
      <c r="G2317" s="192" t="s">
        <v>4216</v>
      </c>
      <c r="H2317" s="198" t="e">
        <f>H2322+H2339+H2343+H2349</f>
        <v>#VALUE!</v>
      </c>
    </row>
    <row r="2318" spans="1:14" ht="41.4">
      <c r="A2318" s="548" t="s">
        <v>4213</v>
      </c>
      <c r="B2318" s="548"/>
      <c r="C2318" s="548"/>
      <c r="D2318" s="67" t="s">
        <v>0</v>
      </c>
      <c r="E2318" s="188" t="s">
        <v>4217</v>
      </c>
      <c r="F2318" s="189" t="s">
        <v>4204</v>
      </c>
      <c r="G2318" s="64" t="s">
        <v>2</v>
      </c>
      <c r="H2318" s="199" t="s">
        <v>4218</v>
      </c>
      <c r="K2318" s="281"/>
    </row>
    <row r="2319" spans="1:14">
      <c r="A2319" s="517" t="s">
        <v>3946</v>
      </c>
      <c r="B2319" s="549">
        <f>VLOOKUP(A2319,'Equip, Herr y Transp'!$B$2:$E$738,2,0)</f>
        <v>2</v>
      </c>
      <c r="C2319" s="549"/>
      <c r="D2319" s="85">
        <f>VLOOKUP(A2319,'Equip, Herr y Transp'!$B$2:$E$217,2,0)</f>
        <v>2</v>
      </c>
      <c r="E2319" s="85" t="str">
        <f>VLOOKUP(A2319,'Equip, Herr y Transp'!$B$2:$E$217,3,0)</f>
        <v>EQU</v>
      </c>
      <c r="F2319" s="86">
        <f>H2309</f>
        <v>5.21E-2</v>
      </c>
      <c r="G2319" s="112" t="e">
        <f>F2319*E2319</f>
        <v>#VALUE!</v>
      </c>
      <c r="H2319" s="108"/>
    </row>
    <row r="2320" spans="1:14">
      <c r="A2320" s="517" t="s">
        <v>3937</v>
      </c>
      <c r="B2320" s="549">
        <f>VLOOKUP(A2320,'Equip, Herr y Transp'!$B$2:$E$738,2,0)</f>
        <v>2</v>
      </c>
      <c r="C2320" s="549"/>
      <c r="D2320" s="85">
        <f>VLOOKUP(A2320,'Equip, Herr y Transp'!$B$2:$E$217,2,0)</f>
        <v>2</v>
      </c>
      <c r="E2320" s="85" t="str">
        <f>VLOOKUP(A2320,'Equip, Herr y Transp'!$B$2:$E$217,3,0)</f>
        <v>EQU</v>
      </c>
      <c r="F2320" s="86">
        <f>H2309</f>
        <v>5.21E-2</v>
      </c>
      <c r="G2320" s="112" t="e">
        <f>F2320*E2320</f>
        <v>#VALUE!</v>
      </c>
      <c r="H2320" s="107"/>
    </row>
    <row r="2321" spans="1:15">
      <c r="A2321" s="517" t="s">
        <v>3903</v>
      </c>
      <c r="B2321" s="549">
        <f>VLOOKUP(A2321,'Equip, Herr y Transp'!$B$2:$E$738,2,0)</f>
        <v>2</v>
      </c>
      <c r="C2321" s="549"/>
      <c r="D2321" s="85">
        <f>VLOOKUP(A2321,'Equip, Herr y Transp'!$B$2:$E$217,2,0)</f>
        <v>2</v>
      </c>
      <c r="E2321" s="85" t="str">
        <f>VLOOKUP(A2321,'Equip, Herr y Transp'!$B$2:$E$217,3,0)</f>
        <v>EQU</v>
      </c>
      <c r="F2321" s="86">
        <f>H2309</f>
        <v>5.21E-2</v>
      </c>
      <c r="G2321" s="112" t="e">
        <f>F2321*E2321</f>
        <v>#VALUE!</v>
      </c>
      <c r="H2321" s="107"/>
    </row>
    <row r="2322" spans="1:15">
      <c r="A2322" s="520" t="s">
        <v>4099</v>
      </c>
      <c r="B2322" s="521"/>
      <c r="C2322" s="521"/>
      <c r="D2322" s="521"/>
      <c r="E2322" s="521"/>
      <c r="F2322" s="521"/>
      <c r="G2322" s="521"/>
      <c r="H2322" s="87" t="e">
        <f>SUM(G2319:G2321)</f>
        <v>#VALUE!</v>
      </c>
    </row>
    <row r="2323" spans="1:15">
      <c r="A2323" s="550" t="s">
        <v>4219</v>
      </c>
      <c r="B2323" s="551"/>
      <c r="C2323" s="551"/>
      <c r="D2323" s="551"/>
      <c r="E2323" s="551"/>
      <c r="F2323" s="551"/>
      <c r="G2323" s="551"/>
      <c r="H2323" s="552"/>
      <c r="K2323" s="50"/>
      <c r="L2323" s="50"/>
      <c r="M2323" s="50"/>
      <c r="N2323" s="50"/>
      <c r="O2323" s="50"/>
    </row>
    <row r="2324" spans="1:15" ht="30" customHeight="1">
      <c r="A2324" s="553" t="s">
        <v>7</v>
      </c>
      <c r="B2324" s="554"/>
      <c r="C2324" s="99" t="s">
        <v>0</v>
      </c>
      <c r="D2324" s="100" t="s">
        <v>4097</v>
      </c>
      <c r="E2324" s="101" t="s">
        <v>1</v>
      </c>
      <c r="F2324" s="555" t="s">
        <v>4207</v>
      </c>
      <c r="G2324" s="555"/>
      <c r="H2324" s="196"/>
      <c r="K2324" s="50"/>
      <c r="L2324" s="50"/>
      <c r="M2324" s="50"/>
      <c r="N2324" s="50"/>
      <c r="O2324" s="50"/>
    </row>
    <row r="2325" spans="1:15">
      <c r="A2325" s="535" t="s">
        <v>4720</v>
      </c>
      <c r="B2325" s="536"/>
      <c r="C2325" s="88">
        <f>VLOOKUP(A2325,'Materiales '!$C$2:$G$396,3,0)</f>
        <v>4</v>
      </c>
      <c r="D2325" s="89" t="str">
        <f>VLOOKUP(A2325,'Materiales '!$C$2:$G$396,4,0)</f>
        <v>Und</v>
      </c>
      <c r="E2325" s="90">
        <v>1</v>
      </c>
      <c r="F2325" s="508" t="e">
        <f>E2325*D2325</f>
        <v>#VALUE!</v>
      </c>
      <c r="G2325" s="519"/>
      <c r="H2325" s="111"/>
      <c r="I2325">
        <f>E2325*G2316</f>
        <v>0</v>
      </c>
      <c r="J2325" s="57"/>
      <c r="K2325" s="50"/>
      <c r="L2325" s="50"/>
      <c r="M2325" s="50"/>
      <c r="N2325" s="50"/>
      <c r="O2325" s="50"/>
    </row>
    <row r="2326" spans="1:15">
      <c r="A2326" s="535" t="s">
        <v>4203</v>
      </c>
      <c r="B2326" s="536"/>
      <c r="C2326" s="88">
        <f>VLOOKUP(A2326,'Materiales '!$C$2:$G$396,3,0)</f>
        <v>4</v>
      </c>
      <c r="D2326" s="89" t="str">
        <f>VLOOKUP(A2326,'Materiales '!$C$2:$G$396,4,0)</f>
        <v>Und</v>
      </c>
      <c r="E2326" s="90">
        <v>1</v>
      </c>
      <c r="F2326" s="508" t="e">
        <f t="shared" ref="F2326:F2332" si="136">E2326*D2326</f>
        <v>#VALUE!</v>
      </c>
      <c r="G2326" s="519"/>
      <c r="H2326" s="111"/>
      <c r="I2326">
        <f>E2326*G2316</f>
        <v>0</v>
      </c>
      <c r="J2326" s="57"/>
      <c r="K2326" s="50"/>
      <c r="L2326" s="50"/>
      <c r="M2326" s="50"/>
      <c r="N2326" s="50"/>
      <c r="O2326" s="50"/>
    </row>
    <row r="2327" spans="1:15">
      <c r="A2327" s="517" t="s">
        <v>4473</v>
      </c>
      <c r="B2327" s="518">
        <f>VLOOKUP(A2327,'Materiales '!$C$2:$G$396,3,0)</f>
        <v>4</v>
      </c>
      <c r="C2327" s="88">
        <f>VLOOKUP(A2327,'Materiales '!$C$2:$G$396,3,0)</f>
        <v>4</v>
      </c>
      <c r="D2327" s="89" t="str">
        <f>VLOOKUP(A2327,'Materiales '!$C$2:$G$396,4,0)</f>
        <v>Und</v>
      </c>
      <c r="E2327" s="90">
        <v>2</v>
      </c>
      <c r="F2327" s="508" t="e">
        <f t="shared" si="136"/>
        <v>#VALUE!</v>
      </c>
      <c r="G2327" s="519"/>
      <c r="H2327" s="111"/>
      <c r="I2327">
        <f>E2327*G2316</f>
        <v>0</v>
      </c>
      <c r="J2327" s="58"/>
      <c r="K2327" s="50"/>
      <c r="L2327" s="50"/>
      <c r="M2327" s="50"/>
      <c r="N2327" s="50"/>
      <c r="O2327" s="50"/>
    </row>
    <row r="2328" spans="1:15">
      <c r="A2328" s="517" t="s">
        <v>4478</v>
      </c>
      <c r="B2328" s="518">
        <f>VLOOKUP(A2328,'Materiales '!$C$2:$G$396,3,0)</f>
        <v>4</v>
      </c>
      <c r="C2328" s="88">
        <f>VLOOKUP(A2328,'Materiales '!$C$2:$G$396,3,0)</f>
        <v>4</v>
      </c>
      <c r="D2328" s="89" t="str">
        <f>VLOOKUP(A2328,'Materiales '!$C$2:$G$396,4,0)</f>
        <v>Und</v>
      </c>
      <c r="E2328" s="90">
        <v>3</v>
      </c>
      <c r="F2328" s="508" t="e">
        <f t="shared" si="136"/>
        <v>#VALUE!</v>
      </c>
      <c r="G2328" s="519"/>
      <c r="H2328" s="111"/>
      <c r="I2328">
        <f>E2328*G2316</f>
        <v>0</v>
      </c>
      <c r="J2328" s="58"/>
      <c r="K2328" s="50"/>
      <c r="L2328" s="50"/>
      <c r="M2328" s="50"/>
      <c r="N2328" s="50"/>
      <c r="O2328" s="50"/>
    </row>
    <row r="2329" spans="1:15">
      <c r="A2329" s="517" t="s">
        <v>4543</v>
      </c>
      <c r="B2329" s="518">
        <f>VLOOKUP(A2329,'Materiales '!$C$2:$G$396,3,0)</f>
        <v>4</v>
      </c>
      <c r="C2329" s="88">
        <f>VLOOKUP(A2329,'Materiales '!$C$2:$G$396,3,0)</f>
        <v>4</v>
      </c>
      <c r="D2329" s="89" t="str">
        <f>VLOOKUP(A2329,'Materiales '!$C$2:$G$396,4,0)</f>
        <v>Und</v>
      </c>
      <c r="E2329" s="90">
        <v>2</v>
      </c>
      <c r="F2329" s="508" t="e">
        <f t="shared" si="136"/>
        <v>#VALUE!</v>
      </c>
      <c r="G2329" s="519"/>
      <c r="H2329" s="111"/>
      <c r="I2329">
        <f>E2329*G2316</f>
        <v>0</v>
      </c>
      <c r="J2329" s="58"/>
      <c r="K2329" s="50"/>
      <c r="L2329" s="50"/>
      <c r="M2329" s="50"/>
      <c r="N2329" s="50"/>
      <c r="O2329" s="50"/>
    </row>
    <row r="2330" spans="1:15">
      <c r="A2330" s="517" t="s">
        <v>4439</v>
      </c>
      <c r="B2330" s="518">
        <f>VLOOKUP(A2330,'Materiales '!$C$2:$G$396,3,0)</f>
        <v>2</v>
      </c>
      <c r="C2330" s="88">
        <f>VLOOKUP(A2330,'Materiales '!$C$2:$G$396,3,0)</f>
        <v>2</v>
      </c>
      <c r="D2330" s="89" t="str">
        <f>VLOOKUP(A2330,'Materiales '!$C$2:$G$396,4,0)</f>
        <v>Ml</v>
      </c>
      <c r="E2330" s="90">
        <v>1</v>
      </c>
      <c r="F2330" s="508" t="e">
        <f t="shared" si="136"/>
        <v>#VALUE!</v>
      </c>
      <c r="G2330" s="519"/>
      <c r="H2330" s="111"/>
      <c r="I2330">
        <f>E2330*G2316</f>
        <v>0</v>
      </c>
      <c r="J2330" s="58"/>
      <c r="K2330" s="50"/>
      <c r="L2330" s="50"/>
      <c r="M2330" s="50"/>
      <c r="N2330" s="50"/>
      <c r="O2330" s="50"/>
    </row>
    <row r="2331" spans="1:15">
      <c r="A2331" s="517" t="s">
        <v>4482</v>
      </c>
      <c r="B2331" s="518">
        <f>VLOOKUP(A2331,'Materiales '!$C$2:$G$396,3,0)</f>
        <v>4</v>
      </c>
      <c r="C2331" s="88">
        <f>VLOOKUP(A2331,'Materiales '!$C$2:$G$396,3,0)</f>
        <v>4</v>
      </c>
      <c r="D2331" s="89" t="str">
        <f>VLOOKUP(A2331,'Materiales '!$C$2:$G$396,4,0)</f>
        <v>Und</v>
      </c>
      <c r="E2331" s="90">
        <v>3</v>
      </c>
      <c r="F2331" s="508" t="e">
        <f t="shared" si="136"/>
        <v>#VALUE!</v>
      </c>
      <c r="G2331" s="519"/>
      <c r="H2331" s="111"/>
      <c r="I2331">
        <f>E2331*G2316</f>
        <v>0</v>
      </c>
      <c r="J2331" s="58"/>
      <c r="K2331" s="50"/>
      <c r="L2331" s="50"/>
      <c r="M2331" s="50"/>
      <c r="N2331" s="50"/>
      <c r="O2331" s="50"/>
    </row>
    <row r="2332" spans="1:15" ht="21.75" customHeight="1">
      <c r="A2332" s="517" t="s">
        <v>4488</v>
      </c>
      <c r="B2332" s="518">
        <f>VLOOKUP(A2332,'Materiales '!$C$2:$G$396,3,0)</f>
        <v>4</v>
      </c>
      <c r="C2332" s="88">
        <f>VLOOKUP(A2332,'Materiales '!$C$2:$G$396,3,0)</f>
        <v>4</v>
      </c>
      <c r="D2332" s="89" t="str">
        <f>VLOOKUP(A2332,'Materiales '!$C$2:$G$396,4,0)</f>
        <v>Und</v>
      </c>
      <c r="E2332" s="90">
        <v>0.5</v>
      </c>
      <c r="F2332" s="508" t="e">
        <f t="shared" si="136"/>
        <v>#VALUE!</v>
      </c>
      <c r="G2332" s="519"/>
      <c r="H2332" s="111"/>
      <c r="I2332">
        <f>E2332*G2316</f>
        <v>0</v>
      </c>
      <c r="J2332" s="58"/>
      <c r="K2332" s="50"/>
      <c r="L2332" s="50"/>
      <c r="M2332" s="50"/>
      <c r="N2332" s="50"/>
      <c r="O2332" s="50"/>
    </row>
    <row r="2333" spans="1:15">
      <c r="A2333" s="517" t="s">
        <v>8</v>
      </c>
      <c r="B2333" s="518">
        <f>VLOOKUP(A2333,'Materiales '!$C$2:$G$396,3,0)</f>
        <v>0</v>
      </c>
      <c r="C2333" s="88">
        <f>VLOOKUP(A2333,'Materiales '!$C$2:$G$396,3,0)</f>
        <v>0</v>
      </c>
      <c r="D2333" s="89" t="str">
        <f>VLOOKUP(A2333,'Materiales '!$C$2:$G$396,4,0)</f>
        <v>-</v>
      </c>
      <c r="E2333" s="90"/>
      <c r="F2333" s="508" t="e">
        <f>E2333*D2333</f>
        <v>#VALUE!</v>
      </c>
      <c r="G2333" s="519"/>
      <c r="H2333" s="110"/>
      <c r="I2333">
        <f>E2333*G2316</f>
        <v>0</v>
      </c>
      <c r="J2333" s="58"/>
      <c r="K2333" s="50"/>
      <c r="L2333" s="50"/>
      <c r="M2333" s="50"/>
      <c r="N2333" s="50"/>
      <c r="O2333" s="50"/>
    </row>
    <row r="2334" spans="1:15">
      <c r="A2334" s="517" t="s">
        <v>8</v>
      </c>
      <c r="B2334" s="518">
        <f>VLOOKUP(A2334,'Materiales '!$C$2:$G$396,3,0)</f>
        <v>0</v>
      </c>
      <c r="C2334" s="88">
        <f>VLOOKUP(A2334,'Materiales '!$C$2:$G$396,3,0)</f>
        <v>0</v>
      </c>
      <c r="D2334" s="89" t="str">
        <f>VLOOKUP(A2334,'Materiales '!$C$2:$G$396,4,0)</f>
        <v>-</v>
      </c>
      <c r="E2334" s="90"/>
      <c r="F2334" s="508" t="e">
        <f t="shared" ref="F2334:F2337" si="137">E2334*D2334</f>
        <v>#VALUE!</v>
      </c>
      <c r="G2334" s="519"/>
      <c r="H2334" s="111"/>
      <c r="I2334">
        <f>E2334*G2316</f>
        <v>0</v>
      </c>
      <c r="J2334" s="58"/>
      <c r="K2334" s="50"/>
      <c r="L2334" s="50"/>
      <c r="M2334" s="50"/>
      <c r="N2334" s="50"/>
      <c r="O2334" s="50"/>
    </row>
    <row r="2335" spans="1:15">
      <c r="A2335" s="517" t="s">
        <v>8</v>
      </c>
      <c r="B2335" s="518">
        <f>VLOOKUP(A2335,'Materiales '!$C$2:$G$396,3,0)</f>
        <v>0</v>
      </c>
      <c r="C2335" s="88">
        <f>VLOOKUP(A2335,'Materiales '!$C$2:$G$396,3,0)</f>
        <v>0</v>
      </c>
      <c r="D2335" s="89" t="str">
        <f>VLOOKUP(A2335,'Materiales '!$C$2:$G$396,4,0)</f>
        <v>-</v>
      </c>
      <c r="E2335" s="90"/>
      <c r="F2335" s="508" t="e">
        <f t="shared" si="137"/>
        <v>#VALUE!</v>
      </c>
      <c r="G2335" s="519"/>
      <c r="H2335" s="111"/>
      <c r="I2335">
        <f>E2335*G2316</f>
        <v>0</v>
      </c>
      <c r="J2335" s="58"/>
      <c r="K2335" s="50"/>
      <c r="L2335" s="50"/>
      <c r="M2335" s="50"/>
      <c r="N2335" s="50"/>
      <c r="O2335" s="50"/>
    </row>
    <row r="2336" spans="1:15">
      <c r="A2336" s="517" t="s">
        <v>8</v>
      </c>
      <c r="B2336" s="518">
        <f>VLOOKUP(A2336,'Materiales '!$C$2:$G$396,3,0)</f>
        <v>0</v>
      </c>
      <c r="C2336" s="88">
        <f>VLOOKUP(A2336,'Materiales '!$C$2:$G$396,3,0)</f>
        <v>0</v>
      </c>
      <c r="D2336" s="89" t="str">
        <f>VLOOKUP(A2336,'Materiales '!$C$2:$G$396,4,0)</f>
        <v>-</v>
      </c>
      <c r="E2336" s="90"/>
      <c r="F2336" s="508" t="e">
        <f t="shared" si="137"/>
        <v>#VALUE!</v>
      </c>
      <c r="G2336" s="519"/>
      <c r="H2336" s="111"/>
      <c r="I2336">
        <f>E2336*G2316</f>
        <v>0</v>
      </c>
      <c r="J2336" s="58"/>
      <c r="K2336" s="50"/>
      <c r="L2336" s="50"/>
      <c r="M2336" s="50"/>
      <c r="N2336" s="50"/>
      <c r="O2336" s="50"/>
    </row>
    <row r="2337" spans="1:15">
      <c r="A2337" s="517" t="s">
        <v>8</v>
      </c>
      <c r="B2337" s="518">
        <f>VLOOKUP(A2337,'Materiales '!$C$2:$G$396,3,0)</f>
        <v>0</v>
      </c>
      <c r="C2337" s="88">
        <f>VLOOKUP(A2337,'Materiales '!$C$2:$G$396,3,0)</f>
        <v>0</v>
      </c>
      <c r="D2337" s="89" t="str">
        <f>VLOOKUP(A2337,'Materiales '!$C$2:$G$396,4,0)</f>
        <v>-</v>
      </c>
      <c r="E2337" s="90"/>
      <c r="F2337" s="508" t="e">
        <f t="shared" si="137"/>
        <v>#VALUE!</v>
      </c>
      <c r="G2337" s="519"/>
      <c r="H2337" s="111"/>
      <c r="I2337">
        <f>E2337*G2316</f>
        <v>0</v>
      </c>
      <c r="J2337" s="58"/>
      <c r="K2337" s="50"/>
      <c r="L2337" s="50"/>
      <c r="M2337" s="50"/>
      <c r="N2337" s="50"/>
      <c r="O2337" s="50"/>
    </row>
    <row r="2338" spans="1:15">
      <c r="A2338" s="517" t="s">
        <v>8</v>
      </c>
      <c r="B2338" s="518">
        <f>VLOOKUP(A2338,'Materiales '!$C$2:$G$396,3,0)</f>
        <v>0</v>
      </c>
      <c r="C2338" s="88">
        <f>VLOOKUP(A2338,'Materiales '!$C$2:$G$396,3,0)</f>
        <v>0</v>
      </c>
      <c r="D2338" s="89" t="str">
        <f>VLOOKUP(A2338,'Materiales '!$C$2:$G$396,4,0)</f>
        <v>-</v>
      </c>
      <c r="E2338" s="90"/>
      <c r="F2338" s="508" t="e">
        <f>E2338*D2338</f>
        <v>#VALUE!</v>
      </c>
      <c r="G2338" s="519"/>
      <c r="H2338" s="110"/>
      <c r="I2338">
        <f>E2338*G2316</f>
        <v>0</v>
      </c>
      <c r="J2338" s="58"/>
      <c r="K2338" s="50"/>
      <c r="L2338" s="50"/>
      <c r="M2338" s="50"/>
      <c r="N2338" s="50"/>
      <c r="O2338" s="50"/>
    </row>
    <row r="2339" spans="1:15">
      <c r="A2339" s="520" t="s">
        <v>4098</v>
      </c>
      <c r="B2339" s="521"/>
      <c r="C2339" s="521"/>
      <c r="D2339" s="521"/>
      <c r="E2339" s="521"/>
      <c r="F2339" s="521"/>
      <c r="G2339" s="522"/>
      <c r="H2339" s="106" t="e">
        <f>SUM(F2325:F2338)</f>
        <v>#VALUE!</v>
      </c>
      <c r="J2339" s="58"/>
      <c r="K2339" s="50"/>
      <c r="L2339" s="50"/>
      <c r="M2339" s="50"/>
      <c r="N2339" s="50"/>
      <c r="O2339" s="50"/>
    </row>
    <row r="2340" spans="1:15">
      <c r="A2340" s="523" t="s">
        <v>4220</v>
      </c>
      <c r="B2340" s="524"/>
      <c r="C2340" s="524"/>
      <c r="D2340" s="524"/>
      <c r="E2340" s="525"/>
      <c r="F2340" s="524"/>
      <c r="G2340" s="524"/>
      <c r="H2340" s="526"/>
      <c r="J2340" s="58"/>
      <c r="K2340" s="50"/>
      <c r="L2340" s="50"/>
      <c r="M2340" s="50"/>
      <c r="N2340" s="50"/>
      <c r="O2340" s="50"/>
    </row>
    <row r="2341" spans="1:15">
      <c r="A2341" s="527" t="s">
        <v>7</v>
      </c>
      <c r="B2341" s="528"/>
      <c r="C2341" s="98" t="s">
        <v>4221</v>
      </c>
      <c r="D2341" s="97" t="s">
        <v>4222</v>
      </c>
      <c r="E2341" s="187" t="s">
        <v>4223</v>
      </c>
      <c r="F2341" s="529" t="s">
        <v>4207</v>
      </c>
      <c r="G2341" s="529"/>
      <c r="H2341" s="109"/>
      <c r="K2341" s="50"/>
      <c r="L2341" s="50"/>
      <c r="M2341" s="50"/>
      <c r="N2341" s="50"/>
      <c r="O2341" s="50"/>
    </row>
    <row r="2342" spans="1:15">
      <c r="A2342" s="506" t="s">
        <v>3928</v>
      </c>
      <c r="B2342" s="507"/>
      <c r="C2342" s="213">
        <v>1</v>
      </c>
      <c r="D2342" s="92">
        <v>0.03</v>
      </c>
      <c r="E2342" s="93" t="str">
        <f>VLOOKUP(A2342,'Equip, Herr y Transp'!$B$2:$E$217,3,0)</f>
        <v>TR</v>
      </c>
      <c r="F2342" s="530" t="e">
        <f>E2342*D2342*C2342</f>
        <v>#VALUE!</v>
      </c>
      <c r="G2342" s="531"/>
      <c r="H2342" s="107"/>
      <c r="M2342" s="50"/>
    </row>
    <row r="2343" spans="1:15">
      <c r="A2343" s="532" t="s">
        <v>4205</v>
      </c>
      <c r="B2343" s="533"/>
      <c r="C2343" s="533"/>
      <c r="D2343" s="533"/>
      <c r="E2343" s="533"/>
      <c r="F2343" s="533"/>
      <c r="G2343" s="533"/>
      <c r="H2343" s="95" t="e">
        <f>F2342</f>
        <v>#VALUE!</v>
      </c>
    </row>
    <row r="2344" spans="1:15">
      <c r="A2344" s="523" t="s">
        <v>4224</v>
      </c>
      <c r="B2344" s="524"/>
      <c r="C2344" s="524"/>
      <c r="D2344" s="524"/>
      <c r="E2344" s="524"/>
      <c r="F2344" s="524"/>
      <c r="G2344" s="524"/>
      <c r="H2344" s="526"/>
    </row>
    <row r="2345" spans="1:15">
      <c r="A2345" s="527" t="s">
        <v>7</v>
      </c>
      <c r="B2345" s="528"/>
      <c r="C2345" s="96" t="s">
        <v>1</v>
      </c>
      <c r="D2345" s="97" t="s">
        <v>4225</v>
      </c>
      <c r="E2345" s="98" t="s">
        <v>4204</v>
      </c>
      <c r="F2345" s="527" t="s">
        <v>5</v>
      </c>
      <c r="G2345" s="534"/>
      <c r="H2345" s="109"/>
    </row>
    <row r="2346" spans="1:15">
      <c r="A2346" s="506" t="s">
        <v>4191</v>
      </c>
      <c r="B2346" s="507"/>
      <c r="C2346" s="91">
        <v>1</v>
      </c>
      <c r="D2346" s="94">
        <f>VLOOKUP(A2346,'Mano Obra'!$B$2:$T$117,19,0)</f>
        <v>152456</v>
      </c>
      <c r="E2346" s="218">
        <f>H2309</f>
        <v>5.21E-2</v>
      </c>
      <c r="F2346" s="508">
        <f>E2346*D2346*C2346</f>
        <v>7942.9575999999997</v>
      </c>
      <c r="G2346" s="509"/>
      <c r="H2346" s="111"/>
      <c r="I2346" s="59"/>
      <c r="J2346" s="117">
        <f>((('Mano Obra'!$M$4/30)*F2346)/D2346)*G2316</f>
        <v>0</v>
      </c>
    </row>
    <row r="2347" spans="1:15">
      <c r="A2347" s="510" t="s">
        <v>4192</v>
      </c>
      <c r="B2347" s="511">
        <f>VLOOKUP(A2347,'Mano Obra'!$B$3:$D$290,2,0)</f>
        <v>1900000</v>
      </c>
      <c r="C2347" s="91">
        <v>1</v>
      </c>
      <c r="D2347" s="94">
        <f>VLOOKUP(A2347,'Mano Obra'!$B$2:$T$117,19,0)</f>
        <v>110488</v>
      </c>
      <c r="E2347" s="218">
        <f>H2309</f>
        <v>5.21E-2</v>
      </c>
      <c r="F2347" s="508">
        <f t="shared" ref="F2347:F2348" si="138">E2347*D2347*C2347</f>
        <v>5756.4247999999998</v>
      </c>
      <c r="G2347" s="509"/>
      <c r="H2347" s="111"/>
      <c r="J2347" s="117">
        <f>((('Mano Obra'!$M$5/30)*F2347)/D2347)*G2316</f>
        <v>0</v>
      </c>
    </row>
    <row r="2348" spans="1:15">
      <c r="A2348" s="510" t="s">
        <v>4181</v>
      </c>
      <c r="B2348" s="511">
        <f>VLOOKUP(A2348,'Mano Obra'!$B$3:$D$290,2,0)</f>
        <v>1000000</v>
      </c>
      <c r="C2348" s="91">
        <v>1</v>
      </c>
      <c r="D2348" s="94">
        <f>VLOOKUP(A2348,'Mano Obra'!$B$2:$T$117,19,0)</f>
        <v>67424</v>
      </c>
      <c r="E2348" s="218">
        <f>H2309</f>
        <v>5.21E-2</v>
      </c>
      <c r="F2348" s="508">
        <f t="shared" si="138"/>
        <v>3512.7903999999999</v>
      </c>
      <c r="G2348" s="509"/>
      <c r="H2348" s="110"/>
      <c r="J2348" s="117">
        <f>((('Mano Obra'!$M$6/30)*F2348)/D2348)*G2316</f>
        <v>0</v>
      </c>
    </row>
    <row r="2349" spans="1:15">
      <c r="A2349" s="512" t="s">
        <v>4100</v>
      </c>
      <c r="B2349" s="512"/>
      <c r="C2349" s="512"/>
      <c r="D2349" s="512"/>
      <c r="E2349" s="512"/>
      <c r="F2349" s="512"/>
      <c r="G2349" s="512"/>
      <c r="H2349" s="95">
        <f>SUM(F2346:F2348)</f>
        <v>17212.1728</v>
      </c>
      <c r="J2349" s="117"/>
    </row>
    <row r="2350" spans="1:15">
      <c r="A2350" s="208" t="s">
        <v>4226</v>
      </c>
      <c r="B2350" s="186"/>
      <c r="C2350" s="186"/>
      <c r="D2350" s="183"/>
      <c r="E2350" s="184"/>
      <c r="F2350" s="185"/>
      <c r="G2350" s="184"/>
      <c r="H2350" s="193"/>
    </row>
    <row r="2351" spans="1:15">
      <c r="A2351" s="513" t="s">
        <v>4213</v>
      </c>
      <c r="B2351" s="514"/>
      <c r="C2351" s="514"/>
      <c r="D2351" s="514"/>
      <c r="E2351" s="181"/>
      <c r="F2351" s="182" t="s">
        <v>4227</v>
      </c>
      <c r="G2351" s="181" t="s">
        <v>4228</v>
      </c>
      <c r="H2351" s="194"/>
    </row>
    <row r="2352" spans="1:15">
      <c r="A2352" s="204" t="s">
        <v>4096</v>
      </c>
      <c r="B2352" s="62"/>
      <c r="C2352" s="62"/>
      <c r="D2352" s="63"/>
      <c r="E2352" s="68"/>
      <c r="F2352" s="69">
        <v>0</v>
      </c>
      <c r="G2352" s="70" t="e">
        <f>F2352*H2317</f>
        <v>#VALUE!</v>
      </c>
      <c r="H2352" s="193"/>
    </row>
    <row r="2353" spans="1:14">
      <c r="A2353" s="205" t="s">
        <v>4229</v>
      </c>
      <c r="B2353" s="71"/>
      <c r="C2353" s="71"/>
      <c r="D2353" s="72"/>
      <c r="E2353" s="68"/>
      <c r="F2353" s="69">
        <v>0</v>
      </c>
      <c r="G2353" s="70" t="e">
        <f>F2353*H2317</f>
        <v>#VALUE!</v>
      </c>
      <c r="H2353" s="193"/>
    </row>
    <row r="2354" spans="1:14">
      <c r="A2354" s="205" t="s">
        <v>4</v>
      </c>
      <c r="B2354" s="71"/>
      <c r="C2354" s="71"/>
      <c r="D2354" s="72"/>
      <c r="E2354" s="68"/>
      <c r="F2354" s="69">
        <v>0</v>
      </c>
      <c r="G2354" s="70" t="e">
        <f>F2354*H2317</f>
        <v>#VALUE!</v>
      </c>
      <c r="H2354" s="193"/>
    </row>
    <row r="2355" spans="1:14">
      <c r="A2355" s="206"/>
      <c r="B2355" s="73"/>
      <c r="C2355" s="65"/>
      <c r="D2355" s="74"/>
      <c r="E2355" s="75"/>
      <c r="F2355" s="76"/>
      <c r="G2355" s="77"/>
      <c r="H2355" s="195"/>
    </row>
    <row r="2356" spans="1:14">
      <c r="A2356" s="207"/>
      <c r="B2356" s="73"/>
      <c r="C2356" s="73"/>
      <c r="D2356" s="74"/>
      <c r="E2356" s="78"/>
      <c r="F2356" s="515" t="s">
        <v>4230</v>
      </c>
      <c r="G2356" s="516"/>
      <c r="H2356" s="214" t="e">
        <f>H2317+G2352+G2353+G2354</f>
        <v>#VALUE!</v>
      </c>
    </row>
    <row r="2357" spans="1:14">
      <c r="A2357" s="73"/>
      <c r="B2357" s="73"/>
      <c r="C2357" s="73"/>
      <c r="D2357" s="74"/>
      <c r="E2357" s="360"/>
      <c r="F2357" s="361"/>
      <c r="G2357" s="361"/>
      <c r="H2357" s="362"/>
    </row>
    <row r="2358" spans="1:14">
      <c r="A2358" s="80"/>
      <c r="B2358" s="80"/>
      <c r="C2358" s="80"/>
      <c r="D2358" s="80"/>
      <c r="E2358" s="80"/>
      <c r="F2358" s="80"/>
      <c r="G2358" s="80"/>
      <c r="H2358" s="353"/>
    </row>
    <row r="2359" spans="1:14">
      <c r="A2359" s="537" t="s">
        <v>4214</v>
      </c>
      <c r="B2359" s="538"/>
      <c r="C2359" s="538"/>
      <c r="D2359" s="538"/>
      <c r="E2359" s="538"/>
      <c r="F2359" s="538"/>
      <c r="G2359" s="538"/>
      <c r="H2359" s="539"/>
    </row>
    <row r="2360" spans="1:14">
      <c r="A2360" s="81"/>
      <c r="B2360" s="82"/>
      <c r="C2360" s="82"/>
      <c r="D2360" s="82"/>
      <c r="E2360" s="82"/>
      <c r="F2360" s="83"/>
      <c r="G2360" s="84"/>
      <c r="H2360" s="352">
        <f>ROUND((25/60)/8,4)</f>
        <v>5.21E-2</v>
      </c>
      <c r="I2360" s="105"/>
    </row>
    <row r="2361" spans="1:14">
      <c r="A2361" s="540" t="s">
        <v>4209</v>
      </c>
      <c r="B2361" s="542" t="str">
        <f>COSTOS!$C$14</f>
        <v>MODERNIZACION A TECNOLOGIA LED</v>
      </c>
      <c r="C2361" s="542"/>
      <c r="D2361" s="542"/>
      <c r="E2361" s="542"/>
      <c r="F2361" s="542"/>
      <c r="G2361" s="542"/>
      <c r="H2361" s="543" t="s">
        <v>4210</v>
      </c>
    </row>
    <row r="2362" spans="1:14">
      <c r="A2362" s="541"/>
      <c r="B2362" s="542"/>
      <c r="C2362" s="542"/>
      <c r="D2362" s="542"/>
      <c r="E2362" s="542"/>
      <c r="F2362" s="542"/>
      <c r="G2362" s="542"/>
      <c r="H2362" s="543"/>
    </row>
    <row r="2363" spans="1:14">
      <c r="A2363" s="541"/>
      <c r="B2363" s="542"/>
      <c r="C2363" s="542"/>
      <c r="D2363" s="542"/>
      <c r="E2363" s="542"/>
      <c r="F2363" s="542"/>
      <c r="G2363" s="542"/>
      <c r="H2363" s="543"/>
    </row>
    <row r="2364" spans="1:14" ht="15" customHeight="1">
      <c r="A2364" s="541"/>
      <c r="B2364" s="542"/>
      <c r="C2364" s="542"/>
      <c r="D2364" s="542"/>
      <c r="E2364" s="542"/>
      <c r="F2364" s="542"/>
      <c r="G2364" s="542"/>
      <c r="H2364" s="197">
        <f ca="1">TODAY()</f>
        <v>44889</v>
      </c>
      <c r="K2364" t="s">
        <v>4380</v>
      </c>
      <c r="L2364" t="s">
        <v>4381</v>
      </c>
      <c r="M2364" t="s">
        <v>4382</v>
      </c>
      <c r="N2364" t="s">
        <v>4383</v>
      </c>
    </row>
    <row r="2365" spans="1:14" ht="60.75" customHeight="1">
      <c r="A2365" s="209" t="s">
        <v>4211</v>
      </c>
      <c r="B2365" s="544" t="str">
        <f>COSTOS!$D$16</f>
        <v>Luminarias</v>
      </c>
      <c r="C2365" s="544"/>
      <c r="D2365" s="544"/>
      <c r="E2365" s="544"/>
      <c r="F2365" s="544"/>
      <c r="G2365" s="60" t="s">
        <v>4212</v>
      </c>
      <c r="H2365" s="363">
        <v>1.47</v>
      </c>
      <c r="K2365" s="55" t="e">
        <f>H2390</f>
        <v>#VALUE!</v>
      </c>
      <c r="L2365" s="55">
        <f>H2400</f>
        <v>17212.1728</v>
      </c>
      <c r="M2365" s="55" t="e">
        <f>H2373</f>
        <v>#VALUE!</v>
      </c>
      <c r="N2365" s="55" t="e">
        <f>H2394</f>
        <v>#VALUE!</v>
      </c>
    </row>
    <row r="2366" spans="1:14" ht="43.2" customHeight="1">
      <c r="A2366" s="210" t="s">
        <v>4213</v>
      </c>
      <c r="B2366" s="545" t="str">
        <f>VLOOKUP(H2365,COSTOS!C:M,2,0)</f>
        <v>Reflector Sodio 400w</v>
      </c>
      <c r="C2366" s="546"/>
      <c r="D2366" s="546"/>
      <c r="E2366" s="547"/>
      <c r="F2366" s="61" t="s">
        <v>0</v>
      </c>
      <c r="G2366" s="328" t="str">
        <f>VLOOKUP(H2365,COSTOS!C:M,8,0)</f>
        <v>Und</v>
      </c>
      <c r="H2366" s="248"/>
      <c r="I2366" s="278"/>
      <c r="J2366" s="280"/>
      <c r="K2366" s="280"/>
      <c r="L2366" s="280"/>
    </row>
    <row r="2367" spans="1:14">
      <c r="A2367" s="211"/>
      <c r="B2367" s="102"/>
      <c r="C2367" s="102"/>
      <c r="D2367" s="102"/>
      <c r="E2367" s="103"/>
      <c r="F2367" s="104" t="s">
        <v>1</v>
      </c>
      <c r="G2367" s="328">
        <f>VLOOKUP(H2365,COSTOS!C:M,9,0)</f>
        <v>0</v>
      </c>
      <c r="H2367" s="329"/>
      <c r="I2367" s="279"/>
    </row>
    <row r="2368" spans="1:14">
      <c r="A2368" s="212" t="s">
        <v>4215</v>
      </c>
      <c r="B2368" s="65"/>
      <c r="C2368" s="65"/>
      <c r="D2368" s="66"/>
      <c r="E2368" s="190"/>
      <c r="F2368" s="191"/>
      <c r="G2368" s="192" t="s">
        <v>4216</v>
      </c>
      <c r="H2368" s="198" t="e">
        <f>H2373+H2390+H2394+H2400</f>
        <v>#VALUE!</v>
      </c>
    </row>
    <row r="2369" spans="1:15" ht="41.4">
      <c r="A2369" s="548" t="s">
        <v>4213</v>
      </c>
      <c r="B2369" s="548"/>
      <c r="C2369" s="548"/>
      <c r="D2369" s="67" t="s">
        <v>0</v>
      </c>
      <c r="E2369" s="188" t="s">
        <v>4217</v>
      </c>
      <c r="F2369" s="189" t="s">
        <v>4204</v>
      </c>
      <c r="G2369" s="64" t="s">
        <v>2</v>
      </c>
      <c r="H2369" s="199" t="s">
        <v>4218</v>
      </c>
      <c r="K2369" s="281"/>
    </row>
    <row r="2370" spans="1:15">
      <c r="A2370" s="517" t="s">
        <v>3946</v>
      </c>
      <c r="B2370" s="549">
        <f>VLOOKUP(A2370,'Equip, Herr y Transp'!$B$2:$E$738,2,0)</f>
        <v>2</v>
      </c>
      <c r="C2370" s="549"/>
      <c r="D2370" s="85">
        <f>VLOOKUP(A2370,'Equip, Herr y Transp'!$B$2:$E$217,2,0)</f>
        <v>2</v>
      </c>
      <c r="E2370" s="85" t="str">
        <f>VLOOKUP(A2370,'Equip, Herr y Transp'!$B$2:$E$217,3,0)</f>
        <v>EQU</v>
      </c>
      <c r="F2370" s="86">
        <f>H2360</f>
        <v>5.21E-2</v>
      </c>
      <c r="G2370" s="112" t="e">
        <f>F2370*E2370</f>
        <v>#VALUE!</v>
      </c>
      <c r="H2370" s="108"/>
    </row>
    <row r="2371" spans="1:15">
      <c r="A2371" s="517" t="s">
        <v>3937</v>
      </c>
      <c r="B2371" s="549">
        <f>VLOOKUP(A2371,'Equip, Herr y Transp'!$B$2:$E$738,2,0)</f>
        <v>2</v>
      </c>
      <c r="C2371" s="549"/>
      <c r="D2371" s="85">
        <f>VLOOKUP(A2371,'Equip, Herr y Transp'!$B$2:$E$217,2,0)</f>
        <v>2</v>
      </c>
      <c r="E2371" s="85" t="str">
        <f>VLOOKUP(A2371,'Equip, Herr y Transp'!$B$2:$E$217,3,0)</f>
        <v>EQU</v>
      </c>
      <c r="F2371" s="86">
        <f>H2360</f>
        <v>5.21E-2</v>
      </c>
      <c r="G2371" s="112" t="e">
        <f>F2371*E2371</f>
        <v>#VALUE!</v>
      </c>
      <c r="H2371" s="107"/>
    </row>
    <row r="2372" spans="1:15">
      <c r="A2372" s="517" t="s">
        <v>3903</v>
      </c>
      <c r="B2372" s="549">
        <f>VLOOKUP(A2372,'Equip, Herr y Transp'!$B$2:$E$738,2,0)</f>
        <v>2</v>
      </c>
      <c r="C2372" s="549"/>
      <c r="D2372" s="85">
        <f>VLOOKUP(A2372,'Equip, Herr y Transp'!$B$2:$E$217,2,0)</f>
        <v>2</v>
      </c>
      <c r="E2372" s="85" t="str">
        <f>VLOOKUP(A2372,'Equip, Herr y Transp'!$B$2:$E$217,3,0)</f>
        <v>EQU</v>
      </c>
      <c r="F2372" s="86">
        <f>H2360</f>
        <v>5.21E-2</v>
      </c>
      <c r="G2372" s="112" t="e">
        <f>F2372*E2372</f>
        <v>#VALUE!</v>
      </c>
      <c r="H2372" s="107"/>
    </row>
    <row r="2373" spans="1:15">
      <c r="A2373" s="520" t="s">
        <v>4099</v>
      </c>
      <c r="B2373" s="521"/>
      <c r="C2373" s="521"/>
      <c r="D2373" s="521"/>
      <c r="E2373" s="521"/>
      <c r="F2373" s="521"/>
      <c r="G2373" s="521"/>
      <c r="H2373" s="87" t="e">
        <f>SUM(G2370:G2372)</f>
        <v>#VALUE!</v>
      </c>
    </row>
    <row r="2374" spans="1:15">
      <c r="A2374" s="550" t="s">
        <v>4219</v>
      </c>
      <c r="B2374" s="551"/>
      <c r="C2374" s="551"/>
      <c r="D2374" s="551"/>
      <c r="E2374" s="551"/>
      <c r="F2374" s="551"/>
      <c r="G2374" s="551"/>
      <c r="H2374" s="552"/>
      <c r="K2374" s="50"/>
      <c r="L2374" s="50"/>
      <c r="M2374" s="50"/>
      <c r="N2374" s="50"/>
      <c r="O2374" s="50"/>
    </row>
    <row r="2375" spans="1:15" ht="30" customHeight="1">
      <c r="A2375" s="553" t="s">
        <v>7</v>
      </c>
      <c r="B2375" s="554"/>
      <c r="C2375" s="99" t="s">
        <v>0</v>
      </c>
      <c r="D2375" s="100" t="s">
        <v>4097</v>
      </c>
      <c r="E2375" s="101" t="s">
        <v>1</v>
      </c>
      <c r="F2375" s="555" t="s">
        <v>4207</v>
      </c>
      <c r="G2375" s="555"/>
      <c r="H2375" s="196"/>
      <c r="K2375" s="50"/>
      <c r="L2375" s="50"/>
      <c r="M2375" s="50"/>
      <c r="N2375" s="50"/>
      <c r="O2375" s="50"/>
    </row>
    <row r="2376" spans="1:15">
      <c r="A2376" s="535" t="s">
        <v>4721</v>
      </c>
      <c r="B2376" s="536"/>
      <c r="C2376" s="88">
        <f>VLOOKUP(A2376,'Materiales '!$C$2:$G$396,3,0)</f>
        <v>4</v>
      </c>
      <c r="D2376" s="89" t="str">
        <f>VLOOKUP(A2376,'Materiales '!$C$2:$G$396,4,0)</f>
        <v>Und</v>
      </c>
      <c r="E2376" s="90">
        <v>1</v>
      </c>
      <c r="F2376" s="508" t="e">
        <f>E2376*D2376</f>
        <v>#VALUE!</v>
      </c>
      <c r="G2376" s="519"/>
      <c r="H2376" s="111"/>
      <c r="I2376">
        <f>E2376*G2367</f>
        <v>0</v>
      </c>
      <c r="J2376" s="57"/>
      <c r="K2376" s="50"/>
      <c r="L2376" s="50"/>
      <c r="M2376" s="50"/>
      <c r="N2376" s="50"/>
      <c r="O2376" s="50"/>
    </row>
    <row r="2377" spans="1:15">
      <c r="A2377" s="535" t="s">
        <v>4203</v>
      </c>
      <c r="B2377" s="536"/>
      <c r="C2377" s="88">
        <f>VLOOKUP(A2377,'Materiales '!$C$2:$G$396,3,0)</f>
        <v>4</v>
      </c>
      <c r="D2377" s="89" t="str">
        <f>VLOOKUP(A2377,'Materiales '!$C$2:$G$396,4,0)</f>
        <v>Und</v>
      </c>
      <c r="E2377" s="90">
        <v>1</v>
      </c>
      <c r="F2377" s="508" t="e">
        <f t="shared" ref="F2377:F2383" si="139">E2377*D2377</f>
        <v>#VALUE!</v>
      </c>
      <c r="G2377" s="519"/>
      <c r="H2377" s="111"/>
      <c r="I2377">
        <f>E2377*G2367</f>
        <v>0</v>
      </c>
      <c r="J2377" s="57"/>
      <c r="K2377" s="50"/>
      <c r="L2377" s="50"/>
      <c r="M2377" s="50"/>
      <c r="N2377" s="50"/>
      <c r="O2377" s="50"/>
    </row>
    <row r="2378" spans="1:15">
      <c r="A2378" s="517" t="s">
        <v>4473</v>
      </c>
      <c r="B2378" s="518">
        <f>VLOOKUP(A2378,'Materiales '!$C$2:$G$396,3,0)</f>
        <v>4</v>
      </c>
      <c r="C2378" s="88">
        <f>VLOOKUP(A2378,'Materiales '!$C$2:$G$396,3,0)</f>
        <v>4</v>
      </c>
      <c r="D2378" s="89" t="str">
        <f>VLOOKUP(A2378,'Materiales '!$C$2:$G$396,4,0)</f>
        <v>Und</v>
      </c>
      <c r="E2378" s="90">
        <v>2</v>
      </c>
      <c r="F2378" s="508" t="e">
        <f t="shared" si="139"/>
        <v>#VALUE!</v>
      </c>
      <c r="G2378" s="519"/>
      <c r="H2378" s="111"/>
      <c r="I2378">
        <f>E2378*G2367</f>
        <v>0</v>
      </c>
      <c r="J2378" s="58"/>
      <c r="K2378" s="50"/>
      <c r="L2378" s="50"/>
      <c r="M2378" s="50"/>
      <c r="N2378" s="50"/>
      <c r="O2378" s="50"/>
    </row>
    <row r="2379" spans="1:15">
      <c r="A2379" s="517" t="s">
        <v>4478</v>
      </c>
      <c r="B2379" s="518">
        <f>VLOOKUP(A2379,'Materiales '!$C$2:$G$396,3,0)</f>
        <v>4</v>
      </c>
      <c r="C2379" s="88">
        <f>VLOOKUP(A2379,'Materiales '!$C$2:$G$396,3,0)</f>
        <v>4</v>
      </c>
      <c r="D2379" s="89" t="str">
        <f>VLOOKUP(A2379,'Materiales '!$C$2:$G$396,4,0)</f>
        <v>Und</v>
      </c>
      <c r="E2379" s="90">
        <v>3</v>
      </c>
      <c r="F2379" s="508" t="e">
        <f t="shared" si="139"/>
        <v>#VALUE!</v>
      </c>
      <c r="G2379" s="519"/>
      <c r="H2379" s="111"/>
      <c r="I2379">
        <f>E2379*G2367</f>
        <v>0</v>
      </c>
      <c r="J2379" s="58"/>
      <c r="K2379" s="50"/>
      <c r="L2379" s="50"/>
      <c r="M2379" s="50"/>
      <c r="N2379" s="50"/>
      <c r="O2379" s="50"/>
    </row>
    <row r="2380" spans="1:15">
      <c r="A2380" s="517" t="s">
        <v>4543</v>
      </c>
      <c r="B2380" s="518">
        <f>VLOOKUP(A2380,'Materiales '!$C$2:$G$396,3,0)</f>
        <v>4</v>
      </c>
      <c r="C2380" s="88">
        <f>VLOOKUP(A2380,'Materiales '!$C$2:$G$396,3,0)</f>
        <v>4</v>
      </c>
      <c r="D2380" s="89" t="str">
        <f>VLOOKUP(A2380,'Materiales '!$C$2:$G$396,4,0)</f>
        <v>Und</v>
      </c>
      <c r="E2380" s="90">
        <v>2</v>
      </c>
      <c r="F2380" s="508" t="e">
        <f t="shared" si="139"/>
        <v>#VALUE!</v>
      </c>
      <c r="G2380" s="519"/>
      <c r="H2380" s="111"/>
      <c r="I2380">
        <f>E2380*G2367</f>
        <v>0</v>
      </c>
      <c r="J2380" s="58"/>
      <c r="K2380" s="50"/>
      <c r="L2380" s="50"/>
      <c r="M2380" s="50"/>
      <c r="N2380" s="50"/>
      <c r="O2380" s="50"/>
    </row>
    <row r="2381" spans="1:15">
      <c r="A2381" s="517" t="s">
        <v>4439</v>
      </c>
      <c r="B2381" s="518">
        <f>VLOOKUP(A2381,'Materiales '!$C$2:$G$396,3,0)</f>
        <v>2</v>
      </c>
      <c r="C2381" s="88">
        <f>VLOOKUP(A2381,'Materiales '!$C$2:$G$396,3,0)</f>
        <v>2</v>
      </c>
      <c r="D2381" s="89" t="str">
        <f>VLOOKUP(A2381,'Materiales '!$C$2:$G$396,4,0)</f>
        <v>Ml</v>
      </c>
      <c r="E2381" s="90">
        <v>1</v>
      </c>
      <c r="F2381" s="508" t="e">
        <f t="shared" si="139"/>
        <v>#VALUE!</v>
      </c>
      <c r="G2381" s="519"/>
      <c r="H2381" s="111"/>
      <c r="I2381">
        <f>E2381*G2367</f>
        <v>0</v>
      </c>
      <c r="J2381" s="58"/>
      <c r="K2381" s="50"/>
      <c r="L2381" s="50"/>
      <c r="M2381" s="50"/>
      <c r="N2381" s="50"/>
      <c r="O2381" s="50"/>
    </row>
    <row r="2382" spans="1:15">
      <c r="A2382" s="517" t="s">
        <v>4482</v>
      </c>
      <c r="B2382" s="518">
        <f>VLOOKUP(A2382,'Materiales '!$C$2:$G$396,3,0)</f>
        <v>4</v>
      </c>
      <c r="C2382" s="88">
        <f>VLOOKUP(A2382,'Materiales '!$C$2:$G$396,3,0)</f>
        <v>4</v>
      </c>
      <c r="D2382" s="89" t="str">
        <f>VLOOKUP(A2382,'Materiales '!$C$2:$G$396,4,0)</f>
        <v>Und</v>
      </c>
      <c r="E2382" s="90">
        <v>3</v>
      </c>
      <c r="F2382" s="508" t="e">
        <f t="shared" si="139"/>
        <v>#VALUE!</v>
      </c>
      <c r="G2382" s="519"/>
      <c r="H2382" s="111"/>
      <c r="I2382">
        <f>E2382*G2367</f>
        <v>0</v>
      </c>
      <c r="J2382" s="58"/>
      <c r="K2382" s="50"/>
      <c r="L2382" s="50"/>
      <c r="M2382" s="50"/>
      <c r="N2382" s="50"/>
      <c r="O2382" s="50"/>
    </row>
    <row r="2383" spans="1:15" ht="21.75" customHeight="1">
      <c r="A2383" s="517" t="s">
        <v>4488</v>
      </c>
      <c r="B2383" s="518">
        <f>VLOOKUP(A2383,'Materiales '!$C$2:$G$396,3,0)</f>
        <v>4</v>
      </c>
      <c r="C2383" s="88">
        <f>VLOOKUP(A2383,'Materiales '!$C$2:$G$396,3,0)</f>
        <v>4</v>
      </c>
      <c r="D2383" s="89" t="str">
        <f>VLOOKUP(A2383,'Materiales '!$C$2:$G$396,4,0)</f>
        <v>Und</v>
      </c>
      <c r="E2383" s="90">
        <v>0.5</v>
      </c>
      <c r="F2383" s="508" t="e">
        <f t="shared" si="139"/>
        <v>#VALUE!</v>
      </c>
      <c r="G2383" s="519"/>
      <c r="H2383" s="111"/>
      <c r="I2383">
        <f>E2383*G2367</f>
        <v>0</v>
      </c>
      <c r="J2383" s="58"/>
      <c r="K2383" s="50"/>
      <c r="L2383" s="50"/>
      <c r="M2383" s="50"/>
      <c r="N2383" s="50"/>
      <c r="O2383" s="50"/>
    </row>
    <row r="2384" spans="1:15">
      <c r="A2384" s="517" t="s">
        <v>8</v>
      </c>
      <c r="B2384" s="518">
        <f>VLOOKUP(A2384,'Materiales '!$C$2:$G$396,3,0)</f>
        <v>0</v>
      </c>
      <c r="C2384" s="88">
        <f>VLOOKUP(A2384,'Materiales '!$C$2:$G$396,3,0)</f>
        <v>0</v>
      </c>
      <c r="D2384" s="89" t="str">
        <f>VLOOKUP(A2384,'Materiales '!$C$2:$G$396,4,0)</f>
        <v>-</v>
      </c>
      <c r="E2384" s="90"/>
      <c r="F2384" s="508" t="e">
        <f>E2384*D2384</f>
        <v>#VALUE!</v>
      </c>
      <c r="G2384" s="519"/>
      <c r="H2384" s="110"/>
      <c r="I2384">
        <f>E2384*G2367</f>
        <v>0</v>
      </c>
      <c r="J2384" s="58"/>
      <c r="K2384" s="50"/>
      <c r="L2384" s="50"/>
      <c r="M2384" s="50"/>
      <c r="N2384" s="50"/>
      <c r="O2384" s="50"/>
    </row>
    <row r="2385" spans="1:15">
      <c r="A2385" s="517" t="s">
        <v>8</v>
      </c>
      <c r="B2385" s="518">
        <f>VLOOKUP(A2385,'Materiales '!$C$2:$G$396,3,0)</f>
        <v>0</v>
      </c>
      <c r="C2385" s="88">
        <f>VLOOKUP(A2385,'Materiales '!$C$2:$G$396,3,0)</f>
        <v>0</v>
      </c>
      <c r="D2385" s="89" t="str">
        <f>VLOOKUP(A2385,'Materiales '!$C$2:$G$396,4,0)</f>
        <v>-</v>
      </c>
      <c r="E2385" s="90"/>
      <c r="F2385" s="508" t="e">
        <f t="shared" ref="F2385:F2388" si="140">E2385*D2385</f>
        <v>#VALUE!</v>
      </c>
      <c r="G2385" s="519"/>
      <c r="H2385" s="111"/>
      <c r="I2385">
        <f>E2385*G2367</f>
        <v>0</v>
      </c>
      <c r="J2385" s="58"/>
      <c r="K2385" s="50"/>
      <c r="L2385" s="50"/>
      <c r="M2385" s="50"/>
      <c r="N2385" s="50"/>
      <c r="O2385" s="50"/>
    </row>
    <row r="2386" spans="1:15">
      <c r="A2386" s="517" t="s">
        <v>8</v>
      </c>
      <c r="B2386" s="518">
        <f>VLOOKUP(A2386,'Materiales '!$C$2:$G$396,3,0)</f>
        <v>0</v>
      </c>
      <c r="C2386" s="88">
        <f>VLOOKUP(A2386,'Materiales '!$C$2:$G$396,3,0)</f>
        <v>0</v>
      </c>
      <c r="D2386" s="89" t="str">
        <f>VLOOKUP(A2386,'Materiales '!$C$2:$G$396,4,0)</f>
        <v>-</v>
      </c>
      <c r="E2386" s="90"/>
      <c r="F2386" s="508" t="e">
        <f t="shared" si="140"/>
        <v>#VALUE!</v>
      </c>
      <c r="G2386" s="519"/>
      <c r="H2386" s="111"/>
      <c r="I2386">
        <f>E2386*G2367</f>
        <v>0</v>
      </c>
      <c r="J2386" s="58"/>
      <c r="K2386" s="50"/>
      <c r="L2386" s="50"/>
      <c r="M2386" s="50"/>
      <c r="N2386" s="50"/>
      <c r="O2386" s="50"/>
    </row>
    <row r="2387" spans="1:15">
      <c r="A2387" s="517" t="s">
        <v>8</v>
      </c>
      <c r="B2387" s="518">
        <f>VLOOKUP(A2387,'Materiales '!$C$2:$G$396,3,0)</f>
        <v>0</v>
      </c>
      <c r="C2387" s="88">
        <f>VLOOKUP(A2387,'Materiales '!$C$2:$G$396,3,0)</f>
        <v>0</v>
      </c>
      <c r="D2387" s="89" t="str">
        <f>VLOOKUP(A2387,'Materiales '!$C$2:$G$396,4,0)</f>
        <v>-</v>
      </c>
      <c r="E2387" s="90"/>
      <c r="F2387" s="508" t="e">
        <f t="shared" si="140"/>
        <v>#VALUE!</v>
      </c>
      <c r="G2387" s="519"/>
      <c r="H2387" s="111"/>
      <c r="I2387">
        <f>E2387*G2367</f>
        <v>0</v>
      </c>
      <c r="J2387" s="58"/>
      <c r="K2387" s="50"/>
      <c r="L2387" s="50"/>
      <c r="M2387" s="50"/>
      <c r="N2387" s="50"/>
      <c r="O2387" s="50"/>
    </row>
    <row r="2388" spans="1:15">
      <c r="A2388" s="517" t="s">
        <v>8</v>
      </c>
      <c r="B2388" s="518">
        <f>VLOOKUP(A2388,'Materiales '!$C$2:$G$396,3,0)</f>
        <v>0</v>
      </c>
      <c r="C2388" s="88">
        <f>VLOOKUP(A2388,'Materiales '!$C$2:$G$396,3,0)</f>
        <v>0</v>
      </c>
      <c r="D2388" s="89" t="str">
        <f>VLOOKUP(A2388,'Materiales '!$C$2:$G$396,4,0)</f>
        <v>-</v>
      </c>
      <c r="E2388" s="90"/>
      <c r="F2388" s="508" t="e">
        <f t="shared" si="140"/>
        <v>#VALUE!</v>
      </c>
      <c r="G2388" s="519"/>
      <c r="H2388" s="111"/>
      <c r="I2388">
        <f>E2388*G2367</f>
        <v>0</v>
      </c>
      <c r="J2388" s="58"/>
      <c r="K2388" s="50"/>
      <c r="L2388" s="50"/>
      <c r="M2388" s="50"/>
      <c r="N2388" s="50"/>
      <c r="O2388" s="50"/>
    </row>
    <row r="2389" spans="1:15">
      <c r="A2389" s="517" t="s">
        <v>8</v>
      </c>
      <c r="B2389" s="518">
        <f>VLOOKUP(A2389,'Materiales '!$C$2:$G$396,3,0)</f>
        <v>0</v>
      </c>
      <c r="C2389" s="88">
        <f>VLOOKUP(A2389,'Materiales '!$C$2:$G$396,3,0)</f>
        <v>0</v>
      </c>
      <c r="D2389" s="89" t="str">
        <f>VLOOKUP(A2389,'Materiales '!$C$2:$G$396,4,0)</f>
        <v>-</v>
      </c>
      <c r="E2389" s="90"/>
      <c r="F2389" s="508" t="e">
        <f>E2389*D2389</f>
        <v>#VALUE!</v>
      </c>
      <c r="G2389" s="519"/>
      <c r="H2389" s="110"/>
      <c r="I2389">
        <f>E2389*G2367</f>
        <v>0</v>
      </c>
      <c r="J2389" s="58"/>
      <c r="K2389" s="50"/>
      <c r="L2389" s="50"/>
      <c r="M2389" s="50"/>
      <c r="N2389" s="50"/>
      <c r="O2389" s="50"/>
    </row>
    <row r="2390" spans="1:15">
      <c r="A2390" s="520" t="s">
        <v>4098</v>
      </c>
      <c r="B2390" s="521"/>
      <c r="C2390" s="521"/>
      <c r="D2390" s="521"/>
      <c r="E2390" s="521"/>
      <c r="F2390" s="521"/>
      <c r="G2390" s="522"/>
      <c r="H2390" s="106" t="e">
        <f>SUM(F2376:F2389)</f>
        <v>#VALUE!</v>
      </c>
      <c r="J2390" s="58"/>
      <c r="K2390" s="50"/>
      <c r="L2390" s="50"/>
      <c r="M2390" s="50"/>
      <c r="N2390" s="50"/>
      <c r="O2390" s="50"/>
    </row>
    <row r="2391" spans="1:15">
      <c r="A2391" s="523" t="s">
        <v>4220</v>
      </c>
      <c r="B2391" s="524"/>
      <c r="C2391" s="524"/>
      <c r="D2391" s="524"/>
      <c r="E2391" s="525"/>
      <c r="F2391" s="524"/>
      <c r="G2391" s="524"/>
      <c r="H2391" s="526"/>
      <c r="J2391" s="58"/>
      <c r="K2391" s="50"/>
      <c r="L2391" s="50"/>
      <c r="M2391" s="50"/>
      <c r="N2391" s="50"/>
      <c r="O2391" s="50"/>
    </row>
    <row r="2392" spans="1:15">
      <c r="A2392" s="527" t="s">
        <v>7</v>
      </c>
      <c r="B2392" s="528"/>
      <c r="C2392" s="98" t="s">
        <v>4221</v>
      </c>
      <c r="D2392" s="97" t="s">
        <v>4222</v>
      </c>
      <c r="E2392" s="187" t="s">
        <v>4223</v>
      </c>
      <c r="F2392" s="529" t="s">
        <v>4207</v>
      </c>
      <c r="G2392" s="529"/>
      <c r="H2392" s="109"/>
      <c r="K2392" s="50"/>
      <c r="L2392" s="50"/>
      <c r="M2392" s="50"/>
      <c r="N2392" s="50"/>
      <c r="O2392" s="50"/>
    </row>
    <row r="2393" spans="1:15">
      <c r="A2393" s="506" t="s">
        <v>3928</v>
      </c>
      <c r="B2393" s="507"/>
      <c r="C2393" s="213">
        <v>1</v>
      </c>
      <c r="D2393" s="92">
        <v>0.03</v>
      </c>
      <c r="E2393" s="93" t="str">
        <f>VLOOKUP(A2393,'Equip, Herr y Transp'!$B$2:$E$217,3,0)</f>
        <v>TR</v>
      </c>
      <c r="F2393" s="530" t="e">
        <f>E2393*D2393*C2393</f>
        <v>#VALUE!</v>
      </c>
      <c r="G2393" s="531"/>
      <c r="H2393" s="107"/>
      <c r="M2393" s="50"/>
    </row>
    <row r="2394" spans="1:15">
      <c r="A2394" s="532" t="s">
        <v>4205</v>
      </c>
      <c r="B2394" s="533"/>
      <c r="C2394" s="533"/>
      <c r="D2394" s="533"/>
      <c r="E2394" s="533"/>
      <c r="F2394" s="533"/>
      <c r="G2394" s="533"/>
      <c r="H2394" s="95" t="e">
        <f>F2393</f>
        <v>#VALUE!</v>
      </c>
    </row>
    <row r="2395" spans="1:15">
      <c r="A2395" s="523" t="s">
        <v>4224</v>
      </c>
      <c r="B2395" s="524"/>
      <c r="C2395" s="524"/>
      <c r="D2395" s="524"/>
      <c r="E2395" s="524"/>
      <c r="F2395" s="524"/>
      <c r="G2395" s="524"/>
      <c r="H2395" s="526"/>
    </row>
    <row r="2396" spans="1:15">
      <c r="A2396" s="527" t="s">
        <v>7</v>
      </c>
      <c r="B2396" s="528"/>
      <c r="C2396" s="96" t="s">
        <v>1</v>
      </c>
      <c r="D2396" s="97" t="s">
        <v>4225</v>
      </c>
      <c r="E2396" s="98" t="s">
        <v>4204</v>
      </c>
      <c r="F2396" s="527" t="s">
        <v>5</v>
      </c>
      <c r="G2396" s="534"/>
      <c r="H2396" s="109"/>
    </row>
    <row r="2397" spans="1:15">
      <c r="A2397" s="506" t="s">
        <v>4191</v>
      </c>
      <c r="B2397" s="507"/>
      <c r="C2397" s="91">
        <v>1</v>
      </c>
      <c r="D2397" s="94">
        <f>VLOOKUP(A2397,'Mano Obra'!$B$2:$T$117,19,0)</f>
        <v>152456</v>
      </c>
      <c r="E2397" s="218">
        <f>H2360</f>
        <v>5.21E-2</v>
      </c>
      <c r="F2397" s="508">
        <f>E2397*D2397*C2397</f>
        <v>7942.9575999999997</v>
      </c>
      <c r="G2397" s="509"/>
      <c r="H2397" s="111"/>
      <c r="I2397" s="59"/>
      <c r="J2397" s="117">
        <f>((('Mano Obra'!$M$4/30)*F2397)/D2397)*G2367</f>
        <v>0</v>
      </c>
    </row>
    <row r="2398" spans="1:15">
      <c r="A2398" s="510" t="s">
        <v>4192</v>
      </c>
      <c r="B2398" s="511">
        <f>VLOOKUP(A2398,'Mano Obra'!$B$3:$D$290,2,0)</f>
        <v>1900000</v>
      </c>
      <c r="C2398" s="91">
        <v>1</v>
      </c>
      <c r="D2398" s="94">
        <f>VLOOKUP(A2398,'Mano Obra'!$B$2:$T$117,19,0)</f>
        <v>110488</v>
      </c>
      <c r="E2398" s="218">
        <f>H2360</f>
        <v>5.21E-2</v>
      </c>
      <c r="F2398" s="508">
        <f t="shared" ref="F2398:F2399" si="141">E2398*D2398*C2398</f>
        <v>5756.4247999999998</v>
      </c>
      <c r="G2398" s="509"/>
      <c r="H2398" s="111"/>
      <c r="J2398" s="117">
        <f>((('Mano Obra'!$M$5/30)*F2398)/D2398)*G2367</f>
        <v>0</v>
      </c>
    </row>
    <row r="2399" spans="1:15">
      <c r="A2399" s="510" t="s">
        <v>4181</v>
      </c>
      <c r="B2399" s="511">
        <f>VLOOKUP(A2399,'Mano Obra'!$B$3:$D$290,2,0)</f>
        <v>1000000</v>
      </c>
      <c r="C2399" s="91">
        <v>1</v>
      </c>
      <c r="D2399" s="94">
        <f>VLOOKUP(A2399,'Mano Obra'!$B$2:$T$117,19,0)</f>
        <v>67424</v>
      </c>
      <c r="E2399" s="218">
        <f>H2360</f>
        <v>5.21E-2</v>
      </c>
      <c r="F2399" s="508">
        <f t="shared" si="141"/>
        <v>3512.7903999999999</v>
      </c>
      <c r="G2399" s="509"/>
      <c r="H2399" s="110"/>
      <c r="J2399" s="117">
        <f>((('Mano Obra'!$M$6/30)*F2399)/D2399)*G2367</f>
        <v>0</v>
      </c>
    </row>
    <row r="2400" spans="1:15">
      <c r="A2400" s="512" t="s">
        <v>4100</v>
      </c>
      <c r="B2400" s="512"/>
      <c r="C2400" s="512"/>
      <c r="D2400" s="512"/>
      <c r="E2400" s="512"/>
      <c r="F2400" s="512"/>
      <c r="G2400" s="512"/>
      <c r="H2400" s="95">
        <f>SUM(F2397:F2399)</f>
        <v>17212.1728</v>
      </c>
      <c r="J2400" s="117"/>
    </row>
    <row r="2401" spans="1:14">
      <c r="A2401" s="208" t="s">
        <v>4226</v>
      </c>
      <c r="B2401" s="186"/>
      <c r="C2401" s="186"/>
      <c r="D2401" s="183"/>
      <c r="E2401" s="184"/>
      <c r="F2401" s="185"/>
      <c r="G2401" s="184"/>
      <c r="H2401" s="193"/>
    </row>
    <row r="2402" spans="1:14">
      <c r="A2402" s="513" t="s">
        <v>4213</v>
      </c>
      <c r="B2402" s="514"/>
      <c r="C2402" s="514"/>
      <c r="D2402" s="514"/>
      <c r="E2402" s="181"/>
      <c r="F2402" s="182" t="s">
        <v>4227</v>
      </c>
      <c r="G2402" s="181" t="s">
        <v>4228</v>
      </c>
      <c r="H2402" s="194"/>
    </row>
    <row r="2403" spans="1:14">
      <c r="A2403" s="204" t="s">
        <v>4096</v>
      </c>
      <c r="B2403" s="62"/>
      <c r="C2403" s="62"/>
      <c r="D2403" s="63"/>
      <c r="E2403" s="68"/>
      <c r="F2403" s="69">
        <v>0</v>
      </c>
      <c r="G2403" s="70" t="e">
        <f>F2403*H2368</f>
        <v>#VALUE!</v>
      </c>
      <c r="H2403" s="193"/>
    </row>
    <row r="2404" spans="1:14">
      <c r="A2404" s="205" t="s">
        <v>4229</v>
      </c>
      <c r="B2404" s="71"/>
      <c r="C2404" s="71"/>
      <c r="D2404" s="72"/>
      <c r="E2404" s="68"/>
      <c r="F2404" s="69">
        <v>0</v>
      </c>
      <c r="G2404" s="70" t="e">
        <f>F2404*H2368</f>
        <v>#VALUE!</v>
      </c>
      <c r="H2404" s="193"/>
    </row>
    <row r="2405" spans="1:14">
      <c r="A2405" s="205" t="s">
        <v>4</v>
      </c>
      <c r="B2405" s="71"/>
      <c r="C2405" s="71"/>
      <c r="D2405" s="72"/>
      <c r="E2405" s="68"/>
      <c r="F2405" s="69">
        <v>0</v>
      </c>
      <c r="G2405" s="70" t="e">
        <f>F2405*H2368</f>
        <v>#VALUE!</v>
      </c>
      <c r="H2405" s="193"/>
    </row>
    <row r="2406" spans="1:14">
      <c r="A2406" s="206"/>
      <c r="B2406" s="73"/>
      <c r="C2406" s="65"/>
      <c r="D2406" s="74"/>
      <c r="E2406" s="75"/>
      <c r="F2406" s="76"/>
      <c r="G2406" s="77"/>
      <c r="H2406" s="195"/>
    </row>
    <row r="2407" spans="1:14">
      <c r="A2407" s="207"/>
      <c r="B2407" s="73"/>
      <c r="C2407" s="73"/>
      <c r="D2407" s="74"/>
      <c r="E2407" s="78"/>
      <c r="F2407" s="515" t="s">
        <v>4230</v>
      </c>
      <c r="G2407" s="516"/>
      <c r="H2407" s="214" t="e">
        <f>H2368+G2403+G2404+G2405</f>
        <v>#VALUE!</v>
      </c>
    </row>
    <row r="2408" spans="1:14">
      <c r="A2408" s="73"/>
      <c r="B2408" s="73"/>
      <c r="C2408" s="73"/>
      <c r="D2408" s="74"/>
      <c r="E2408" s="360"/>
      <c r="F2408" s="361"/>
      <c r="G2408" s="361"/>
      <c r="H2408" s="362"/>
    </row>
    <row r="2409" spans="1:14">
      <c r="A2409" s="80"/>
      <c r="B2409" s="80"/>
      <c r="C2409" s="80"/>
      <c r="D2409" s="80"/>
      <c r="E2409" s="80"/>
      <c r="F2409" s="80"/>
      <c r="G2409" s="80"/>
      <c r="H2409" s="353"/>
    </row>
    <row r="2410" spans="1:14">
      <c r="A2410" s="537" t="s">
        <v>4214</v>
      </c>
      <c r="B2410" s="538"/>
      <c r="C2410" s="538"/>
      <c r="D2410" s="538"/>
      <c r="E2410" s="538"/>
      <c r="F2410" s="538"/>
      <c r="G2410" s="538"/>
      <c r="H2410" s="539"/>
    </row>
    <row r="2411" spans="1:14">
      <c r="A2411" s="81"/>
      <c r="B2411" s="82"/>
      <c r="C2411" s="82"/>
      <c r="D2411" s="82"/>
      <c r="E2411" s="82"/>
      <c r="F2411" s="83"/>
      <c r="G2411" s="84"/>
      <c r="H2411" s="352">
        <f>ROUND((25/60)/8,4)</f>
        <v>5.21E-2</v>
      </c>
      <c r="I2411" s="105"/>
    </row>
    <row r="2412" spans="1:14">
      <c r="A2412" s="540" t="s">
        <v>4209</v>
      </c>
      <c r="B2412" s="542" t="str">
        <f>COSTOS!$C$14</f>
        <v>MODERNIZACION A TECNOLOGIA LED</v>
      </c>
      <c r="C2412" s="542"/>
      <c r="D2412" s="542"/>
      <c r="E2412" s="542"/>
      <c r="F2412" s="542"/>
      <c r="G2412" s="542"/>
      <c r="H2412" s="543" t="s">
        <v>4210</v>
      </c>
    </row>
    <row r="2413" spans="1:14">
      <c r="A2413" s="541"/>
      <c r="B2413" s="542"/>
      <c r="C2413" s="542"/>
      <c r="D2413" s="542"/>
      <c r="E2413" s="542"/>
      <c r="F2413" s="542"/>
      <c r="G2413" s="542"/>
      <c r="H2413" s="543"/>
    </row>
    <row r="2414" spans="1:14">
      <c r="A2414" s="541"/>
      <c r="B2414" s="542"/>
      <c r="C2414" s="542"/>
      <c r="D2414" s="542"/>
      <c r="E2414" s="542"/>
      <c r="F2414" s="542"/>
      <c r="G2414" s="542"/>
      <c r="H2414" s="543"/>
    </row>
    <row r="2415" spans="1:14" ht="15" customHeight="1">
      <c r="A2415" s="541"/>
      <c r="B2415" s="542"/>
      <c r="C2415" s="542"/>
      <c r="D2415" s="542"/>
      <c r="E2415" s="542"/>
      <c r="F2415" s="542"/>
      <c r="G2415" s="542"/>
      <c r="H2415" s="197">
        <f ca="1">TODAY()</f>
        <v>44889</v>
      </c>
      <c r="K2415" t="s">
        <v>4380</v>
      </c>
      <c r="L2415" t="s">
        <v>4381</v>
      </c>
      <c r="M2415" t="s">
        <v>4382</v>
      </c>
      <c r="N2415" t="s">
        <v>4383</v>
      </c>
    </row>
    <row r="2416" spans="1:14" ht="60.75" customHeight="1">
      <c r="A2416" s="209" t="s">
        <v>4211</v>
      </c>
      <c r="B2416" s="544" t="str">
        <f>COSTOS!$D$16</f>
        <v>Luminarias</v>
      </c>
      <c r="C2416" s="544"/>
      <c r="D2416" s="544"/>
      <c r="E2416" s="544"/>
      <c r="F2416" s="544"/>
      <c r="G2416" s="60" t="s">
        <v>4212</v>
      </c>
      <c r="H2416" s="363">
        <v>1.48</v>
      </c>
      <c r="K2416" s="55" t="e">
        <f>H2441</f>
        <v>#VALUE!</v>
      </c>
      <c r="L2416" s="55">
        <f>H2451</f>
        <v>17212.1728</v>
      </c>
      <c r="M2416" s="55" t="e">
        <f>H2424</f>
        <v>#VALUE!</v>
      </c>
      <c r="N2416" s="55" t="e">
        <f>H2445</f>
        <v>#VALUE!</v>
      </c>
    </row>
    <row r="2417" spans="1:15" ht="43.2" customHeight="1">
      <c r="A2417" s="210" t="s">
        <v>4213</v>
      </c>
      <c r="B2417" s="545" t="str">
        <f>VLOOKUP(H2416,COSTOS!C:M,2,0)</f>
        <v>Luminaria Led 150w</v>
      </c>
      <c r="C2417" s="546"/>
      <c r="D2417" s="546"/>
      <c r="E2417" s="547"/>
      <c r="F2417" s="61" t="s">
        <v>0</v>
      </c>
      <c r="G2417" s="328" t="str">
        <f>VLOOKUP(H2416,COSTOS!C:M,8,0)</f>
        <v>Und</v>
      </c>
      <c r="H2417" s="248"/>
      <c r="I2417" s="278"/>
      <c r="J2417" s="280"/>
      <c r="K2417" s="280"/>
      <c r="L2417" s="280"/>
    </row>
    <row r="2418" spans="1:15">
      <c r="A2418" s="211"/>
      <c r="B2418" s="102"/>
      <c r="C2418" s="102"/>
      <c r="D2418" s="102"/>
      <c r="E2418" s="103"/>
      <c r="F2418" s="104" t="s">
        <v>1</v>
      </c>
      <c r="G2418" s="328">
        <f>VLOOKUP(H2416,COSTOS!C:M,9,0)</f>
        <v>0</v>
      </c>
      <c r="H2418" s="329"/>
      <c r="I2418" s="279"/>
    </row>
    <row r="2419" spans="1:15">
      <c r="A2419" s="212" t="s">
        <v>4215</v>
      </c>
      <c r="B2419" s="65"/>
      <c r="C2419" s="65"/>
      <c r="D2419" s="66"/>
      <c r="E2419" s="190"/>
      <c r="F2419" s="191"/>
      <c r="G2419" s="192" t="s">
        <v>4216</v>
      </c>
      <c r="H2419" s="198" t="e">
        <f>H2424+H2441+H2445+H2451</f>
        <v>#VALUE!</v>
      </c>
    </row>
    <row r="2420" spans="1:15" ht="41.4">
      <c r="A2420" s="548" t="s">
        <v>4213</v>
      </c>
      <c r="B2420" s="548"/>
      <c r="C2420" s="548"/>
      <c r="D2420" s="67" t="s">
        <v>0</v>
      </c>
      <c r="E2420" s="188" t="s">
        <v>4217</v>
      </c>
      <c r="F2420" s="189" t="s">
        <v>4204</v>
      </c>
      <c r="G2420" s="64" t="s">
        <v>2</v>
      </c>
      <c r="H2420" s="199" t="s">
        <v>4218</v>
      </c>
      <c r="K2420" s="281"/>
    </row>
    <row r="2421" spans="1:15">
      <c r="A2421" s="517" t="s">
        <v>3946</v>
      </c>
      <c r="B2421" s="549">
        <f>VLOOKUP(A2421,'Equip, Herr y Transp'!$B$2:$E$738,2,0)</f>
        <v>2</v>
      </c>
      <c r="C2421" s="549"/>
      <c r="D2421" s="85">
        <f>VLOOKUP(A2421,'Equip, Herr y Transp'!$B$2:$E$217,2,0)</f>
        <v>2</v>
      </c>
      <c r="E2421" s="85" t="str">
        <f>VLOOKUP(A2421,'Equip, Herr y Transp'!$B$2:$E$217,3,0)</f>
        <v>EQU</v>
      </c>
      <c r="F2421" s="86">
        <f>H2411</f>
        <v>5.21E-2</v>
      </c>
      <c r="G2421" s="112" t="e">
        <f>F2421*E2421</f>
        <v>#VALUE!</v>
      </c>
      <c r="H2421" s="108"/>
    </row>
    <row r="2422" spans="1:15">
      <c r="A2422" s="517" t="s">
        <v>3937</v>
      </c>
      <c r="B2422" s="549">
        <f>VLOOKUP(A2422,'Equip, Herr y Transp'!$B$2:$E$738,2,0)</f>
        <v>2</v>
      </c>
      <c r="C2422" s="549"/>
      <c r="D2422" s="85">
        <f>VLOOKUP(A2422,'Equip, Herr y Transp'!$B$2:$E$217,2,0)</f>
        <v>2</v>
      </c>
      <c r="E2422" s="85" t="str">
        <f>VLOOKUP(A2422,'Equip, Herr y Transp'!$B$2:$E$217,3,0)</f>
        <v>EQU</v>
      </c>
      <c r="F2422" s="86">
        <f>H2411</f>
        <v>5.21E-2</v>
      </c>
      <c r="G2422" s="112" t="e">
        <f>F2422*E2422</f>
        <v>#VALUE!</v>
      </c>
      <c r="H2422" s="107"/>
    </row>
    <row r="2423" spans="1:15">
      <c r="A2423" s="517" t="s">
        <v>3903</v>
      </c>
      <c r="B2423" s="549">
        <f>VLOOKUP(A2423,'Equip, Herr y Transp'!$B$2:$E$738,2,0)</f>
        <v>2</v>
      </c>
      <c r="C2423" s="549"/>
      <c r="D2423" s="85">
        <f>VLOOKUP(A2423,'Equip, Herr y Transp'!$B$2:$E$217,2,0)</f>
        <v>2</v>
      </c>
      <c r="E2423" s="85" t="str">
        <f>VLOOKUP(A2423,'Equip, Herr y Transp'!$B$2:$E$217,3,0)</f>
        <v>EQU</v>
      </c>
      <c r="F2423" s="86">
        <f>H2411</f>
        <v>5.21E-2</v>
      </c>
      <c r="G2423" s="112" t="e">
        <f>F2423*E2423</f>
        <v>#VALUE!</v>
      </c>
      <c r="H2423" s="107"/>
    </row>
    <row r="2424" spans="1:15">
      <c r="A2424" s="520" t="s">
        <v>4099</v>
      </c>
      <c r="B2424" s="521"/>
      <c r="C2424" s="521"/>
      <c r="D2424" s="521"/>
      <c r="E2424" s="521"/>
      <c r="F2424" s="521"/>
      <c r="G2424" s="521"/>
      <c r="H2424" s="87" t="e">
        <f>SUM(G2421:G2423)</f>
        <v>#VALUE!</v>
      </c>
    </row>
    <row r="2425" spans="1:15">
      <c r="A2425" s="550" t="s">
        <v>4219</v>
      </c>
      <c r="B2425" s="551"/>
      <c r="C2425" s="551"/>
      <c r="D2425" s="551"/>
      <c r="E2425" s="551"/>
      <c r="F2425" s="551"/>
      <c r="G2425" s="551"/>
      <c r="H2425" s="552"/>
      <c r="K2425" s="50"/>
      <c r="L2425" s="50"/>
      <c r="M2425" s="50"/>
      <c r="N2425" s="50"/>
      <c r="O2425" s="50"/>
    </row>
    <row r="2426" spans="1:15" ht="30" customHeight="1">
      <c r="A2426" s="553" t="s">
        <v>7</v>
      </c>
      <c r="B2426" s="554"/>
      <c r="C2426" s="99" t="s">
        <v>0</v>
      </c>
      <c r="D2426" s="100" t="s">
        <v>4097</v>
      </c>
      <c r="E2426" s="101" t="s">
        <v>1</v>
      </c>
      <c r="F2426" s="555" t="s">
        <v>4207</v>
      </c>
      <c r="G2426" s="555"/>
      <c r="H2426" s="196"/>
      <c r="K2426" s="50"/>
      <c r="L2426" s="50"/>
      <c r="M2426" s="50"/>
      <c r="N2426" s="50"/>
      <c r="O2426" s="50"/>
    </row>
    <row r="2427" spans="1:15">
      <c r="A2427" s="535" t="s">
        <v>4596</v>
      </c>
      <c r="B2427" s="536"/>
      <c r="C2427" s="88">
        <f>VLOOKUP(A2427,'Materiales '!$C$2:$G$396,3,0)</f>
        <v>4</v>
      </c>
      <c r="D2427" s="89" t="str">
        <f>VLOOKUP(A2427,'Materiales '!$C$2:$G$396,4,0)</f>
        <v>Und</v>
      </c>
      <c r="E2427" s="90">
        <v>1</v>
      </c>
      <c r="F2427" s="508" t="e">
        <f>E2427*D2427</f>
        <v>#VALUE!</v>
      </c>
      <c r="G2427" s="519"/>
      <c r="H2427" s="111"/>
      <c r="I2427">
        <f>E2427*G2418</f>
        <v>0</v>
      </c>
      <c r="J2427" s="57"/>
      <c r="K2427" s="50"/>
      <c r="L2427" s="50"/>
      <c r="M2427" s="50"/>
      <c r="N2427" s="50"/>
      <c r="O2427" s="50"/>
    </row>
    <row r="2428" spans="1:15">
      <c r="A2428" s="535" t="s">
        <v>4203</v>
      </c>
      <c r="B2428" s="536"/>
      <c r="C2428" s="88">
        <f>VLOOKUP(A2428,'Materiales '!$C$2:$G$396,3,0)</f>
        <v>4</v>
      </c>
      <c r="D2428" s="89" t="str">
        <f>VLOOKUP(A2428,'Materiales '!$C$2:$G$396,4,0)</f>
        <v>Und</v>
      </c>
      <c r="E2428" s="90">
        <v>1</v>
      </c>
      <c r="F2428" s="508" t="e">
        <f t="shared" ref="F2428:F2434" si="142">E2428*D2428</f>
        <v>#VALUE!</v>
      </c>
      <c r="G2428" s="519"/>
      <c r="H2428" s="111"/>
      <c r="I2428">
        <f>E2428*G2418</f>
        <v>0</v>
      </c>
      <c r="J2428" s="57"/>
      <c r="K2428" s="50"/>
      <c r="L2428" s="50"/>
      <c r="M2428" s="50"/>
      <c r="N2428" s="50"/>
      <c r="O2428" s="50"/>
    </row>
    <row r="2429" spans="1:15">
      <c r="A2429" s="517" t="s">
        <v>4473</v>
      </c>
      <c r="B2429" s="518">
        <f>VLOOKUP(A2429,'Materiales '!$C$2:$G$396,3,0)</f>
        <v>4</v>
      </c>
      <c r="C2429" s="88">
        <f>VLOOKUP(A2429,'Materiales '!$C$2:$G$396,3,0)</f>
        <v>4</v>
      </c>
      <c r="D2429" s="89" t="str">
        <f>VLOOKUP(A2429,'Materiales '!$C$2:$G$396,4,0)</f>
        <v>Und</v>
      </c>
      <c r="E2429" s="90">
        <v>2</v>
      </c>
      <c r="F2429" s="508" t="e">
        <f t="shared" si="142"/>
        <v>#VALUE!</v>
      </c>
      <c r="G2429" s="519"/>
      <c r="H2429" s="111"/>
      <c r="I2429">
        <f>E2429*G2418</f>
        <v>0</v>
      </c>
      <c r="J2429" s="58"/>
      <c r="K2429" s="50"/>
      <c r="L2429" s="50"/>
      <c r="M2429" s="50"/>
      <c r="N2429" s="50"/>
      <c r="O2429" s="50"/>
    </row>
    <row r="2430" spans="1:15">
      <c r="A2430" s="517" t="s">
        <v>4478</v>
      </c>
      <c r="B2430" s="518">
        <f>VLOOKUP(A2430,'Materiales '!$C$2:$G$396,3,0)</f>
        <v>4</v>
      </c>
      <c r="C2430" s="88">
        <f>VLOOKUP(A2430,'Materiales '!$C$2:$G$396,3,0)</f>
        <v>4</v>
      </c>
      <c r="D2430" s="89" t="str">
        <f>VLOOKUP(A2430,'Materiales '!$C$2:$G$396,4,0)</f>
        <v>Und</v>
      </c>
      <c r="E2430" s="90">
        <v>3</v>
      </c>
      <c r="F2430" s="508" t="e">
        <f t="shared" si="142"/>
        <v>#VALUE!</v>
      </c>
      <c r="G2430" s="519"/>
      <c r="H2430" s="111"/>
      <c r="I2430">
        <f>E2430*G2418</f>
        <v>0</v>
      </c>
      <c r="J2430" s="58"/>
      <c r="K2430" s="50"/>
      <c r="L2430" s="50"/>
      <c r="M2430" s="50"/>
      <c r="N2430" s="50"/>
      <c r="O2430" s="50"/>
    </row>
    <row r="2431" spans="1:15">
      <c r="A2431" s="517" t="s">
        <v>4543</v>
      </c>
      <c r="B2431" s="518">
        <f>VLOOKUP(A2431,'Materiales '!$C$2:$G$396,3,0)</f>
        <v>4</v>
      </c>
      <c r="C2431" s="88">
        <f>VLOOKUP(A2431,'Materiales '!$C$2:$G$396,3,0)</f>
        <v>4</v>
      </c>
      <c r="D2431" s="89" t="str">
        <f>VLOOKUP(A2431,'Materiales '!$C$2:$G$396,4,0)</f>
        <v>Und</v>
      </c>
      <c r="E2431" s="90">
        <v>2</v>
      </c>
      <c r="F2431" s="508" t="e">
        <f t="shared" si="142"/>
        <v>#VALUE!</v>
      </c>
      <c r="G2431" s="519"/>
      <c r="H2431" s="111"/>
      <c r="I2431">
        <f>E2431*G2418</f>
        <v>0</v>
      </c>
      <c r="J2431" s="58"/>
      <c r="K2431" s="50"/>
      <c r="L2431" s="50"/>
      <c r="M2431" s="50"/>
      <c r="N2431" s="50"/>
      <c r="O2431" s="50"/>
    </row>
    <row r="2432" spans="1:15">
      <c r="A2432" s="517" t="s">
        <v>4439</v>
      </c>
      <c r="B2432" s="518">
        <f>VLOOKUP(A2432,'Materiales '!$C$2:$G$396,3,0)</f>
        <v>2</v>
      </c>
      <c r="C2432" s="88">
        <f>VLOOKUP(A2432,'Materiales '!$C$2:$G$396,3,0)</f>
        <v>2</v>
      </c>
      <c r="D2432" s="89" t="str">
        <f>VLOOKUP(A2432,'Materiales '!$C$2:$G$396,4,0)</f>
        <v>Ml</v>
      </c>
      <c r="E2432" s="90">
        <v>1</v>
      </c>
      <c r="F2432" s="508" t="e">
        <f t="shared" si="142"/>
        <v>#VALUE!</v>
      </c>
      <c r="G2432" s="519"/>
      <c r="H2432" s="111"/>
      <c r="I2432">
        <f>E2432*G2418</f>
        <v>0</v>
      </c>
      <c r="J2432" s="58"/>
      <c r="K2432" s="50"/>
      <c r="L2432" s="50"/>
      <c r="M2432" s="50"/>
      <c r="N2432" s="50"/>
      <c r="O2432" s="50"/>
    </row>
    <row r="2433" spans="1:15">
      <c r="A2433" s="517" t="s">
        <v>4482</v>
      </c>
      <c r="B2433" s="518">
        <f>VLOOKUP(A2433,'Materiales '!$C$2:$G$396,3,0)</f>
        <v>4</v>
      </c>
      <c r="C2433" s="88">
        <f>VLOOKUP(A2433,'Materiales '!$C$2:$G$396,3,0)</f>
        <v>4</v>
      </c>
      <c r="D2433" s="89" t="str">
        <f>VLOOKUP(A2433,'Materiales '!$C$2:$G$396,4,0)</f>
        <v>Und</v>
      </c>
      <c r="E2433" s="90">
        <v>3</v>
      </c>
      <c r="F2433" s="508" t="e">
        <f t="shared" si="142"/>
        <v>#VALUE!</v>
      </c>
      <c r="G2433" s="519"/>
      <c r="H2433" s="111"/>
      <c r="I2433">
        <f>E2433*G2418</f>
        <v>0</v>
      </c>
      <c r="J2433" s="58"/>
      <c r="K2433" s="50"/>
      <c r="L2433" s="50"/>
      <c r="M2433" s="50"/>
      <c r="N2433" s="50"/>
      <c r="O2433" s="50"/>
    </row>
    <row r="2434" spans="1:15" ht="21.75" customHeight="1">
      <c r="A2434" s="517" t="s">
        <v>4488</v>
      </c>
      <c r="B2434" s="518">
        <f>VLOOKUP(A2434,'Materiales '!$C$2:$G$396,3,0)</f>
        <v>4</v>
      </c>
      <c r="C2434" s="88">
        <f>VLOOKUP(A2434,'Materiales '!$C$2:$G$396,3,0)</f>
        <v>4</v>
      </c>
      <c r="D2434" s="89" t="str">
        <f>VLOOKUP(A2434,'Materiales '!$C$2:$G$396,4,0)</f>
        <v>Und</v>
      </c>
      <c r="E2434" s="90">
        <v>0.5</v>
      </c>
      <c r="F2434" s="508" t="e">
        <f t="shared" si="142"/>
        <v>#VALUE!</v>
      </c>
      <c r="G2434" s="519"/>
      <c r="H2434" s="111"/>
      <c r="I2434">
        <f>E2434*G2418</f>
        <v>0</v>
      </c>
      <c r="J2434" s="58"/>
      <c r="K2434" s="50"/>
      <c r="L2434" s="50"/>
      <c r="M2434" s="50"/>
      <c r="N2434" s="50"/>
      <c r="O2434" s="50"/>
    </row>
    <row r="2435" spans="1:15">
      <c r="A2435" s="517" t="s">
        <v>8</v>
      </c>
      <c r="B2435" s="518">
        <f>VLOOKUP(A2435,'Materiales '!$C$2:$G$396,3,0)</f>
        <v>0</v>
      </c>
      <c r="C2435" s="88">
        <f>VLOOKUP(A2435,'Materiales '!$C$2:$G$396,3,0)</f>
        <v>0</v>
      </c>
      <c r="D2435" s="89" t="str">
        <f>VLOOKUP(A2435,'Materiales '!$C$2:$G$396,4,0)</f>
        <v>-</v>
      </c>
      <c r="E2435" s="90"/>
      <c r="F2435" s="508" t="e">
        <f>E2435*D2435</f>
        <v>#VALUE!</v>
      </c>
      <c r="G2435" s="519"/>
      <c r="H2435" s="110"/>
      <c r="I2435">
        <f>E2435*G2418</f>
        <v>0</v>
      </c>
      <c r="J2435" s="58"/>
      <c r="K2435" s="50"/>
      <c r="L2435" s="50"/>
      <c r="M2435" s="50"/>
      <c r="N2435" s="50"/>
      <c r="O2435" s="50"/>
    </row>
    <row r="2436" spans="1:15">
      <c r="A2436" s="517" t="s">
        <v>8</v>
      </c>
      <c r="B2436" s="518">
        <f>VLOOKUP(A2436,'Materiales '!$C$2:$G$396,3,0)</f>
        <v>0</v>
      </c>
      <c r="C2436" s="88">
        <f>VLOOKUP(A2436,'Materiales '!$C$2:$G$396,3,0)</f>
        <v>0</v>
      </c>
      <c r="D2436" s="89" t="str">
        <f>VLOOKUP(A2436,'Materiales '!$C$2:$G$396,4,0)</f>
        <v>-</v>
      </c>
      <c r="E2436" s="90"/>
      <c r="F2436" s="508" t="e">
        <f t="shared" ref="F2436:F2439" si="143">E2436*D2436</f>
        <v>#VALUE!</v>
      </c>
      <c r="G2436" s="519"/>
      <c r="H2436" s="111"/>
      <c r="I2436">
        <f>E2436*G2418</f>
        <v>0</v>
      </c>
      <c r="J2436" s="58"/>
      <c r="K2436" s="50"/>
      <c r="L2436" s="50"/>
      <c r="M2436" s="50"/>
      <c r="N2436" s="50"/>
      <c r="O2436" s="50"/>
    </row>
    <row r="2437" spans="1:15">
      <c r="A2437" s="517" t="s">
        <v>8</v>
      </c>
      <c r="B2437" s="518">
        <f>VLOOKUP(A2437,'Materiales '!$C$2:$G$396,3,0)</f>
        <v>0</v>
      </c>
      <c r="C2437" s="88">
        <f>VLOOKUP(A2437,'Materiales '!$C$2:$G$396,3,0)</f>
        <v>0</v>
      </c>
      <c r="D2437" s="89" t="str">
        <f>VLOOKUP(A2437,'Materiales '!$C$2:$G$396,4,0)</f>
        <v>-</v>
      </c>
      <c r="E2437" s="90"/>
      <c r="F2437" s="508" t="e">
        <f t="shared" si="143"/>
        <v>#VALUE!</v>
      </c>
      <c r="G2437" s="519"/>
      <c r="H2437" s="111"/>
      <c r="I2437">
        <f>E2437*G2418</f>
        <v>0</v>
      </c>
      <c r="J2437" s="58"/>
      <c r="K2437" s="50"/>
      <c r="L2437" s="50"/>
      <c r="M2437" s="50"/>
      <c r="N2437" s="50"/>
      <c r="O2437" s="50"/>
    </row>
    <row r="2438" spans="1:15">
      <c r="A2438" s="517" t="s">
        <v>8</v>
      </c>
      <c r="B2438" s="518">
        <f>VLOOKUP(A2438,'Materiales '!$C$2:$G$396,3,0)</f>
        <v>0</v>
      </c>
      <c r="C2438" s="88">
        <f>VLOOKUP(A2438,'Materiales '!$C$2:$G$396,3,0)</f>
        <v>0</v>
      </c>
      <c r="D2438" s="89" t="str">
        <f>VLOOKUP(A2438,'Materiales '!$C$2:$G$396,4,0)</f>
        <v>-</v>
      </c>
      <c r="E2438" s="90"/>
      <c r="F2438" s="508" t="e">
        <f t="shared" si="143"/>
        <v>#VALUE!</v>
      </c>
      <c r="G2438" s="519"/>
      <c r="H2438" s="111"/>
      <c r="I2438">
        <f>E2438*G2418</f>
        <v>0</v>
      </c>
      <c r="J2438" s="58"/>
      <c r="K2438" s="50"/>
      <c r="L2438" s="50"/>
      <c r="M2438" s="50"/>
      <c r="N2438" s="50"/>
      <c r="O2438" s="50"/>
    </row>
    <row r="2439" spans="1:15">
      <c r="A2439" s="517" t="s">
        <v>8</v>
      </c>
      <c r="B2439" s="518">
        <f>VLOOKUP(A2439,'Materiales '!$C$2:$G$396,3,0)</f>
        <v>0</v>
      </c>
      <c r="C2439" s="88">
        <f>VLOOKUP(A2439,'Materiales '!$C$2:$G$396,3,0)</f>
        <v>0</v>
      </c>
      <c r="D2439" s="89" t="str">
        <f>VLOOKUP(A2439,'Materiales '!$C$2:$G$396,4,0)</f>
        <v>-</v>
      </c>
      <c r="E2439" s="90"/>
      <c r="F2439" s="508" t="e">
        <f t="shared" si="143"/>
        <v>#VALUE!</v>
      </c>
      <c r="G2439" s="519"/>
      <c r="H2439" s="111"/>
      <c r="I2439">
        <f>E2439*G2418</f>
        <v>0</v>
      </c>
      <c r="J2439" s="58"/>
      <c r="K2439" s="50"/>
      <c r="L2439" s="50"/>
      <c r="M2439" s="50"/>
      <c r="N2439" s="50"/>
      <c r="O2439" s="50"/>
    </row>
    <row r="2440" spans="1:15">
      <c r="A2440" s="517" t="s">
        <v>8</v>
      </c>
      <c r="B2440" s="518">
        <f>VLOOKUP(A2440,'Materiales '!$C$2:$G$396,3,0)</f>
        <v>0</v>
      </c>
      <c r="C2440" s="88">
        <f>VLOOKUP(A2440,'Materiales '!$C$2:$G$396,3,0)</f>
        <v>0</v>
      </c>
      <c r="D2440" s="89" t="str">
        <f>VLOOKUP(A2440,'Materiales '!$C$2:$G$396,4,0)</f>
        <v>-</v>
      </c>
      <c r="E2440" s="90"/>
      <c r="F2440" s="508" t="e">
        <f>E2440*D2440</f>
        <v>#VALUE!</v>
      </c>
      <c r="G2440" s="519"/>
      <c r="H2440" s="110"/>
      <c r="I2440">
        <f>E2440*G2418</f>
        <v>0</v>
      </c>
      <c r="J2440" s="58"/>
      <c r="K2440" s="50"/>
      <c r="L2440" s="50"/>
      <c r="M2440" s="50"/>
      <c r="N2440" s="50"/>
      <c r="O2440" s="50"/>
    </row>
    <row r="2441" spans="1:15">
      <c r="A2441" s="520" t="s">
        <v>4098</v>
      </c>
      <c r="B2441" s="521"/>
      <c r="C2441" s="521"/>
      <c r="D2441" s="521"/>
      <c r="E2441" s="521"/>
      <c r="F2441" s="521"/>
      <c r="G2441" s="522"/>
      <c r="H2441" s="106" t="e">
        <f>SUM(F2427:F2440)</f>
        <v>#VALUE!</v>
      </c>
      <c r="J2441" s="58"/>
      <c r="K2441" s="50"/>
      <c r="L2441" s="50"/>
      <c r="M2441" s="50"/>
      <c r="N2441" s="50"/>
      <c r="O2441" s="50"/>
    </row>
    <row r="2442" spans="1:15">
      <c r="A2442" s="523" t="s">
        <v>4220</v>
      </c>
      <c r="B2442" s="524"/>
      <c r="C2442" s="524"/>
      <c r="D2442" s="524"/>
      <c r="E2442" s="525"/>
      <c r="F2442" s="524"/>
      <c r="G2442" s="524"/>
      <c r="H2442" s="526"/>
      <c r="J2442" s="58"/>
      <c r="K2442" s="50"/>
      <c r="L2442" s="50"/>
      <c r="M2442" s="50"/>
      <c r="N2442" s="50"/>
      <c r="O2442" s="50"/>
    </row>
    <row r="2443" spans="1:15">
      <c r="A2443" s="527" t="s">
        <v>7</v>
      </c>
      <c r="B2443" s="528"/>
      <c r="C2443" s="98" t="s">
        <v>4221</v>
      </c>
      <c r="D2443" s="97" t="s">
        <v>4222</v>
      </c>
      <c r="E2443" s="187" t="s">
        <v>4223</v>
      </c>
      <c r="F2443" s="529" t="s">
        <v>4207</v>
      </c>
      <c r="G2443" s="529"/>
      <c r="H2443" s="109"/>
      <c r="K2443" s="50"/>
      <c r="L2443" s="50"/>
      <c r="M2443" s="50"/>
      <c r="N2443" s="50"/>
      <c r="O2443" s="50"/>
    </row>
    <row r="2444" spans="1:15">
      <c r="A2444" s="506" t="s">
        <v>3928</v>
      </c>
      <c r="B2444" s="507"/>
      <c r="C2444" s="213">
        <v>1</v>
      </c>
      <c r="D2444" s="92">
        <v>0.03</v>
      </c>
      <c r="E2444" s="93" t="str">
        <f>VLOOKUP(A2444,'Equip, Herr y Transp'!$B$2:$E$217,3,0)</f>
        <v>TR</v>
      </c>
      <c r="F2444" s="530" t="e">
        <f>E2444*D2444*C2444</f>
        <v>#VALUE!</v>
      </c>
      <c r="G2444" s="531"/>
      <c r="H2444" s="107"/>
      <c r="M2444" s="50"/>
    </row>
    <row r="2445" spans="1:15">
      <c r="A2445" s="532" t="s">
        <v>4205</v>
      </c>
      <c r="B2445" s="533"/>
      <c r="C2445" s="533"/>
      <c r="D2445" s="533"/>
      <c r="E2445" s="533"/>
      <c r="F2445" s="533"/>
      <c r="G2445" s="533"/>
      <c r="H2445" s="95" t="e">
        <f>F2444</f>
        <v>#VALUE!</v>
      </c>
    </row>
    <row r="2446" spans="1:15">
      <c r="A2446" s="523" t="s">
        <v>4224</v>
      </c>
      <c r="B2446" s="524"/>
      <c r="C2446" s="524"/>
      <c r="D2446" s="524"/>
      <c r="E2446" s="524"/>
      <c r="F2446" s="524"/>
      <c r="G2446" s="524"/>
      <c r="H2446" s="526"/>
    </row>
    <row r="2447" spans="1:15">
      <c r="A2447" s="527" t="s">
        <v>7</v>
      </c>
      <c r="B2447" s="528"/>
      <c r="C2447" s="96" t="s">
        <v>1</v>
      </c>
      <c r="D2447" s="97" t="s">
        <v>4225</v>
      </c>
      <c r="E2447" s="98" t="s">
        <v>4204</v>
      </c>
      <c r="F2447" s="527" t="s">
        <v>5</v>
      </c>
      <c r="G2447" s="534"/>
      <c r="H2447" s="109"/>
    </row>
    <row r="2448" spans="1:15">
      <c r="A2448" s="506" t="s">
        <v>4191</v>
      </c>
      <c r="B2448" s="507"/>
      <c r="C2448" s="91">
        <v>1</v>
      </c>
      <c r="D2448" s="94">
        <f>VLOOKUP(A2448,'Mano Obra'!$B$2:$T$117,19,0)</f>
        <v>152456</v>
      </c>
      <c r="E2448" s="218">
        <f>H2411</f>
        <v>5.21E-2</v>
      </c>
      <c r="F2448" s="508">
        <f>E2448*D2448*C2448</f>
        <v>7942.9575999999997</v>
      </c>
      <c r="G2448" s="509"/>
      <c r="H2448" s="111"/>
      <c r="I2448" s="59"/>
      <c r="J2448" s="117">
        <f>((('Mano Obra'!$M$4/30)*F2448)/D2448)*G2418</f>
        <v>0</v>
      </c>
    </row>
    <row r="2449" spans="1:10">
      <c r="A2449" s="510" t="s">
        <v>4192</v>
      </c>
      <c r="B2449" s="511">
        <f>VLOOKUP(A2449,'Mano Obra'!$B$3:$D$290,2,0)</f>
        <v>1900000</v>
      </c>
      <c r="C2449" s="91">
        <v>1</v>
      </c>
      <c r="D2449" s="94">
        <f>VLOOKUP(A2449,'Mano Obra'!$B$2:$T$117,19,0)</f>
        <v>110488</v>
      </c>
      <c r="E2449" s="218">
        <f>H2411</f>
        <v>5.21E-2</v>
      </c>
      <c r="F2449" s="508">
        <f t="shared" ref="F2449:F2450" si="144">E2449*D2449*C2449</f>
        <v>5756.4247999999998</v>
      </c>
      <c r="G2449" s="509"/>
      <c r="H2449" s="111"/>
      <c r="J2449" s="117">
        <f>((('Mano Obra'!$M$5/30)*F2449)/D2449)*G2418</f>
        <v>0</v>
      </c>
    </row>
    <row r="2450" spans="1:10">
      <c r="A2450" s="510" t="s">
        <v>4181</v>
      </c>
      <c r="B2450" s="511">
        <f>VLOOKUP(A2450,'Mano Obra'!$B$3:$D$290,2,0)</f>
        <v>1000000</v>
      </c>
      <c r="C2450" s="91">
        <v>1</v>
      </c>
      <c r="D2450" s="94">
        <f>VLOOKUP(A2450,'Mano Obra'!$B$2:$T$117,19,0)</f>
        <v>67424</v>
      </c>
      <c r="E2450" s="218">
        <f>H2411</f>
        <v>5.21E-2</v>
      </c>
      <c r="F2450" s="508">
        <f t="shared" si="144"/>
        <v>3512.7903999999999</v>
      </c>
      <c r="G2450" s="509"/>
      <c r="H2450" s="110"/>
      <c r="J2450" s="117">
        <f>((('Mano Obra'!$M$6/30)*F2450)/D2450)*G2418</f>
        <v>0</v>
      </c>
    </row>
    <row r="2451" spans="1:10">
      <c r="A2451" s="512" t="s">
        <v>4100</v>
      </c>
      <c r="B2451" s="512"/>
      <c r="C2451" s="512"/>
      <c r="D2451" s="512"/>
      <c r="E2451" s="512"/>
      <c r="F2451" s="512"/>
      <c r="G2451" s="512"/>
      <c r="H2451" s="95">
        <f>SUM(F2448:F2450)</f>
        <v>17212.1728</v>
      </c>
      <c r="J2451" s="117"/>
    </row>
    <row r="2452" spans="1:10">
      <c r="A2452" s="208" t="s">
        <v>4226</v>
      </c>
      <c r="B2452" s="186"/>
      <c r="C2452" s="186"/>
      <c r="D2452" s="183"/>
      <c r="E2452" s="184"/>
      <c r="F2452" s="185"/>
      <c r="G2452" s="184"/>
      <c r="H2452" s="193"/>
    </row>
    <row r="2453" spans="1:10">
      <c r="A2453" s="513" t="s">
        <v>4213</v>
      </c>
      <c r="B2453" s="514"/>
      <c r="C2453" s="514"/>
      <c r="D2453" s="514"/>
      <c r="E2453" s="181"/>
      <c r="F2453" s="182" t="s">
        <v>4227</v>
      </c>
      <c r="G2453" s="181" t="s">
        <v>4228</v>
      </c>
      <c r="H2453" s="194"/>
    </row>
    <row r="2454" spans="1:10">
      <c r="A2454" s="204" t="s">
        <v>4096</v>
      </c>
      <c r="B2454" s="62"/>
      <c r="C2454" s="62"/>
      <c r="D2454" s="63"/>
      <c r="E2454" s="68"/>
      <c r="F2454" s="69">
        <v>0</v>
      </c>
      <c r="G2454" s="70" t="e">
        <f>F2454*H2419</f>
        <v>#VALUE!</v>
      </c>
      <c r="H2454" s="193"/>
    </row>
    <row r="2455" spans="1:10">
      <c r="A2455" s="205" t="s">
        <v>4229</v>
      </c>
      <c r="B2455" s="71"/>
      <c r="C2455" s="71"/>
      <c r="D2455" s="72"/>
      <c r="E2455" s="68"/>
      <c r="F2455" s="69">
        <v>0</v>
      </c>
      <c r="G2455" s="70" t="e">
        <f>F2455*H2419</f>
        <v>#VALUE!</v>
      </c>
      <c r="H2455" s="193"/>
    </row>
    <row r="2456" spans="1:10">
      <c r="A2456" s="205" t="s">
        <v>4</v>
      </c>
      <c r="B2456" s="71"/>
      <c r="C2456" s="71"/>
      <c r="D2456" s="72"/>
      <c r="E2456" s="68"/>
      <c r="F2456" s="69">
        <v>0</v>
      </c>
      <c r="G2456" s="70" t="e">
        <f>F2456*H2419</f>
        <v>#VALUE!</v>
      </c>
      <c r="H2456" s="193"/>
    </row>
    <row r="2457" spans="1:10">
      <c r="A2457" s="206"/>
      <c r="B2457" s="73"/>
      <c r="C2457" s="65"/>
      <c r="D2457" s="74"/>
      <c r="E2457" s="75"/>
      <c r="F2457" s="76"/>
      <c r="G2457" s="77"/>
      <c r="H2457" s="195"/>
    </row>
    <row r="2458" spans="1:10">
      <c r="A2458" s="207"/>
      <c r="B2458" s="73"/>
      <c r="C2458" s="73"/>
      <c r="D2458" s="74"/>
      <c r="E2458" s="78"/>
      <c r="F2458" s="515" t="s">
        <v>4230</v>
      </c>
      <c r="G2458" s="516"/>
      <c r="H2458" s="214" t="e">
        <f>H2419+G2454+G2455+G2456</f>
        <v>#VALUE!</v>
      </c>
    </row>
    <row r="2459" spans="1:10">
      <c r="A2459" s="73"/>
      <c r="B2459" s="73"/>
      <c r="C2459" s="73"/>
      <c r="D2459" s="74"/>
      <c r="E2459" s="360"/>
      <c r="F2459" s="361"/>
      <c r="G2459" s="361"/>
      <c r="H2459" s="362"/>
    </row>
    <row r="2460" spans="1:10">
      <c r="A2460" s="80"/>
      <c r="B2460" s="80"/>
      <c r="C2460" s="80"/>
      <c r="D2460" s="80"/>
      <c r="E2460" s="80"/>
      <c r="F2460" s="80"/>
      <c r="G2460" s="80"/>
      <c r="H2460" s="353"/>
    </row>
    <row r="2461" spans="1:10">
      <c r="A2461" s="537" t="s">
        <v>4214</v>
      </c>
      <c r="B2461" s="538"/>
      <c r="C2461" s="538"/>
      <c r="D2461" s="538"/>
      <c r="E2461" s="538"/>
      <c r="F2461" s="538"/>
      <c r="G2461" s="538"/>
      <c r="H2461" s="539"/>
    </row>
    <row r="2462" spans="1:10">
      <c r="A2462" s="81"/>
      <c r="B2462" s="82"/>
      <c r="C2462" s="82"/>
      <c r="D2462" s="82"/>
      <c r="E2462" s="82"/>
      <c r="F2462" s="83"/>
      <c r="G2462" s="84"/>
      <c r="H2462" s="352">
        <f>ROUND((25/60)/8,4)</f>
        <v>5.21E-2</v>
      </c>
      <c r="I2462" s="105"/>
    </row>
    <row r="2463" spans="1:10">
      <c r="A2463" s="540" t="s">
        <v>4209</v>
      </c>
      <c r="B2463" s="542" t="str">
        <f>COSTOS!$C$14</f>
        <v>MODERNIZACION A TECNOLOGIA LED</v>
      </c>
      <c r="C2463" s="542"/>
      <c r="D2463" s="542"/>
      <c r="E2463" s="542"/>
      <c r="F2463" s="542"/>
      <c r="G2463" s="542"/>
      <c r="H2463" s="543" t="s">
        <v>4210</v>
      </c>
    </row>
    <row r="2464" spans="1:10">
      <c r="A2464" s="541"/>
      <c r="B2464" s="542"/>
      <c r="C2464" s="542"/>
      <c r="D2464" s="542"/>
      <c r="E2464" s="542"/>
      <c r="F2464" s="542"/>
      <c r="G2464" s="542"/>
      <c r="H2464" s="543"/>
    </row>
    <row r="2465" spans="1:15">
      <c r="A2465" s="541"/>
      <c r="B2465" s="542"/>
      <c r="C2465" s="542"/>
      <c r="D2465" s="542"/>
      <c r="E2465" s="542"/>
      <c r="F2465" s="542"/>
      <c r="G2465" s="542"/>
      <c r="H2465" s="543"/>
    </row>
    <row r="2466" spans="1:15" ht="15" customHeight="1">
      <c r="A2466" s="541"/>
      <c r="B2466" s="542"/>
      <c r="C2466" s="542"/>
      <c r="D2466" s="542"/>
      <c r="E2466" s="542"/>
      <c r="F2466" s="542"/>
      <c r="G2466" s="542"/>
      <c r="H2466" s="197">
        <f ca="1">TODAY()</f>
        <v>44889</v>
      </c>
      <c r="K2466" t="s">
        <v>4380</v>
      </c>
      <c r="L2466" t="s">
        <v>4381</v>
      </c>
      <c r="M2466" t="s">
        <v>4382</v>
      </c>
      <c r="N2466" t="s">
        <v>4383</v>
      </c>
    </row>
    <row r="2467" spans="1:15" ht="60.75" customHeight="1">
      <c r="A2467" s="209" t="s">
        <v>4211</v>
      </c>
      <c r="B2467" s="544" t="str">
        <f>COSTOS!$D$16</f>
        <v>Luminarias</v>
      </c>
      <c r="C2467" s="544"/>
      <c r="D2467" s="544"/>
      <c r="E2467" s="544"/>
      <c r="F2467" s="544"/>
      <c r="G2467" s="60" t="s">
        <v>4212</v>
      </c>
      <c r="H2467" s="363">
        <v>1.49</v>
      </c>
      <c r="K2467" s="55" t="e">
        <f>H2492</f>
        <v>#VALUE!</v>
      </c>
      <c r="L2467" s="55">
        <f>H2502</f>
        <v>17212.1728</v>
      </c>
      <c r="M2467" s="55" t="e">
        <f>H2475</f>
        <v>#VALUE!</v>
      </c>
      <c r="N2467" s="55" t="e">
        <f>H2496</f>
        <v>#VALUE!</v>
      </c>
    </row>
    <row r="2468" spans="1:15" ht="43.2" customHeight="1">
      <c r="A2468" s="210" t="s">
        <v>4213</v>
      </c>
      <c r="B2468" s="545" t="str">
        <f>VLOOKUP(H2467,COSTOS!C:M,2,0)</f>
        <v>Wall Washed Led 31w</v>
      </c>
      <c r="C2468" s="546"/>
      <c r="D2468" s="546"/>
      <c r="E2468" s="547"/>
      <c r="F2468" s="61" t="s">
        <v>0</v>
      </c>
      <c r="G2468" s="328" t="str">
        <f>VLOOKUP(H2467,COSTOS!C:M,8,0)</f>
        <v>Und</v>
      </c>
      <c r="H2468" s="248"/>
      <c r="I2468" s="278"/>
      <c r="J2468" s="280"/>
      <c r="K2468" s="280"/>
      <c r="L2468" s="280"/>
    </row>
    <row r="2469" spans="1:15">
      <c r="A2469" s="211"/>
      <c r="B2469" s="102"/>
      <c r="C2469" s="102"/>
      <c r="D2469" s="102"/>
      <c r="E2469" s="103"/>
      <c r="F2469" s="104" t="s">
        <v>1</v>
      </c>
      <c r="G2469" s="328">
        <f>VLOOKUP(H2467,COSTOS!C:M,9,0)</f>
        <v>0</v>
      </c>
      <c r="H2469" s="329"/>
      <c r="I2469" s="279"/>
    </row>
    <row r="2470" spans="1:15">
      <c r="A2470" s="212" t="s">
        <v>4215</v>
      </c>
      <c r="B2470" s="65"/>
      <c r="C2470" s="65"/>
      <c r="D2470" s="66"/>
      <c r="E2470" s="190"/>
      <c r="F2470" s="191"/>
      <c r="G2470" s="192" t="s">
        <v>4216</v>
      </c>
      <c r="H2470" s="198" t="e">
        <f>H2475+H2492+H2496+H2502</f>
        <v>#VALUE!</v>
      </c>
    </row>
    <row r="2471" spans="1:15" ht="41.4">
      <c r="A2471" s="548" t="s">
        <v>4213</v>
      </c>
      <c r="B2471" s="548"/>
      <c r="C2471" s="548"/>
      <c r="D2471" s="67" t="s">
        <v>0</v>
      </c>
      <c r="E2471" s="188" t="s">
        <v>4217</v>
      </c>
      <c r="F2471" s="189" t="s">
        <v>4204</v>
      </c>
      <c r="G2471" s="64" t="s">
        <v>2</v>
      </c>
      <c r="H2471" s="199" t="s">
        <v>4218</v>
      </c>
      <c r="K2471" s="281"/>
    </row>
    <row r="2472" spans="1:15">
      <c r="A2472" s="517" t="s">
        <v>3946</v>
      </c>
      <c r="B2472" s="549">
        <f>VLOOKUP(A2472,'Equip, Herr y Transp'!$B$2:$E$738,2,0)</f>
        <v>2</v>
      </c>
      <c r="C2472" s="549"/>
      <c r="D2472" s="85">
        <f>VLOOKUP(A2472,'Equip, Herr y Transp'!$B$2:$E$217,2,0)</f>
        <v>2</v>
      </c>
      <c r="E2472" s="85" t="str">
        <f>VLOOKUP(A2472,'Equip, Herr y Transp'!$B$2:$E$217,3,0)</f>
        <v>EQU</v>
      </c>
      <c r="F2472" s="86">
        <f>H2462</f>
        <v>5.21E-2</v>
      </c>
      <c r="G2472" s="112" t="e">
        <f>F2472*E2472</f>
        <v>#VALUE!</v>
      </c>
      <c r="H2472" s="108"/>
    </row>
    <row r="2473" spans="1:15">
      <c r="A2473" s="517" t="s">
        <v>3937</v>
      </c>
      <c r="B2473" s="549">
        <f>VLOOKUP(A2473,'Equip, Herr y Transp'!$B$2:$E$738,2,0)</f>
        <v>2</v>
      </c>
      <c r="C2473" s="549"/>
      <c r="D2473" s="85">
        <f>VLOOKUP(A2473,'Equip, Herr y Transp'!$B$2:$E$217,2,0)</f>
        <v>2</v>
      </c>
      <c r="E2473" s="85" t="str">
        <f>VLOOKUP(A2473,'Equip, Herr y Transp'!$B$2:$E$217,3,0)</f>
        <v>EQU</v>
      </c>
      <c r="F2473" s="86">
        <f>H2462</f>
        <v>5.21E-2</v>
      </c>
      <c r="G2473" s="112" t="e">
        <f>F2473*E2473</f>
        <v>#VALUE!</v>
      </c>
      <c r="H2473" s="107"/>
    </row>
    <row r="2474" spans="1:15">
      <c r="A2474" s="517" t="s">
        <v>3903</v>
      </c>
      <c r="B2474" s="549">
        <f>VLOOKUP(A2474,'Equip, Herr y Transp'!$B$2:$E$738,2,0)</f>
        <v>2</v>
      </c>
      <c r="C2474" s="549"/>
      <c r="D2474" s="85">
        <f>VLOOKUP(A2474,'Equip, Herr y Transp'!$B$2:$E$217,2,0)</f>
        <v>2</v>
      </c>
      <c r="E2474" s="85" t="str">
        <f>VLOOKUP(A2474,'Equip, Herr y Transp'!$B$2:$E$217,3,0)</f>
        <v>EQU</v>
      </c>
      <c r="F2474" s="86">
        <f>H2462</f>
        <v>5.21E-2</v>
      </c>
      <c r="G2474" s="112" t="e">
        <f>F2474*E2474</f>
        <v>#VALUE!</v>
      </c>
      <c r="H2474" s="107"/>
    </row>
    <row r="2475" spans="1:15">
      <c r="A2475" s="520" t="s">
        <v>4099</v>
      </c>
      <c r="B2475" s="521"/>
      <c r="C2475" s="521"/>
      <c r="D2475" s="521"/>
      <c r="E2475" s="521"/>
      <c r="F2475" s="521"/>
      <c r="G2475" s="521"/>
      <c r="H2475" s="87" t="e">
        <f>SUM(G2472:G2474)</f>
        <v>#VALUE!</v>
      </c>
    </row>
    <row r="2476" spans="1:15">
      <c r="A2476" s="550" t="s">
        <v>4219</v>
      </c>
      <c r="B2476" s="551"/>
      <c r="C2476" s="551"/>
      <c r="D2476" s="551"/>
      <c r="E2476" s="551"/>
      <c r="F2476" s="551"/>
      <c r="G2476" s="551"/>
      <c r="H2476" s="552"/>
      <c r="K2476" s="50"/>
      <c r="L2476" s="50"/>
      <c r="M2476" s="50"/>
      <c r="N2476" s="50"/>
      <c r="O2476" s="50"/>
    </row>
    <row r="2477" spans="1:15" ht="30" customHeight="1">
      <c r="A2477" s="553" t="s">
        <v>7</v>
      </c>
      <c r="B2477" s="554"/>
      <c r="C2477" s="99" t="s">
        <v>0</v>
      </c>
      <c r="D2477" s="100" t="s">
        <v>4097</v>
      </c>
      <c r="E2477" s="101" t="s">
        <v>1</v>
      </c>
      <c r="F2477" s="555" t="s">
        <v>4207</v>
      </c>
      <c r="G2477" s="555"/>
      <c r="H2477" s="196"/>
      <c r="K2477" s="50"/>
      <c r="L2477" s="50"/>
      <c r="M2477" s="50"/>
      <c r="N2477" s="50"/>
      <c r="O2477" s="50"/>
    </row>
    <row r="2478" spans="1:15">
      <c r="A2478" s="535" t="s">
        <v>4737</v>
      </c>
      <c r="B2478" s="536"/>
      <c r="C2478" s="88">
        <f>VLOOKUP(A2478,'Materiales '!$C$2:$G$396,3,0)</f>
        <v>4</v>
      </c>
      <c r="D2478" s="89" t="str">
        <f>VLOOKUP(A2478,'Materiales '!$C$2:$G$396,4,0)</f>
        <v>Und</v>
      </c>
      <c r="E2478" s="90">
        <v>1</v>
      </c>
      <c r="F2478" s="508" t="e">
        <f>E2478*D2478</f>
        <v>#VALUE!</v>
      </c>
      <c r="G2478" s="519"/>
      <c r="H2478" s="111"/>
      <c r="I2478">
        <f>E2478*G2469</f>
        <v>0</v>
      </c>
      <c r="J2478" s="57"/>
      <c r="K2478" s="50"/>
      <c r="L2478" s="50"/>
      <c r="M2478" s="50"/>
      <c r="N2478" s="50"/>
      <c r="O2478" s="50"/>
    </row>
    <row r="2479" spans="1:15">
      <c r="A2479" s="535" t="s">
        <v>4625</v>
      </c>
      <c r="B2479" s="536"/>
      <c r="C2479" s="88">
        <f>VLOOKUP(A2479,'Materiales '!$C$2:$G$396,3,0)</f>
        <v>4</v>
      </c>
      <c r="D2479" s="89" t="str">
        <f>VLOOKUP(A2479,'Materiales '!$C$2:$G$396,4,0)</f>
        <v>Und</v>
      </c>
      <c r="E2479" s="90">
        <v>1</v>
      </c>
      <c r="F2479" s="508" t="e">
        <f t="shared" ref="F2479:F2485" si="145">E2479*D2479</f>
        <v>#VALUE!</v>
      </c>
      <c r="G2479" s="519"/>
      <c r="H2479" s="111"/>
      <c r="I2479">
        <f>E2479*G2469</f>
        <v>0</v>
      </c>
      <c r="J2479" s="57"/>
      <c r="K2479" s="50"/>
      <c r="L2479" s="50"/>
      <c r="M2479" s="50"/>
      <c r="N2479" s="50"/>
      <c r="O2479" s="50"/>
    </row>
    <row r="2480" spans="1:15" ht="15" customHeight="1">
      <c r="A2480" s="517" t="s">
        <v>4628</v>
      </c>
      <c r="B2480" s="518">
        <f>VLOOKUP(A2480,'Materiales '!$C$2:$G$396,3,0)</f>
        <v>4</v>
      </c>
      <c r="C2480" s="88">
        <f>VLOOKUP(A2480,'Materiales '!$C$2:$G$396,3,0)</f>
        <v>4</v>
      </c>
      <c r="D2480" s="89" t="str">
        <f>VLOOKUP(A2480,'Materiales '!$C$2:$G$396,4,0)</f>
        <v>Und</v>
      </c>
      <c r="E2480" s="90">
        <v>2</v>
      </c>
      <c r="F2480" s="508" t="e">
        <f t="shared" si="145"/>
        <v>#VALUE!</v>
      </c>
      <c r="G2480" s="519"/>
      <c r="H2480" s="111"/>
      <c r="I2480">
        <f>E2480*G2469</f>
        <v>0</v>
      </c>
      <c r="J2480" s="58"/>
      <c r="K2480" s="50"/>
      <c r="L2480" s="50"/>
      <c r="M2480" s="50"/>
      <c r="N2480" s="50"/>
      <c r="O2480" s="50"/>
    </row>
    <row r="2481" spans="1:15">
      <c r="A2481" s="517" t="s">
        <v>4439</v>
      </c>
      <c r="B2481" s="518">
        <f>VLOOKUP(A2481,'Materiales '!$C$2:$G$396,3,0)</f>
        <v>2</v>
      </c>
      <c r="C2481" s="88">
        <f>VLOOKUP(A2481,'Materiales '!$C$2:$G$396,3,0)</f>
        <v>2</v>
      </c>
      <c r="D2481" s="89" t="str">
        <f>VLOOKUP(A2481,'Materiales '!$C$2:$G$396,4,0)</f>
        <v>Ml</v>
      </c>
      <c r="E2481" s="90">
        <v>3</v>
      </c>
      <c r="F2481" s="508" t="e">
        <f t="shared" si="145"/>
        <v>#VALUE!</v>
      </c>
      <c r="G2481" s="519"/>
      <c r="H2481" s="111"/>
      <c r="I2481">
        <f>E2481*G2469</f>
        <v>0</v>
      </c>
      <c r="J2481" s="58"/>
      <c r="K2481" s="50"/>
      <c r="L2481" s="50"/>
      <c r="M2481" s="50"/>
      <c r="N2481" s="50"/>
      <c r="O2481" s="50"/>
    </row>
    <row r="2482" spans="1:15">
      <c r="A2482" s="517" t="s">
        <v>4482</v>
      </c>
      <c r="B2482" s="518">
        <f>VLOOKUP(A2482,'Materiales '!$C$2:$G$396,3,0)</f>
        <v>4</v>
      </c>
      <c r="C2482" s="88">
        <f>VLOOKUP(A2482,'Materiales '!$C$2:$G$396,3,0)</f>
        <v>4</v>
      </c>
      <c r="D2482" s="89" t="str">
        <f>VLOOKUP(A2482,'Materiales '!$C$2:$G$396,4,0)</f>
        <v>Und</v>
      </c>
      <c r="E2482" s="90">
        <v>2</v>
      </c>
      <c r="F2482" s="508" t="e">
        <f t="shared" si="145"/>
        <v>#VALUE!</v>
      </c>
      <c r="G2482" s="519"/>
      <c r="H2482" s="111"/>
      <c r="I2482">
        <f>E2482*G2469</f>
        <v>0</v>
      </c>
      <c r="J2482" s="58"/>
      <c r="K2482" s="50"/>
      <c r="L2482" s="50"/>
      <c r="M2482" s="50"/>
      <c r="N2482" s="50"/>
      <c r="O2482" s="50"/>
    </row>
    <row r="2483" spans="1:15">
      <c r="A2483" s="517" t="s">
        <v>4627</v>
      </c>
      <c r="B2483" s="518">
        <f>VLOOKUP(A2483,'Materiales '!$C$2:$G$396,3,0)</f>
        <v>4</v>
      </c>
      <c r="C2483" s="88">
        <f>VLOOKUP(A2483,'Materiales '!$C$2:$G$396,3,0)</f>
        <v>4</v>
      </c>
      <c r="D2483" s="89" t="str">
        <f>VLOOKUP(A2483,'Materiales '!$C$2:$G$396,4,0)</f>
        <v>Und</v>
      </c>
      <c r="E2483" s="90">
        <v>1</v>
      </c>
      <c r="F2483" s="508" t="e">
        <f t="shared" si="145"/>
        <v>#VALUE!</v>
      </c>
      <c r="G2483" s="519"/>
      <c r="H2483" s="111"/>
      <c r="I2483">
        <f>E2483*G2469</f>
        <v>0</v>
      </c>
      <c r="J2483" s="58"/>
      <c r="K2483" s="50"/>
      <c r="L2483" s="50"/>
      <c r="M2483" s="50"/>
      <c r="N2483" s="50"/>
      <c r="O2483" s="50"/>
    </row>
    <row r="2484" spans="1:15">
      <c r="A2484" s="517" t="s">
        <v>4563</v>
      </c>
      <c r="B2484" s="518">
        <f>VLOOKUP(A2484,'Materiales '!$C$2:$G$396,3,0)</f>
        <v>4</v>
      </c>
      <c r="C2484" s="88">
        <f>VLOOKUP(A2484,'Materiales '!$C$2:$G$396,3,0)</f>
        <v>4</v>
      </c>
      <c r="D2484" s="89" t="str">
        <f>VLOOKUP(A2484,'Materiales '!$C$2:$G$396,4,0)</f>
        <v>Und</v>
      </c>
      <c r="E2484" s="90">
        <v>3</v>
      </c>
      <c r="F2484" s="508" t="e">
        <f t="shared" si="145"/>
        <v>#VALUE!</v>
      </c>
      <c r="G2484" s="519"/>
      <c r="H2484" s="111"/>
      <c r="I2484">
        <f>E2484*G2469</f>
        <v>0</v>
      </c>
      <c r="J2484" s="58"/>
      <c r="K2484" s="50"/>
      <c r="L2484" s="50"/>
      <c r="M2484" s="50"/>
      <c r="N2484" s="50"/>
      <c r="O2484" s="50"/>
    </row>
    <row r="2485" spans="1:15" ht="21.75" customHeight="1">
      <c r="A2485" s="517" t="s">
        <v>8</v>
      </c>
      <c r="B2485" s="518">
        <f>VLOOKUP(A2485,'Materiales '!$C$2:$G$396,3,0)</f>
        <v>0</v>
      </c>
      <c r="C2485" s="88">
        <f>VLOOKUP(A2485,'Materiales '!$C$2:$G$396,3,0)</f>
        <v>0</v>
      </c>
      <c r="D2485" s="89" t="str">
        <f>VLOOKUP(A2485,'Materiales '!$C$2:$G$396,4,0)</f>
        <v>-</v>
      </c>
      <c r="E2485" s="90"/>
      <c r="F2485" s="508" t="e">
        <f t="shared" si="145"/>
        <v>#VALUE!</v>
      </c>
      <c r="G2485" s="519"/>
      <c r="H2485" s="111"/>
      <c r="I2485">
        <f>E2485*G2469</f>
        <v>0</v>
      </c>
      <c r="J2485" s="58"/>
      <c r="K2485" s="50"/>
      <c r="L2485" s="50"/>
      <c r="M2485" s="50"/>
      <c r="N2485" s="50"/>
      <c r="O2485" s="50"/>
    </row>
    <row r="2486" spans="1:15">
      <c r="A2486" s="517" t="s">
        <v>8</v>
      </c>
      <c r="B2486" s="518">
        <f>VLOOKUP(A2486,'Materiales '!$C$2:$G$396,3,0)</f>
        <v>0</v>
      </c>
      <c r="C2486" s="88">
        <f>VLOOKUP(A2486,'Materiales '!$C$2:$G$396,3,0)</f>
        <v>0</v>
      </c>
      <c r="D2486" s="89" t="str">
        <f>VLOOKUP(A2486,'Materiales '!$C$2:$G$396,4,0)</f>
        <v>-</v>
      </c>
      <c r="E2486" s="90"/>
      <c r="F2486" s="508" t="e">
        <f>E2486*D2486</f>
        <v>#VALUE!</v>
      </c>
      <c r="G2486" s="519"/>
      <c r="H2486" s="110"/>
      <c r="I2486">
        <f>E2486*G2469</f>
        <v>0</v>
      </c>
      <c r="J2486" s="58"/>
      <c r="K2486" s="50"/>
      <c r="L2486" s="50"/>
      <c r="M2486" s="50"/>
      <c r="N2486" s="50"/>
      <c r="O2486" s="50"/>
    </row>
    <row r="2487" spans="1:15">
      <c r="A2487" s="517" t="s">
        <v>8</v>
      </c>
      <c r="B2487" s="518">
        <f>VLOOKUP(A2487,'Materiales '!$C$2:$G$396,3,0)</f>
        <v>0</v>
      </c>
      <c r="C2487" s="88">
        <f>VLOOKUP(A2487,'Materiales '!$C$2:$G$396,3,0)</f>
        <v>0</v>
      </c>
      <c r="D2487" s="89" t="str">
        <f>VLOOKUP(A2487,'Materiales '!$C$2:$G$396,4,0)</f>
        <v>-</v>
      </c>
      <c r="E2487" s="90"/>
      <c r="F2487" s="508" t="e">
        <f t="shared" ref="F2487:F2490" si="146">E2487*D2487</f>
        <v>#VALUE!</v>
      </c>
      <c r="G2487" s="519"/>
      <c r="H2487" s="111"/>
      <c r="I2487">
        <f>E2487*G2469</f>
        <v>0</v>
      </c>
      <c r="J2487" s="58"/>
      <c r="K2487" s="50"/>
      <c r="L2487" s="50"/>
      <c r="M2487" s="50"/>
      <c r="N2487" s="50"/>
      <c r="O2487" s="50"/>
    </row>
    <row r="2488" spans="1:15">
      <c r="A2488" s="517" t="s">
        <v>8</v>
      </c>
      <c r="B2488" s="518">
        <f>VLOOKUP(A2488,'Materiales '!$C$2:$G$396,3,0)</f>
        <v>0</v>
      </c>
      <c r="C2488" s="88">
        <f>VLOOKUP(A2488,'Materiales '!$C$2:$G$396,3,0)</f>
        <v>0</v>
      </c>
      <c r="D2488" s="89" t="str">
        <f>VLOOKUP(A2488,'Materiales '!$C$2:$G$396,4,0)</f>
        <v>-</v>
      </c>
      <c r="E2488" s="90"/>
      <c r="F2488" s="508" t="e">
        <f t="shared" si="146"/>
        <v>#VALUE!</v>
      </c>
      <c r="G2488" s="519"/>
      <c r="H2488" s="111"/>
      <c r="I2488">
        <f>E2488*G2469</f>
        <v>0</v>
      </c>
      <c r="J2488" s="58"/>
      <c r="K2488" s="50"/>
      <c r="L2488" s="50"/>
      <c r="M2488" s="50"/>
      <c r="N2488" s="50"/>
      <c r="O2488" s="50"/>
    </row>
    <row r="2489" spans="1:15">
      <c r="A2489" s="517" t="s">
        <v>8</v>
      </c>
      <c r="B2489" s="518">
        <f>VLOOKUP(A2489,'Materiales '!$C$2:$G$396,3,0)</f>
        <v>0</v>
      </c>
      <c r="C2489" s="88">
        <f>VLOOKUP(A2489,'Materiales '!$C$2:$G$396,3,0)</f>
        <v>0</v>
      </c>
      <c r="D2489" s="89" t="str">
        <f>VLOOKUP(A2489,'Materiales '!$C$2:$G$396,4,0)</f>
        <v>-</v>
      </c>
      <c r="E2489" s="90"/>
      <c r="F2489" s="508" t="e">
        <f t="shared" si="146"/>
        <v>#VALUE!</v>
      </c>
      <c r="G2489" s="519"/>
      <c r="H2489" s="111"/>
      <c r="I2489">
        <f>E2489*G2469</f>
        <v>0</v>
      </c>
      <c r="J2489" s="58"/>
      <c r="K2489" s="50"/>
      <c r="L2489" s="50"/>
      <c r="M2489" s="50"/>
      <c r="N2489" s="50"/>
      <c r="O2489" s="50"/>
    </row>
    <row r="2490" spans="1:15">
      <c r="A2490" s="517" t="s">
        <v>8</v>
      </c>
      <c r="B2490" s="518">
        <f>VLOOKUP(A2490,'Materiales '!$C$2:$G$396,3,0)</f>
        <v>0</v>
      </c>
      <c r="C2490" s="88">
        <f>VLOOKUP(A2490,'Materiales '!$C$2:$G$396,3,0)</f>
        <v>0</v>
      </c>
      <c r="D2490" s="89" t="str">
        <f>VLOOKUP(A2490,'Materiales '!$C$2:$G$396,4,0)</f>
        <v>-</v>
      </c>
      <c r="E2490" s="90"/>
      <c r="F2490" s="508" t="e">
        <f t="shared" si="146"/>
        <v>#VALUE!</v>
      </c>
      <c r="G2490" s="519"/>
      <c r="H2490" s="111"/>
      <c r="I2490">
        <f>E2490*G2469</f>
        <v>0</v>
      </c>
      <c r="J2490" s="58"/>
      <c r="K2490" s="50"/>
      <c r="L2490" s="50"/>
      <c r="M2490" s="50"/>
      <c r="N2490" s="50"/>
      <c r="O2490" s="50"/>
    </row>
    <row r="2491" spans="1:15">
      <c r="A2491" s="517" t="s">
        <v>8</v>
      </c>
      <c r="B2491" s="518">
        <f>VLOOKUP(A2491,'Materiales '!$C$2:$G$396,3,0)</f>
        <v>0</v>
      </c>
      <c r="C2491" s="88">
        <f>VLOOKUP(A2491,'Materiales '!$C$2:$G$396,3,0)</f>
        <v>0</v>
      </c>
      <c r="D2491" s="89" t="str">
        <f>VLOOKUP(A2491,'Materiales '!$C$2:$G$396,4,0)</f>
        <v>-</v>
      </c>
      <c r="E2491" s="90"/>
      <c r="F2491" s="508" t="e">
        <f>E2491*D2491</f>
        <v>#VALUE!</v>
      </c>
      <c r="G2491" s="519"/>
      <c r="H2491" s="110"/>
      <c r="I2491">
        <f>E2491*G2469</f>
        <v>0</v>
      </c>
      <c r="J2491" s="58"/>
      <c r="K2491" s="50"/>
      <c r="L2491" s="50"/>
      <c r="M2491" s="50"/>
      <c r="N2491" s="50"/>
      <c r="O2491" s="50"/>
    </row>
    <row r="2492" spans="1:15">
      <c r="A2492" s="520" t="s">
        <v>4098</v>
      </c>
      <c r="B2492" s="521"/>
      <c r="C2492" s="521"/>
      <c r="D2492" s="521"/>
      <c r="E2492" s="521"/>
      <c r="F2492" s="521"/>
      <c r="G2492" s="522"/>
      <c r="H2492" s="106" t="e">
        <f>SUM(F2478:F2491)</f>
        <v>#VALUE!</v>
      </c>
      <c r="J2492" s="58"/>
      <c r="K2492" s="50"/>
      <c r="L2492" s="50"/>
      <c r="M2492" s="50"/>
      <c r="N2492" s="50"/>
      <c r="O2492" s="50"/>
    </row>
    <row r="2493" spans="1:15">
      <c r="A2493" s="523" t="s">
        <v>4220</v>
      </c>
      <c r="B2493" s="524"/>
      <c r="C2493" s="524"/>
      <c r="D2493" s="524"/>
      <c r="E2493" s="525"/>
      <c r="F2493" s="524"/>
      <c r="G2493" s="524"/>
      <c r="H2493" s="526"/>
      <c r="J2493" s="58"/>
      <c r="K2493" s="50"/>
      <c r="L2493" s="50"/>
      <c r="M2493" s="50"/>
      <c r="N2493" s="50"/>
      <c r="O2493" s="50"/>
    </row>
    <row r="2494" spans="1:15">
      <c r="A2494" s="527" t="s">
        <v>7</v>
      </c>
      <c r="B2494" s="528"/>
      <c r="C2494" s="98" t="s">
        <v>4221</v>
      </c>
      <c r="D2494" s="97" t="s">
        <v>4222</v>
      </c>
      <c r="E2494" s="187" t="s">
        <v>4223</v>
      </c>
      <c r="F2494" s="529" t="s">
        <v>4207</v>
      </c>
      <c r="G2494" s="529"/>
      <c r="H2494" s="109"/>
      <c r="K2494" s="50"/>
      <c r="L2494" s="50"/>
      <c r="M2494" s="50"/>
      <c r="N2494" s="50"/>
      <c r="O2494" s="50"/>
    </row>
    <row r="2495" spans="1:15">
      <c r="A2495" s="506" t="s">
        <v>3928</v>
      </c>
      <c r="B2495" s="507"/>
      <c r="C2495" s="213">
        <v>1</v>
      </c>
      <c r="D2495" s="92">
        <v>0.03</v>
      </c>
      <c r="E2495" s="93" t="str">
        <f>VLOOKUP(A2495,'Equip, Herr y Transp'!$B$2:$E$217,3,0)</f>
        <v>TR</v>
      </c>
      <c r="F2495" s="530" t="e">
        <f>E2495*D2495*C2495</f>
        <v>#VALUE!</v>
      </c>
      <c r="G2495" s="531"/>
      <c r="H2495" s="107"/>
      <c r="M2495" s="50"/>
    </row>
    <row r="2496" spans="1:15">
      <c r="A2496" s="532" t="s">
        <v>4205</v>
      </c>
      <c r="B2496" s="533"/>
      <c r="C2496" s="533"/>
      <c r="D2496" s="533"/>
      <c r="E2496" s="533"/>
      <c r="F2496" s="533"/>
      <c r="G2496" s="533"/>
      <c r="H2496" s="95" t="e">
        <f>F2495</f>
        <v>#VALUE!</v>
      </c>
    </row>
    <row r="2497" spans="1:10">
      <c r="A2497" s="523" t="s">
        <v>4224</v>
      </c>
      <c r="B2497" s="524"/>
      <c r="C2497" s="524"/>
      <c r="D2497" s="524"/>
      <c r="E2497" s="524"/>
      <c r="F2497" s="524"/>
      <c r="G2497" s="524"/>
      <c r="H2497" s="526"/>
    </row>
    <row r="2498" spans="1:10">
      <c r="A2498" s="527" t="s">
        <v>7</v>
      </c>
      <c r="B2498" s="528"/>
      <c r="C2498" s="96" t="s">
        <v>1</v>
      </c>
      <c r="D2498" s="97" t="s">
        <v>4225</v>
      </c>
      <c r="E2498" s="98" t="s">
        <v>4204</v>
      </c>
      <c r="F2498" s="527" t="s">
        <v>5</v>
      </c>
      <c r="G2498" s="534"/>
      <c r="H2498" s="109"/>
    </row>
    <row r="2499" spans="1:10">
      <c r="A2499" s="506" t="s">
        <v>4191</v>
      </c>
      <c r="B2499" s="507"/>
      <c r="C2499" s="91">
        <v>1</v>
      </c>
      <c r="D2499" s="94">
        <f>VLOOKUP(A2499,'Mano Obra'!$B$2:$T$117,19,0)</f>
        <v>152456</v>
      </c>
      <c r="E2499" s="218">
        <f>H2462</f>
        <v>5.21E-2</v>
      </c>
      <c r="F2499" s="508">
        <f>E2499*D2499*C2499</f>
        <v>7942.9575999999997</v>
      </c>
      <c r="G2499" s="509"/>
      <c r="H2499" s="111"/>
      <c r="I2499" s="59"/>
      <c r="J2499" s="117">
        <f>((('Mano Obra'!$M$4/30)*F2499)/D2499)*G2469</f>
        <v>0</v>
      </c>
    </row>
    <row r="2500" spans="1:10">
      <c r="A2500" s="510" t="s">
        <v>4192</v>
      </c>
      <c r="B2500" s="511">
        <f>VLOOKUP(A2500,'Mano Obra'!$B$3:$D$290,2,0)</f>
        <v>1900000</v>
      </c>
      <c r="C2500" s="91">
        <v>1</v>
      </c>
      <c r="D2500" s="94">
        <f>VLOOKUP(A2500,'Mano Obra'!$B$2:$T$117,19,0)</f>
        <v>110488</v>
      </c>
      <c r="E2500" s="218">
        <f>H2462</f>
        <v>5.21E-2</v>
      </c>
      <c r="F2500" s="508">
        <f t="shared" ref="F2500:F2501" si="147">E2500*D2500*C2500</f>
        <v>5756.4247999999998</v>
      </c>
      <c r="G2500" s="509"/>
      <c r="H2500" s="111"/>
      <c r="J2500" s="117">
        <f>((('Mano Obra'!$M$5/30)*F2500)/D2500)*G2469</f>
        <v>0</v>
      </c>
    </row>
    <row r="2501" spans="1:10">
      <c r="A2501" s="510" t="s">
        <v>4181</v>
      </c>
      <c r="B2501" s="511">
        <f>VLOOKUP(A2501,'Mano Obra'!$B$3:$D$290,2,0)</f>
        <v>1000000</v>
      </c>
      <c r="C2501" s="91">
        <v>1</v>
      </c>
      <c r="D2501" s="94">
        <f>VLOOKUP(A2501,'Mano Obra'!$B$2:$T$117,19,0)</f>
        <v>67424</v>
      </c>
      <c r="E2501" s="218">
        <f>H2462</f>
        <v>5.21E-2</v>
      </c>
      <c r="F2501" s="508">
        <f t="shared" si="147"/>
        <v>3512.7903999999999</v>
      </c>
      <c r="G2501" s="509"/>
      <c r="H2501" s="110"/>
      <c r="J2501" s="117">
        <f>((('Mano Obra'!$M$6/30)*F2501)/D2501)*G2469</f>
        <v>0</v>
      </c>
    </row>
    <row r="2502" spans="1:10">
      <c r="A2502" s="512" t="s">
        <v>4100</v>
      </c>
      <c r="B2502" s="512"/>
      <c r="C2502" s="512"/>
      <c r="D2502" s="512"/>
      <c r="E2502" s="512"/>
      <c r="F2502" s="512"/>
      <c r="G2502" s="512"/>
      <c r="H2502" s="95">
        <f>SUM(F2499:F2501)</f>
        <v>17212.1728</v>
      </c>
      <c r="J2502" s="117"/>
    </row>
    <row r="2503" spans="1:10">
      <c r="A2503" s="208" t="s">
        <v>4226</v>
      </c>
      <c r="B2503" s="186"/>
      <c r="C2503" s="186"/>
      <c r="D2503" s="183"/>
      <c r="E2503" s="184"/>
      <c r="F2503" s="185"/>
      <c r="G2503" s="184"/>
      <c r="H2503" s="193"/>
    </row>
    <row r="2504" spans="1:10">
      <c r="A2504" s="513" t="s">
        <v>4213</v>
      </c>
      <c r="B2504" s="514"/>
      <c r="C2504" s="514"/>
      <c r="D2504" s="514"/>
      <c r="E2504" s="181"/>
      <c r="F2504" s="182" t="s">
        <v>4227</v>
      </c>
      <c r="G2504" s="181" t="s">
        <v>4228</v>
      </c>
      <c r="H2504" s="194"/>
    </row>
    <row r="2505" spans="1:10">
      <c r="A2505" s="204" t="s">
        <v>4096</v>
      </c>
      <c r="B2505" s="62"/>
      <c r="C2505" s="62"/>
      <c r="D2505" s="63"/>
      <c r="E2505" s="68"/>
      <c r="F2505" s="69">
        <v>0</v>
      </c>
      <c r="G2505" s="70" t="e">
        <f>F2505*H2470</f>
        <v>#VALUE!</v>
      </c>
      <c r="H2505" s="193"/>
    </row>
    <row r="2506" spans="1:10">
      <c r="A2506" s="205" t="s">
        <v>4229</v>
      </c>
      <c r="B2506" s="71"/>
      <c r="C2506" s="71"/>
      <c r="D2506" s="72"/>
      <c r="E2506" s="68"/>
      <c r="F2506" s="69">
        <v>0</v>
      </c>
      <c r="G2506" s="70" t="e">
        <f>F2506*H2470</f>
        <v>#VALUE!</v>
      </c>
      <c r="H2506" s="193"/>
    </row>
    <row r="2507" spans="1:10">
      <c r="A2507" s="205" t="s">
        <v>4</v>
      </c>
      <c r="B2507" s="71"/>
      <c r="C2507" s="71"/>
      <c r="D2507" s="72"/>
      <c r="E2507" s="68"/>
      <c r="F2507" s="69">
        <v>0</v>
      </c>
      <c r="G2507" s="70" t="e">
        <f>F2507*H2470</f>
        <v>#VALUE!</v>
      </c>
      <c r="H2507" s="193"/>
    </row>
    <row r="2508" spans="1:10">
      <c r="A2508" s="206"/>
      <c r="B2508" s="73"/>
      <c r="C2508" s="65"/>
      <c r="D2508" s="74"/>
      <c r="E2508" s="75"/>
      <c r="F2508" s="76"/>
      <c r="G2508" s="77"/>
      <c r="H2508" s="195"/>
    </row>
    <row r="2509" spans="1:10">
      <c r="A2509" s="207"/>
      <c r="B2509" s="73"/>
      <c r="C2509" s="73"/>
      <c r="D2509" s="74"/>
      <c r="E2509" s="78"/>
      <c r="F2509" s="515" t="s">
        <v>4230</v>
      </c>
      <c r="G2509" s="516"/>
      <c r="H2509" s="214" t="e">
        <f>H2470+G2505+G2506+G2507</f>
        <v>#VALUE!</v>
      </c>
    </row>
    <row r="2510" spans="1:10">
      <c r="A2510" s="73"/>
      <c r="B2510" s="73"/>
      <c r="C2510" s="73"/>
      <c r="D2510" s="74"/>
      <c r="E2510" s="360"/>
      <c r="F2510" s="361"/>
      <c r="G2510" s="361"/>
      <c r="H2510" s="362"/>
    </row>
    <row r="2511" spans="1:10">
      <c r="A2511" s="80"/>
      <c r="B2511" s="80"/>
      <c r="C2511" s="80"/>
      <c r="D2511" s="80"/>
      <c r="E2511" s="80"/>
      <c r="F2511" s="80"/>
      <c r="G2511" s="80"/>
      <c r="H2511" s="353"/>
    </row>
    <row r="2512" spans="1:10">
      <c r="A2512" s="537" t="s">
        <v>4214</v>
      </c>
      <c r="B2512" s="538"/>
      <c r="C2512" s="538"/>
      <c r="D2512" s="538"/>
      <c r="E2512" s="538"/>
      <c r="F2512" s="538"/>
      <c r="G2512" s="538"/>
      <c r="H2512" s="539"/>
    </row>
    <row r="2513" spans="1:15">
      <c r="A2513" s="81"/>
      <c r="B2513" s="82"/>
      <c r="C2513" s="82"/>
      <c r="D2513" s="82"/>
      <c r="E2513" s="82"/>
      <c r="F2513" s="83"/>
      <c r="G2513" s="84"/>
      <c r="H2513" s="352">
        <f>ROUND((30/60)/8,4)</f>
        <v>6.25E-2</v>
      </c>
      <c r="I2513" s="105"/>
    </row>
    <row r="2514" spans="1:15">
      <c r="A2514" s="540" t="s">
        <v>4209</v>
      </c>
      <c r="B2514" s="542" t="str">
        <f>COSTOS!$C$14</f>
        <v>MODERNIZACION A TECNOLOGIA LED</v>
      </c>
      <c r="C2514" s="542"/>
      <c r="D2514" s="542"/>
      <c r="E2514" s="542"/>
      <c r="F2514" s="542"/>
      <c r="G2514" s="542"/>
      <c r="H2514" s="543" t="s">
        <v>4210</v>
      </c>
    </row>
    <row r="2515" spans="1:15">
      <c r="A2515" s="541"/>
      <c r="B2515" s="542"/>
      <c r="C2515" s="542"/>
      <c r="D2515" s="542"/>
      <c r="E2515" s="542"/>
      <c r="F2515" s="542"/>
      <c r="G2515" s="542"/>
      <c r="H2515" s="543"/>
    </row>
    <row r="2516" spans="1:15">
      <c r="A2516" s="541"/>
      <c r="B2516" s="542"/>
      <c r="C2516" s="542"/>
      <c r="D2516" s="542"/>
      <c r="E2516" s="542"/>
      <c r="F2516" s="542"/>
      <c r="G2516" s="542"/>
      <c r="H2516" s="543"/>
    </row>
    <row r="2517" spans="1:15" ht="15" customHeight="1">
      <c r="A2517" s="541"/>
      <c r="B2517" s="542"/>
      <c r="C2517" s="542"/>
      <c r="D2517" s="542"/>
      <c r="E2517" s="542"/>
      <c r="F2517" s="542"/>
      <c r="G2517" s="542"/>
      <c r="H2517" s="197">
        <f ca="1">TODAY()</f>
        <v>44889</v>
      </c>
      <c r="K2517" t="s">
        <v>4380</v>
      </c>
      <c r="L2517" t="s">
        <v>4381</v>
      </c>
      <c r="M2517" t="s">
        <v>4382</v>
      </c>
      <c r="N2517" t="s">
        <v>4383</v>
      </c>
    </row>
    <row r="2518" spans="1:15" ht="60.75" customHeight="1">
      <c r="A2518" s="209" t="s">
        <v>4211</v>
      </c>
      <c r="B2518" s="544" t="str">
        <f>COSTOS!$D$16</f>
        <v>Luminarias</v>
      </c>
      <c r="C2518" s="544"/>
      <c r="D2518" s="544"/>
      <c r="E2518" s="544"/>
      <c r="F2518" s="544"/>
      <c r="G2518" s="60" t="s">
        <v>4212</v>
      </c>
      <c r="H2518" s="363" t="s">
        <v>4733</v>
      </c>
      <c r="K2518" s="55" t="e">
        <f>H2543</f>
        <v>#VALUE!</v>
      </c>
      <c r="L2518" s="55">
        <f>H2553</f>
        <v>20648</v>
      </c>
      <c r="M2518" s="55" t="e">
        <f>H2526</f>
        <v>#VALUE!</v>
      </c>
      <c r="N2518" s="55" t="e">
        <f>H2547</f>
        <v>#VALUE!</v>
      </c>
    </row>
    <row r="2519" spans="1:15" ht="43.2" customHeight="1">
      <c r="A2519" s="210" t="s">
        <v>4213</v>
      </c>
      <c r="B2519" s="545" t="str">
        <f>VLOOKUP(H2518,COSTOS!C:M,2,0)</f>
        <v>Reflector Led de 100w</v>
      </c>
      <c r="C2519" s="546"/>
      <c r="D2519" s="546"/>
      <c r="E2519" s="547"/>
      <c r="F2519" s="61" t="s">
        <v>0</v>
      </c>
      <c r="G2519" s="328" t="str">
        <f>VLOOKUP(H2518,COSTOS!C:M,8,0)</f>
        <v>Und</v>
      </c>
      <c r="H2519" s="248"/>
      <c r="I2519" s="278"/>
      <c r="J2519" s="280"/>
      <c r="K2519" s="280"/>
      <c r="L2519" s="280"/>
    </row>
    <row r="2520" spans="1:15">
      <c r="A2520" s="211"/>
      <c r="B2520" s="102"/>
      <c r="C2520" s="102"/>
      <c r="D2520" s="102"/>
      <c r="E2520" s="103"/>
      <c r="F2520" s="104" t="s">
        <v>1</v>
      </c>
      <c r="G2520" s="328">
        <f>VLOOKUP(H2518,COSTOS!C:M,9,0)</f>
        <v>0</v>
      </c>
      <c r="H2520" s="329"/>
      <c r="I2520" s="279"/>
    </row>
    <row r="2521" spans="1:15">
      <c r="A2521" s="212" t="s">
        <v>4215</v>
      </c>
      <c r="B2521" s="65"/>
      <c r="C2521" s="65"/>
      <c r="D2521" s="66"/>
      <c r="E2521" s="190"/>
      <c r="F2521" s="191"/>
      <c r="G2521" s="192" t="s">
        <v>4216</v>
      </c>
      <c r="H2521" s="198" t="e">
        <f>H2526+H2543+H2547+H2553</f>
        <v>#VALUE!</v>
      </c>
    </row>
    <row r="2522" spans="1:15" ht="41.4">
      <c r="A2522" s="548" t="s">
        <v>4213</v>
      </c>
      <c r="B2522" s="548"/>
      <c r="C2522" s="548"/>
      <c r="D2522" s="67" t="s">
        <v>0</v>
      </c>
      <c r="E2522" s="188" t="s">
        <v>4217</v>
      </c>
      <c r="F2522" s="189" t="s">
        <v>4204</v>
      </c>
      <c r="G2522" s="64" t="s">
        <v>2</v>
      </c>
      <c r="H2522" s="199" t="s">
        <v>4218</v>
      </c>
      <c r="K2522" s="281"/>
    </row>
    <row r="2523" spans="1:15">
      <c r="A2523" s="517" t="s">
        <v>3946</v>
      </c>
      <c r="B2523" s="549">
        <f>VLOOKUP(A2523,'Equip, Herr y Transp'!$B$2:$E$738,2,0)</f>
        <v>2</v>
      </c>
      <c r="C2523" s="549"/>
      <c r="D2523" s="85">
        <f>VLOOKUP(A2523,'Equip, Herr y Transp'!$B$2:$E$217,2,0)</f>
        <v>2</v>
      </c>
      <c r="E2523" s="85" t="str">
        <f>VLOOKUP(A2523,'Equip, Herr y Transp'!$B$2:$E$217,3,0)</f>
        <v>EQU</v>
      </c>
      <c r="F2523" s="86">
        <f>H2513</f>
        <v>6.25E-2</v>
      </c>
      <c r="G2523" s="112" t="e">
        <f>F2523*E2523</f>
        <v>#VALUE!</v>
      </c>
      <c r="H2523" s="108"/>
    </row>
    <row r="2524" spans="1:15">
      <c r="A2524" s="517" t="s">
        <v>3904</v>
      </c>
      <c r="B2524" s="549">
        <f>VLOOKUP(A2524,'Equip, Herr y Transp'!$B$2:$E$738,2,0)</f>
        <v>2</v>
      </c>
      <c r="C2524" s="549"/>
      <c r="D2524" s="85">
        <f>VLOOKUP(A2524,'Equip, Herr y Transp'!$B$2:$E$217,2,0)</f>
        <v>2</v>
      </c>
      <c r="E2524" s="85" t="str">
        <f>VLOOKUP(A2524,'Equip, Herr y Transp'!$B$2:$E$217,3,0)</f>
        <v>EQU</v>
      </c>
      <c r="F2524" s="86">
        <f>H2513</f>
        <v>6.25E-2</v>
      </c>
      <c r="G2524" s="112" t="e">
        <f>F2524*E2524</f>
        <v>#VALUE!</v>
      </c>
      <c r="H2524" s="107"/>
    </row>
    <row r="2525" spans="1:15">
      <c r="A2525" s="517" t="s">
        <v>3937</v>
      </c>
      <c r="B2525" s="549">
        <f>VLOOKUP(A2525,'Equip, Herr y Transp'!$B$2:$E$738,2,0)</f>
        <v>2</v>
      </c>
      <c r="C2525" s="549"/>
      <c r="D2525" s="85">
        <f>VLOOKUP(A2525,'Equip, Herr y Transp'!$B$2:$E$217,2,0)</f>
        <v>2</v>
      </c>
      <c r="E2525" s="85" t="str">
        <f>VLOOKUP(A2525,'Equip, Herr y Transp'!$B$2:$E$217,3,0)</f>
        <v>EQU</v>
      </c>
      <c r="F2525" s="86">
        <f>H2513</f>
        <v>6.25E-2</v>
      </c>
      <c r="G2525" s="112" t="e">
        <f>F2525*E2525</f>
        <v>#VALUE!</v>
      </c>
      <c r="H2525" s="107"/>
    </row>
    <row r="2526" spans="1:15">
      <c r="A2526" s="520" t="s">
        <v>4099</v>
      </c>
      <c r="B2526" s="521"/>
      <c r="C2526" s="521"/>
      <c r="D2526" s="521"/>
      <c r="E2526" s="521"/>
      <c r="F2526" s="521"/>
      <c r="G2526" s="521"/>
      <c r="H2526" s="87" t="e">
        <f>SUM(G2523:G2525)</f>
        <v>#VALUE!</v>
      </c>
    </row>
    <row r="2527" spans="1:15">
      <c r="A2527" s="550" t="s">
        <v>4219</v>
      </c>
      <c r="B2527" s="551"/>
      <c r="C2527" s="551"/>
      <c r="D2527" s="551"/>
      <c r="E2527" s="551"/>
      <c r="F2527" s="551"/>
      <c r="G2527" s="551"/>
      <c r="H2527" s="552"/>
      <c r="K2527" s="50"/>
      <c r="L2527" s="50"/>
      <c r="M2527" s="50"/>
      <c r="N2527" s="50"/>
      <c r="O2527" s="50"/>
    </row>
    <row r="2528" spans="1:15" ht="30" customHeight="1">
      <c r="A2528" s="553" t="s">
        <v>7</v>
      </c>
      <c r="B2528" s="554"/>
      <c r="C2528" s="99" t="s">
        <v>0</v>
      </c>
      <c r="D2528" s="100" t="s">
        <v>4097</v>
      </c>
      <c r="E2528" s="101" t="s">
        <v>1</v>
      </c>
      <c r="F2528" s="555" t="s">
        <v>4207</v>
      </c>
      <c r="G2528" s="555"/>
      <c r="H2528" s="196"/>
      <c r="K2528" s="50"/>
      <c r="L2528" s="50"/>
      <c r="M2528" s="50"/>
      <c r="N2528" s="50"/>
      <c r="O2528" s="50"/>
    </row>
    <row r="2529" spans="1:15">
      <c r="A2529" s="535" t="s">
        <v>4736</v>
      </c>
      <c r="B2529" s="536"/>
      <c r="C2529" s="88">
        <f>VLOOKUP(A2529,'Materiales '!$C$2:$G$396,3,0)</f>
        <v>4</v>
      </c>
      <c r="D2529" s="89" t="str">
        <f>VLOOKUP(A2529,'Materiales '!$C$2:$G$396,4,0)</f>
        <v>Und</v>
      </c>
      <c r="E2529" s="90">
        <v>1</v>
      </c>
      <c r="F2529" s="508" t="e">
        <f>E2529*D2529</f>
        <v>#VALUE!</v>
      </c>
      <c r="G2529" s="519"/>
      <c r="H2529" s="111"/>
      <c r="I2529">
        <f>E2529*G2520</f>
        <v>0</v>
      </c>
      <c r="J2529" s="57"/>
      <c r="K2529" s="50"/>
      <c r="L2529" s="50"/>
      <c r="M2529" s="50"/>
      <c r="N2529" s="50"/>
      <c r="O2529" s="50"/>
    </row>
    <row r="2530" spans="1:15">
      <c r="A2530" s="535" t="s">
        <v>4203</v>
      </c>
      <c r="B2530" s="536"/>
      <c r="C2530" s="88">
        <f>VLOOKUP(A2530,'Materiales '!$C$2:$G$396,3,0)</f>
        <v>4</v>
      </c>
      <c r="D2530" s="89" t="str">
        <f>VLOOKUP(A2530,'Materiales '!$C$2:$G$396,4,0)</f>
        <v>Und</v>
      </c>
      <c r="E2530" s="90">
        <v>1</v>
      </c>
      <c r="F2530" s="508" t="e">
        <f t="shared" ref="F2530:F2536" si="148">E2530*D2530</f>
        <v>#VALUE!</v>
      </c>
      <c r="G2530" s="519"/>
      <c r="H2530" s="111"/>
      <c r="I2530">
        <f>E2530*G2520</f>
        <v>0</v>
      </c>
      <c r="J2530" s="57"/>
      <c r="K2530" s="50"/>
      <c r="L2530" s="50"/>
      <c r="M2530" s="50"/>
      <c r="N2530" s="50"/>
      <c r="O2530" s="50"/>
    </row>
    <row r="2531" spans="1:15">
      <c r="A2531" s="517" t="s">
        <v>4473</v>
      </c>
      <c r="B2531" s="518">
        <f>VLOOKUP(A2531,'Materiales '!$C$2:$G$396,3,0)</f>
        <v>4</v>
      </c>
      <c r="C2531" s="88">
        <f>VLOOKUP(A2531,'Materiales '!$C$2:$G$396,3,0)</f>
        <v>4</v>
      </c>
      <c r="D2531" s="89" t="str">
        <f>VLOOKUP(A2531,'Materiales '!$C$2:$G$396,4,0)</f>
        <v>Und</v>
      </c>
      <c r="E2531" s="90">
        <v>2</v>
      </c>
      <c r="F2531" s="508" t="e">
        <f t="shared" si="148"/>
        <v>#VALUE!</v>
      </c>
      <c r="G2531" s="519"/>
      <c r="H2531" s="111"/>
      <c r="I2531">
        <f>E2531*G2520</f>
        <v>0</v>
      </c>
      <c r="J2531" s="58"/>
      <c r="K2531" s="50"/>
      <c r="L2531" s="50"/>
      <c r="M2531" s="50"/>
      <c r="N2531" s="50"/>
      <c r="O2531" s="50"/>
    </row>
    <row r="2532" spans="1:15">
      <c r="A2532" s="517" t="s">
        <v>4478</v>
      </c>
      <c r="B2532" s="518">
        <f>VLOOKUP(A2532,'Materiales '!$C$2:$G$396,3,0)</f>
        <v>4</v>
      </c>
      <c r="C2532" s="88">
        <f>VLOOKUP(A2532,'Materiales '!$C$2:$G$396,3,0)</f>
        <v>4</v>
      </c>
      <c r="D2532" s="89" t="str">
        <f>VLOOKUP(A2532,'Materiales '!$C$2:$G$396,4,0)</f>
        <v>Und</v>
      </c>
      <c r="E2532" s="90">
        <v>3</v>
      </c>
      <c r="F2532" s="508" t="e">
        <f t="shared" si="148"/>
        <v>#VALUE!</v>
      </c>
      <c r="G2532" s="519"/>
      <c r="H2532" s="111"/>
      <c r="I2532">
        <f>E2532*G2520</f>
        <v>0</v>
      </c>
      <c r="J2532" s="58"/>
      <c r="K2532" s="50"/>
      <c r="L2532" s="50"/>
      <c r="M2532" s="50"/>
      <c r="N2532" s="50"/>
      <c r="O2532" s="50"/>
    </row>
    <row r="2533" spans="1:15">
      <c r="A2533" s="517" t="s">
        <v>4543</v>
      </c>
      <c r="B2533" s="518">
        <f>VLOOKUP(A2533,'Materiales '!$C$2:$G$396,3,0)</f>
        <v>4</v>
      </c>
      <c r="C2533" s="88">
        <f>VLOOKUP(A2533,'Materiales '!$C$2:$G$396,3,0)</f>
        <v>4</v>
      </c>
      <c r="D2533" s="89" t="str">
        <f>VLOOKUP(A2533,'Materiales '!$C$2:$G$396,4,0)</f>
        <v>Und</v>
      </c>
      <c r="E2533" s="90">
        <v>2</v>
      </c>
      <c r="F2533" s="508" t="e">
        <f t="shared" si="148"/>
        <v>#VALUE!</v>
      </c>
      <c r="G2533" s="519"/>
      <c r="H2533" s="111"/>
      <c r="I2533">
        <f>E2533*G2520</f>
        <v>0</v>
      </c>
      <c r="J2533" s="58"/>
      <c r="K2533" s="50"/>
      <c r="L2533" s="50"/>
      <c r="M2533" s="50"/>
      <c r="N2533" s="50"/>
      <c r="O2533" s="50"/>
    </row>
    <row r="2534" spans="1:15">
      <c r="A2534" s="517" t="s">
        <v>4439</v>
      </c>
      <c r="B2534" s="518">
        <f>VLOOKUP(A2534,'Materiales '!$C$2:$G$396,3,0)</f>
        <v>2</v>
      </c>
      <c r="C2534" s="88">
        <f>VLOOKUP(A2534,'Materiales '!$C$2:$G$396,3,0)</f>
        <v>2</v>
      </c>
      <c r="D2534" s="89" t="str">
        <f>VLOOKUP(A2534,'Materiales '!$C$2:$G$396,4,0)</f>
        <v>Ml</v>
      </c>
      <c r="E2534" s="90">
        <v>1</v>
      </c>
      <c r="F2534" s="508" t="e">
        <f t="shared" si="148"/>
        <v>#VALUE!</v>
      </c>
      <c r="G2534" s="519"/>
      <c r="H2534" s="111"/>
      <c r="I2534">
        <f>E2534*G2520</f>
        <v>0</v>
      </c>
      <c r="J2534" s="58"/>
      <c r="K2534" s="50"/>
      <c r="L2534" s="50"/>
      <c r="M2534" s="50"/>
      <c r="N2534" s="50"/>
      <c r="O2534" s="50"/>
    </row>
    <row r="2535" spans="1:15">
      <c r="A2535" s="517" t="s">
        <v>4482</v>
      </c>
      <c r="B2535" s="518">
        <f>VLOOKUP(A2535,'Materiales '!$C$2:$G$396,3,0)</f>
        <v>4</v>
      </c>
      <c r="C2535" s="88">
        <f>VLOOKUP(A2535,'Materiales '!$C$2:$G$396,3,0)</f>
        <v>4</v>
      </c>
      <c r="D2535" s="89" t="str">
        <f>VLOOKUP(A2535,'Materiales '!$C$2:$G$396,4,0)</f>
        <v>Und</v>
      </c>
      <c r="E2535" s="90">
        <v>3</v>
      </c>
      <c r="F2535" s="508" t="e">
        <f t="shared" si="148"/>
        <v>#VALUE!</v>
      </c>
      <c r="G2535" s="519"/>
      <c r="H2535" s="111"/>
      <c r="I2535">
        <f>E2535*G2520</f>
        <v>0</v>
      </c>
      <c r="J2535" s="58"/>
      <c r="K2535" s="50"/>
      <c r="L2535" s="50"/>
      <c r="M2535" s="50"/>
      <c r="N2535" s="50"/>
      <c r="O2535" s="50"/>
    </row>
    <row r="2536" spans="1:15" ht="21.75" customHeight="1">
      <c r="A2536" s="517" t="s">
        <v>4628</v>
      </c>
      <c r="B2536" s="518">
        <f>VLOOKUP(A2536,'Materiales '!$C$2:$G$396,3,0)</f>
        <v>4</v>
      </c>
      <c r="C2536" s="88">
        <f>VLOOKUP(A2536,'Materiales '!$C$2:$G$396,3,0)</f>
        <v>4</v>
      </c>
      <c r="D2536" s="89" t="str">
        <f>VLOOKUP(A2536,'Materiales '!$C$2:$G$396,4,0)</f>
        <v>Und</v>
      </c>
      <c r="E2536" s="90">
        <v>1</v>
      </c>
      <c r="F2536" s="508" t="e">
        <f t="shared" si="148"/>
        <v>#VALUE!</v>
      </c>
      <c r="G2536" s="519"/>
      <c r="H2536" s="111"/>
      <c r="I2536">
        <f>E2536*G2520</f>
        <v>0</v>
      </c>
      <c r="J2536" s="58"/>
      <c r="K2536" s="50"/>
      <c r="L2536" s="50"/>
      <c r="M2536" s="50"/>
      <c r="N2536" s="50"/>
      <c r="O2536" s="50"/>
    </row>
    <row r="2537" spans="1:15">
      <c r="A2537" s="517" t="s">
        <v>8</v>
      </c>
      <c r="B2537" s="518">
        <f>VLOOKUP(A2537,'Materiales '!$C$2:$G$396,3,0)</f>
        <v>0</v>
      </c>
      <c r="C2537" s="88">
        <f>VLOOKUP(A2537,'Materiales '!$C$2:$G$396,3,0)</f>
        <v>0</v>
      </c>
      <c r="D2537" s="89" t="str">
        <f>VLOOKUP(A2537,'Materiales '!$C$2:$G$396,4,0)</f>
        <v>-</v>
      </c>
      <c r="E2537" s="90"/>
      <c r="F2537" s="508" t="e">
        <f>E2537*D2537</f>
        <v>#VALUE!</v>
      </c>
      <c r="G2537" s="519"/>
      <c r="H2537" s="110"/>
      <c r="I2537">
        <f>E2537*G2520</f>
        <v>0</v>
      </c>
      <c r="J2537" s="58"/>
      <c r="K2537" s="50"/>
      <c r="L2537" s="50"/>
      <c r="M2537" s="50"/>
      <c r="N2537" s="50"/>
      <c r="O2537" s="50"/>
    </row>
    <row r="2538" spans="1:15">
      <c r="A2538" s="517" t="s">
        <v>8</v>
      </c>
      <c r="B2538" s="518">
        <f>VLOOKUP(A2538,'Materiales '!$C$2:$G$396,3,0)</f>
        <v>0</v>
      </c>
      <c r="C2538" s="88">
        <f>VLOOKUP(A2538,'Materiales '!$C$2:$G$396,3,0)</f>
        <v>0</v>
      </c>
      <c r="D2538" s="89" t="str">
        <f>VLOOKUP(A2538,'Materiales '!$C$2:$G$396,4,0)</f>
        <v>-</v>
      </c>
      <c r="E2538" s="90"/>
      <c r="F2538" s="508" t="e">
        <f t="shared" ref="F2538:F2541" si="149">E2538*D2538</f>
        <v>#VALUE!</v>
      </c>
      <c r="G2538" s="519"/>
      <c r="H2538" s="111"/>
      <c r="I2538">
        <f>E2538*G2520</f>
        <v>0</v>
      </c>
      <c r="J2538" s="58"/>
      <c r="K2538" s="50"/>
      <c r="L2538" s="50"/>
      <c r="M2538" s="50"/>
      <c r="N2538" s="50"/>
      <c r="O2538" s="50"/>
    </row>
    <row r="2539" spans="1:15">
      <c r="A2539" s="517" t="s">
        <v>8</v>
      </c>
      <c r="B2539" s="518">
        <f>VLOOKUP(A2539,'Materiales '!$C$2:$G$396,3,0)</f>
        <v>0</v>
      </c>
      <c r="C2539" s="88">
        <f>VLOOKUP(A2539,'Materiales '!$C$2:$G$396,3,0)</f>
        <v>0</v>
      </c>
      <c r="D2539" s="89" t="str">
        <f>VLOOKUP(A2539,'Materiales '!$C$2:$G$396,4,0)</f>
        <v>-</v>
      </c>
      <c r="E2539" s="90"/>
      <c r="F2539" s="508" t="e">
        <f t="shared" si="149"/>
        <v>#VALUE!</v>
      </c>
      <c r="G2539" s="519"/>
      <c r="H2539" s="111"/>
      <c r="I2539">
        <f>E2539*G2520</f>
        <v>0</v>
      </c>
      <c r="J2539" s="58"/>
      <c r="K2539" s="50"/>
      <c r="L2539" s="50"/>
      <c r="M2539" s="50"/>
      <c r="N2539" s="50"/>
      <c r="O2539" s="50"/>
    </row>
    <row r="2540" spans="1:15">
      <c r="A2540" s="517" t="s">
        <v>8</v>
      </c>
      <c r="B2540" s="518">
        <f>VLOOKUP(A2540,'Materiales '!$C$2:$G$396,3,0)</f>
        <v>0</v>
      </c>
      <c r="C2540" s="88">
        <f>VLOOKUP(A2540,'Materiales '!$C$2:$G$396,3,0)</f>
        <v>0</v>
      </c>
      <c r="D2540" s="89" t="str">
        <f>VLOOKUP(A2540,'Materiales '!$C$2:$G$396,4,0)</f>
        <v>-</v>
      </c>
      <c r="E2540" s="90"/>
      <c r="F2540" s="508" t="e">
        <f t="shared" si="149"/>
        <v>#VALUE!</v>
      </c>
      <c r="G2540" s="519"/>
      <c r="H2540" s="111"/>
      <c r="I2540">
        <f>E2540*G2520</f>
        <v>0</v>
      </c>
      <c r="J2540" s="58"/>
      <c r="K2540" s="50"/>
      <c r="L2540" s="50"/>
      <c r="M2540" s="50"/>
      <c r="N2540" s="50"/>
      <c r="O2540" s="50"/>
    </row>
    <row r="2541" spans="1:15">
      <c r="A2541" s="517" t="s">
        <v>8</v>
      </c>
      <c r="B2541" s="518">
        <f>VLOOKUP(A2541,'Materiales '!$C$2:$G$396,3,0)</f>
        <v>0</v>
      </c>
      <c r="C2541" s="88">
        <f>VLOOKUP(A2541,'Materiales '!$C$2:$G$396,3,0)</f>
        <v>0</v>
      </c>
      <c r="D2541" s="89" t="str">
        <f>VLOOKUP(A2541,'Materiales '!$C$2:$G$396,4,0)</f>
        <v>-</v>
      </c>
      <c r="E2541" s="90"/>
      <c r="F2541" s="508" t="e">
        <f t="shared" si="149"/>
        <v>#VALUE!</v>
      </c>
      <c r="G2541" s="519"/>
      <c r="H2541" s="111"/>
      <c r="I2541">
        <f>E2541*G2520</f>
        <v>0</v>
      </c>
      <c r="J2541" s="58"/>
      <c r="K2541" s="50"/>
      <c r="L2541" s="50"/>
      <c r="M2541" s="50"/>
      <c r="N2541" s="50"/>
      <c r="O2541" s="50"/>
    </row>
    <row r="2542" spans="1:15">
      <c r="A2542" s="517" t="s">
        <v>8</v>
      </c>
      <c r="B2542" s="518">
        <f>VLOOKUP(A2542,'Materiales '!$C$2:$G$396,3,0)</f>
        <v>0</v>
      </c>
      <c r="C2542" s="88">
        <f>VLOOKUP(A2542,'Materiales '!$C$2:$G$396,3,0)</f>
        <v>0</v>
      </c>
      <c r="D2542" s="89" t="str">
        <f>VLOOKUP(A2542,'Materiales '!$C$2:$G$396,4,0)</f>
        <v>-</v>
      </c>
      <c r="E2542" s="90"/>
      <c r="F2542" s="508" t="e">
        <f>E2542*D2542</f>
        <v>#VALUE!</v>
      </c>
      <c r="G2542" s="519"/>
      <c r="H2542" s="110"/>
      <c r="I2542">
        <f>E2542*G2520</f>
        <v>0</v>
      </c>
      <c r="J2542" s="58"/>
      <c r="K2542" s="50"/>
      <c r="L2542" s="50"/>
      <c r="M2542" s="50"/>
      <c r="N2542" s="50"/>
      <c r="O2542" s="50"/>
    </row>
    <row r="2543" spans="1:15">
      <c r="A2543" s="520" t="s">
        <v>4098</v>
      </c>
      <c r="B2543" s="521"/>
      <c r="C2543" s="521"/>
      <c r="D2543" s="521"/>
      <c r="E2543" s="521"/>
      <c r="F2543" s="521"/>
      <c r="G2543" s="522"/>
      <c r="H2543" s="106" t="e">
        <f>SUM(F2529:F2542)</f>
        <v>#VALUE!</v>
      </c>
      <c r="J2543" s="58"/>
      <c r="K2543" s="50"/>
      <c r="L2543" s="50"/>
      <c r="M2543" s="50"/>
      <c r="N2543" s="50"/>
      <c r="O2543" s="50"/>
    </row>
    <row r="2544" spans="1:15">
      <c r="A2544" s="523" t="s">
        <v>4220</v>
      </c>
      <c r="B2544" s="524"/>
      <c r="C2544" s="524"/>
      <c r="D2544" s="524"/>
      <c r="E2544" s="525"/>
      <c r="F2544" s="524"/>
      <c r="G2544" s="524"/>
      <c r="H2544" s="526"/>
      <c r="J2544" s="58"/>
      <c r="K2544" s="50"/>
      <c r="L2544" s="50"/>
      <c r="M2544" s="50"/>
      <c r="N2544" s="50"/>
      <c r="O2544" s="50"/>
    </row>
    <row r="2545" spans="1:15">
      <c r="A2545" s="527" t="s">
        <v>7</v>
      </c>
      <c r="B2545" s="528"/>
      <c r="C2545" s="98" t="s">
        <v>4221</v>
      </c>
      <c r="D2545" s="97" t="s">
        <v>4222</v>
      </c>
      <c r="E2545" s="187" t="s">
        <v>4223</v>
      </c>
      <c r="F2545" s="529" t="s">
        <v>4207</v>
      </c>
      <c r="G2545" s="529"/>
      <c r="H2545" s="109"/>
      <c r="K2545" s="50"/>
      <c r="L2545" s="50"/>
      <c r="M2545" s="50"/>
      <c r="N2545" s="50"/>
      <c r="O2545" s="50"/>
    </row>
    <row r="2546" spans="1:15">
      <c r="A2546" s="506" t="s">
        <v>3928</v>
      </c>
      <c r="B2546" s="507"/>
      <c r="C2546" s="213">
        <v>1</v>
      </c>
      <c r="D2546" s="92">
        <v>0.03</v>
      </c>
      <c r="E2546" s="93" t="str">
        <f>VLOOKUP(A2546,'Equip, Herr y Transp'!$B$2:$E$217,3,0)</f>
        <v>TR</v>
      </c>
      <c r="F2546" s="530" t="e">
        <f>E2546*D2546*C2546</f>
        <v>#VALUE!</v>
      </c>
      <c r="G2546" s="531"/>
      <c r="H2546" s="107"/>
      <c r="M2546" s="50"/>
    </row>
    <row r="2547" spans="1:15">
      <c r="A2547" s="532" t="s">
        <v>4205</v>
      </c>
      <c r="B2547" s="533"/>
      <c r="C2547" s="533"/>
      <c r="D2547" s="533"/>
      <c r="E2547" s="533"/>
      <c r="F2547" s="533"/>
      <c r="G2547" s="533"/>
      <c r="H2547" s="95" t="e">
        <f>F2546</f>
        <v>#VALUE!</v>
      </c>
    </row>
    <row r="2548" spans="1:15">
      <c r="A2548" s="523" t="s">
        <v>4224</v>
      </c>
      <c r="B2548" s="524"/>
      <c r="C2548" s="524"/>
      <c r="D2548" s="524"/>
      <c r="E2548" s="524"/>
      <c r="F2548" s="524"/>
      <c r="G2548" s="524"/>
      <c r="H2548" s="526"/>
    </row>
    <row r="2549" spans="1:15">
      <c r="A2549" s="527" t="s">
        <v>7</v>
      </c>
      <c r="B2549" s="528"/>
      <c r="C2549" s="96" t="s">
        <v>1</v>
      </c>
      <c r="D2549" s="97" t="s">
        <v>4225</v>
      </c>
      <c r="E2549" s="98" t="s">
        <v>4204</v>
      </c>
      <c r="F2549" s="527" t="s">
        <v>5</v>
      </c>
      <c r="G2549" s="534"/>
      <c r="H2549" s="109"/>
    </row>
    <row r="2550" spans="1:15">
      <c r="A2550" s="506" t="s">
        <v>4191</v>
      </c>
      <c r="B2550" s="507"/>
      <c r="C2550" s="91">
        <v>1</v>
      </c>
      <c r="D2550" s="94">
        <f>VLOOKUP(A2550,'Mano Obra'!$B$2:$T$117,19,0)</f>
        <v>152456</v>
      </c>
      <c r="E2550" s="218">
        <f>H2513</f>
        <v>6.25E-2</v>
      </c>
      <c r="F2550" s="508">
        <f>E2550*D2550*C2550</f>
        <v>9528.5</v>
      </c>
      <c r="G2550" s="509"/>
      <c r="H2550" s="111"/>
      <c r="I2550" s="59"/>
      <c r="J2550" s="117">
        <f>((('Mano Obra'!$M$4/30)*F2550)/D2550)*G2520</f>
        <v>0</v>
      </c>
    </row>
    <row r="2551" spans="1:15">
      <c r="A2551" s="510" t="s">
        <v>4192</v>
      </c>
      <c r="B2551" s="511">
        <f>VLOOKUP(A2551,'Mano Obra'!$B$3:$D$290,2,0)</f>
        <v>1900000</v>
      </c>
      <c r="C2551" s="91">
        <v>1</v>
      </c>
      <c r="D2551" s="94">
        <f>VLOOKUP(A2551,'Mano Obra'!$B$2:$T$117,19,0)</f>
        <v>110488</v>
      </c>
      <c r="E2551" s="218">
        <f>H2513</f>
        <v>6.25E-2</v>
      </c>
      <c r="F2551" s="508">
        <f t="shared" ref="F2551:F2552" si="150">E2551*D2551*C2551</f>
        <v>6905.5</v>
      </c>
      <c r="G2551" s="509"/>
      <c r="H2551" s="111"/>
      <c r="J2551" s="117">
        <f>((('Mano Obra'!$M$5/30)*F2551)/D2551)*G2520</f>
        <v>0</v>
      </c>
    </row>
    <row r="2552" spans="1:15">
      <c r="A2552" s="510" t="s">
        <v>4181</v>
      </c>
      <c r="B2552" s="511">
        <f>VLOOKUP(A2552,'Mano Obra'!$B$3:$D$290,2,0)</f>
        <v>1000000</v>
      </c>
      <c r="C2552" s="91">
        <v>1</v>
      </c>
      <c r="D2552" s="94">
        <f>VLOOKUP(A2552,'Mano Obra'!$B$2:$T$117,19,0)</f>
        <v>67424</v>
      </c>
      <c r="E2552" s="218">
        <f>H2513</f>
        <v>6.25E-2</v>
      </c>
      <c r="F2552" s="508">
        <f t="shared" si="150"/>
        <v>4214</v>
      </c>
      <c r="G2552" s="509"/>
      <c r="H2552" s="110"/>
      <c r="J2552" s="117">
        <f>((('Mano Obra'!$M$6/30)*F2552)/D2552)*G2520</f>
        <v>0</v>
      </c>
    </row>
    <row r="2553" spans="1:15">
      <c r="A2553" s="512" t="s">
        <v>4100</v>
      </c>
      <c r="B2553" s="512"/>
      <c r="C2553" s="512"/>
      <c r="D2553" s="512"/>
      <c r="E2553" s="512"/>
      <c r="F2553" s="512"/>
      <c r="G2553" s="512"/>
      <c r="H2553" s="95">
        <f>SUM(F2550:F2552)</f>
        <v>20648</v>
      </c>
      <c r="J2553" s="117"/>
    </row>
    <row r="2554" spans="1:15">
      <c r="A2554" s="208" t="s">
        <v>4226</v>
      </c>
      <c r="B2554" s="186"/>
      <c r="C2554" s="186"/>
      <c r="D2554" s="183"/>
      <c r="E2554" s="184"/>
      <c r="F2554" s="185"/>
      <c r="G2554" s="184"/>
      <c r="H2554" s="193"/>
    </row>
    <row r="2555" spans="1:15">
      <c r="A2555" s="513" t="s">
        <v>4213</v>
      </c>
      <c r="B2555" s="514"/>
      <c r="C2555" s="514"/>
      <c r="D2555" s="514"/>
      <c r="E2555" s="181"/>
      <c r="F2555" s="182" t="s">
        <v>4227</v>
      </c>
      <c r="G2555" s="181" t="s">
        <v>4228</v>
      </c>
      <c r="H2555" s="194"/>
    </row>
    <row r="2556" spans="1:15">
      <c r="A2556" s="204" t="s">
        <v>4096</v>
      </c>
      <c r="B2556" s="62"/>
      <c r="C2556" s="62"/>
      <c r="D2556" s="63"/>
      <c r="E2556" s="68"/>
      <c r="F2556" s="69">
        <v>0</v>
      </c>
      <c r="G2556" s="70" t="e">
        <f>F2556*H2521</f>
        <v>#VALUE!</v>
      </c>
      <c r="H2556" s="193"/>
    </row>
    <row r="2557" spans="1:15">
      <c r="A2557" s="205" t="s">
        <v>4229</v>
      </c>
      <c r="B2557" s="71"/>
      <c r="C2557" s="71"/>
      <c r="D2557" s="72"/>
      <c r="E2557" s="68"/>
      <c r="F2557" s="69">
        <v>0</v>
      </c>
      <c r="G2557" s="70" t="e">
        <f>F2557*H2521</f>
        <v>#VALUE!</v>
      </c>
      <c r="H2557" s="193"/>
    </row>
    <row r="2558" spans="1:15">
      <c r="A2558" s="205" t="s">
        <v>4</v>
      </c>
      <c r="B2558" s="71"/>
      <c r="C2558" s="71"/>
      <c r="D2558" s="72"/>
      <c r="E2558" s="68"/>
      <c r="F2558" s="69">
        <v>0</v>
      </c>
      <c r="G2558" s="70" t="e">
        <f>F2558*H2521</f>
        <v>#VALUE!</v>
      </c>
      <c r="H2558" s="193"/>
    </row>
    <row r="2559" spans="1:15">
      <c r="A2559" s="206"/>
      <c r="B2559" s="73"/>
      <c r="C2559" s="65"/>
      <c r="D2559" s="74"/>
      <c r="E2559" s="75"/>
      <c r="F2559" s="76"/>
      <c r="G2559" s="77"/>
      <c r="H2559" s="195"/>
    </row>
    <row r="2560" spans="1:15">
      <c r="A2560" s="207"/>
      <c r="B2560" s="73"/>
      <c r="C2560" s="73"/>
      <c r="D2560" s="74"/>
      <c r="E2560" s="78"/>
      <c r="F2560" s="515" t="s">
        <v>4230</v>
      </c>
      <c r="G2560" s="516"/>
      <c r="H2560" s="214" t="e">
        <f>H2521+G2556+G2557+G2558</f>
        <v>#VALUE!</v>
      </c>
    </row>
    <row r="2561" spans="1:14">
      <c r="A2561" s="73"/>
      <c r="B2561" s="73"/>
      <c r="C2561" s="73"/>
      <c r="D2561" s="74"/>
      <c r="E2561" s="360"/>
      <c r="F2561" s="361"/>
      <c r="G2561" s="361"/>
      <c r="H2561" s="362"/>
    </row>
    <row r="2562" spans="1:14">
      <c r="A2562" s="80"/>
      <c r="B2562" s="80"/>
      <c r="C2562" s="80"/>
      <c r="D2562" s="80"/>
      <c r="E2562" s="80"/>
      <c r="F2562" s="80"/>
      <c r="G2562" s="80"/>
      <c r="H2562" s="353"/>
    </row>
    <row r="2563" spans="1:14">
      <c r="A2563" s="537" t="s">
        <v>4214</v>
      </c>
      <c r="B2563" s="538"/>
      <c r="C2563" s="538"/>
      <c r="D2563" s="538"/>
      <c r="E2563" s="538"/>
      <c r="F2563" s="538"/>
      <c r="G2563" s="538"/>
      <c r="H2563" s="539"/>
    </row>
    <row r="2564" spans="1:14">
      <c r="A2564" s="81"/>
      <c r="B2564" s="82"/>
      <c r="C2564" s="82"/>
      <c r="D2564" s="82"/>
      <c r="E2564" s="82"/>
      <c r="F2564" s="83"/>
      <c r="G2564" s="84"/>
      <c r="H2564" s="352">
        <f>ROUND((30/60)/8,4)</f>
        <v>6.25E-2</v>
      </c>
      <c r="I2564" s="105"/>
    </row>
    <row r="2565" spans="1:14">
      <c r="A2565" s="540" t="s">
        <v>4209</v>
      </c>
      <c r="B2565" s="542" t="str">
        <f>COSTOS!$C$14</f>
        <v>MODERNIZACION A TECNOLOGIA LED</v>
      </c>
      <c r="C2565" s="542"/>
      <c r="D2565" s="542"/>
      <c r="E2565" s="542"/>
      <c r="F2565" s="542"/>
      <c r="G2565" s="542"/>
      <c r="H2565" s="543" t="s">
        <v>4210</v>
      </c>
    </row>
    <row r="2566" spans="1:14">
      <c r="A2566" s="541"/>
      <c r="B2566" s="542"/>
      <c r="C2566" s="542"/>
      <c r="D2566" s="542"/>
      <c r="E2566" s="542"/>
      <c r="F2566" s="542"/>
      <c r="G2566" s="542"/>
      <c r="H2566" s="543"/>
    </row>
    <row r="2567" spans="1:14">
      <c r="A2567" s="541"/>
      <c r="B2567" s="542"/>
      <c r="C2567" s="542"/>
      <c r="D2567" s="542"/>
      <c r="E2567" s="542"/>
      <c r="F2567" s="542"/>
      <c r="G2567" s="542"/>
      <c r="H2567" s="543"/>
    </row>
    <row r="2568" spans="1:14" ht="15" customHeight="1">
      <c r="A2568" s="541"/>
      <c r="B2568" s="542"/>
      <c r="C2568" s="542"/>
      <c r="D2568" s="542"/>
      <c r="E2568" s="542"/>
      <c r="F2568" s="542"/>
      <c r="G2568" s="542"/>
      <c r="H2568" s="197">
        <f ca="1">TODAY()</f>
        <v>44889</v>
      </c>
      <c r="K2568" t="s">
        <v>4380</v>
      </c>
      <c r="L2568" t="s">
        <v>4381</v>
      </c>
      <c r="M2568" t="s">
        <v>4382</v>
      </c>
      <c r="N2568" t="s">
        <v>4383</v>
      </c>
    </row>
    <row r="2569" spans="1:14" ht="60.75" customHeight="1">
      <c r="A2569" s="209" t="s">
        <v>4211</v>
      </c>
      <c r="B2569" s="544" t="str">
        <f>COSTOS!$D$16</f>
        <v>Luminarias</v>
      </c>
      <c r="C2569" s="544"/>
      <c r="D2569" s="544"/>
      <c r="E2569" s="544"/>
      <c r="F2569" s="544"/>
      <c r="G2569" s="60" t="s">
        <v>4212</v>
      </c>
      <c r="H2569" s="363">
        <v>1.51</v>
      </c>
      <c r="K2569" s="55" t="e">
        <f>H2594</f>
        <v>#VALUE!</v>
      </c>
      <c r="L2569" s="55">
        <f>H2604</f>
        <v>20648</v>
      </c>
      <c r="M2569" s="55" t="e">
        <f>H2577</f>
        <v>#VALUE!</v>
      </c>
      <c r="N2569" s="55" t="e">
        <f>H2598</f>
        <v>#VALUE!</v>
      </c>
    </row>
    <row r="2570" spans="1:14" ht="43.2" customHeight="1">
      <c r="A2570" s="210" t="s">
        <v>4213</v>
      </c>
      <c r="B2570" s="545" t="str">
        <f>VLOOKUP(H2569,COSTOS!C:M,2,0)</f>
        <v>Reflector Led de 300w</v>
      </c>
      <c r="C2570" s="546"/>
      <c r="D2570" s="546"/>
      <c r="E2570" s="547"/>
      <c r="F2570" s="61" t="s">
        <v>0</v>
      </c>
      <c r="G2570" s="328" t="str">
        <f>VLOOKUP(H2569,COSTOS!C:M,8,0)</f>
        <v>Und</v>
      </c>
      <c r="H2570" s="248"/>
      <c r="I2570" s="278"/>
      <c r="J2570" s="280"/>
      <c r="K2570" s="280"/>
      <c r="L2570" s="280"/>
    </row>
    <row r="2571" spans="1:14">
      <c r="A2571" s="211"/>
      <c r="B2571" s="102"/>
      <c r="C2571" s="102"/>
      <c r="D2571" s="102"/>
      <c r="E2571" s="103"/>
      <c r="F2571" s="104" t="s">
        <v>1</v>
      </c>
      <c r="G2571" s="328">
        <f>VLOOKUP(H2569,COSTOS!C:M,9,0)</f>
        <v>0</v>
      </c>
      <c r="H2571" s="329"/>
      <c r="I2571" s="279"/>
    </row>
    <row r="2572" spans="1:14">
      <c r="A2572" s="212" t="s">
        <v>4215</v>
      </c>
      <c r="B2572" s="65"/>
      <c r="C2572" s="65"/>
      <c r="D2572" s="66"/>
      <c r="E2572" s="190"/>
      <c r="F2572" s="191"/>
      <c r="G2572" s="192" t="s">
        <v>4216</v>
      </c>
      <c r="H2572" s="198" t="e">
        <f>H2577+H2594+H2598+H2604</f>
        <v>#VALUE!</v>
      </c>
    </row>
    <row r="2573" spans="1:14" ht="41.4">
      <c r="A2573" s="548" t="s">
        <v>4213</v>
      </c>
      <c r="B2573" s="548"/>
      <c r="C2573" s="548"/>
      <c r="D2573" s="67" t="s">
        <v>0</v>
      </c>
      <c r="E2573" s="188" t="s">
        <v>4217</v>
      </c>
      <c r="F2573" s="189" t="s">
        <v>4204</v>
      </c>
      <c r="G2573" s="64" t="s">
        <v>2</v>
      </c>
      <c r="H2573" s="199" t="s">
        <v>4218</v>
      </c>
      <c r="K2573" s="281"/>
    </row>
    <row r="2574" spans="1:14">
      <c r="A2574" s="517" t="s">
        <v>3946</v>
      </c>
      <c r="B2574" s="549">
        <f>VLOOKUP(A2574,'Equip, Herr y Transp'!$B$2:$E$738,2,0)</f>
        <v>2</v>
      </c>
      <c r="C2574" s="549"/>
      <c r="D2574" s="85">
        <f>VLOOKUP(A2574,'Equip, Herr y Transp'!$B$2:$E$217,2,0)</f>
        <v>2</v>
      </c>
      <c r="E2574" s="85" t="str">
        <f>VLOOKUP(A2574,'Equip, Herr y Transp'!$B$2:$E$217,3,0)</f>
        <v>EQU</v>
      </c>
      <c r="F2574" s="86">
        <f>H2564</f>
        <v>6.25E-2</v>
      </c>
      <c r="G2574" s="112" t="e">
        <f>F2574*E2574</f>
        <v>#VALUE!</v>
      </c>
      <c r="H2574" s="108"/>
    </row>
    <row r="2575" spans="1:14">
      <c r="A2575" s="517" t="s">
        <v>3904</v>
      </c>
      <c r="B2575" s="549">
        <f>VLOOKUP(A2575,'Equip, Herr y Transp'!$B$2:$E$738,2,0)</f>
        <v>2</v>
      </c>
      <c r="C2575" s="549"/>
      <c r="D2575" s="85">
        <f>VLOOKUP(A2575,'Equip, Herr y Transp'!$B$2:$E$217,2,0)</f>
        <v>2</v>
      </c>
      <c r="E2575" s="85" t="str">
        <f>VLOOKUP(A2575,'Equip, Herr y Transp'!$B$2:$E$217,3,0)</f>
        <v>EQU</v>
      </c>
      <c r="F2575" s="86">
        <f>H2564</f>
        <v>6.25E-2</v>
      </c>
      <c r="G2575" s="112" t="e">
        <f>F2575*E2575</f>
        <v>#VALUE!</v>
      </c>
      <c r="H2575" s="107"/>
    </row>
    <row r="2576" spans="1:14">
      <c r="A2576" s="517" t="s">
        <v>3937</v>
      </c>
      <c r="B2576" s="549">
        <f>VLOOKUP(A2576,'Equip, Herr y Transp'!$B$2:$E$738,2,0)</f>
        <v>2</v>
      </c>
      <c r="C2576" s="549"/>
      <c r="D2576" s="85">
        <f>VLOOKUP(A2576,'Equip, Herr y Transp'!$B$2:$E$217,2,0)</f>
        <v>2</v>
      </c>
      <c r="E2576" s="85" t="str">
        <f>VLOOKUP(A2576,'Equip, Herr y Transp'!$B$2:$E$217,3,0)</f>
        <v>EQU</v>
      </c>
      <c r="F2576" s="86">
        <f>H2564</f>
        <v>6.25E-2</v>
      </c>
      <c r="G2576" s="112" t="e">
        <f>F2576*E2576</f>
        <v>#VALUE!</v>
      </c>
      <c r="H2576" s="107"/>
    </row>
    <row r="2577" spans="1:15">
      <c r="A2577" s="520" t="s">
        <v>4099</v>
      </c>
      <c r="B2577" s="521"/>
      <c r="C2577" s="521"/>
      <c r="D2577" s="521"/>
      <c r="E2577" s="521"/>
      <c r="F2577" s="521"/>
      <c r="G2577" s="521"/>
      <c r="H2577" s="87" t="e">
        <f>SUM(G2574:G2576)</f>
        <v>#VALUE!</v>
      </c>
    </row>
    <row r="2578" spans="1:15">
      <c r="A2578" s="550" t="s">
        <v>4219</v>
      </c>
      <c r="B2578" s="551"/>
      <c r="C2578" s="551"/>
      <c r="D2578" s="551"/>
      <c r="E2578" s="551"/>
      <c r="F2578" s="551"/>
      <c r="G2578" s="551"/>
      <c r="H2578" s="552"/>
      <c r="K2578" s="50"/>
      <c r="L2578" s="50"/>
      <c r="M2578" s="50"/>
      <c r="N2578" s="50"/>
      <c r="O2578" s="50"/>
    </row>
    <row r="2579" spans="1:15" ht="30" customHeight="1">
      <c r="A2579" s="553" t="s">
        <v>7</v>
      </c>
      <c r="B2579" s="554"/>
      <c r="C2579" s="99" t="s">
        <v>0</v>
      </c>
      <c r="D2579" s="100" t="s">
        <v>4097</v>
      </c>
      <c r="E2579" s="101" t="s">
        <v>1</v>
      </c>
      <c r="F2579" s="555" t="s">
        <v>4207</v>
      </c>
      <c r="G2579" s="555"/>
      <c r="H2579" s="196"/>
      <c r="K2579" s="50"/>
      <c r="L2579" s="50"/>
      <c r="M2579" s="50"/>
      <c r="N2579" s="50"/>
      <c r="O2579" s="50"/>
    </row>
    <row r="2580" spans="1:15">
      <c r="A2580" s="535" t="s">
        <v>4568</v>
      </c>
      <c r="B2580" s="536"/>
      <c r="C2580" s="88">
        <f>VLOOKUP(A2580,'Materiales '!$C$2:$G$396,3,0)</f>
        <v>4</v>
      </c>
      <c r="D2580" s="89" t="str">
        <f>VLOOKUP(A2580,'Materiales '!$C$2:$G$396,4,0)</f>
        <v>Und</v>
      </c>
      <c r="E2580" s="90">
        <v>1</v>
      </c>
      <c r="F2580" s="508" t="e">
        <f>E2580*D2580</f>
        <v>#VALUE!</v>
      </c>
      <c r="G2580" s="519"/>
      <c r="H2580" s="111"/>
      <c r="I2580">
        <f>E2580*G2571</f>
        <v>0</v>
      </c>
      <c r="J2580" s="57"/>
      <c r="K2580" s="50"/>
      <c r="L2580" s="50"/>
      <c r="M2580" s="50"/>
      <c r="N2580" s="50"/>
      <c r="O2580" s="50"/>
    </row>
    <row r="2581" spans="1:15">
      <c r="A2581" s="535" t="s">
        <v>4203</v>
      </c>
      <c r="B2581" s="536"/>
      <c r="C2581" s="88">
        <f>VLOOKUP(A2581,'Materiales '!$C$2:$G$396,3,0)</f>
        <v>4</v>
      </c>
      <c r="D2581" s="89" t="str">
        <f>VLOOKUP(A2581,'Materiales '!$C$2:$G$396,4,0)</f>
        <v>Und</v>
      </c>
      <c r="E2581" s="90">
        <v>1</v>
      </c>
      <c r="F2581" s="508" t="e">
        <f t="shared" ref="F2581:F2587" si="151">E2581*D2581</f>
        <v>#VALUE!</v>
      </c>
      <c r="G2581" s="519"/>
      <c r="H2581" s="111"/>
      <c r="I2581">
        <f>E2581*G2571</f>
        <v>0</v>
      </c>
      <c r="J2581" s="57"/>
      <c r="K2581" s="50"/>
      <c r="L2581" s="50"/>
      <c r="M2581" s="50"/>
      <c r="N2581" s="50"/>
      <c r="O2581" s="50"/>
    </row>
    <row r="2582" spans="1:15">
      <c r="A2582" s="517" t="s">
        <v>4473</v>
      </c>
      <c r="B2582" s="518">
        <f>VLOOKUP(A2582,'Materiales '!$C$2:$G$396,3,0)</f>
        <v>4</v>
      </c>
      <c r="C2582" s="88">
        <f>VLOOKUP(A2582,'Materiales '!$C$2:$G$396,3,0)</f>
        <v>4</v>
      </c>
      <c r="D2582" s="89" t="str">
        <f>VLOOKUP(A2582,'Materiales '!$C$2:$G$396,4,0)</f>
        <v>Und</v>
      </c>
      <c r="E2582" s="90">
        <v>2</v>
      </c>
      <c r="F2582" s="508" t="e">
        <f t="shared" si="151"/>
        <v>#VALUE!</v>
      </c>
      <c r="G2582" s="519"/>
      <c r="H2582" s="111"/>
      <c r="I2582">
        <f>E2582*G2571</f>
        <v>0</v>
      </c>
      <c r="J2582" s="58"/>
      <c r="K2582" s="50"/>
      <c r="L2582" s="50"/>
      <c r="M2582" s="50"/>
      <c r="N2582" s="50"/>
      <c r="O2582" s="50"/>
    </row>
    <row r="2583" spans="1:15">
      <c r="A2583" s="517" t="s">
        <v>4478</v>
      </c>
      <c r="B2583" s="518">
        <f>VLOOKUP(A2583,'Materiales '!$C$2:$G$396,3,0)</f>
        <v>4</v>
      </c>
      <c r="C2583" s="88">
        <f>VLOOKUP(A2583,'Materiales '!$C$2:$G$396,3,0)</f>
        <v>4</v>
      </c>
      <c r="D2583" s="89" t="str">
        <f>VLOOKUP(A2583,'Materiales '!$C$2:$G$396,4,0)</f>
        <v>Und</v>
      </c>
      <c r="E2583" s="90">
        <v>3</v>
      </c>
      <c r="F2583" s="508" t="e">
        <f t="shared" si="151"/>
        <v>#VALUE!</v>
      </c>
      <c r="G2583" s="519"/>
      <c r="H2583" s="111"/>
      <c r="I2583">
        <f>E2583*G2571</f>
        <v>0</v>
      </c>
      <c r="J2583" s="58"/>
      <c r="K2583" s="50"/>
      <c r="L2583" s="50"/>
      <c r="M2583" s="50"/>
      <c r="N2583" s="50"/>
      <c r="O2583" s="50"/>
    </row>
    <row r="2584" spans="1:15">
      <c r="A2584" s="517" t="s">
        <v>4543</v>
      </c>
      <c r="B2584" s="518">
        <f>VLOOKUP(A2584,'Materiales '!$C$2:$G$396,3,0)</f>
        <v>4</v>
      </c>
      <c r="C2584" s="88">
        <f>VLOOKUP(A2584,'Materiales '!$C$2:$G$396,3,0)</f>
        <v>4</v>
      </c>
      <c r="D2584" s="89" t="str">
        <f>VLOOKUP(A2584,'Materiales '!$C$2:$G$396,4,0)</f>
        <v>Und</v>
      </c>
      <c r="E2584" s="90">
        <v>2</v>
      </c>
      <c r="F2584" s="508" t="e">
        <f t="shared" si="151"/>
        <v>#VALUE!</v>
      </c>
      <c r="G2584" s="519"/>
      <c r="H2584" s="111"/>
      <c r="I2584">
        <f>E2584*G2571</f>
        <v>0</v>
      </c>
      <c r="J2584" s="58"/>
      <c r="K2584" s="50"/>
      <c r="L2584" s="50"/>
      <c r="M2584" s="50"/>
      <c r="N2584" s="50"/>
      <c r="O2584" s="50"/>
    </row>
    <row r="2585" spans="1:15">
      <c r="A2585" s="517" t="s">
        <v>4439</v>
      </c>
      <c r="B2585" s="518">
        <f>VLOOKUP(A2585,'Materiales '!$C$2:$G$396,3,0)</f>
        <v>2</v>
      </c>
      <c r="C2585" s="88">
        <f>VLOOKUP(A2585,'Materiales '!$C$2:$G$396,3,0)</f>
        <v>2</v>
      </c>
      <c r="D2585" s="89" t="str">
        <f>VLOOKUP(A2585,'Materiales '!$C$2:$G$396,4,0)</f>
        <v>Ml</v>
      </c>
      <c r="E2585" s="90">
        <v>1</v>
      </c>
      <c r="F2585" s="508" t="e">
        <f t="shared" si="151"/>
        <v>#VALUE!</v>
      </c>
      <c r="G2585" s="519"/>
      <c r="H2585" s="111"/>
      <c r="I2585">
        <f>E2585*G2571</f>
        <v>0</v>
      </c>
      <c r="J2585" s="58"/>
      <c r="K2585" s="50"/>
      <c r="L2585" s="50"/>
      <c r="M2585" s="50"/>
      <c r="N2585" s="50"/>
      <c r="O2585" s="50"/>
    </row>
    <row r="2586" spans="1:15">
      <c r="A2586" s="517" t="s">
        <v>4482</v>
      </c>
      <c r="B2586" s="518">
        <f>VLOOKUP(A2586,'Materiales '!$C$2:$G$396,3,0)</f>
        <v>4</v>
      </c>
      <c r="C2586" s="88">
        <f>VLOOKUP(A2586,'Materiales '!$C$2:$G$396,3,0)</f>
        <v>4</v>
      </c>
      <c r="D2586" s="89" t="str">
        <f>VLOOKUP(A2586,'Materiales '!$C$2:$G$396,4,0)</f>
        <v>Und</v>
      </c>
      <c r="E2586" s="90">
        <v>3</v>
      </c>
      <c r="F2586" s="508" t="e">
        <f t="shared" si="151"/>
        <v>#VALUE!</v>
      </c>
      <c r="G2586" s="519"/>
      <c r="H2586" s="111"/>
      <c r="I2586">
        <f>E2586*G2571</f>
        <v>0</v>
      </c>
      <c r="J2586" s="58"/>
      <c r="K2586" s="50"/>
      <c r="L2586" s="50"/>
      <c r="M2586" s="50"/>
      <c r="N2586" s="50"/>
      <c r="O2586" s="50"/>
    </row>
    <row r="2587" spans="1:15" ht="21.75" customHeight="1">
      <c r="A2587" s="517" t="s">
        <v>4628</v>
      </c>
      <c r="B2587" s="518">
        <f>VLOOKUP(A2587,'Materiales '!$C$2:$G$396,3,0)</f>
        <v>4</v>
      </c>
      <c r="C2587" s="88">
        <f>VLOOKUP(A2587,'Materiales '!$C$2:$G$396,3,0)</f>
        <v>4</v>
      </c>
      <c r="D2587" s="89" t="str">
        <f>VLOOKUP(A2587,'Materiales '!$C$2:$G$396,4,0)</f>
        <v>Und</v>
      </c>
      <c r="E2587" s="90">
        <v>1</v>
      </c>
      <c r="F2587" s="508" t="e">
        <f t="shared" si="151"/>
        <v>#VALUE!</v>
      </c>
      <c r="G2587" s="519"/>
      <c r="H2587" s="111"/>
      <c r="I2587">
        <f>E2587*G2571</f>
        <v>0</v>
      </c>
      <c r="J2587" s="58"/>
      <c r="K2587" s="50"/>
      <c r="L2587" s="50"/>
      <c r="M2587" s="50"/>
      <c r="N2587" s="50"/>
      <c r="O2587" s="50"/>
    </row>
    <row r="2588" spans="1:15">
      <c r="A2588" s="517" t="s">
        <v>8</v>
      </c>
      <c r="B2588" s="518">
        <f>VLOOKUP(A2588,'Materiales '!$C$2:$G$396,3,0)</f>
        <v>0</v>
      </c>
      <c r="C2588" s="88">
        <f>VLOOKUP(A2588,'Materiales '!$C$2:$G$396,3,0)</f>
        <v>0</v>
      </c>
      <c r="D2588" s="89" t="str">
        <f>VLOOKUP(A2588,'Materiales '!$C$2:$G$396,4,0)</f>
        <v>-</v>
      </c>
      <c r="E2588" s="90"/>
      <c r="F2588" s="508" t="e">
        <f>E2588*D2588</f>
        <v>#VALUE!</v>
      </c>
      <c r="G2588" s="519"/>
      <c r="H2588" s="110"/>
      <c r="I2588">
        <f>E2588*G2571</f>
        <v>0</v>
      </c>
      <c r="J2588" s="58"/>
      <c r="K2588" s="50"/>
      <c r="L2588" s="50"/>
      <c r="M2588" s="50"/>
      <c r="N2588" s="50"/>
      <c r="O2588" s="50"/>
    </row>
    <row r="2589" spans="1:15">
      <c r="A2589" s="517" t="s">
        <v>8</v>
      </c>
      <c r="B2589" s="518">
        <f>VLOOKUP(A2589,'Materiales '!$C$2:$G$396,3,0)</f>
        <v>0</v>
      </c>
      <c r="C2589" s="88">
        <f>VLOOKUP(A2589,'Materiales '!$C$2:$G$396,3,0)</f>
        <v>0</v>
      </c>
      <c r="D2589" s="89" t="str">
        <f>VLOOKUP(A2589,'Materiales '!$C$2:$G$396,4,0)</f>
        <v>-</v>
      </c>
      <c r="E2589" s="90"/>
      <c r="F2589" s="508" t="e">
        <f t="shared" ref="F2589:F2592" si="152">E2589*D2589</f>
        <v>#VALUE!</v>
      </c>
      <c r="G2589" s="519"/>
      <c r="H2589" s="111"/>
      <c r="I2589">
        <f>E2589*G2571</f>
        <v>0</v>
      </c>
      <c r="J2589" s="58"/>
      <c r="K2589" s="50"/>
      <c r="L2589" s="50"/>
      <c r="M2589" s="50"/>
      <c r="N2589" s="50"/>
      <c r="O2589" s="50"/>
    </row>
    <row r="2590" spans="1:15">
      <c r="A2590" s="517" t="s">
        <v>8</v>
      </c>
      <c r="B2590" s="518">
        <f>VLOOKUP(A2590,'Materiales '!$C$2:$G$396,3,0)</f>
        <v>0</v>
      </c>
      <c r="C2590" s="88">
        <f>VLOOKUP(A2590,'Materiales '!$C$2:$G$396,3,0)</f>
        <v>0</v>
      </c>
      <c r="D2590" s="89" t="str">
        <f>VLOOKUP(A2590,'Materiales '!$C$2:$G$396,4,0)</f>
        <v>-</v>
      </c>
      <c r="E2590" s="90"/>
      <c r="F2590" s="508" t="e">
        <f t="shared" si="152"/>
        <v>#VALUE!</v>
      </c>
      <c r="G2590" s="519"/>
      <c r="H2590" s="111"/>
      <c r="I2590">
        <f>E2590*G2571</f>
        <v>0</v>
      </c>
      <c r="J2590" s="58"/>
      <c r="K2590" s="50"/>
      <c r="L2590" s="50"/>
      <c r="M2590" s="50"/>
      <c r="N2590" s="50"/>
      <c r="O2590" s="50"/>
    </row>
    <row r="2591" spans="1:15">
      <c r="A2591" s="517" t="s">
        <v>8</v>
      </c>
      <c r="B2591" s="518">
        <f>VLOOKUP(A2591,'Materiales '!$C$2:$G$396,3,0)</f>
        <v>0</v>
      </c>
      <c r="C2591" s="88">
        <f>VLOOKUP(A2591,'Materiales '!$C$2:$G$396,3,0)</f>
        <v>0</v>
      </c>
      <c r="D2591" s="89" t="str">
        <f>VLOOKUP(A2591,'Materiales '!$C$2:$G$396,4,0)</f>
        <v>-</v>
      </c>
      <c r="E2591" s="90"/>
      <c r="F2591" s="508" t="e">
        <f t="shared" si="152"/>
        <v>#VALUE!</v>
      </c>
      <c r="G2591" s="519"/>
      <c r="H2591" s="111"/>
      <c r="I2591">
        <f>E2591*G2571</f>
        <v>0</v>
      </c>
      <c r="J2591" s="58"/>
      <c r="K2591" s="50"/>
      <c r="L2591" s="50"/>
      <c r="M2591" s="50"/>
      <c r="N2591" s="50"/>
      <c r="O2591" s="50"/>
    </row>
    <row r="2592" spans="1:15">
      <c r="A2592" s="517" t="s">
        <v>8</v>
      </c>
      <c r="B2592" s="518">
        <f>VLOOKUP(A2592,'Materiales '!$C$2:$G$396,3,0)</f>
        <v>0</v>
      </c>
      <c r="C2592" s="88">
        <f>VLOOKUP(A2592,'Materiales '!$C$2:$G$396,3,0)</f>
        <v>0</v>
      </c>
      <c r="D2592" s="89" t="str">
        <f>VLOOKUP(A2592,'Materiales '!$C$2:$G$396,4,0)</f>
        <v>-</v>
      </c>
      <c r="E2592" s="90"/>
      <c r="F2592" s="508" t="e">
        <f t="shared" si="152"/>
        <v>#VALUE!</v>
      </c>
      <c r="G2592" s="519"/>
      <c r="H2592" s="111"/>
      <c r="I2592">
        <f>E2592*G2571</f>
        <v>0</v>
      </c>
      <c r="J2592" s="58"/>
      <c r="K2592" s="50"/>
      <c r="L2592" s="50"/>
      <c r="M2592" s="50"/>
      <c r="N2592" s="50"/>
      <c r="O2592" s="50"/>
    </row>
    <row r="2593" spans="1:15">
      <c r="A2593" s="517" t="s">
        <v>8</v>
      </c>
      <c r="B2593" s="518">
        <f>VLOOKUP(A2593,'Materiales '!$C$2:$G$396,3,0)</f>
        <v>0</v>
      </c>
      <c r="C2593" s="88">
        <f>VLOOKUP(A2593,'Materiales '!$C$2:$G$396,3,0)</f>
        <v>0</v>
      </c>
      <c r="D2593" s="89" t="str">
        <f>VLOOKUP(A2593,'Materiales '!$C$2:$G$396,4,0)</f>
        <v>-</v>
      </c>
      <c r="E2593" s="90"/>
      <c r="F2593" s="508" t="e">
        <f>E2593*D2593</f>
        <v>#VALUE!</v>
      </c>
      <c r="G2593" s="519"/>
      <c r="H2593" s="110"/>
      <c r="I2593">
        <f>E2593*G2571</f>
        <v>0</v>
      </c>
      <c r="J2593" s="58"/>
      <c r="K2593" s="50"/>
      <c r="L2593" s="50"/>
      <c r="M2593" s="50"/>
      <c r="N2593" s="50"/>
      <c r="O2593" s="50"/>
    </row>
    <row r="2594" spans="1:15">
      <c r="A2594" s="520" t="s">
        <v>4098</v>
      </c>
      <c r="B2594" s="521"/>
      <c r="C2594" s="521"/>
      <c r="D2594" s="521"/>
      <c r="E2594" s="521"/>
      <c r="F2594" s="521"/>
      <c r="G2594" s="522"/>
      <c r="H2594" s="106" t="e">
        <f>SUM(F2580:F2593)</f>
        <v>#VALUE!</v>
      </c>
      <c r="J2594" s="58"/>
      <c r="K2594" s="50"/>
      <c r="L2594" s="50"/>
      <c r="M2594" s="50"/>
      <c r="N2594" s="50"/>
      <c r="O2594" s="50"/>
    </row>
    <row r="2595" spans="1:15">
      <c r="A2595" s="523" t="s">
        <v>4220</v>
      </c>
      <c r="B2595" s="524"/>
      <c r="C2595" s="524"/>
      <c r="D2595" s="524"/>
      <c r="E2595" s="525"/>
      <c r="F2595" s="524"/>
      <c r="G2595" s="524"/>
      <c r="H2595" s="526"/>
      <c r="J2595" s="58"/>
      <c r="K2595" s="50"/>
      <c r="L2595" s="50"/>
      <c r="M2595" s="50"/>
      <c r="N2595" s="50"/>
      <c r="O2595" s="50"/>
    </row>
    <row r="2596" spans="1:15">
      <c r="A2596" s="527" t="s">
        <v>7</v>
      </c>
      <c r="B2596" s="528"/>
      <c r="C2596" s="98" t="s">
        <v>4221</v>
      </c>
      <c r="D2596" s="97" t="s">
        <v>4222</v>
      </c>
      <c r="E2596" s="187" t="s">
        <v>4223</v>
      </c>
      <c r="F2596" s="529" t="s">
        <v>4207</v>
      </c>
      <c r="G2596" s="529"/>
      <c r="H2596" s="109"/>
      <c r="K2596" s="50"/>
      <c r="L2596" s="50"/>
      <c r="M2596" s="50"/>
      <c r="N2596" s="50"/>
      <c r="O2596" s="50"/>
    </row>
    <row r="2597" spans="1:15">
      <c r="A2597" s="506" t="s">
        <v>3928</v>
      </c>
      <c r="B2597" s="507"/>
      <c r="C2597" s="213">
        <v>1</v>
      </c>
      <c r="D2597" s="92">
        <v>0.03</v>
      </c>
      <c r="E2597" s="93" t="str">
        <f>VLOOKUP(A2597,'Equip, Herr y Transp'!$B$2:$E$217,3,0)</f>
        <v>TR</v>
      </c>
      <c r="F2597" s="530" t="e">
        <f>E2597*D2597*C2597</f>
        <v>#VALUE!</v>
      </c>
      <c r="G2597" s="531"/>
      <c r="H2597" s="107"/>
      <c r="M2597" s="50"/>
    </row>
    <row r="2598" spans="1:15">
      <c r="A2598" s="532" t="s">
        <v>4205</v>
      </c>
      <c r="B2598" s="533"/>
      <c r="C2598" s="533"/>
      <c r="D2598" s="533"/>
      <c r="E2598" s="533"/>
      <c r="F2598" s="533"/>
      <c r="G2598" s="533"/>
      <c r="H2598" s="95" t="e">
        <f>F2597</f>
        <v>#VALUE!</v>
      </c>
    </row>
    <row r="2599" spans="1:15">
      <c r="A2599" s="523" t="s">
        <v>4224</v>
      </c>
      <c r="B2599" s="524"/>
      <c r="C2599" s="524"/>
      <c r="D2599" s="524"/>
      <c r="E2599" s="524"/>
      <c r="F2599" s="524"/>
      <c r="G2599" s="524"/>
      <c r="H2599" s="526"/>
    </row>
    <row r="2600" spans="1:15">
      <c r="A2600" s="527" t="s">
        <v>7</v>
      </c>
      <c r="B2600" s="528"/>
      <c r="C2600" s="96" t="s">
        <v>1</v>
      </c>
      <c r="D2600" s="97" t="s">
        <v>4225</v>
      </c>
      <c r="E2600" s="98" t="s">
        <v>4204</v>
      </c>
      <c r="F2600" s="527" t="s">
        <v>5</v>
      </c>
      <c r="G2600" s="534"/>
      <c r="H2600" s="109"/>
    </row>
    <row r="2601" spans="1:15">
      <c r="A2601" s="506" t="s">
        <v>4191</v>
      </c>
      <c r="B2601" s="507"/>
      <c r="C2601" s="91">
        <v>1</v>
      </c>
      <c r="D2601" s="94">
        <f>VLOOKUP(A2601,'Mano Obra'!$B$2:$T$117,19,0)</f>
        <v>152456</v>
      </c>
      <c r="E2601" s="218">
        <f>H2564</f>
        <v>6.25E-2</v>
      </c>
      <c r="F2601" s="508">
        <f>E2601*D2601*C2601</f>
        <v>9528.5</v>
      </c>
      <c r="G2601" s="509"/>
      <c r="H2601" s="111"/>
      <c r="I2601" s="59"/>
      <c r="J2601" s="117">
        <f>((('Mano Obra'!$M$4/30)*F2601)/D2601)*G2571</f>
        <v>0</v>
      </c>
    </row>
    <row r="2602" spans="1:15">
      <c r="A2602" s="510" t="s">
        <v>4192</v>
      </c>
      <c r="B2602" s="511">
        <f>VLOOKUP(A2602,'Mano Obra'!$B$3:$D$290,2,0)</f>
        <v>1900000</v>
      </c>
      <c r="C2602" s="91">
        <v>1</v>
      </c>
      <c r="D2602" s="94">
        <f>VLOOKUP(A2602,'Mano Obra'!$B$2:$T$117,19,0)</f>
        <v>110488</v>
      </c>
      <c r="E2602" s="218">
        <f>H2564</f>
        <v>6.25E-2</v>
      </c>
      <c r="F2602" s="508">
        <f t="shared" ref="F2602:F2603" si="153">E2602*D2602*C2602</f>
        <v>6905.5</v>
      </c>
      <c r="G2602" s="509"/>
      <c r="H2602" s="111"/>
      <c r="J2602" s="117">
        <f>((('Mano Obra'!$M$5/30)*F2602)/D2602)*G2571</f>
        <v>0</v>
      </c>
    </row>
    <row r="2603" spans="1:15">
      <c r="A2603" s="510" t="s">
        <v>4181</v>
      </c>
      <c r="B2603" s="511">
        <f>VLOOKUP(A2603,'Mano Obra'!$B$3:$D$290,2,0)</f>
        <v>1000000</v>
      </c>
      <c r="C2603" s="91">
        <v>1</v>
      </c>
      <c r="D2603" s="94">
        <f>VLOOKUP(A2603,'Mano Obra'!$B$2:$T$117,19,0)</f>
        <v>67424</v>
      </c>
      <c r="E2603" s="218">
        <f>H2564</f>
        <v>6.25E-2</v>
      </c>
      <c r="F2603" s="508">
        <f t="shared" si="153"/>
        <v>4214</v>
      </c>
      <c r="G2603" s="509"/>
      <c r="H2603" s="110"/>
      <c r="J2603" s="117">
        <f>((('Mano Obra'!$M$6/30)*F2603)/D2603)*G2571</f>
        <v>0</v>
      </c>
    </row>
    <row r="2604" spans="1:15">
      <c r="A2604" s="512" t="s">
        <v>4100</v>
      </c>
      <c r="B2604" s="512"/>
      <c r="C2604" s="512"/>
      <c r="D2604" s="512"/>
      <c r="E2604" s="512"/>
      <c r="F2604" s="512"/>
      <c r="G2604" s="512"/>
      <c r="H2604" s="95">
        <f>SUM(F2601:F2603)</f>
        <v>20648</v>
      </c>
      <c r="J2604" s="117"/>
    </row>
    <row r="2605" spans="1:15">
      <c r="A2605" s="208" t="s">
        <v>4226</v>
      </c>
      <c r="B2605" s="186"/>
      <c r="C2605" s="186"/>
      <c r="D2605" s="183"/>
      <c r="E2605" s="184"/>
      <c r="F2605" s="185"/>
      <c r="G2605" s="184"/>
      <c r="H2605" s="193"/>
    </row>
    <row r="2606" spans="1:15">
      <c r="A2606" s="513" t="s">
        <v>4213</v>
      </c>
      <c r="B2606" s="514"/>
      <c r="C2606" s="514"/>
      <c r="D2606" s="514"/>
      <c r="E2606" s="181"/>
      <c r="F2606" s="182" t="s">
        <v>4227</v>
      </c>
      <c r="G2606" s="181" t="s">
        <v>4228</v>
      </c>
      <c r="H2606" s="194"/>
    </row>
    <row r="2607" spans="1:15">
      <c r="A2607" s="204" t="s">
        <v>4096</v>
      </c>
      <c r="B2607" s="62"/>
      <c r="C2607" s="62"/>
      <c r="D2607" s="63"/>
      <c r="E2607" s="68"/>
      <c r="F2607" s="69">
        <v>0</v>
      </c>
      <c r="G2607" s="70" t="e">
        <f>F2607*H2572</f>
        <v>#VALUE!</v>
      </c>
      <c r="H2607" s="193"/>
    </row>
    <row r="2608" spans="1:15">
      <c r="A2608" s="205" t="s">
        <v>4229</v>
      </c>
      <c r="B2608" s="71"/>
      <c r="C2608" s="71"/>
      <c r="D2608" s="72"/>
      <c r="E2608" s="68"/>
      <c r="F2608" s="69">
        <v>0</v>
      </c>
      <c r="G2608" s="70" t="e">
        <f>F2608*H2572</f>
        <v>#VALUE!</v>
      </c>
      <c r="H2608" s="193"/>
    </row>
    <row r="2609" spans="1:14">
      <c r="A2609" s="205" t="s">
        <v>4</v>
      </c>
      <c r="B2609" s="71"/>
      <c r="C2609" s="71"/>
      <c r="D2609" s="72"/>
      <c r="E2609" s="68"/>
      <c r="F2609" s="69">
        <v>0</v>
      </c>
      <c r="G2609" s="70" t="e">
        <f>F2609*H2572</f>
        <v>#VALUE!</v>
      </c>
      <c r="H2609" s="193"/>
    </row>
    <row r="2610" spans="1:14">
      <c r="A2610" s="206"/>
      <c r="B2610" s="73"/>
      <c r="C2610" s="65"/>
      <c r="D2610" s="74"/>
      <c r="E2610" s="75"/>
      <c r="F2610" s="76"/>
      <c r="G2610" s="77"/>
      <c r="H2610" s="195"/>
    </row>
    <row r="2611" spans="1:14">
      <c r="A2611" s="207"/>
      <c r="B2611" s="73"/>
      <c r="C2611" s="73"/>
      <c r="D2611" s="74"/>
      <c r="E2611" s="78"/>
      <c r="F2611" s="515" t="s">
        <v>4230</v>
      </c>
      <c r="G2611" s="516"/>
      <c r="H2611" s="214" t="e">
        <f>H2572+G2607+G2608+G2609</f>
        <v>#VALUE!</v>
      </c>
    </row>
    <row r="2612" spans="1:14">
      <c r="A2612" s="73"/>
      <c r="B2612" s="73"/>
      <c r="C2612" s="73"/>
      <c r="D2612" s="74"/>
      <c r="E2612" s="360"/>
      <c r="F2612" s="361"/>
      <c r="G2612" s="361"/>
      <c r="H2612" s="362"/>
    </row>
    <row r="2613" spans="1:14">
      <c r="A2613" s="80"/>
      <c r="B2613" s="80"/>
      <c r="C2613" s="80"/>
      <c r="D2613" s="80"/>
      <c r="E2613" s="80"/>
      <c r="F2613" s="80"/>
      <c r="G2613" s="80"/>
      <c r="H2613" s="353"/>
    </row>
    <row r="2614" spans="1:14">
      <c r="A2614" s="537" t="s">
        <v>4214</v>
      </c>
      <c r="B2614" s="538"/>
      <c r="C2614" s="538"/>
      <c r="D2614" s="538"/>
      <c r="E2614" s="538"/>
      <c r="F2614" s="538"/>
      <c r="G2614" s="538"/>
      <c r="H2614" s="539"/>
    </row>
    <row r="2615" spans="1:14">
      <c r="A2615" s="81"/>
      <c r="B2615" s="82"/>
      <c r="C2615" s="82"/>
      <c r="D2615" s="82"/>
      <c r="E2615" s="82"/>
      <c r="F2615" s="83"/>
      <c r="G2615" s="84"/>
      <c r="H2615" s="352">
        <f>ROUND((30/60)/8,4)</f>
        <v>6.25E-2</v>
      </c>
      <c r="I2615" s="105"/>
    </row>
    <row r="2616" spans="1:14">
      <c r="A2616" s="540" t="s">
        <v>4209</v>
      </c>
      <c r="B2616" s="542" t="str">
        <f>COSTOS!$C$14</f>
        <v>MODERNIZACION A TECNOLOGIA LED</v>
      </c>
      <c r="C2616" s="542"/>
      <c r="D2616" s="542"/>
      <c r="E2616" s="542"/>
      <c r="F2616" s="542"/>
      <c r="G2616" s="542"/>
      <c r="H2616" s="543" t="s">
        <v>4210</v>
      </c>
    </row>
    <row r="2617" spans="1:14">
      <c r="A2617" s="541"/>
      <c r="B2617" s="542"/>
      <c r="C2617" s="542"/>
      <c r="D2617" s="542"/>
      <c r="E2617" s="542"/>
      <c r="F2617" s="542"/>
      <c r="G2617" s="542"/>
      <c r="H2617" s="543"/>
    </row>
    <row r="2618" spans="1:14">
      <c r="A2618" s="541"/>
      <c r="B2618" s="542"/>
      <c r="C2618" s="542"/>
      <c r="D2618" s="542"/>
      <c r="E2618" s="542"/>
      <c r="F2618" s="542"/>
      <c r="G2618" s="542"/>
      <c r="H2618" s="543"/>
    </row>
    <row r="2619" spans="1:14" ht="15" customHeight="1">
      <c r="A2619" s="541"/>
      <c r="B2619" s="542"/>
      <c r="C2619" s="542"/>
      <c r="D2619" s="542"/>
      <c r="E2619" s="542"/>
      <c r="F2619" s="542"/>
      <c r="G2619" s="542"/>
      <c r="H2619" s="197">
        <f ca="1">TODAY()</f>
        <v>44889</v>
      </c>
      <c r="K2619" t="s">
        <v>4380</v>
      </c>
      <c r="L2619" t="s">
        <v>4381</v>
      </c>
      <c r="M2619" t="s">
        <v>4382</v>
      </c>
      <c r="N2619" t="s">
        <v>4383</v>
      </c>
    </row>
    <row r="2620" spans="1:14" ht="60.75" customHeight="1">
      <c r="A2620" s="209" t="s">
        <v>4211</v>
      </c>
      <c r="B2620" s="544" t="str">
        <f>COSTOS!$D$16</f>
        <v>Luminarias</v>
      </c>
      <c r="C2620" s="544"/>
      <c r="D2620" s="544"/>
      <c r="E2620" s="544"/>
      <c r="F2620" s="544"/>
      <c r="G2620" s="60" t="s">
        <v>4212</v>
      </c>
      <c r="H2620" s="363">
        <v>1.52</v>
      </c>
      <c r="K2620" s="55" t="e">
        <f>H2645</f>
        <v>#VALUE!</v>
      </c>
      <c r="L2620" s="55">
        <f>H2655</f>
        <v>20648</v>
      </c>
      <c r="M2620" s="55" t="e">
        <f>H2628</f>
        <v>#VALUE!</v>
      </c>
      <c r="N2620" s="55" t="e">
        <f>H2649</f>
        <v>#VALUE!</v>
      </c>
    </row>
    <row r="2621" spans="1:14" ht="43.2" customHeight="1">
      <c r="A2621" s="210" t="s">
        <v>4213</v>
      </c>
      <c r="B2621" s="545" t="str">
        <f>VLOOKUP(H2620,COSTOS!C:M,2,0)</f>
        <v>Reflector Led 20w</v>
      </c>
      <c r="C2621" s="546"/>
      <c r="D2621" s="546"/>
      <c r="E2621" s="547"/>
      <c r="F2621" s="61" t="s">
        <v>0</v>
      </c>
      <c r="G2621" s="328" t="str">
        <f>VLOOKUP(H2620,COSTOS!C:M,8,0)</f>
        <v>Und</v>
      </c>
      <c r="H2621" s="248"/>
      <c r="I2621" s="278"/>
      <c r="J2621" s="280"/>
      <c r="K2621" s="280"/>
      <c r="L2621" s="280"/>
    </row>
    <row r="2622" spans="1:14">
      <c r="A2622" s="211"/>
      <c r="B2622" s="102"/>
      <c r="C2622" s="102"/>
      <c r="D2622" s="102"/>
      <c r="E2622" s="103"/>
      <c r="F2622" s="104" t="s">
        <v>1</v>
      </c>
      <c r="G2622" s="328">
        <f>VLOOKUP(H2620,COSTOS!C:M,9,0)</f>
        <v>0</v>
      </c>
      <c r="H2622" s="329"/>
      <c r="I2622" s="279"/>
    </row>
    <row r="2623" spans="1:14">
      <c r="A2623" s="212" t="s">
        <v>4215</v>
      </c>
      <c r="B2623" s="65"/>
      <c r="C2623" s="65"/>
      <c r="D2623" s="66"/>
      <c r="E2623" s="190"/>
      <c r="F2623" s="191"/>
      <c r="G2623" s="192" t="s">
        <v>4216</v>
      </c>
      <c r="H2623" s="198" t="e">
        <f>H2628+H2645+H2649+H2655</f>
        <v>#VALUE!</v>
      </c>
    </row>
    <row r="2624" spans="1:14" ht="41.4">
      <c r="A2624" s="548" t="s">
        <v>4213</v>
      </c>
      <c r="B2624" s="548"/>
      <c r="C2624" s="548"/>
      <c r="D2624" s="67" t="s">
        <v>0</v>
      </c>
      <c r="E2624" s="188" t="s">
        <v>4217</v>
      </c>
      <c r="F2624" s="189" t="s">
        <v>4204</v>
      </c>
      <c r="G2624" s="64" t="s">
        <v>2</v>
      </c>
      <c r="H2624" s="199" t="s">
        <v>4218</v>
      </c>
      <c r="K2624" s="281"/>
    </row>
    <row r="2625" spans="1:15">
      <c r="A2625" s="517" t="s">
        <v>3946</v>
      </c>
      <c r="B2625" s="549">
        <f>VLOOKUP(A2625,'Equip, Herr y Transp'!$B$2:$E$738,2,0)</f>
        <v>2</v>
      </c>
      <c r="C2625" s="549"/>
      <c r="D2625" s="85">
        <f>VLOOKUP(A2625,'Equip, Herr y Transp'!$B$2:$E$217,2,0)</f>
        <v>2</v>
      </c>
      <c r="E2625" s="85" t="str">
        <f>VLOOKUP(A2625,'Equip, Herr y Transp'!$B$2:$E$217,3,0)</f>
        <v>EQU</v>
      </c>
      <c r="F2625" s="86">
        <f>H2615</f>
        <v>6.25E-2</v>
      </c>
      <c r="G2625" s="112" t="e">
        <f>F2625*E2625</f>
        <v>#VALUE!</v>
      </c>
      <c r="H2625" s="108"/>
    </row>
    <row r="2626" spans="1:15">
      <c r="A2626" s="517" t="s">
        <v>3904</v>
      </c>
      <c r="B2626" s="549">
        <f>VLOOKUP(A2626,'Equip, Herr y Transp'!$B$2:$E$738,2,0)</f>
        <v>2</v>
      </c>
      <c r="C2626" s="549"/>
      <c r="D2626" s="85">
        <f>VLOOKUP(A2626,'Equip, Herr y Transp'!$B$2:$E$217,2,0)</f>
        <v>2</v>
      </c>
      <c r="E2626" s="85" t="str">
        <f>VLOOKUP(A2626,'Equip, Herr y Transp'!$B$2:$E$217,3,0)</f>
        <v>EQU</v>
      </c>
      <c r="F2626" s="86">
        <f>H2615</f>
        <v>6.25E-2</v>
      </c>
      <c r="G2626" s="112" t="e">
        <f>F2626*E2626</f>
        <v>#VALUE!</v>
      </c>
      <c r="H2626" s="107"/>
    </row>
    <row r="2627" spans="1:15">
      <c r="A2627" s="517" t="s">
        <v>3937</v>
      </c>
      <c r="B2627" s="549">
        <f>VLOOKUP(A2627,'Equip, Herr y Transp'!$B$2:$E$738,2,0)</f>
        <v>2</v>
      </c>
      <c r="C2627" s="549"/>
      <c r="D2627" s="85">
        <f>VLOOKUP(A2627,'Equip, Herr y Transp'!$B$2:$E$217,2,0)</f>
        <v>2</v>
      </c>
      <c r="E2627" s="85" t="str">
        <f>VLOOKUP(A2627,'Equip, Herr y Transp'!$B$2:$E$217,3,0)</f>
        <v>EQU</v>
      </c>
      <c r="F2627" s="86">
        <f>H2615</f>
        <v>6.25E-2</v>
      </c>
      <c r="G2627" s="112" t="e">
        <f>F2627*E2627</f>
        <v>#VALUE!</v>
      </c>
      <c r="H2627" s="107"/>
    </row>
    <row r="2628" spans="1:15">
      <c r="A2628" s="520" t="s">
        <v>4099</v>
      </c>
      <c r="B2628" s="521"/>
      <c r="C2628" s="521"/>
      <c r="D2628" s="521"/>
      <c r="E2628" s="521"/>
      <c r="F2628" s="521"/>
      <c r="G2628" s="521"/>
      <c r="H2628" s="87" t="e">
        <f>SUM(G2625:G2627)</f>
        <v>#VALUE!</v>
      </c>
    </row>
    <row r="2629" spans="1:15">
      <c r="A2629" s="550" t="s">
        <v>4219</v>
      </c>
      <c r="B2629" s="551"/>
      <c r="C2629" s="551"/>
      <c r="D2629" s="551"/>
      <c r="E2629" s="551"/>
      <c r="F2629" s="551"/>
      <c r="G2629" s="551"/>
      <c r="H2629" s="552"/>
      <c r="K2629" s="50"/>
      <c r="L2629" s="50"/>
      <c r="M2629" s="50"/>
      <c r="N2629" s="50"/>
      <c r="O2629" s="50"/>
    </row>
    <row r="2630" spans="1:15" ht="30" customHeight="1">
      <c r="A2630" s="553" t="s">
        <v>7</v>
      </c>
      <c r="B2630" s="554"/>
      <c r="C2630" s="99" t="s">
        <v>0</v>
      </c>
      <c r="D2630" s="100" t="s">
        <v>4097</v>
      </c>
      <c r="E2630" s="101" t="s">
        <v>1</v>
      </c>
      <c r="F2630" s="555" t="s">
        <v>4207</v>
      </c>
      <c r="G2630" s="555"/>
      <c r="H2630" s="196"/>
      <c r="K2630" s="50"/>
      <c r="L2630" s="50"/>
      <c r="M2630" s="50"/>
      <c r="N2630" s="50"/>
      <c r="O2630" s="50"/>
    </row>
    <row r="2631" spans="1:15">
      <c r="A2631" s="535" t="s">
        <v>4751</v>
      </c>
      <c r="B2631" s="536"/>
      <c r="C2631" s="88">
        <f>VLOOKUP(A2631,'Materiales '!$C$2:$G$396,3,0)</f>
        <v>4</v>
      </c>
      <c r="D2631" s="89" t="str">
        <f>VLOOKUP(A2631,'Materiales '!$C$2:$G$396,4,0)</f>
        <v>Und</v>
      </c>
      <c r="E2631" s="90">
        <v>1</v>
      </c>
      <c r="F2631" s="508" t="e">
        <f>E2631*D2631</f>
        <v>#VALUE!</v>
      </c>
      <c r="G2631" s="519"/>
      <c r="H2631" s="111"/>
      <c r="I2631">
        <f>E2631*G2622</f>
        <v>0</v>
      </c>
      <c r="J2631" s="57"/>
      <c r="K2631" s="50"/>
      <c r="L2631" s="50"/>
      <c r="M2631" s="50"/>
      <c r="N2631" s="50"/>
      <c r="O2631" s="50"/>
    </row>
    <row r="2632" spans="1:15">
      <c r="A2632" s="535" t="s">
        <v>4203</v>
      </c>
      <c r="B2632" s="536"/>
      <c r="C2632" s="88">
        <f>VLOOKUP(A2632,'Materiales '!$C$2:$G$396,3,0)</f>
        <v>4</v>
      </c>
      <c r="D2632" s="89" t="str">
        <f>VLOOKUP(A2632,'Materiales '!$C$2:$G$396,4,0)</f>
        <v>Und</v>
      </c>
      <c r="E2632" s="90">
        <v>1</v>
      </c>
      <c r="F2632" s="508" t="e">
        <f t="shared" ref="F2632:F2638" si="154">E2632*D2632</f>
        <v>#VALUE!</v>
      </c>
      <c r="G2632" s="519"/>
      <c r="H2632" s="111"/>
      <c r="I2632">
        <f>E2632*G2622</f>
        <v>0</v>
      </c>
      <c r="J2632" s="57"/>
      <c r="K2632" s="50"/>
      <c r="L2632" s="50"/>
      <c r="M2632" s="50"/>
      <c r="N2632" s="50"/>
      <c r="O2632" s="50"/>
    </row>
    <row r="2633" spans="1:15">
      <c r="A2633" s="517" t="s">
        <v>4473</v>
      </c>
      <c r="B2633" s="518">
        <f>VLOOKUP(A2633,'Materiales '!$C$2:$G$396,3,0)</f>
        <v>4</v>
      </c>
      <c r="C2633" s="88">
        <f>VLOOKUP(A2633,'Materiales '!$C$2:$G$396,3,0)</f>
        <v>4</v>
      </c>
      <c r="D2633" s="89" t="str">
        <f>VLOOKUP(A2633,'Materiales '!$C$2:$G$396,4,0)</f>
        <v>Und</v>
      </c>
      <c r="E2633" s="90">
        <v>2</v>
      </c>
      <c r="F2633" s="508" t="e">
        <f t="shared" si="154"/>
        <v>#VALUE!</v>
      </c>
      <c r="G2633" s="519"/>
      <c r="H2633" s="111"/>
      <c r="I2633">
        <f>E2633*G2622</f>
        <v>0</v>
      </c>
      <c r="J2633" s="58"/>
      <c r="K2633" s="50"/>
      <c r="L2633" s="50"/>
      <c r="M2633" s="50"/>
      <c r="N2633" s="50"/>
      <c r="O2633" s="50"/>
    </row>
    <row r="2634" spans="1:15">
      <c r="A2634" s="517" t="s">
        <v>4478</v>
      </c>
      <c r="B2634" s="518">
        <f>VLOOKUP(A2634,'Materiales '!$C$2:$G$396,3,0)</f>
        <v>4</v>
      </c>
      <c r="C2634" s="88">
        <f>VLOOKUP(A2634,'Materiales '!$C$2:$G$396,3,0)</f>
        <v>4</v>
      </c>
      <c r="D2634" s="89" t="str">
        <f>VLOOKUP(A2634,'Materiales '!$C$2:$G$396,4,0)</f>
        <v>Und</v>
      </c>
      <c r="E2634" s="90">
        <v>3</v>
      </c>
      <c r="F2634" s="508" t="e">
        <f t="shared" si="154"/>
        <v>#VALUE!</v>
      </c>
      <c r="G2634" s="519"/>
      <c r="H2634" s="111"/>
      <c r="I2634">
        <f>E2634*G2622</f>
        <v>0</v>
      </c>
      <c r="J2634" s="58"/>
      <c r="K2634" s="50"/>
      <c r="L2634" s="50"/>
      <c r="M2634" s="50"/>
      <c r="N2634" s="50"/>
      <c r="O2634" s="50"/>
    </row>
    <row r="2635" spans="1:15">
      <c r="A2635" s="517" t="s">
        <v>4543</v>
      </c>
      <c r="B2635" s="518">
        <f>VLOOKUP(A2635,'Materiales '!$C$2:$G$396,3,0)</f>
        <v>4</v>
      </c>
      <c r="C2635" s="88">
        <f>VLOOKUP(A2635,'Materiales '!$C$2:$G$396,3,0)</f>
        <v>4</v>
      </c>
      <c r="D2635" s="89" t="str">
        <f>VLOOKUP(A2635,'Materiales '!$C$2:$G$396,4,0)</f>
        <v>Und</v>
      </c>
      <c r="E2635" s="90">
        <v>2</v>
      </c>
      <c r="F2635" s="508" t="e">
        <f t="shared" si="154"/>
        <v>#VALUE!</v>
      </c>
      <c r="G2635" s="519"/>
      <c r="H2635" s="111"/>
      <c r="I2635">
        <f>E2635*G2622</f>
        <v>0</v>
      </c>
      <c r="J2635" s="58"/>
      <c r="K2635" s="50"/>
      <c r="L2635" s="50"/>
      <c r="M2635" s="50"/>
      <c r="N2635" s="50"/>
      <c r="O2635" s="50"/>
    </row>
    <row r="2636" spans="1:15">
      <c r="A2636" s="517" t="s">
        <v>4439</v>
      </c>
      <c r="B2636" s="518">
        <f>VLOOKUP(A2636,'Materiales '!$C$2:$G$396,3,0)</f>
        <v>2</v>
      </c>
      <c r="C2636" s="88">
        <f>VLOOKUP(A2636,'Materiales '!$C$2:$G$396,3,0)</f>
        <v>2</v>
      </c>
      <c r="D2636" s="89" t="str">
        <f>VLOOKUP(A2636,'Materiales '!$C$2:$G$396,4,0)</f>
        <v>Ml</v>
      </c>
      <c r="E2636" s="90">
        <v>1</v>
      </c>
      <c r="F2636" s="508" t="e">
        <f t="shared" si="154"/>
        <v>#VALUE!</v>
      </c>
      <c r="G2636" s="519"/>
      <c r="H2636" s="111"/>
      <c r="I2636">
        <f>E2636*G2622</f>
        <v>0</v>
      </c>
      <c r="J2636" s="58"/>
      <c r="K2636" s="50"/>
      <c r="L2636" s="50"/>
      <c r="M2636" s="50"/>
      <c r="N2636" s="50"/>
      <c r="O2636" s="50"/>
    </row>
    <row r="2637" spans="1:15">
      <c r="A2637" s="517" t="s">
        <v>4482</v>
      </c>
      <c r="B2637" s="518">
        <f>VLOOKUP(A2637,'Materiales '!$C$2:$G$396,3,0)</f>
        <v>4</v>
      </c>
      <c r="C2637" s="88">
        <f>VLOOKUP(A2637,'Materiales '!$C$2:$G$396,3,0)</f>
        <v>4</v>
      </c>
      <c r="D2637" s="89" t="str">
        <f>VLOOKUP(A2637,'Materiales '!$C$2:$G$396,4,0)</f>
        <v>Und</v>
      </c>
      <c r="E2637" s="90">
        <v>3</v>
      </c>
      <c r="F2637" s="508" t="e">
        <f t="shared" si="154"/>
        <v>#VALUE!</v>
      </c>
      <c r="G2637" s="519"/>
      <c r="H2637" s="111"/>
      <c r="I2637">
        <f>E2637*G2622</f>
        <v>0</v>
      </c>
      <c r="J2637" s="58"/>
      <c r="K2637" s="50"/>
      <c r="L2637" s="50"/>
      <c r="M2637" s="50"/>
      <c r="N2637" s="50"/>
      <c r="O2637" s="50"/>
    </row>
    <row r="2638" spans="1:15" ht="21.75" customHeight="1">
      <c r="A2638" s="517" t="s">
        <v>4628</v>
      </c>
      <c r="B2638" s="518">
        <f>VLOOKUP(A2638,'Materiales '!$C$2:$G$396,3,0)</f>
        <v>4</v>
      </c>
      <c r="C2638" s="88">
        <f>VLOOKUP(A2638,'Materiales '!$C$2:$G$396,3,0)</f>
        <v>4</v>
      </c>
      <c r="D2638" s="89" t="str">
        <f>VLOOKUP(A2638,'Materiales '!$C$2:$G$396,4,0)</f>
        <v>Und</v>
      </c>
      <c r="E2638" s="90">
        <v>1</v>
      </c>
      <c r="F2638" s="508" t="e">
        <f t="shared" si="154"/>
        <v>#VALUE!</v>
      </c>
      <c r="G2638" s="519"/>
      <c r="H2638" s="111"/>
      <c r="I2638">
        <f>E2638*G2622</f>
        <v>0</v>
      </c>
      <c r="J2638" s="58"/>
      <c r="K2638" s="50"/>
      <c r="L2638" s="50"/>
      <c r="M2638" s="50"/>
      <c r="N2638" s="50"/>
      <c r="O2638" s="50"/>
    </row>
    <row r="2639" spans="1:15">
      <c r="A2639" s="517" t="s">
        <v>8</v>
      </c>
      <c r="B2639" s="518">
        <f>VLOOKUP(A2639,'Materiales '!$C$2:$G$396,3,0)</f>
        <v>0</v>
      </c>
      <c r="C2639" s="88">
        <f>VLOOKUP(A2639,'Materiales '!$C$2:$G$396,3,0)</f>
        <v>0</v>
      </c>
      <c r="D2639" s="89" t="str">
        <f>VLOOKUP(A2639,'Materiales '!$C$2:$G$396,4,0)</f>
        <v>-</v>
      </c>
      <c r="E2639" s="90"/>
      <c r="F2639" s="508" t="e">
        <f>E2639*D2639</f>
        <v>#VALUE!</v>
      </c>
      <c r="G2639" s="519"/>
      <c r="H2639" s="110"/>
      <c r="I2639">
        <f>E2639*G2622</f>
        <v>0</v>
      </c>
      <c r="J2639" s="58"/>
      <c r="K2639" s="50"/>
      <c r="L2639" s="50"/>
      <c r="M2639" s="50"/>
      <c r="N2639" s="50"/>
      <c r="O2639" s="50"/>
    </row>
    <row r="2640" spans="1:15">
      <c r="A2640" s="517" t="s">
        <v>8</v>
      </c>
      <c r="B2640" s="518">
        <f>VLOOKUP(A2640,'Materiales '!$C$2:$G$396,3,0)</f>
        <v>0</v>
      </c>
      <c r="C2640" s="88">
        <f>VLOOKUP(A2640,'Materiales '!$C$2:$G$396,3,0)</f>
        <v>0</v>
      </c>
      <c r="D2640" s="89" t="str">
        <f>VLOOKUP(A2640,'Materiales '!$C$2:$G$396,4,0)</f>
        <v>-</v>
      </c>
      <c r="E2640" s="90"/>
      <c r="F2640" s="508" t="e">
        <f t="shared" ref="F2640:F2643" si="155">E2640*D2640</f>
        <v>#VALUE!</v>
      </c>
      <c r="G2640" s="519"/>
      <c r="H2640" s="111"/>
      <c r="I2640">
        <f>E2640*G2622</f>
        <v>0</v>
      </c>
      <c r="J2640" s="58"/>
      <c r="K2640" s="50"/>
      <c r="L2640" s="50"/>
      <c r="M2640" s="50"/>
      <c r="N2640" s="50"/>
      <c r="O2640" s="50"/>
    </row>
    <row r="2641" spans="1:15">
      <c r="A2641" s="517" t="s">
        <v>8</v>
      </c>
      <c r="B2641" s="518">
        <f>VLOOKUP(A2641,'Materiales '!$C$2:$G$396,3,0)</f>
        <v>0</v>
      </c>
      <c r="C2641" s="88">
        <f>VLOOKUP(A2641,'Materiales '!$C$2:$G$396,3,0)</f>
        <v>0</v>
      </c>
      <c r="D2641" s="89" t="str">
        <f>VLOOKUP(A2641,'Materiales '!$C$2:$G$396,4,0)</f>
        <v>-</v>
      </c>
      <c r="E2641" s="90"/>
      <c r="F2641" s="508" t="e">
        <f t="shared" si="155"/>
        <v>#VALUE!</v>
      </c>
      <c r="G2641" s="519"/>
      <c r="H2641" s="111"/>
      <c r="I2641">
        <f>E2641*G2622</f>
        <v>0</v>
      </c>
      <c r="J2641" s="58"/>
      <c r="K2641" s="50"/>
      <c r="L2641" s="50"/>
      <c r="M2641" s="50"/>
      <c r="N2641" s="50"/>
      <c r="O2641" s="50"/>
    </row>
    <row r="2642" spans="1:15">
      <c r="A2642" s="517" t="s">
        <v>8</v>
      </c>
      <c r="B2642" s="518">
        <f>VLOOKUP(A2642,'Materiales '!$C$2:$G$396,3,0)</f>
        <v>0</v>
      </c>
      <c r="C2642" s="88">
        <f>VLOOKUP(A2642,'Materiales '!$C$2:$G$396,3,0)</f>
        <v>0</v>
      </c>
      <c r="D2642" s="89" t="str">
        <f>VLOOKUP(A2642,'Materiales '!$C$2:$G$396,4,0)</f>
        <v>-</v>
      </c>
      <c r="E2642" s="90"/>
      <c r="F2642" s="508" t="e">
        <f t="shared" si="155"/>
        <v>#VALUE!</v>
      </c>
      <c r="G2642" s="519"/>
      <c r="H2642" s="111"/>
      <c r="I2642">
        <f>E2642*G2622</f>
        <v>0</v>
      </c>
      <c r="J2642" s="58"/>
      <c r="K2642" s="50"/>
      <c r="L2642" s="50"/>
      <c r="M2642" s="50"/>
      <c r="N2642" s="50"/>
      <c r="O2642" s="50"/>
    </row>
    <row r="2643" spans="1:15">
      <c r="A2643" s="517" t="s">
        <v>8</v>
      </c>
      <c r="B2643" s="518">
        <f>VLOOKUP(A2643,'Materiales '!$C$2:$G$396,3,0)</f>
        <v>0</v>
      </c>
      <c r="C2643" s="88">
        <f>VLOOKUP(A2643,'Materiales '!$C$2:$G$396,3,0)</f>
        <v>0</v>
      </c>
      <c r="D2643" s="89" t="str">
        <f>VLOOKUP(A2643,'Materiales '!$C$2:$G$396,4,0)</f>
        <v>-</v>
      </c>
      <c r="E2643" s="90"/>
      <c r="F2643" s="508" t="e">
        <f t="shared" si="155"/>
        <v>#VALUE!</v>
      </c>
      <c r="G2643" s="519"/>
      <c r="H2643" s="111"/>
      <c r="I2643">
        <f>E2643*G2622</f>
        <v>0</v>
      </c>
      <c r="J2643" s="58"/>
      <c r="K2643" s="50"/>
      <c r="L2643" s="50"/>
      <c r="M2643" s="50"/>
      <c r="N2643" s="50"/>
      <c r="O2643" s="50"/>
    </row>
    <row r="2644" spans="1:15">
      <c r="A2644" s="517" t="s">
        <v>8</v>
      </c>
      <c r="B2644" s="518">
        <f>VLOOKUP(A2644,'Materiales '!$C$2:$G$396,3,0)</f>
        <v>0</v>
      </c>
      <c r="C2644" s="88">
        <f>VLOOKUP(A2644,'Materiales '!$C$2:$G$396,3,0)</f>
        <v>0</v>
      </c>
      <c r="D2644" s="89" t="str">
        <f>VLOOKUP(A2644,'Materiales '!$C$2:$G$396,4,0)</f>
        <v>-</v>
      </c>
      <c r="E2644" s="90"/>
      <c r="F2644" s="508" t="e">
        <f>E2644*D2644</f>
        <v>#VALUE!</v>
      </c>
      <c r="G2644" s="519"/>
      <c r="H2644" s="110"/>
      <c r="I2644">
        <f>E2644*G2622</f>
        <v>0</v>
      </c>
      <c r="J2644" s="58"/>
      <c r="K2644" s="50"/>
      <c r="L2644" s="50"/>
      <c r="M2644" s="50"/>
      <c r="N2644" s="50"/>
      <c r="O2644" s="50"/>
    </row>
    <row r="2645" spans="1:15">
      <c r="A2645" s="520" t="s">
        <v>4098</v>
      </c>
      <c r="B2645" s="521"/>
      <c r="C2645" s="521"/>
      <c r="D2645" s="521"/>
      <c r="E2645" s="521"/>
      <c r="F2645" s="521"/>
      <c r="G2645" s="522"/>
      <c r="H2645" s="106" t="e">
        <f>SUM(F2631:F2644)</f>
        <v>#VALUE!</v>
      </c>
      <c r="J2645" s="58"/>
      <c r="K2645" s="50"/>
      <c r="L2645" s="50"/>
      <c r="M2645" s="50"/>
      <c r="N2645" s="50"/>
      <c r="O2645" s="50"/>
    </row>
    <row r="2646" spans="1:15">
      <c r="A2646" s="523" t="s">
        <v>4220</v>
      </c>
      <c r="B2646" s="524"/>
      <c r="C2646" s="524"/>
      <c r="D2646" s="524"/>
      <c r="E2646" s="525"/>
      <c r="F2646" s="524"/>
      <c r="G2646" s="524"/>
      <c r="H2646" s="526"/>
      <c r="J2646" s="58"/>
      <c r="K2646" s="50"/>
      <c r="L2646" s="50"/>
      <c r="M2646" s="50"/>
      <c r="N2646" s="50"/>
      <c r="O2646" s="50"/>
    </row>
    <row r="2647" spans="1:15">
      <c r="A2647" s="527" t="s">
        <v>7</v>
      </c>
      <c r="B2647" s="528"/>
      <c r="C2647" s="98" t="s">
        <v>4221</v>
      </c>
      <c r="D2647" s="97" t="s">
        <v>4222</v>
      </c>
      <c r="E2647" s="187" t="s">
        <v>4223</v>
      </c>
      <c r="F2647" s="529" t="s">
        <v>4207</v>
      </c>
      <c r="G2647" s="529"/>
      <c r="H2647" s="109"/>
      <c r="K2647" s="50"/>
      <c r="L2647" s="50"/>
      <c r="M2647" s="50"/>
      <c r="N2647" s="50"/>
      <c r="O2647" s="50"/>
    </row>
    <row r="2648" spans="1:15">
      <c r="A2648" s="506" t="s">
        <v>3928</v>
      </c>
      <c r="B2648" s="507"/>
      <c r="C2648" s="213">
        <v>1</v>
      </c>
      <c r="D2648" s="92">
        <v>0.03</v>
      </c>
      <c r="E2648" s="93" t="str">
        <f>VLOOKUP(A2648,'Equip, Herr y Transp'!$B$2:$E$217,3,0)</f>
        <v>TR</v>
      </c>
      <c r="F2648" s="530" t="e">
        <f>E2648*D2648*C2648</f>
        <v>#VALUE!</v>
      </c>
      <c r="G2648" s="531"/>
      <c r="H2648" s="107"/>
      <c r="M2648" s="50"/>
    </row>
    <row r="2649" spans="1:15">
      <c r="A2649" s="532" t="s">
        <v>4205</v>
      </c>
      <c r="B2649" s="533"/>
      <c r="C2649" s="533"/>
      <c r="D2649" s="533"/>
      <c r="E2649" s="533"/>
      <c r="F2649" s="533"/>
      <c r="G2649" s="533"/>
      <c r="H2649" s="95" t="e">
        <f>F2648</f>
        <v>#VALUE!</v>
      </c>
    </row>
    <row r="2650" spans="1:15">
      <c r="A2650" s="523" t="s">
        <v>4224</v>
      </c>
      <c r="B2650" s="524"/>
      <c r="C2650" s="524"/>
      <c r="D2650" s="524"/>
      <c r="E2650" s="524"/>
      <c r="F2650" s="524"/>
      <c r="G2650" s="524"/>
      <c r="H2650" s="526"/>
    </row>
    <row r="2651" spans="1:15">
      <c r="A2651" s="527" t="s">
        <v>7</v>
      </c>
      <c r="B2651" s="528"/>
      <c r="C2651" s="96" t="s">
        <v>1</v>
      </c>
      <c r="D2651" s="97" t="s">
        <v>4225</v>
      </c>
      <c r="E2651" s="98" t="s">
        <v>4204</v>
      </c>
      <c r="F2651" s="527" t="s">
        <v>5</v>
      </c>
      <c r="G2651" s="534"/>
      <c r="H2651" s="109"/>
    </row>
    <row r="2652" spans="1:15">
      <c r="A2652" s="506" t="s">
        <v>4191</v>
      </c>
      <c r="B2652" s="507"/>
      <c r="C2652" s="91">
        <v>1</v>
      </c>
      <c r="D2652" s="94">
        <f>VLOOKUP(A2652,'Mano Obra'!$B$2:$T$117,19,0)</f>
        <v>152456</v>
      </c>
      <c r="E2652" s="218">
        <f>H2615</f>
        <v>6.25E-2</v>
      </c>
      <c r="F2652" s="508">
        <f>E2652*D2652*C2652</f>
        <v>9528.5</v>
      </c>
      <c r="G2652" s="509"/>
      <c r="H2652" s="111"/>
      <c r="I2652" s="59"/>
      <c r="J2652" s="117">
        <f>((('Mano Obra'!$M$4/30)*F2652)/D2652)*G2622</f>
        <v>0</v>
      </c>
    </row>
    <row r="2653" spans="1:15">
      <c r="A2653" s="510" t="s">
        <v>4192</v>
      </c>
      <c r="B2653" s="511">
        <f>VLOOKUP(A2653,'Mano Obra'!$B$3:$D$290,2,0)</f>
        <v>1900000</v>
      </c>
      <c r="C2653" s="91">
        <v>1</v>
      </c>
      <c r="D2653" s="94">
        <f>VLOOKUP(A2653,'Mano Obra'!$B$2:$T$117,19,0)</f>
        <v>110488</v>
      </c>
      <c r="E2653" s="218">
        <f>H2615</f>
        <v>6.25E-2</v>
      </c>
      <c r="F2653" s="508">
        <f t="shared" ref="F2653:F2654" si="156">E2653*D2653*C2653</f>
        <v>6905.5</v>
      </c>
      <c r="G2653" s="509"/>
      <c r="H2653" s="111"/>
      <c r="J2653" s="117">
        <f>((('Mano Obra'!$M$5/30)*F2653)/D2653)*G2622</f>
        <v>0</v>
      </c>
    </row>
    <row r="2654" spans="1:15">
      <c r="A2654" s="510" t="s">
        <v>4181</v>
      </c>
      <c r="B2654" s="511">
        <f>VLOOKUP(A2654,'Mano Obra'!$B$3:$D$290,2,0)</f>
        <v>1000000</v>
      </c>
      <c r="C2654" s="91">
        <v>1</v>
      </c>
      <c r="D2654" s="94">
        <f>VLOOKUP(A2654,'Mano Obra'!$B$2:$T$117,19,0)</f>
        <v>67424</v>
      </c>
      <c r="E2654" s="218">
        <f>H2615</f>
        <v>6.25E-2</v>
      </c>
      <c r="F2654" s="508">
        <f t="shared" si="156"/>
        <v>4214</v>
      </c>
      <c r="G2654" s="509"/>
      <c r="H2654" s="110"/>
      <c r="J2654" s="117">
        <f>((('Mano Obra'!$M$6/30)*F2654)/D2654)*G2622</f>
        <v>0</v>
      </c>
    </row>
    <row r="2655" spans="1:15">
      <c r="A2655" s="512" t="s">
        <v>4100</v>
      </c>
      <c r="B2655" s="512"/>
      <c r="C2655" s="512"/>
      <c r="D2655" s="512"/>
      <c r="E2655" s="512"/>
      <c r="F2655" s="512"/>
      <c r="G2655" s="512"/>
      <c r="H2655" s="95">
        <f>SUM(F2652:F2654)</f>
        <v>20648</v>
      </c>
      <c r="J2655" s="117"/>
    </row>
    <row r="2656" spans="1:15">
      <c r="A2656" s="208" t="s">
        <v>4226</v>
      </c>
      <c r="B2656" s="186"/>
      <c r="C2656" s="186"/>
      <c r="D2656" s="183"/>
      <c r="E2656" s="184"/>
      <c r="F2656" s="185"/>
      <c r="G2656" s="184"/>
      <c r="H2656" s="193"/>
    </row>
    <row r="2657" spans="1:14">
      <c r="A2657" s="513" t="s">
        <v>4213</v>
      </c>
      <c r="B2657" s="514"/>
      <c r="C2657" s="514"/>
      <c r="D2657" s="514"/>
      <c r="E2657" s="181"/>
      <c r="F2657" s="182" t="s">
        <v>4227</v>
      </c>
      <c r="G2657" s="181" t="s">
        <v>4228</v>
      </c>
      <c r="H2657" s="194"/>
    </row>
    <row r="2658" spans="1:14">
      <c r="A2658" s="204" t="s">
        <v>4096</v>
      </c>
      <c r="B2658" s="62"/>
      <c r="C2658" s="62"/>
      <c r="D2658" s="63"/>
      <c r="E2658" s="68"/>
      <c r="F2658" s="69">
        <v>0</v>
      </c>
      <c r="G2658" s="70" t="e">
        <f>F2658*H2623</f>
        <v>#VALUE!</v>
      </c>
      <c r="H2658" s="193"/>
    </row>
    <row r="2659" spans="1:14">
      <c r="A2659" s="205" t="s">
        <v>4229</v>
      </c>
      <c r="B2659" s="71"/>
      <c r="C2659" s="71"/>
      <c r="D2659" s="72"/>
      <c r="E2659" s="68"/>
      <c r="F2659" s="69">
        <v>0</v>
      </c>
      <c r="G2659" s="70" t="e">
        <f>F2659*H2623</f>
        <v>#VALUE!</v>
      </c>
      <c r="H2659" s="193"/>
    </row>
    <row r="2660" spans="1:14">
      <c r="A2660" s="205" t="s">
        <v>4</v>
      </c>
      <c r="B2660" s="71"/>
      <c r="C2660" s="71"/>
      <c r="D2660" s="72"/>
      <c r="E2660" s="68"/>
      <c r="F2660" s="69">
        <v>0</v>
      </c>
      <c r="G2660" s="70" t="e">
        <f>F2660*H2623</f>
        <v>#VALUE!</v>
      </c>
      <c r="H2660" s="193"/>
    </row>
    <row r="2661" spans="1:14">
      <c r="A2661" s="206"/>
      <c r="B2661" s="73"/>
      <c r="C2661" s="65"/>
      <c r="D2661" s="74"/>
      <c r="E2661" s="75"/>
      <c r="F2661" s="76"/>
      <c r="G2661" s="77"/>
      <c r="H2661" s="195"/>
    </row>
    <row r="2662" spans="1:14">
      <c r="A2662" s="207"/>
      <c r="B2662" s="73"/>
      <c r="C2662" s="73"/>
      <c r="D2662" s="74"/>
      <c r="E2662" s="78"/>
      <c r="F2662" s="515" t="s">
        <v>4230</v>
      </c>
      <c r="G2662" s="516"/>
      <c r="H2662" s="214" t="e">
        <f>H2623+G2658+G2659+G2660</f>
        <v>#VALUE!</v>
      </c>
    </row>
    <row r="2663" spans="1:14">
      <c r="A2663" s="73"/>
      <c r="B2663" s="73"/>
      <c r="C2663" s="73"/>
      <c r="D2663" s="74"/>
      <c r="E2663" s="360"/>
      <c r="F2663" s="361"/>
      <c r="G2663" s="361"/>
      <c r="H2663" s="362"/>
    </row>
    <row r="2664" spans="1:14">
      <c r="A2664" s="80"/>
      <c r="B2664" s="80"/>
      <c r="C2664" s="80"/>
      <c r="D2664" s="80"/>
      <c r="E2664" s="80"/>
      <c r="F2664" s="80"/>
      <c r="G2664" s="80"/>
      <c r="H2664" s="353"/>
    </row>
    <row r="2665" spans="1:14">
      <c r="A2665" s="537" t="s">
        <v>4214</v>
      </c>
      <c r="B2665" s="538"/>
      <c r="C2665" s="538"/>
      <c r="D2665" s="538"/>
      <c r="E2665" s="538"/>
      <c r="F2665" s="538"/>
      <c r="G2665" s="538"/>
      <c r="H2665" s="539"/>
    </row>
    <row r="2666" spans="1:14">
      <c r="A2666" s="81"/>
      <c r="B2666" s="82"/>
      <c r="C2666" s="82"/>
      <c r="D2666" s="82"/>
      <c r="E2666" s="82"/>
      <c r="F2666" s="83"/>
      <c r="G2666" s="84"/>
      <c r="H2666" s="352">
        <f>ROUND((30/60)/8,4)</f>
        <v>6.25E-2</v>
      </c>
      <c r="I2666" s="105"/>
    </row>
    <row r="2667" spans="1:14">
      <c r="A2667" s="540" t="s">
        <v>4209</v>
      </c>
      <c r="B2667" s="542" t="str">
        <f>COSTOS!$C$14</f>
        <v>MODERNIZACION A TECNOLOGIA LED</v>
      </c>
      <c r="C2667" s="542"/>
      <c r="D2667" s="542"/>
      <c r="E2667" s="542"/>
      <c r="F2667" s="542"/>
      <c r="G2667" s="542"/>
      <c r="H2667" s="543" t="s">
        <v>4210</v>
      </c>
    </row>
    <row r="2668" spans="1:14">
      <c r="A2668" s="541"/>
      <c r="B2668" s="542"/>
      <c r="C2668" s="542"/>
      <c r="D2668" s="542"/>
      <c r="E2668" s="542"/>
      <c r="F2668" s="542"/>
      <c r="G2668" s="542"/>
      <c r="H2668" s="543"/>
    </row>
    <row r="2669" spans="1:14">
      <c r="A2669" s="541"/>
      <c r="B2669" s="542"/>
      <c r="C2669" s="542"/>
      <c r="D2669" s="542"/>
      <c r="E2669" s="542"/>
      <c r="F2669" s="542"/>
      <c r="G2669" s="542"/>
      <c r="H2669" s="543"/>
    </row>
    <row r="2670" spans="1:14" ht="15" customHeight="1">
      <c r="A2670" s="541"/>
      <c r="B2670" s="542"/>
      <c r="C2670" s="542"/>
      <c r="D2670" s="542"/>
      <c r="E2670" s="542"/>
      <c r="F2670" s="542"/>
      <c r="G2670" s="542"/>
      <c r="H2670" s="197">
        <f ca="1">TODAY()</f>
        <v>44889</v>
      </c>
      <c r="K2670" t="s">
        <v>4380</v>
      </c>
      <c r="L2670" t="s">
        <v>4381</v>
      </c>
      <c r="M2670" t="s">
        <v>4382</v>
      </c>
      <c r="N2670" t="s">
        <v>4383</v>
      </c>
    </row>
    <row r="2671" spans="1:14" ht="60.75" customHeight="1">
      <c r="A2671" s="209" t="s">
        <v>4211</v>
      </c>
      <c r="B2671" s="544" t="str">
        <f>COSTOS!$D$16</f>
        <v>Luminarias</v>
      </c>
      <c r="C2671" s="544"/>
      <c r="D2671" s="544"/>
      <c r="E2671" s="544"/>
      <c r="F2671" s="544"/>
      <c r="G2671" s="60" t="s">
        <v>4212</v>
      </c>
      <c r="H2671" s="363">
        <v>1.53</v>
      </c>
      <c r="K2671" s="55" t="e">
        <f>H2696</f>
        <v>#VALUE!</v>
      </c>
      <c r="L2671" s="55">
        <f>H2706</f>
        <v>20648</v>
      </c>
      <c r="M2671" s="55" t="e">
        <f>H2679</f>
        <v>#VALUE!</v>
      </c>
      <c r="N2671" s="55" t="e">
        <f>H2700</f>
        <v>#VALUE!</v>
      </c>
    </row>
    <row r="2672" spans="1:14" ht="43.2" customHeight="1">
      <c r="A2672" s="210" t="s">
        <v>4213</v>
      </c>
      <c r="B2672" s="545" t="str">
        <f>VLOOKUP(H2671,COSTOS!C:M,2,0)</f>
        <v>Reflector Led 160w onoff</v>
      </c>
      <c r="C2672" s="546"/>
      <c r="D2672" s="546"/>
      <c r="E2672" s="547"/>
      <c r="F2672" s="61" t="s">
        <v>0</v>
      </c>
      <c r="G2672" s="328" t="str">
        <f>VLOOKUP(H2671,COSTOS!C:M,8,0)</f>
        <v>Und</v>
      </c>
      <c r="H2672" s="248"/>
      <c r="I2672" s="278"/>
      <c r="J2672" s="280"/>
      <c r="K2672" s="280"/>
      <c r="L2672" s="280"/>
    </row>
    <row r="2673" spans="1:15">
      <c r="A2673" s="211"/>
      <c r="B2673" s="102"/>
      <c r="C2673" s="102"/>
      <c r="D2673" s="102"/>
      <c r="E2673" s="103"/>
      <c r="F2673" s="104" t="s">
        <v>1</v>
      </c>
      <c r="G2673" s="328">
        <f>VLOOKUP(H2671,COSTOS!C:M,9,0)</f>
        <v>0</v>
      </c>
      <c r="H2673" s="329"/>
      <c r="I2673" s="279"/>
    </row>
    <row r="2674" spans="1:15">
      <c r="A2674" s="212" t="s">
        <v>4215</v>
      </c>
      <c r="B2674" s="65"/>
      <c r="C2674" s="65"/>
      <c r="D2674" s="66"/>
      <c r="E2674" s="190"/>
      <c r="F2674" s="191"/>
      <c r="G2674" s="192" t="s">
        <v>4216</v>
      </c>
      <c r="H2674" s="198" t="e">
        <f>H2679+H2696+H2700+H2706</f>
        <v>#VALUE!</v>
      </c>
    </row>
    <row r="2675" spans="1:15" ht="41.4">
      <c r="A2675" s="548" t="s">
        <v>4213</v>
      </c>
      <c r="B2675" s="548"/>
      <c r="C2675" s="548"/>
      <c r="D2675" s="67" t="s">
        <v>0</v>
      </c>
      <c r="E2675" s="188" t="s">
        <v>4217</v>
      </c>
      <c r="F2675" s="189" t="s">
        <v>4204</v>
      </c>
      <c r="G2675" s="64" t="s">
        <v>2</v>
      </c>
      <c r="H2675" s="199" t="s">
        <v>4218</v>
      </c>
      <c r="K2675" s="281"/>
    </row>
    <row r="2676" spans="1:15">
      <c r="A2676" s="517" t="s">
        <v>3946</v>
      </c>
      <c r="B2676" s="549">
        <f>VLOOKUP(A2676,'Equip, Herr y Transp'!$B$2:$E$738,2,0)</f>
        <v>2</v>
      </c>
      <c r="C2676" s="549"/>
      <c r="D2676" s="85">
        <f>VLOOKUP(A2676,'Equip, Herr y Transp'!$B$2:$E$217,2,0)</f>
        <v>2</v>
      </c>
      <c r="E2676" s="85" t="str">
        <f>VLOOKUP(A2676,'Equip, Herr y Transp'!$B$2:$E$217,3,0)</f>
        <v>EQU</v>
      </c>
      <c r="F2676" s="86">
        <f>H2666</f>
        <v>6.25E-2</v>
      </c>
      <c r="G2676" s="112" t="e">
        <f>F2676*E2676</f>
        <v>#VALUE!</v>
      </c>
      <c r="H2676" s="108"/>
    </row>
    <row r="2677" spans="1:15">
      <c r="A2677" s="517" t="s">
        <v>3904</v>
      </c>
      <c r="B2677" s="549">
        <f>VLOOKUP(A2677,'Equip, Herr y Transp'!$B$2:$E$738,2,0)</f>
        <v>2</v>
      </c>
      <c r="C2677" s="549"/>
      <c r="D2677" s="85">
        <f>VLOOKUP(A2677,'Equip, Herr y Transp'!$B$2:$E$217,2,0)</f>
        <v>2</v>
      </c>
      <c r="E2677" s="85" t="str">
        <f>VLOOKUP(A2677,'Equip, Herr y Transp'!$B$2:$E$217,3,0)</f>
        <v>EQU</v>
      </c>
      <c r="F2677" s="86">
        <f>H2666</f>
        <v>6.25E-2</v>
      </c>
      <c r="G2677" s="112" t="e">
        <f>F2677*E2677</f>
        <v>#VALUE!</v>
      </c>
      <c r="H2677" s="107"/>
    </row>
    <row r="2678" spans="1:15">
      <c r="A2678" s="517" t="s">
        <v>3937</v>
      </c>
      <c r="B2678" s="549">
        <f>VLOOKUP(A2678,'Equip, Herr y Transp'!$B$2:$E$738,2,0)</f>
        <v>2</v>
      </c>
      <c r="C2678" s="549"/>
      <c r="D2678" s="85">
        <f>VLOOKUP(A2678,'Equip, Herr y Transp'!$B$2:$E$217,2,0)</f>
        <v>2</v>
      </c>
      <c r="E2678" s="85" t="str">
        <f>VLOOKUP(A2678,'Equip, Herr y Transp'!$B$2:$E$217,3,0)</f>
        <v>EQU</v>
      </c>
      <c r="F2678" s="86">
        <f>H2666</f>
        <v>6.25E-2</v>
      </c>
      <c r="G2678" s="112" t="e">
        <f>F2678*E2678</f>
        <v>#VALUE!</v>
      </c>
      <c r="H2678" s="107"/>
    </row>
    <row r="2679" spans="1:15">
      <c r="A2679" s="520" t="s">
        <v>4099</v>
      </c>
      <c r="B2679" s="521"/>
      <c r="C2679" s="521"/>
      <c r="D2679" s="521"/>
      <c r="E2679" s="521"/>
      <c r="F2679" s="521"/>
      <c r="G2679" s="521"/>
      <c r="H2679" s="87" t="e">
        <f>SUM(G2676:G2678)</f>
        <v>#VALUE!</v>
      </c>
    </row>
    <row r="2680" spans="1:15">
      <c r="A2680" s="550" t="s">
        <v>4219</v>
      </c>
      <c r="B2680" s="551"/>
      <c r="C2680" s="551"/>
      <c r="D2680" s="551"/>
      <c r="E2680" s="551"/>
      <c r="F2680" s="551"/>
      <c r="G2680" s="551"/>
      <c r="H2680" s="552"/>
      <c r="K2680" s="50"/>
      <c r="L2680" s="50"/>
      <c r="M2680" s="50"/>
      <c r="N2680" s="50"/>
      <c r="O2680" s="50"/>
    </row>
    <row r="2681" spans="1:15" ht="30" customHeight="1">
      <c r="A2681" s="553" t="s">
        <v>7</v>
      </c>
      <c r="B2681" s="554"/>
      <c r="C2681" s="99" t="s">
        <v>0</v>
      </c>
      <c r="D2681" s="100" t="s">
        <v>4097</v>
      </c>
      <c r="E2681" s="101" t="s">
        <v>1</v>
      </c>
      <c r="F2681" s="555" t="s">
        <v>4207</v>
      </c>
      <c r="G2681" s="555"/>
      <c r="H2681" s="196"/>
      <c r="K2681" s="50"/>
      <c r="L2681" s="50"/>
      <c r="M2681" s="50"/>
      <c r="N2681" s="50"/>
      <c r="O2681" s="50"/>
    </row>
    <row r="2682" spans="1:15">
      <c r="A2682" s="535" t="s">
        <v>4752</v>
      </c>
      <c r="B2682" s="536"/>
      <c r="C2682" s="88">
        <f>VLOOKUP(A2682,'Materiales '!$C$2:$G$396,3,0)</f>
        <v>4</v>
      </c>
      <c r="D2682" s="89" t="str">
        <f>VLOOKUP(A2682,'Materiales '!$C$2:$G$396,4,0)</f>
        <v>Und</v>
      </c>
      <c r="E2682" s="90">
        <v>1</v>
      </c>
      <c r="F2682" s="508" t="e">
        <f>E2682*D2682</f>
        <v>#VALUE!</v>
      </c>
      <c r="G2682" s="519"/>
      <c r="H2682" s="111"/>
      <c r="I2682">
        <f>E2682*G2673</f>
        <v>0</v>
      </c>
      <c r="J2682" s="57"/>
      <c r="K2682" s="50"/>
      <c r="L2682" s="50"/>
      <c r="M2682" s="50"/>
      <c r="N2682" s="50"/>
      <c r="O2682" s="50"/>
    </row>
    <row r="2683" spans="1:15">
      <c r="A2683" s="535" t="s">
        <v>4203</v>
      </c>
      <c r="B2683" s="536"/>
      <c r="C2683" s="88">
        <f>VLOOKUP(A2683,'Materiales '!$C$2:$G$396,3,0)</f>
        <v>4</v>
      </c>
      <c r="D2683" s="89" t="str">
        <f>VLOOKUP(A2683,'Materiales '!$C$2:$G$396,4,0)</f>
        <v>Und</v>
      </c>
      <c r="E2683" s="90">
        <v>1</v>
      </c>
      <c r="F2683" s="508" t="e">
        <f t="shared" ref="F2683:F2689" si="157">E2683*D2683</f>
        <v>#VALUE!</v>
      </c>
      <c r="G2683" s="519"/>
      <c r="H2683" s="111"/>
      <c r="I2683">
        <f>E2683*G2673</f>
        <v>0</v>
      </c>
      <c r="J2683" s="57"/>
      <c r="K2683" s="50"/>
      <c r="L2683" s="50"/>
      <c r="M2683" s="50"/>
      <c r="N2683" s="50"/>
      <c r="O2683" s="50"/>
    </row>
    <row r="2684" spans="1:15">
      <c r="A2684" s="517" t="s">
        <v>4473</v>
      </c>
      <c r="B2684" s="518">
        <f>VLOOKUP(A2684,'Materiales '!$C$2:$G$396,3,0)</f>
        <v>4</v>
      </c>
      <c r="C2684" s="88">
        <f>VLOOKUP(A2684,'Materiales '!$C$2:$G$396,3,0)</f>
        <v>4</v>
      </c>
      <c r="D2684" s="89" t="str">
        <f>VLOOKUP(A2684,'Materiales '!$C$2:$G$396,4,0)</f>
        <v>Und</v>
      </c>
      <c r="E2684" s="90">
        <v>2</v>
      </c>
      <c r="F2684" s="508" t="e">
        <f t="shared" si="157"/>
        <v>#VALUE!</v>
      </c>
      <c r="G2684" s="519"/>
      <c r="H2684" s="111"/>
      <c r="I2684">
        <f>E2684*G2673</f>
        <v>0</v>
      </c>
      <c r="J2684" s="58"/>
      <c r="K2684" s="50"/>
      <c r="L2684" s="50"/>
      <c r="M2684" s="50"/>
      <c r="N2684" s="50"/>
      <c r="O2684" s="50"/>
    </row>
    <row r="2685" spans="1:15">
      <c r="A2685" s="517" t="s">
        <v>4478</v>
      </c>
      <c r="B2685" s="518">
        <f>VLOOKUP(A2685,'Materiales '!$C$2:$G$396,3,0)</f>
        <v>4</v>
      </c>
      <c r="C2685" s="88">
        <f>VLOOKUP(A2685,'Materiales '!$C$2:$G$396,3,0)</f>
        <v>4</v>
      </c>
      <c r="D2685" s="89" t="str">
        <f>VLOOKUP(A2685,'Materiales '!$C$2:$G$396,4,0)</f>
        <v>Und</v>
      </c>
      <c r="E2685" s="90">
        <v>3</v>
      </c>
      <c r="F2685" s="508" t="e">
        <f t="shared" si="157"/>
        <v>#VALUE!</v>
      </c>
      <c r="G2685" s="519"/>
      <c r="H2685" s="111"/>
      <c r="I2685">
        <f>E2685*G2673</f>
        <v>0</v>
      </c>
      <c r="J2685" s="58"/>
      <c r="K2685" s="50"/>
      <c r="L2685" s="50"/>
      <c r="M2685" s="50"/>
      <c r="N2685" s="50"/>
      <c r="O2685" s="50"/>
    </row>
    <row r="2686" spans="1:15">
      <c r="A2686" s="517" t="s">
        <v>4543</v>
      </c>
      <c r="B2686" s="518">
        <f>VLOOKUP(A2686,'Materiales '!$C$2:$G$396,3,0)</f>
        <v>4</v>
      </c>
      <c r="C2686" s="88">
        <f>VLOOKUP(A2686,'Materiales '!$C$2:$G$396,3,0)</f>
        <v>4</v>
      </c>
      <c r="D2686" s="89" t="str">
        <f>VLOOKUP(A2686,'Materiales '!$C$2:$G$396,4,0)</f>
        <v>Und</v>
      </c>
      <c r="E2686" s="90">
        <v>2</v>
      </c>
      <c r="F2686" s="508" t="e">
        <f t="shared" si="157"/>
        <v>#VALUE!</v>
      </c>
      <c r="G2686" s="519"/>
      <c r="H2686" s="111"/>
      <c r="I2686">
        <f>E2686*G2673</f>
        <v>0</v>
      </c>
      <c r="J2686" s="58"/>
      <c r="K2686" s="50"/>
      <c r="L2686" s="50"/>
      <c r="M2686" s="50"/>
      <c r="N2686" s="50"/>
      <c r="O2686" s="50"/>
    </row>
    <row r="2687" spans="1:15">
      <c r="A2687" s="517" t="s">
        <v>4439</v>
      </c>
      <c r="B2687" s="518">
        <f>VLOOKUP(A2687,'Materiales '!$C$2:$G$396,3,0)</f>
        <v>2</v>
      </c>
      <c r="C2687" s="88">
        <f>VLOOKUP(A2687,'Materiales '!$C$2:$G$396,3,0)</f>
        <v>2</v>
      </c>
      <c r="D2687" s="89" t="str">
        <f>VLOOKUP(A2687,'Materiales '!$C$2:$G$396,4,0)</f>
        <v>Ml</v>
      </c>
      <c r="E2687" s="90">
        <v>1</v>
      </c>
      <c r="F2687" s="508" t="e">
        <f t="shared" si="157"/>
        <v>#VALUE!</v>
      </c>
      <c r="G2687" s="519"/>
      <c r="H2687" s="111"/>
      <c r="I2687">
        <f>E2687*G2673</f>
        <v>0</v>
      </c>
      <c r="J2687" s="58"/>
      <c r="K2687" s="50"/>
      <c r="L2687" s="50"/>
      <c r="M2687" s="50"/>
      <c r="N2687" s="50"/>
      <c r="O2687" s="50"/>
    </row>
    <row r="2688" spans="1:15">
      <c r="A2688" s="517" t="s">
        <v>4482</v>
      </c>
      <c r="B2688" s="518">
        <f>VLOOKUP(A2688,'Materiales '!$C$2:$G$396,3,0)</f>
        <v>4</v>
      </c>
      <c r="C2688" s="88">
        <f>VLOOKUP(A2688,'Materiales '!$C$2:$G$396,3,0)</f>
        <v>4</v>
      </c>
      <c r="D2688" s="89" t="str">
        <f>VLOOKUP(A2688,'Materiales '!$C$2:$G$396,4,0)</f>
        <v>Und</v>
      </c>
      <c r="E2688" s="90">
        <v>3</v>
      </c>
      <c r="F2688" s="508" t="e">
        <f t="shared" si="157"/>
        <v>#VALUE!</v>
      </c>
      <c r="G2688" s="519"/>
      <c r="H2688" s="111"/>
      <c r="I2688">
        <f>E2688*G2673</f>
        <v>0</v>
      </c>
      <c r="J2688" s="58"/>
      <c r="K2688" s="50"/>
      <c r="L2688" s="50"/>
      <c r="M2688" s="50"/>
      <c r="N2688" s="50"/>
      <c r="O2688" s="50"/>
    </row>
    <row r="2689" spans="1:15" ht="21.75" customHeight="1">
      <c r="A2689" s="517" t="s">
        <v>4628</v>
      </c>
      <c r="B2689" s="518">
        <f>VLOOKUP(A2689,'Materiales '!$C$2:$G$396,3,0)</f>
        <v>4</v>
      </c>
      <c r="C2689" s="88">
        <f>VLOOKUP(A2689,'Materiales '!$C$2:$G$396,3,0)</f>
        <v>4</v>
      </c>
      <c r="D2689" s="89" t="str">
        <f>VLOOKUP(A2689,'Materiales '!$C$2:$G$396,4,0)</f>
        <v>Und</v>
      </c>
      <c r="E2689" s="90">
        <v>1</v>
      </c>
      <c r="F2689" s="508" t="e">
        <f t="shared" si="157"/>
        <v>#VALUE!</v>
      </c>
      <c r="G2689" s="519"/>
      <c r="H2689" s="111"/>
      <c r="I2689">
        <f>E2689*G2673</f>
        <v>0</v>
      </c>
      <c r="J2689" s="58"/>
      <c r="K2689" s="50"/>
      <c r="L2689" s="50"/>
      <c r="M2689" s="50"/>
      <c r="N2689" s="50"/>
      <c r="O2689" s="50"/>
    </row>
    <row r="2690" spans="1:15">
      <c r="A2690" s="517" t="s">
        <v>8</v>
      </c>
      <c r="B2690" s="518">
        <f>VLOOKUP(A2690,'Materiales '!$C$2:$G$396,3,0)</f>
        <v>0</v>
      </c>
      <c r="C2690" s="88">
        <f>VLOOKUP(A2690,'Materiales '!$C$2:$G$396,3,0)</f>
        <v>0</v>
      </c>
      <c r="D2690" s="89" t="str">
        <f>VLOOKUP(A2690,'Materiales '!$C$2:$G$396,4,0)</f>
        <v>-</v>
      </c>
      <c r="E2690" s="90"/>
      <c r="F2690" s="508" t="e">
        <f>E2690*D2690</f>
        <v>#VALUE!</v>
      </c>
      <c r="G2690" s="519"/>
      <c r="H2690" s="110"/>
      <c r="I2690">
        <f>E2690*G2673</f>
        <v>0</v>
      </c>
      <c r="J2690" s="58"/>
      <c r="K2690" s="50"/>
      <c r="L2690" s="50"/>
      <c r="M2690" s="50"/>
      <c r="N2690" s="50"/>
      <c r="O2690" s="50"/>
    </row>
    <row r="2691" spans="1:15">
      <c r="A2691" s="517" t="s">
        <v>8</v>
      </c>
      <c r="B2691" s="518">
        <f>VLOOKUP(A2691,'Materiales '!$C$2:$G$396,3,0)</f>
        <v>0</v>
      </c>
      <c r="C2691" s="88">
        <f>VLOOKUP(A2691,'Materiales '!$C$2:$G$396,3,0)</f>
        <v>0</v>
      </c>
      <c r="D2691" s="89" t="str">
        <f>VLOOKUP(A2691,'Materiales '!$C$2:$G$396,4,0)</f>
        <v>-</v>
      </c>
      <c r="E2691" s="90"/>
      <c r="F2691" s="508" t="e">
        <f t="shared" ref="F2691:F2694" si="158">E2691*D2691</f>
        <v>#VALUE!</v>
      </c>
      <c r="G2691" s="519"/>
      <c r="H2691" s="111"/>
      <c r="I2691">
        <f>E2691*G2673</f>
        <v>0</v>
      </c>
      <c r="J2691" s="58"/>
      <c r="K2691" s="50"/>
      <c r="L2691" s="50"/>
      <c r="M2691" s="50"/>
      <c r="N2691" s="50"/>
      <c r="O2691" s="50"/>
    </row>
    <row r="2692" spans="1:15">
      <c r="A2692" s="517" t="s">
        <v>8</v>
      </c>
      <c r="B2692" s="518">
        <f>VLOOKUP(A2692,'Materiales '!$C$2:$G$396,3,0)</f>
        <v>0</v>
      </c>
      <c r="C2692" s="88">
        <f>VLOOKUP(A2692,'Materiales '!$C$2:$G$396,3,0)</f>
        <v>0</v>
      </c>
      <c r="D2692" s="89" t="str">
        <f>VLOOKUP(A2692,'Materiales '!$C$2:$G$396,4,0)</f>
        <v>-</v>
      </c>
      <c r="E2692" s="90"/>
      <c r="F2692" s="508" t="e">
        <f t="shared" si="158"/>
        <v>#VALUE!</v>
      </c>
      <c r="G2692" s="519"/>
      <c r="H2692" s="111"/>
      <c r="I2692">
        <f>E2692*G2673</f>
        <v>0</v>
      </c>
      <c r="J2692" s="58"/>
      <c r="K2692" s="50"/>
      <c r="L2692" s="50"/>
      <c r="M2692" s="50"/>
      <c r="N2692" s="50"/>
      <c r="O2692" s="50"/>
    </row>
    <row r="2693" spans="1:15">
      <c r="A2693" s="517" t="s">
        <v>8</v>
      </c>
      <c r="B2693" s="518">
        <f>VLOOKUP(A2693,'Materiales '!$C$2:$G$396,3,0)</f>
        <v>0</v>
      </c>
      <c r="C2693" s="88">
        <f>VLOOKUP(A2693,'Materiales '!$C$2:$G$396,3,0)</f>
        <v>0</v>
      </c>
      <c r="D2693" s="89" t="str">
        <f>VLOOKUP(A2693,'Materiales '!$C$2:$G$396,4,0)</f>
        <v>-</v>
      </c>
      <c r="E2693" s="90"/>
      <c r="F2693" s="508" t="e">
        <f t="shared" si="158"/>
        <v>#VALUE!</v>
      </c>
      <c r="G2693" s="519"/>
      <c r="H2693" s="111"/>
      <c r="I2693">
        <f>E2693*G2673</f>
        <v>0</v>
      </c>
      <c r="J2693" s="58"/>
      <c r="K2693" s="50"/>
      <c r="L2693" s="50"/>
      <c r="M2693" s="50"/>
      <c r="N2693" s="50"/>
      <c r="O2693" s="50"/>
    </row>
    <row r="2694" spans="1:15">
      <c r="A2694" s="517" t="s">
        <v>8</v>
      </c>
      <c r="B2694" s="518">
        <f>VLOOKUP(A2694,'Materiales '!$C$2:$G$396,3,0)</f>
        <v>0</v>
      </c>
      <c r="C2694" s="88">
        <f>VLOOKUP(A2694,'Materiales '!$C$2:$G$396,3,0)</f>
        <v>0</v>
      </c>
      <c r="D2694" s="89" t="str">
        <f>VLOOKUP(A2694,'Materiales '!$C$2:$G$396,4,0)</f>
        <v>-</v>
      </c>
      <c r="E2694" s="90"/>
      <c r="F2694" s="508" t="e">
        <f t="shared" si="158"/>
        <v>#VALUE!</v>
      </c>
      <c r="G2694" s="519"/>
      <c r="H2694" s="111"/>
      <c r="I2694">
        <f>E2694*G2673</f>
        <v>0</v>
      </c>
      <c r="J2694" s="58"/>
      <c r="K2694" s="50"/>
      <c r="L2694" s="50"/>
      <c r="M2694" s="50"/>
      <c r="N2694" s="50"/>
      <c r="O2694" s="50"/>
    </row>
    <row r="2695" spans="1:15">
      <c r="A2695" s="517" t="s">
        <v>8</v>
      </c>
      <c r="B2695" s="518">
        <f>VLOOKUP(A2695,'Materiales '!$C$2:$G$396,3,0)</f>
        <v>0</v>
      </c>
      <c r="C2695" s="88">
        <f>VLOOKUP(A2695,'Materiales '!$C$2:$G$396,3,0)</f>
        <v>0</v>
      </c>
      <c r="D2695" s="89" t="str">
        <f>VLOOKUP(A2695,'Materiales '!$C$2:$G$396,4,0)</f>
        <v>-</v>
      </c>
      <c r="E2695" s="90"/>
      <c r="F2695" s="508" t="e">
        <f>E2695*D2695</f>
        <v>#VALUE!</v>
      </c>
      <c r="G2695" s="519"/>
      <c r="H2695" s="110"/>
      <c r="I2695">
        <f>E2695*G2673</f>
        <v>0</v>
      </c>
      <c r="J2695" s="58"/>
      <c r="K2695" s="50"/>
      <c r="L2695" s="50"/>
      <c r="M2695" s="50"/>
      <c r="N2695" s="50"/>
      <c r="O2695" s="50"/>
    </row>
    <row r="2696" spans="1:15">
      <c r="A2696" s="520" t="s">
        <v>4098</v>
      </c>
      <c r="B2696" s="521"/>
      <c r="C2696" s="521"/>
      <c r="D2696" s="521"/>
      <c r="E2696" s="521"/>
      <c r="F2696" s="521"/>
      <c r="G2696" s="522"/>
      <c r="H2696" s="106" t="e">
        <f>SUM(F2682:F2695)</f>
        <v>#VALUE!</v>
      </c>
      <c r="J2696" s="58"/>
      <c r="K2696" s="50"/>
      <c r="L2696" s="50"/>
      <c r="M2696" s="50"/>
      <c r="N2696" s="50"/>
      <c r="O2696" s="50"/>
    </row>
    <row r="2697" spans="1:15">
      <c r="A2697" s="523" t="s">
        <v>4220</v>
      </c>
      <c r="B2697" s="524"/>
      <c r="C2697" s="524"/>
      <c r="D2697" s="524"/>
      <c r="E2697" s="525"/>
      <c r="F2697" s="524"/>
      <c r="G2697" s="524"/>
      <c r="H2697" s="526"/>
      <c r="J2697" s="58"/>
      <c r="K2697" s="50"/>
      <c r="L2697" s="50"/>
      <c r="M2697" s="50"/>
      <c r="N2697" s="50"/>
      <c r="O2697" s="50"/>
    </row>
    <row r="2698" spans="1:15">
      <c r="A2698" s="527" t="s">
        <v>7</v>
      </c>
      <c r="B2698" s="528"/>
      <c r="C2698" s="98" t="s">
        <v>4221</v>
      </c>
      <c r="D2698" s="97" t="s">
        <v>4222</v>
      </c>
      <c r="E2698" s="187" t="s">
        <v>4223</v>
      </c>
      <c r="F2698" s="529" t="s">
        <v>4207</v>
      </c>
      <c r="G2698" s="529"/>
      <c r="H2698" s="109"/>
      <c r="K2698" s="50"/>
      <c r="L2698" s="50"/>
      <c r="M2698" s="50"/>
      <c r="N2698" s="50"/>
      <c r="O2698" s="50"/>
    </row>
    <row r="2699" spans="1:15">
      <c r="A2699" s="506" t="s">
        <v>3928</v>
      </c>
      <c r="B2699" s="507"/>
      <c r="C2699" s="213">
        <v>1</v>
      </c>
      <c r="D2699" s="92">
        <v>0.03</v>
      </c>
      <c r="E2699" s="93" t="str">
        <f>VLOOKUP(A2699,'Equip, Herr y Transp'!$B$2:$E$217,3,0)</f>
        <v>TR</v>
      </c>
      <c r="F2699" s="530" t="e">
        <f>E2699*D2699*C2699</f>
        <v>#VALUE!</v>
      </c>
      <c r="G2699" s="531"/>
      <c r="H2699" s="107"/>
      <c r="M2699" s="50"/>
    </row>
    <row r="2700" spans="1:15">
      <c r="A2700" s="532" t="s">
        <v>4205</v>
      </c>
      <c r="B2700" s="533"/>
      <c r="C2700" s="533"/>
      <c r="D2700" s="533"/>
      <c r="E2700" s="533"/>
      <c r="F2700" s="533"/>
      <c r="G2700" s="533"/>
      <c r="H2700" s="95" t="e">
        <f>F2699</f>
        <v>#VALUE!</v>
      </c>
    </row>
    <row r="2701" spans="1:15">
      <c r="A2701" s="523" t="s">
        <v>4224</v>
      </c>
      <c r="B2701" s="524"/>
      <c r="C2701" s="524"/>
      <c r="D2701" s="524"/>
      <c r="E2701" s="524"/>
      <c r="F2701" s="524"/>
      <c r="G2701" s="524"/>
      <c r="H2701" s="526"/>
    </row>
    <row r="2702" spans="1:15">
      <c r="A2702" s="527" t="s">
        <v>7</v>
      </c>
      <c r="B2702" s="528"/>
      <c r="C2702" s="96" t="s">
        <v>1</v>
      </c>
      <c r="D2702" s="97" t="s">
        <v>4225</v>
      </c>
      <c r="E2702" s="98" t="s">
        <v>4204</v>
      </c>
      <c r="F2702" s="527" t="s">
        <v>5</v>
      </c>
      <c r="G2702" s="534"/>
      <c r="H2702" s="109"/>
    </row>
    <row r="2703" spans="1:15">
      <c r="A2703" s="506" t="s">
        <v>4191</v>
      </c>
      <c r="B2703" s="507"/>
      <c r="C2703" s="91">
        <v>1</v>
      </c>
      <c r="D2703" s="94">
        <f>VLOOKUP(A2703,'Mano Obra'!$B$2:$T$117,19,0)</f>
        <v>152456</v>
      </c>
      <c r="E2703" s="218">
        <f>H2666</f>
        <v>6.25E-2</v>
      </c>
      <c r="F2703" s="508">
        <f>E2703*D2703*C2703</f>
        <v>9528.5</v>
      </c>
      <c r="G2703" s="509"/>
      <c r="H2703" s="111"/>
      <c r="I2703" s="59"/>
      <c r="J2703" s="117">
        <f>((('Mano Obra'!$M$4/30)*F2703)/D2703)*G2673</f>
        <v>0</v>
      </c>
    </row>
    <row r="2704" spans="1:15">
      <c r="A2704" s="510" t="s">
        <v>4192</v>
      </c>
      <c r="B2704" s="511">
        <f>VLOOKUP(A2704,'Mano Obra'!$B$3:$D$290,2,0)</f>
        <v>1900000</v>
      </c>
      <c r="C2704" s="91">
        <v>1</v>
      </c>
      <c r="D2704" s="94">
        <f>VLOOKUP(A2704,'Mano Obra'!$B$2:$T$117,19,0)</f>
        <v>110488</v>
      </c>
      <c r="E2704" s="218">
        <f>H2666</f>
        <v>6.25E-2</v>
      </c>
      <c r="F2704" s="508">
        <f t="shared" ref="F2704:F2705" si="159">E2704*D2704*C2704</f>
        <v>6905.5</v>
      </c>
      <c r="G2704" s="509"/>
      <c r="H2704" s="111"/>
      <c r="J2704" s="117">
        <f>((('Mano Obra'!$M$5/30)*F2704)/D2704)*G2673</f>
        <v>0</v>
      </c>
    </row>
    <row r="2705" spans="1:10">
      <c r="A2705" s="510" t="s">
        <v>4181</v>
      </c>
      <c r="B2705" s="511">
        <f>VLOOKUP(A2705,'Mano Obra'!$B$3:$D$290,2,0)</f>
        <v>1000000</v>
      </c>
      <c r="C2705" s="91">
        <v>1</v>
      </c>
      <c r="D2705" s="94">
        <f>VLOOKUP(A2705,'Mano Obra'!$B$2:$T$117,19,0)</f>
        <v>67424</v>
      </c>
      <c r="E2705" s="218">
        <f>H2666</f>
        <v>6.25E-2</v>
      </c>
      <c r="F2705" s="508">
        <f t="shared" si="159"/>
        <v>4214</v>
      </c>
      <c r="G2705" s="509"/>
      <c r="H2705" s="110"/>
      <c r="J2705" s="117">
        <f>((('Mano Obra'!$M$6/30)*F2705)/D2705)*G2673</f>
        <v>0</v>
      </c>
    </row>
    <row r="2706" spans="1:10">
      <c r="A2706" s="512" t="s">
        <v>4100</v>
      </c>
      <c r="B2706" s="512"/>
      <c r="C2706" s="512"/>
      <c r="D2706" s="512"/>
      <c r="E2706" s="512"/>
      <c r="F2706" s="512"/>
      <c r="G2706" s="512"/>
      <c r="H2706" s="95">
        <f>SUM(F2703:F2705)</f>
        <v>20648</v>
      </c>
      <c r="J2706" s="117"/>
    </row>
    <row r="2707" spans="1:10">
      <c r="A2707" s="208" t="s">
        <v>4226</v>
      </c>
      <c r="B2707" s="186"/>
      <c r="C2707" s="186"/>
      <c r="D2707" s="183"/>
      <c r="E2707" s="184"/>
      <c r="F2707" s="185"/>
      <c r="G2707" s="184"/>
      <c r="H2707" s="193"/>
    </row>
    <row r="2708" spans="1:10">
      <c r="A2708" s="513" t="s">
        <v>4213</v>
      </c>
      <c r="B2708" s="514"/>
      <c r="C2708" s="514"/>
      <c r="D2708" s="514"/>
      <c r="E2708" s="181"/>
      <c r="F2708" s="182" t="s">
        <v>4227</v>
      </c>
      <c r="G2708" s="181" t="s">
        <v>4228</v>
      </c>
      <c r="H2708" s="194"/>
    </row>
    <row r="2709" spans="1:10">
      <c r="A2709" s="204" t="s">
        <v>4096</v>
      </c>
      <c r="B2709" s="62"/>
      <c r="C2709" s="62"/>
      <c r="D2709" s="63"/>
      <c r="E2709" s="68"/>
      <c r="F2709" s="69">
        <v>0</v>
      </c>
      <c r="G2709" s="70" t="e">
        <f>F2709*H2674</f>
        <v>#VALUE!</v>
      </c>
      <c r="H2709" s="193"/>
    </row>
    <row r="2710" spans="1:10">
      <c r="A2710" s="205" t="s">
        <v>4229</v>
      </c>
      <c r="B2710" s="71"/>
      <c r="C2710" s="71"/>
      <c r="D2710" s="72"/>
      <c r="E2710" s="68"/>
      <c r="F2710" s="69">
        <v>0</v>
      </c>
      <c r="G2710" s="70" t="e">
        <f>F2710*H2674</f>
        <v>#VALUE!</v>
      </c>
      <c r="H2710" s="193"/>
    </row>
    <row r="2711" spans="1:10">
      <c r="A2711" s="205" t="s">
        <v>4</v>
      </c>
      <c r="B2711" s="71"/>
      <c r="C2711" s="71"/>
      <c r="D2711" s="72"/>
      <c r="E2711" s="68"/>
      <c r="F2711" s="69">
        <v>0</v>
      </c>
      <c r="G2711" s="70" t="e">
        <f>F2711*H2674</f>
        <v>#VALUE!</v>
      </c>
      <c r="H2711" s="193"/>
    </row>
    <row r="2712" spans="1:10">
      <c r="A2712" s="206"/>
      <c r="B2712" s="73"/>
      <c r="C2712" s="65"/>
      <c r="D2712" s="74"/>
      <c r="E2712" s="75"/>
      <c r="F2712" s="76"/>
      <c r="G2712" s="77"/>
      <c r="H2712" s="195"/>
    </row>
    <row r="2713" spans="1:10">
      <c r="A2713" s="207"/>
      <c r="B2713" s="73"/>
      <c r="C2713" s="73"/>
      <c r="D2713" s="74"/>
      <c r="E2713" s="78"/>
      <c r="F2713" s="515" t="s">
        <v>4230</v>
      </c>
      <c r="G2713" s="516"/>
      <c r="H2713" s="214" t="e">
        <f>H2674+G2709+G2710+G2711</f>
        <v>#VALUE!</v>
      </c>
    </row>
    <row r="2714" spans="1:10">
      <c r="A2714" s="73"/>
      <c r="B2714" s="73"/>
      <c r="C2714" s="73"/>
      <c r="D2714" s="74"/>
      <c r="E2714" s="360"/>
      <c r="F2714" s="361"/>
      <c r="G2714" s="361"/>
      <c r="H2714" s="362"/>
    </row>
    <row r="2715" spans="1:10">
      <c r="A2715" s="80"/>
      <c r="B2715" s="80"/>
      <c r="C2715" s="80"/>
      <c r="D2715" s="80"/>
      <c r="E2715" s="80"/>
      <c r="F2715" s="80"/>
      <c r="G2715" s="80"/>
      <c r="H2715" s="353"/>
    </row>
    <row r="2716" spans="1:10">
      <c r="A2716" s="537" t="s">
        <v>4214</v>
      </c>
      <c r="B2716" s="538"/>
      <c r="C2716" s="538"/>
      <c r="D2716" s="538"/>
      <c r="E2716" s="538"/>
      <c r="F2716" s="538"/>
      <c r="G2716" s="538"/>
      <c r="H2716" s="539"/>
    </row>
    <row r="2717" spans="1:10">
      <c r="A2717" s="81"/>
      <c r="B2717" s="82"/>
      <c r="C2717" s="82"/>
      <c r="D2717" s="82"/>
      <c r="E2717" s="82"/>
      <c r="F2717" s="83"/>
      <c r="G2717" s="84"/>
      <c r="H2717" s="352">
        <f>ROUND((30/60)/8,4)</f>
        <v>6.25E-2</v>
      </c>
      <c r="I2717" s="105"/>
    </row>
    <row r="2718" spans="1:10">
      <c r="A2718" s="540" t="s">
        <v>4209</v>
      </c>
      <c r="B2718" s="542" t="str">
        <f>COSTOS!$C$14</f>
        <v>MODERNIZACION A TECNOLOGIA LED</v>
      </c>
      <c r="C2718" s="542"/>
      <c r="D2718" s="542"/>
      <c r="E2718" s="542"/>
      <c r="F2718" s="542"/>
      <c r="G2718" s="542"/>
      <c r="H2718" s="543" t="s">
        <v>4210</v>
      </c>
    </row>
    <row r="2719" spans="1:10">
      <c r="A2719" s="541"/>
      <c r="B2719" s="542"/>
      <c r="C2719" s="542"/>
      <c r="D2719" s="542"/>
      <c r="E2719" s="542"/>
      <c r="F2719" s="542"/>
      <c r="G2719" s="542"/>
      <c r="H2719" s="543"/>
    </row>
    <row r="2720" spans="1:10">
      <c r="A2720" s="541"/>
      <c r="B2720" s="542"/>
      <c r="C2720" s="542"/>
      <c r="D2720" s="542"/>
      <c r="E2720" s="542"/>
      <c r="F2720" s="542"/>
      <c r="G2720" s="542"/>
      <c r="H2720" s="543"/>
    </row>
    <row r="2721" spans="1:15" ht="15" customHeight="1">
      <c r="A2721" s="541"/>
      <c r="B2721" s="542"/>
      <c r="C2721" s="542"/>
      <c r="D2721" s="542"/>
      <c r="E2721" s="542"/>
      <c r="F2721" s="542"/>
      <c r="G2721" s="542"/>
      <c r="H2721" s="197">
        <f ca="1">TODAY()</f>
        <v>44889</v>
      </c>
      <c r="K2721" t="s">
        <v>4380</v>
      </c>
      <c r="L2721" t="s">
        <v>4381</v>
      </c>
      <c r="M2721" t="s">
        <v>4382</v>
      </c>
      <c r="N2721" t="s">
        <v>4383</v>
      </c>
    </row>
    <row r="2722" spans="1:15" ht="60.75" customHeight="1">
      <c r="A2722" s="209" t="s">
        <v>4211</v>
      </c>
      <c r="B2722" s="544" t="str">
        <f>COSTOS!$D$16</f>
        <v>Luminarias</v>
      </c>
      <c r="C2722" s="544"/>
      <c r="D2722" s="544"/>
      <c r="E2722" s="544"/>
      <c r="F2722" s="544"/>
      <c r="G2722" s="60" t="s">
        <v>4212</v>
      </c>
      <c r="H2722" s="363">
        <v>1.54</v>
      </c>
      <c r="K2722" s="55" t="e">
        <f>H2747</f>
        <v>#VALUE!</v>
      </c>
      <c r="L2722" s="55">
        <f>H2757</f>
        <v>20648</v>
      </c>
      <c r="M2722" s="55" t="e">
        <f>H2730</f>
        <v>#VALUE!</v>
      </c>
      <c r="N2722" s="55" t="e">
        <f>H2751</f>
        <v>#VALUE!</v>
      </c>
    </row>
    <row r="2723" spans="1:15" ht="43.2" customHeight="1">
      <c r="A2723" s="210" t="s">
        <v>4213</v>
      </c>
      <c r="B2723" s="545" t="str">
        <f>VLOOKUP(H2722,COSTOS!C:M,2,0)</f>
        <v>Luminaria Led 30w monoff</v>
      </c>
      <c r="C2723" s="546"/>
      <c r="D2723" s="546"/>
      <c r="E2723" s="547"/>
      <c r="F2723" s="61" t="s">
        <v>0</v>
      </c>
      <c r="G2723" s="328" t="str">
        <f>VLOOKUP(H2722,COSTOS!C:M,8,0)</f>
        <v>Und</v>
      </c>
      <c r="H2723" s="248"/>
      <c r="I2723" s="278"/>
      <c r="J2723" s="280"/>
      <c r="K2723" s="280"/>
      <c r="L2723" s="280"/>
    </row>
    <row r="2724" spans="1:15">
      <c r="A2724" s="211"/>
      <c r="B2724" s="102"/>
      <c r="C2724" s="102"/>
      <c r="D2724" s="102"/>
      <c r="E2724" s="103"/>
      <c r="F2724" s="104" t="s">
        <v>1</v>
      </c>
      <c r="G2724" s="328">
        <f>VLOOKUP(H2722,COSTOS!C:M,9,0)</f>
        <v>0</v>
      </c>
      <c r="H2724" s="329"/>
      <c r="I2724" s="279"/>
    </row>
    <row r="2725" spans="1:15">
      <c r="A2725" s="212" t="s">
        <v>4215</v>
      </c>
      <c r="B2725" s="65"/>
      <c r="C2725" s="65"/>
      <c r="D2725" s="66"/>
      <c r="E2725" s="190"/>
      <c r="F2725" s="191"/>
      <c r="G2725" s="192" t="s">
        <v>4216</v>
      </c>
      <c r="H2725" s="198" t="e">
        <f>H2730+H2747+H2751+H2757</f>
        <v>#VALUE!</v>
      </c>
    </row>
    <row r="2726" spans="1:15" ht="41.4">
      <c r="A2726" s="548" t="s">
        <v>4213</v>
      </c>
      <c r="B2726" s="548"/>
      <c r="C2726" s="548"/>
      <c r="D2726" s="67" t="s">
        <v>0</v>
      </c>
      <c r="E2726" s="188" t="s">
        <v>4217</v>
      </c>
      <c r="F2726" s="189" t="s">
        <v>4204</v>
      </c>
      <c r="G2726" s="64" t="s">
        <v>2</v>
      </c>
      <c r="H2726" s="199" t="s">
        <v>4218</v>
      </c>
      <c r="K2726" s="281"/>
    </row>
    <row r="2727" spans="1:15">
      <c r="A2727" s="517" t="s">
        <v>3946</v>
      </c>
      <c r="B2727" s="549">
        <f>VLOOKUP(A2727,'Equip, Herr y Transp'!$B$2:$E$738,2,0)</f>
        <v>2</v>
      </c>
      <c r="C2727" s="549"/>
      <c r="D2727" s="85">
        <f>VLOOKUP(A2727,'Equip, Herr y Transp'!$B$2:$E$217,2,0)</f>
        <v>2</v>
      </c>
      <c r="E2727" s="85" t="str">
        <f>VLOOKUP(A2727,'Equip, Herr y Transp'!$B$2:$E$217,3,0)</f>
        <v>EQU</v>
      </c>
      <c r="F2727" s="86">
        <f>H2717</f>
        <v>6.25E-2</v>
      </c>
      <c r="G2727" s="112" t="e">
        <f>F2727*E2727</f>
        <v>#VALUE!</v>
      </c>
      <c r="H2727" s="108"/>
    </row>
    <row r="2728" spans="1:15">
      <c r="A2728" s="517" t="s">
        <v>3904</v>
      </c>
      <c r="B2728" s="549">
        <f>VLOOKUP(A2728,'Equip, Herr y Transp'!$B$2:$E$738,2,0)</f>
        <v>2</v>
      </c>
      <c r="C2728" s="549"/>
      <c r="D2728" s="85">
        <f>VLOOKUP(A2728,'Equip, Herr y Transp'!$B$2:$E$217,2,0)</f>
        <v>2</v>
      </c>
      <c r="E2728" s="85" t="str">
        <f>VLOOKUP(A2728,'Equip, Herr y Transp'!$B$2:$E$217,3,0)</f>
        <v>EQU</v>
      </c>
      <c r="F2728" s="86">
        <f>H2717</f>
        <v>6.25E-2</v>
      </c>
      <c r="G2728" s="112" t="e">
        <f>F2728*E2728</f>
        <v>#VALUE!</v>
      </c>
      <c r="H2728" s="107"/>
    </row>
    <row r="2729" spans="1:15">
      <c r="A2729" s="517" t="s">
        <v>3937</v>
      </c>
      <c r="B2729" s="549">
        <f>VLOOKUP(A2729,'Equip, Herr y Transp'!$B$2:$E$738,2,0)</f>
        <v>2</v>
      </c>
      <c r="C2729" s="549"/>
      <c r="D2729" s="85">
        <f>VLOOKUP(A2729,'Equip, Herr y Transp'!$B$2:$E$217,2,0)</f>
        <v>2</v>
      </c>
      <c r="E2729" s="85" t="str">
        <f>VLOOKUP(A2729,'Equip, Herr y Transp'!$B$2:$E$217,3,0)</f>
        <v>EQU</v>
      </c>
      <c r="F2729" s="86">
        <f>H2717</f>
        <v>6.25E-2</v>
      </c>
      <c r="G2729" s="112" t="e">
        <f>F2729*E2729</f>
        <v>#VALUE!</v>
      </c>
      <c r="H2729" s="107"/>
    </row>
    <row r="2730" spans="1:15">
      <c r="A2730" s="520" t="s">
        <v>4099</v>
      </c>
      <c r="B2730" s="521"/>
      <c r="C2730" s="521"/>
      <c r="D2730" s="521"/>
      <c r="E2730" s="521"/>
      <c r="F2730" s="521"/>
      <c r="G2730" s="521"/>
      <c r="H2730" s="87" t="e">
        <f>SUM(G2727:G2729)</f>
        <v>#VALUE!</v>
      </c>
    </row>
    <row r="2731" spans="1:15">
      <c r="A2731" s="550" t="s">
        <v>4219</v>
      </c>
      <c r="B2731" s="551"/>
      <c r="C2731" s="551"/>
      <c r="D2731" s="551"/>
      <c r="E2731" s="551"/>
      <c r="F2731" s="551"/>
      <c r="G2731" s="551"/>
      <c r="H2731" s="552"/>
      <c r="K2731" s="50"/>
      <c r="L2731" s="50"/>
      <c r="M2731" s="50"/>
      <c r="N2731" s="50"/>
      <c r="O2731" s="50"/>
    </row>
    <row r="2732" spans="1:15" ht="30" customHeight="1">
      <c r="A2732" s="553" t="s">
        <v>7</v>
      </c>
      <c r="B2732" s="554"/>
      <c r="C2732" s="99" t="s">
        <v>0</v>
      </c>
      <c r="D2732" s="100" t="s">
        <v>4097</v>
      </c>
      <c r="E2732" s="101" t="s">
        <v>1</v>
      </c>
      <c r="F2732" s="555" t="s">
        <v>4207</v>
      </c>
      <c r="G2732" s="555"/>
      <c r="H2732" s="196"/>
      <c r="K2732" s="50"/>
      <c r="L2732" s="50"/>
      <c r="M2732" s="50"/>
      <c r="N2732" s="50"/>
      <c r="O2732" s="50"/>
    </row>
    <row r="2733" spans="1:15">
      <c r="A2733" s="535" t="s">
        <v>4753</v>
      </c>
      <c r="B2733" s="536"/>
      <c r="C2733" s="88">
        <f>VLOOKUP(A2733,'Materiales '!$C$2:$G$396,3,0)</f>
        <v>4</v>
      </c>
      <c r="D2733" s="89" t="str">
        <f>VLOOKUP(A2733,'Materiales '!$C$2:$G$396,4,0)</f>
        <v>Und</v>
      </c>
      <c r="E2733" s="90">
        <v>1</v>
      </c>
      <c r="F2733" s="508" t="e">
        <f>E2733*D2733</f>
        <v>#VALUE!</v>
      </c>
      <c r="G2733" s="519"/>
      <c r="H2733" s="111"/>
      <c r="I2733">
        <f>E2733*G2724</f>
        <v>0</v>
      </c>
      <c r="J2733" s="57"/>
      <c r="K2733" s="50"/>
      <c r="L2733" s="50"/>
      <c r="M2733" s="50"/>
      <c r="N2733" s="50"/>
      <c r="O2733" s="50"/>
    </row>
    <row r="2734" spans="1:15">
      <c r="A2734" s="535" t="s">
        <v>4203</v>
      </c>
      <c r="B2734" s="536"/>
      <c r="C2734" s="88">
        <f>VLOOKUP(A2734,'Materiales '!$C$2:$G$396,3,0)</f>
        <v>4</v>
      </c>
      <c r="D2734" s="89" t="str">
        <f>VLOOKUP(A2734,'Materiales '!$C$2:$G$396,4,0)</f>
        <v>Und</v>
      </c>
      <c r="E2734" s="90">
        <v>1</v>
      </c>
      <c r="F2734" s="508" t="e">
        <f t="shared" ref="F2734:F2740" si="160">E2734*D2734</f>
        <v>#VALUE!</v>
      </c>
      <c r="G2734" s="519"/>
      <c r="H2734" s="111"/>
      <c r="I2734">
        <f>E2734*G2724</f>
        <v>0</v>
      </c>
      <c r="J2734" s="57"/>
      <c r="K2734" s="50"/>
      <c r="L2734" s="50"/>
      <c r="M2734" s="50"/>
      <c r="N2734" s="50"/>
      <c r="O2734" s="50"/>
    </row>
    <row r="2735" spans="1:15">
      <c r="A2735" s="517" t="s">
        <v>4473</v>
      </c>
      <c r="B2735" s="518">
        <f>VLOOKUP(A2735,'Materiales '!$C$2:$G$396,3,0)</f>
        <v>4</v>
      </c>
      <c r="C2735" s="88">
        <f>VLOOKUP(A2735,'Materiales '!$C$2:$G$396,3,0)</f>
        <v>4</v>
      </c>
      <c r="D2735" s="89" t="str">
        <f>VLOOKUP(A2735,'Materiales '!$C$2:$G$396,4,0)</f>
        <v>Und</v>
      </c>
      <c r="E2735" s="90">
        <v>2</v>
      </c>
      <c r="F2735" s="508" t="e">
        <f t="shared" si="160"/>
        <v>#VALUE!</v>
      </c>
      <c r="G2735" s="519"/>
      <c r="H2735" s="111"/>
      <c r="I2735">
        <f>E2735*G2724</f>
        <v>0</v>
      </c>
      <c r="J2735" s="58"/>
      <c r="K2735" s="50"/>
      <c r="L2735" s="50"/>
      <c r="M2735" s="50"/>
      <c r="N2735" s="50"/>
      <c r="O2735" s="50"/>
    </row>
    <row r="2736" spans="1:15">
      <c r="A2736" s="517" t="s">
        <v>4478</v>
      </c>
      <c r="B2736" s="518">
        <f>VLOOKUP(A2736,'Materiales '!$C$2:$G$396,3,0)</f>
        <v>4</v>
      </c>
      <c r="C2736" s="88">
        <f>VLOOKUP(A2736,'Materiales '!$C$2:$G$396,3,0)</f>
        <v>4</v>
      </c>
      <c r="D2736" s="89" t="str">
        <f>VLOOKUP(A2736,'Materiales '!$C$2:$G$396,4,0)</f>
        <v>Und</v>
      </c>
      <c r="E2736" s="90">
        <v>3</v>
      </c>
      <c r="F2736" s="508" t="e">
        <f t="shared" si="160"/>
        <v>#VALUE!</v>
      </c>
      <c r="G2736" s="519"/>
      <c r="H2736" s="111"/>
      <c r="I2736">
        <f>E2736*G2724</f>
        <v>0</v>
      </c>
      <c r="J2736" s="58"/>
      <c r="K2736" s="50"/>
      <c r="L2736" s="50"/>
      <c r="M2736" s="50"/>
      <c r="N2736" s="50"/>
      <c r="O2736" s="50"/>
    </row>
    <row r="2737" spans="1:15">
      <c r="A2737" s="517" t="s">
        <v>4543</v>
      </c>
      <c r="B2737" s="518">
        <f>VLOOKUP(A2737,'Materiales '!$C$2:$G$396,3,0)</f>
        <v>4</v>
      </c>
      <c r="C2737" s="88">
        <f>VLOOKUP(A2737,'Materiales '!$C$2:$G$396,3,0)</f>
        <v>4</v>
      </c>
      <c r="D2737" s="89" t="str">
        <f>VLOOKUP(A2737,'Materiales '!$C$2:$G$396,4,0)</f>
        <v>Und</v>
      </c>
      <c r="E2737" s="90">
        <v>2</v>
      </c>
      <c r="F2737" s="508" t="e">
        <f t="shared" si="160"/>
        <v>#VALUE!</v>
      </c>
      <c r="G2737" s="519"/>
      <c r="H2737" s="111"/>
      <c r="I2737">
        <f>E2737*G2724</f>
        <v>0</v>
      </c>
      <c r="J2737" s="58"/>
      <c r="K2737" s="50"/>
      <c r="L2737" s="50"/>
      <c r="M2737" s="50"/>
      <c r="N2737" s="50"/>
      <c r="O2737" s="50"/>
    </row>
    <row r="2738" spans="1:15">
      <c r="A2738" s="517" t="s">
        <v>4439</v>
      </c>
      <c r="B2738" s="518">
        <f>VLOOKUP(A2738,'Materiales '!$C$2:$G$396,3,0)</f>
        <v>2</v>
      </c>
      <c r="C2738" s="88">
        <f>VLOOKUP(A2738,'Materiales '!$C$2:$G$396,3,0)</f>
        <v>2</v>
      </c>
      <c r="D2738" s="89" t="str">
        <f>VLOOKUP(A2738,'Materiales '!$C$2:$G$396,4,0)</f>
        <v>Ml</v>
      </c>
      <c r="E2738" s="90">
        <v>1</v>
      </c>
      <c r="F2738" s="508" t="e">
        <f t="shared" si="160"/>
        <v>#VALUE!</v>
      </c>
      <c r="G2738" s="519"/>
      <c r="H2738" s="111"/>
      <c r="I2738">
        <f>E2738*G2724</f>
        <v>0</v>
      </c>
      <c r="J2738" s="58"/>
      <c r="K2738" s="50"/>
      <c r="L2738" s="50"/>
      <c r="M2738" s="50"/>
      <c r="N2738" s="50"/>
      <c r="O2738" s="50"/>
    </row>
    <row r="2739" spans="1:15">
      <c r="A2739" s="517" t="s">
        <v>4482</v>
      </c>
      <c r="B2739" s="518">
        <f>VLOOKUP(A2739,'Materiales '!$C$2:$G$396,3,0)</f>
        <v>4</v>
      </c>
      <c r="C2739" s="88">
        <f>VLOOKUP(A2739,'Materiales '!$C$2:$G$396,3,0)</f>
        <v>4</v>
      </c>
      <c r="D2739" s="89" t="str">
        <f>VLOOKUP(A2739,'Materiales '!$C$2:$G$396,4,0)</f>
        <v>Und</v>
      </c>
      <c r="E2739" s="90">
        <v>3</v>
      </c>
      <c r="F2739" s="508" t="e">
        <f t="shared" si="160"/>
        <v>#VALUE!</v>
      </c>
      <c r="G2739" s="519"/>
      <c r="H2739" s="111"/>
      <c r="I2739">
        <f>E2739*G2724</f>
        <v>0</v>
      </c>
      <c r="J2739" s="58"/>
      <c r="K2739" s="50"/>
      <c r="L2739" s="50"/>
      <c r="M2739" s="50"/>
      <c r="N2739" s="50"/>
      <c r="O2739" s="50"/>
    </row>
    <row r="2740" spans="1:15" ht="21.75" customHeight="1">
      <c r="A2740" s="517" t="s">
        <v>4628</v>
      </c>
      <c r="B2740" s="518">
        <f>VLOOKUP(A2740,'Materiales '!$C$2:$G$396,3,0)</f>
        <v>4</v>
      </c>
      <c r="C2740" s="88">
        <f>VLOOKUP(A2740,'Materiales '!$C$2:$G$396,3,0)</f>
        <v>4</v>
      </c>
      <c r="D2740" s="89" t="str">
        <f>VLOOKUP(A2740,'Materiales '!$C$2:$G$396,4,0)</f>
        <v>Und</v>
      </c>
      <c r="E2740" s="90">
        <v>1</v>
      </c>
      <c r="F2740" s="508" t="e">
        <f t="shared" si="160"/>
        <v>#VALUE!</v>
      </c>
      <c r="G2740" s="519"/>
      <c r="H2740" s="111"/>
      <c r="I2740">
        <f>E2740*G2724</f>
        <v>0</v>
      </c>
      <c r="J2740" s="58"/>
      <c r="K2740" s="50"/>
      <c r="L2740" s="50"/>
      <c r="M2740" s="50"/>
      <c r="N2740" s="50"/>
      <c r="O2740" s="50"/>
    </row>
    <row r="2741" spans="1:15">
      <c r="A2741" s="517" t="s">
        <v>8</v>
      </c>
      <c r="B2741" s="518">
        <f>VLOOKUP(A2741,'Materiales '!$C$2:$G$396,3,0)</f>
        <v>0</v>
      </c>
      <c r="C2741" s="88">
        <f>VLOOKUP(A2741,'Materiales '!$C$2:$G$396,3,0)</f>
        <v>0</v>
      </c>
      <c r="D2741" s="89" t="str">
        <f>VLOOKUP(A2741,'Materiales '!$C$2:$G$396,4,0)</f>
        <v>-</v>
      </c>
      <c r="E2741" s="90"/>
      <c r="F2741" s="508" t="e">
        <f>E2741*D2741</f>
        <v>#VALUE!</v>
      </c>
      <c r="G2741" s="519"/>
      <c r="H2741" s="110"/>
      <c r="I2741">
        <f>E2741*G2724</f>
        <v>0</v>
      </c>
      <c r="J2741" s="58"/>
      <c r="K2741" s="50"/>
      <c r="L2741" s="50"/>
      <c r="M2741" s="50"/>
      <c r="N2741" s="50"/>
      <c r="O2741" s="50"/>
    </row>
    <row r="2742" spans="1:15">
      <c r="A2742" s="517" t="s">
        <v>8</v>
      </c>
      <c r="B2742" s="518">
        <f>VLOOKUP(A2742,'Materiales '!$C$2:$G$396,3,0)</f>
        <v>0</v>
      </c>
      <c r="C2742" s="88">
        <f>VLOOKUP(A2742,'Materiales '!$C$2:$G$396,3,0)</f>
        <v>0</v>
      </c>
      <c r="D2742" s="89" t="str">
        <f>VLOOKUP(A2742,'Materiales '!$C$2:$G$396,4,0)</f>
        <v>-</v>
      </c>
      <c r="E2742" s="90"/>
      <c r="F2742" s="508" t="e">
        <f t="shared" ref="F2742:F2745" si="161">E2742*D2742</f>
        <v>#VALUE!</v>
      </c>
      <c r="G2742" s="519"/>
      <c r="H2742" s="111"/>
      <c r="I2742">
        <f>E2742*G2724</f>
        <v>0</v>
      </c>
      <c r="J2742" s="58"/>
      <c r="K2742" s="50"/>
      <c r="L2742" s="50"/>
      <c r="M2742" s="50"/>
      <c r="N2742" s="50"/>
      <c r="O2742" s="50"/>
    </row>
    <row r="2743" spans="1:15">
      <c r="A2743" s="517" t="s">
        <v>8</v>
      </c>
      <c r="B2743" s="518">
        <f>VLOOKUP(A2743,'Materiales '!$C$2:$G$396,3,0)</f>
        <v>0</v>
      </c>
      <c r="C2743" s="88">
        <f>VLOOKUP(A2743,'Materiales '!$C$2:$G$396,3,0)</f>
        <v>0</v>
      </c>
      <c r="D2743" s="89" t="str">
        <f>VLOOKUP(A2743,'Materiales '!$C$2:$G$396,4,0)</f>
        <v>-</v>
      </c>
      <c r="E2743" s="90"/>
      <c r="F2743" s="508" t="e">
        <f t="shared" si="161"/>
        <v>#VALUE!</v>
      </c>
      <c r="G2743" s="519"/>
      <c r="H2743" s="111"/>
      <c r="I2743">
        <f>E2743*G2724</f>
        <v>0</v>
      </c>
      <c r="J2743" s="58"/>
      <c r="K2743" s="50"/>
      <c r="L2743" s="50"/>
      <c r="M2743" s="50"/>
      <c r="N2743" s="50"/>
      <c r="O2743" s="50"/>
    </row>
    <row r="2744" spans="1:15">
      <c r="A2744" s="517" t="s">
        <v>8</v>
      </c>
      <c r="B2744" s="518">
        <f>VLOOKUP(A2744,'Materiales '!$C$2:$G$396,3,0)</f>
        <v>0</v>
      </c>
      <c r="C2744" s="88">
        <f>VLOOKUP(A2744,'Materiales '!$C$2:$G$396,3,0)</f>
        <v>0</v>
      </c>
      <c r="D2744" s="89" t="str">
        <f>VLOOKUP(A2744,'Materiales '!$C$2:$G$396,4,0)</f>
        <v>-</v>
      </c>
      <c r="E2744" s="90"/>
      <c r="F2744" s="508" t="e">
        <f t="shared" si="161"/>
        <v>#VALUE!</v>
      </c>
      <c r="G2744" s="519"/>
      <c r="H2744" s="111"/>
      <c r="I2744">
        <f>E2744*G2724</f>
        <v>0</v>
      </c>
      <c r="J2744" s="58"/>
      <c r="K2744" s="50"/>
      <c r="L2744" s="50"/>
      <c r="M2744" s="50"/>
      <c r="N2744" s="50"/>
      <c r="O2744" s="50"/>
    </row>
    <row r="2745" spans="1:15">
      <c r="A2745" s="517" t="s">
        <v>8</v>
      </c>
      <c r="B2745" s="518">
        <f>VLOOKUP(A2745,'Materiales '!$C$2:$G$396,3,0)</f>
        <v>0</v>
      </c>
      <c r="C2745" s="88">
        <f>VLOOKUP(A2745,'Materiales '!$C$2:$G$396,3,0)</f>
        <v>0</v>
      </c>
      <c r="D2745" s="89" t="str">
        <f>VLOOKUP(A2745,'Materiales '!$C$2:$G$396,4,0)</f>
        <v>-</v>
      </c>
      <c r="E2745" s="90"/>
      <c r="F2745" s="508" t="e">
        <f t="shared" si="161"/>
        <v>#VALUE!</v>
      </c>
      <c r="G2745" s="519"/>
      <c r="H2745" s="111"/>
      <c r="I2745">
        <f>E2745*G2724</f>
        <v>0</v>
      </c>
      <c r="J2745" s="58"/>
      <c r="K2745" s="50"/>
      <c r="L2745" s="50"/>
      <c r="M2745" s="50"/>
      <c r="N2745" s="50"/>
      <c r="O2745" s="50"/>
    </row>
    <row r="2746" spans="1:15">
      <c r="A2746" s="517" t="s">
        <v>8</v>
      </c>
      <c r="B2746" s="518">
        <f>VLOOKUP(A2746,'Materiales '!$C$2:$G$396,3,0)</f>
        <v>0</v>
      </c>
      <c r="C2746" s="88">
        <f>VLOOKUP(A2746,'Materiales '!$C$2:$G$396,3,0)</f>
        <v>0</v>
      </c>
      <c r="D2746" s="89" t="str">
        <f>VLOOKUP(A2746,'Materiales '!$C$2:$G$396,4,0)</f>
        <v>-</v>
      </c>
      <c r="E2746" s="90"/>
      <c r="F2746" s="508" t="e">
        <f>E2746*D2746</f>
        <v>#VALUE!</v>
      </c>
      <c r="G2746" s="519"/>
      <c r="H2746" s="110"/>
      <c r="I2746">
        <f>E2746*G2724</f>
        <v>0</v>
      </c>
      <c r="J2746" s="58"/>
      <c r="K2746" s="50"/>
      <c r="L2746" s="50"/>
      <c r="M2746" s="50"/>
      <c r="N2746" s="50"/>
      <c r="O2746" s="50"/>
    </row>
    <row r="2747" spans="1:15">
      <c r="A2747" s="520" t="s">
        <v>4098</v>
      </c>
      <c r="B2747" s="521"/>
      <c r="C2747" s="521"/>
      <c r="D2747" s="521"/>
      <c r="E2747" s="521"/>
      <c r="F2747" s="521"/>
      <c r="G2747" s="522"/>
      <c r="H2747" s="106" t="e">
        <f>SUM(F2733:F2746)</f>
        <v>#VALUE!</v>
      </c>
      <c r="J2747" s="58"/>
      <c r="K2747" s="50"/>
      <c r="L2747" s="50"/>
      <c r="M2747" s="50"/>
      <c r="N2747" s="50"/>
      <c r="O2747" s="50"/>
    </row>
    <row r="2748" spans="1:15">
      <c r="A2748" s="523" t="s">
        <v>4220</v>
      </c>
      <c r="B2748" s="524"/>
      <c r="C2748" s="524"/>
      <c r="D2748" s="524"/>
      <c r="E2748" s="525"/>
      <c r="F2748" s="524"/>
      <c r="G2748" s="524"/>
      <c r="H2748" s="526"/>
      <c r="J2748" s="58"/>
      <c r="K2748" s="50"/>
      <c r="L2748" s="50"/>
      <c r="M2748" s="50"/>
      <c r="N2748" s="50"/>
      <c r="O2748" s="50"/>
    </row>
    <row r="2749" spans="1:15">
      <c r="A2749" s="527" t="s">
        <v>7</v>
      </c>
      <c r="B2749" s="528"/>
      <c r="C2749" s="98" t="s">
        <v>4221</v>
      </c>
      <c r="D2749" s="97" t="s">
        <v>4222</v>
      </c>
      <c r="E2749" s="187" t="s">
        <v>4223</v>
      </c>
      <c r="F2749" s="529" t="s">
        <v>4207</v>
      </c>
      <c r="G2749" s="529"/>
      <c r="H2749" s="109"/>
      <c r="K2749" s="50"/>
      <c r="L2749" s="50"/>
      <c r="M2749" s="50"/>
      <c r="N2749" s="50"/>
      <c r="O2749" s="50"/>
    </row>
    <row r="2750" spans="1:15">
      <c r="A2750" s="506" t="s">
        <v>3928</v>
      </c>
      <c r="B2750" s="507"/>
      <c r="C2750" s="213">
        <v>1</v>
      </c>
      <c r="D2750" s="92">
        <v>0.03</v>
      </c>
      <c r="E2750" s="93" t="str">
        <f>VLOOKUP(A2750,'Equip, Herr y Transp'!$B$2:$E$217,3,0)</f>
        <v>TR</v>
      </c>
      <c r="F2750" s="530" t="e">
        <f>E2750*D2750*C2750</f>
        <v>#VALUE!</v>
      </c>
      <c r="G2750" s="531"/>
      <c r="H2750" s="107"/>
      <c r="M2750" s="50"/>
    </row>
    <row r="2751" spans="1:15">
      <c r="A2751" s="532" t="s">
        <v>4205</v>
      </c>
      <c r="B2751" s="533"/>
      <c r="C2751" s="533"/>
      <c r="D2751" s="533"/>
      <c r="E2751" s="533"/>
      <c r="F2751" s="533"/>
      <c r="G2751" s="533"/>
      <c r="H2751" s="95" t="e">
        <f>F2750</f>
        <v>#VALUE!</v>
      </c>
    </row>
    <row r="2752" spans="1:15">
      <c r="A2752" s="523" t="s">
        <v>4224</v>
      </c>
      <c r="B2752" s="524"/>
      <c r="C2752" s="524"/>
      <c r="D2752" s="524"/>
      <c r="E2752" s="524"/>
      <c r="F2752" s="524"/>
      <c r="G2752" s="524"/>
      <c r="H2752" s="526"/>
    </row>
    <row r="2753" spans="1:10">
      <c r="A2753" s="527" t="s">
        <v>7</v>
      </c>
      <c r="B2753" s="528"/>
      <c r="C2753" s="96" t="s">
        <v>1</v>
      </c>
      <c r="D2753" s="97" t="s">
        <v>4225</v>
      </c>
      <c r="E2753" s="98" t="s">
        <v>4204</v>
      </c>
      <c r="F2753" s="527" t="s">
        <v>5</v>
      </c>
      <c r="G2753" s="534"/>
      <c r="H2753" s="109"/>
    </row>
    <row r="2754" spans="1:10">
      <c r="A2754" s="506" t="s">
        <v>4191</v>
      </c>
      <c r="B2754" s="507"/>
      <c r="C2754" s="91">
        <v>1</v>
      </c>
      <c r="D2754" s="94">
        <f>VLOOKUP(A2754,'Mano Obra'!$B$2:$T$117,19,0)</f>
        <v>152456</v>
      </c>
      <c r="E2754" s="218">
        <f>H2717</f>
        <v>6.25E-2</v>
      </c>
      <c r="F2754" s="508">
        <f>E2754*D2754*C2754</f>
        <v>9528.5</v>
      </c>
      <c r="G2754" s="509"/>
      <c r="H2754" s="111"/>
      <c r="I2754" s="59"/>
      <c r="J2754" s="117">
        <f>((('Mano Obra'!$M$4/30)*F2754)/D2754)*G2724</f>
        <v>0</v>
      </c>
    </row>
    <row r="2755" spans="1:10">
      <c r="A2755" s="510" t="s">
        <v>4192</v>
      </c>
      <c r="B2755" s="511">
        <f>VLOOKUP(A2755,'Mano Obra'!$B$3:$D$290,2,0)</f>
        <v>1900000</v>
      </c>
      <c r="C2755" s="91">
        <v>1</v>
      </c>
      <c r="D2755" s="94">
        <f>VLOOKUP(A2755,'Mano Obra'!$B$2:$T$117,19,0)</f>
        <v>110488</v>
      </c>
      <c r="E2755" s="218">
        <f>H2717</f>
        <v>6.25E-2</v>
      </c>
      <c r="F2755" s="508">
        <f t="shared" ref="F2755:F2756" si="162">E2755*D2755*C2755</f>
        <v>6905.5</v>
      </c>
      <c r="G2755" s="509"/>
      <c r="H2755" s="111"/>
      <c r="J2755" s="117">
        <f>((('Mano Obra'!$M$5/30)*F2755)/D2755)*G2724</f>
        <v>0</v>
      </c>
    </row>
    <row r="2756" spans="1:10">
      <c r="A2756" s="510" t="s">
        <v>4181</v>
      </c>
      <c r="B2756" s="511">
        <f>VLOOKUP(A2756,'Mano Obra'!$B$3:$D$290,2,0)</f>
        <v>1000000</v>
      </c>
      <c r="C2756" s="91">
        <v>1</v>
      </c>
      <c r="D2756" s="94">
        <f>VLOOKUP(A2756,'Mano Obra'!$B$2:$T$117,19,0)</f>
        <v>67424</v>
      </c>
      <c r="E2756" s="218">
        <f>H2717</f>
        <v>6.25E-2</v>
      </c>
      <c r="F2756" s="508">
        <f t="shared" si="162"/>
        <v>4214</v>
      </c>
      <c r="G2756" s="509"/>
      <c r="H2756" s="110"/>
      <c r="J2756" s="117">
        <f>((('Mano Obra'!$M$6/30)*F2756)/D2756)*G2724</f>
        <v>0</v>
      </c>
    </row>
    <row r="2757" spans="1:10">
      <c r="A2757" s="512" t="s">
        <v>4100</v>
      </c>
      <c r="B2757" s="512"/>
      <c r="C2757" s="512"/>
      <c r="D2757" s="512"/>
      <c r="E2757" s="512"/>
      <c r="F2757" s="512"/>
      <c r="G2757" s="512"/>
      <c r="H2757" s="95">
        <f>SUM(F2754:F2756)</f>
        <v>20648</v>
      </c>
      <c r="J2757" s="117"/>
    </row>
    <row r="2758" spans="1:10">
      <c r="A2758" s="208" t="s">
        <v>4226</v>
      </c>
      <c r="B2758" s="186"/>
      <c r="C2758" s="186"/>
      <c r="D2758" s="183"/>
      <c r="E2758" s="184"/>
      <c r="F2758" s="185"/>
      <c r="G2758" s="184"/>
      <c r="H2758" s="193"/>
    </row>
    <row r="2759" spans="1:10">
      <c r="A2759" s="513" t="s">
        <v>4213</v>
      </c>
      <c r="B2759" s="514"/>
      <c r="C2759" s="514"/>
      <c r="D2759" s="514"/>
      <c r="E2759" s="181"/>
      <c r="F2759" s="182" t="s">
        <v>4227</v>
      </c>
      <c r="G2759" s="181" t="s">
        <v>4228</v>
      </c>
      <c r="H2759" s="194"/>
    </row>
    <row r="2760" spans="1:10">
      <c r="A2760" s="204" t="s">
        <v>4096</v>
      </c>
      <c r="B2760" s="62"/>
      <c r="C2760" s="62"/>
      <c r="D2760" s="63"/>
      <c r="E2760" s="68"/>
      <c r="F2760" s="69">
        <v>0</v>
      </c>
      <c r="G2760" s="70" t="e">
        <f>F2760*H2725</f>
        <v>#VALUE!</v>
      </c>
      <c r="H2760" s="193"/>
    </row>
    <row r="2761" spans="1:10">
      <c r="A2761" s="205" t="s">
        <v>4229</v>
      </c>
      <c r="B2761" s="71"/>
      <c r="C2761" s="71"/>
      <c r="D2761" s="72"/>
      <c r="E2761" s="68"/>
      <c r="F2761" s="69">
        <v>0</v>
      </c>
      <c r="G2761" s="70" t="e">
        <f>F2761*H2725</f>
        <v>#VALUE!</v>
      </c>
      <c r="H2761" s="193"/>
    </row>
    <row r="2762" spans="1:10">
      <c r="A2762" s="205" t="s">
        <v>4</v>
      </c>
      <c r="B2762" s="71"/>
      <c r="C2762" s="71"/>
      <c r="D2762" s="72"/>
      <c r="E2762" s="68"/>
      <c r="F2762" s="69">
        <v>0</v>
      </c>
      <c r="G2762" s="70" t="e">
        <f>F2762*H2725</f>
        <v>#VALUE!</v>
      </c>
      <c r="H2762" s="193"/>
    </row>
    <row r="2763" spans="1:10">
      <c r="A2763" s="206"/>
      <c r="B2763" s="73"/>
      <c r="C2763" s="65"/>
      <c r="D2763" s="74"/>
      <c r="E2763" s="75"/>
      <c r="F2763" s="76"/>
      <c r="G2763" s="77"/>
      <c r="H2763" s="195"/>
    </row>
    <row r="2764" spans="1:10">
      <c r="A2764" s="207"/>
      <c r="B2764" s="73"/>
      <c r="C2764" s="73"/>
      <c r="D2764" s="74"/>
      <c r="E2764" s="78"/>
      <c r="F2764" s="515" t="s">
        <v>4230</v>
      </c>
      <c r="G2764" s="516"/>
      <c r="H2764" s="214" t="e">
        <f>H2725+G2760+G2761+G2762</f>
        <v>#VALUE!</v>
      </c>
    </row>
    <row r="2765" spans="1:10">
      <c r="A2765" s="73"/>
      <c r="B2765" s="73"/>
      <c r="C2765" s="73"/>
      <c r="D2765" s="74"/>
      <c r="E2765" s="360"/>
      <c r="F2765" s="361"/>
      <c r="G2765" s="361"/>
      <c r="H2765" s="362"/>
    </row>
    <row r="2766" spans="1:10">
      <c r="A2766" s="80"/>
      <c r="B2766" s="80"/>
      <c r="C2766" s="80"/>
      <c r="D2766" s="80"/>
      <c r="E2766" s="80"/>
      <c r="F2766" s="80"/>
      <c r="G2766" s="80"/>
      <c r="H2766" s="353"/>
    </row>
    <row r="2767" spans="1:10">
      <c r="A2767" s="537" t="s">
        <v>4214</v>
      </c>
      <c r="B2767" s="538"/>
      <c r="C2767" s="538"/>
      <c r="D2767" s="538"/>
      <c r="E2767" s="538"/>
      <c r="F2767" s="538"/>
      <c r="G2767" s="538"/>
      <c r="H2767" s="539"/>
    </row>
    <row r="2768" spans="1:10">
      <c r="A2768" s="81"/>
      <c r="B2768" s="82"/>
      <c r="C2768" s="82"/>
      <c r="D2768" s="82"/>
      <c r="E2768" s="82"/>
      <c r="F2768" s="83"/>
      <c r="G2768" s="84"/>
      <c r="H2768" s="352">
        <f>ROUND((30/60)/8,4)</f>
        <v>6.25E-2</v>
      </c>
      <c r="I2768" s="105"/>
    </row>
    <row r="2769" spans="1:15">
      <c r="A2769" s="540" t="s">
        <v>4209</v>
      </c>
      <c r="B2769" s="542" t="str">
        <f>COSTOS!$C$14</f>
        <v>MODERNIZACION A TECNOLOGIA LED</v>
      </c>
      <c r="C2769" s="542"/>
      <c r="D2769" s="542"/>
      <c r="E2769" s="542"/>
      <c r="F2769" s="542"/>
      <c r="G2769" s="542"/>
      <c r="H2769" s="543" t="s">
        <v>4210</v>
      </c>
    </row>
    <row r="2770" spans="1:15">
      <c r="A2770" s="541"/>
      <c r="B2770" s="542"/>
      <c r="C2770" s="542"/>
      <c r="D2770" s="542"/>
      <c r="E2770" s="542"/>
      <c r="F2770" s="542"/>
      <c r="G2770" s="542"/>
      <c r="H2770" s="543"/>
    </row>
    <row r="2771" spans="1:15">
      <c r="A2771" s="541"/>
      <c r="B2771" s="542"/>
      <c r="C2771" s="542"/>
      <c r="D2771" s="542"/>
      <c r="E2771" s="542"/>
      <c r="F2771" s="542"/>
      <c r="G2771" s="542"/>
      <c r="H2771" s="543"/>
    </row>
    <row r="2772" spans="1:15" ht="15" customHeight="1">
      <c r="A2772" s="541"/>
      <c r="B2772" s="542"/>
      <c r="C2772" s="542"/>
      <c r="D2772" s="542"/>
      <c r="E2772" s="542"/>
      <c r="F2772" s="542"/>
      <c r="G2772" s="542"/>
      <c r="H2772" s="197">
        <f ca="1">TODAY()</f>
        <v>44889</v>
      </c>
      <c r="K2772" t="s">
        <v>4380</v>
      </c>
      <c r="L2772" t="s">
        <v>4381</v>
      </c>
      <c r="M2772" t="s">
        <v>4382</v>
      </c>
      <c r="N2772" t="s">
        <v>4383</v>
      </c>
    </row>
    <row r="2773" spans="1:15" ht="60.75" customHeight="1">
      <c r="A2773" s="209" t="s">
        <v>4211</v>
      </c>
      <c r="B2773" s="544" t="str">
        <f>COSTOS!$D$16</f>
        <v>Luminarias</v>
      </c>
      <c r="C2773" s="544"/>
      <c r="D2773" s="544"/>
      <c r="E2773" s="544"/>
      <c r="F2773" s="544"/>
      <c r="G2773" s="60" t="s">
        <v>4212</v>
      </c>
      <c r="H2773" s="363">
        <v>1.55</v>
      </c>
      <c r="K2773" s="55" t="e">
        <f>H2798</f>
        <v>#VALUE!</v>
      </c>
      <c r="L2773" s="55">
        <f>H2808</f>
        <v>20648</v>
      </c>
      <c r="M2773" s="55" t="e">
        <f>H2781</f>
        <v>#VALUE!</v>
      </c>
      <c r="N2773" s="55" t="e">
        <f>H2802</f>
        <v>#VALUE!</v>
      </c>
    </row>
    <row r="2774" spans="1:15" ht="43.2" customHeight="1">
      <c r="A2774" s="210" t="s">
        <v>4213</v>
      </c>
      <c r="B2774" s="545" t="str">
        <f>VLOOKUP(H2773,COSTOS!C:M,2,0)</f>
        <v>Luminaria Led 45w monoff</v>
      </c>
      <c r="C2774" s="546"/>
      <c r="D2774" s="546"/>
      <c r="E2774" s="547"/>
      <c r="F2774" s="61" t="s">
        <v>0</v>
      </c>
      <c r="G2774" s="328" t="str">
        <f>VLOOKUP(H2773,COSTOS!C:M,8,0)</f>
        <v>Und</v>
      </c>
      <c r="H2774" s="248"/>
      <c r="I2774" s="278"/>
      <c r="J2774" s="280"/>
      <c r="K2774" s="280"/>
      <c r="L2774" s="280"/>
    </row>
    <row r="2775" spans="1:15">
      <c r="A2775" s="211"/>
      <c r="B2775" s="102"/>
      <c r="C2775" s="102"/>
      <c r="D2775" s="102"/>
      <c r="E2775" s="103"/>
      <c r="F2775" s="104" t="s">
        <v>1</v>
      </c>
      <c r="G2775" s="328">
        <f>VLOOKUP(H2773,COSTOS!C:M,9,0)</f>
        <v>0</v>
      </c>
      <c r="H2775" s="329"/>
      <c r="I2775" s="279"/>
    </row>
    <row r="2776" spans="1:15">
      <c r="A2776" s="212" t="s">
        <v>4215</v>
      </c>
      <c r="B2776" s="65"/>
      <c r="C2776" s="65"/>
      <c r="D2776" s="66"/>
      <c r="E2776" s="190"/>
      <c r="F2776" s="191"/>
      <c r="G2776" s="192" t="s">
        <v>4216</v>
      </c>
      <c r="H2776" s="198" t="e">
        <f>H2781+H2798+H2802+H2808</f>
        <v>#VALUE!</v>
      </c>
    </row>
    <row r="2777" spans="1:15" ht="41.4">
      <c r="A2777" s="548" t="s">
        <v>4213</v>
      </c>
      <c r="B2777" s="548"/>
      <c r="C2777" s="548"/>
      <c r="D2777" s="67" t="s">
        <v>0</v>
      </c>
      <c r="E2777" s="188" t="s">
        <v>4217</v>
      </c>
      <c r="F2777" s="189" t="s">
        <v>4204</v>
      </c>
      <c r="G2777" s="64" t="s">
        <v>2</v>
      </c>
      <c r="H2777" s="199" t="s">
        <v>4218</v>
      </c>
      <c r="K2777" s="281"/>
    </row>
    <row r="2778" spans="1:15">
      <c r="A2778" s="517" t="s">
        <v>3946</v>
      </c>
      <c r="B2778" s="549">
        <f>VLOOKUP(A2778,'Equip, Herr y Transp'!$B$2:$E$738,2,0)</f>
        <v>2</v>
      </c>
      <c r="C2778" s="549"/>
      <c r="D2778" s="85">
        <f>VLOOKUP(A2778,'Equip, Herr y Transp'!$B$2:$E$217,2,0)</f>
        <v>2</v>
      </c>
      <c r="E2778" s="85" t="str">
        <f>VLOOKUP(A2778,'Equip, Herr y Transp'!$B$2:$E$217,3,0)</f>
        <v>EQU</v>
      </c>
      <c r="F2778" s="86">
        <f>H2768</f>
        <v>6.25E-2</v>
      </c>
      <c r="G2778" s="112" t="e">
        <f>F2778*E2778</f>
        <v>#VALUE!</v>
      </c>
      <c r="H2778" s="108"/>
    </row>
    <row r="2779" spans="1:15">
      <c r="A2779" s="517" t="s">
        <v>3904</v>
      </c>
      <c r="B2779" s="549">
        <f>VLOOKUP(A2779,'Equip, Herr y Transp'!$B$2:$E$738,2,0)</f>
        <v>2</v>
      </c>
      <c r="C2779" s="549"/>
      <c r="D2779" s="85">
        <f>VLOOKUP(A2779,'Equip, Herr y Transp'!$B$2:$E$217,2,0)</f>
        <v>2</v>
      </c>
      <c r="E2779" s="85" t="str">
        <f>VLOOKUP(A2779,'Equip, Herr y Transp'!$B$2:$E$217,3,0)</f>
        <v>EQU</v>
      </c>
      <c r="F2779" s="86">
        <f>H2768</f>
        <v>6.25E-2</v>
      </c>
      <c r="G2779" s="112" t="e">
        <f>F2779*E2779</f>
        <v>#VALUE!</v>
      </c>
      <c r="H2779" s="107"/>
    </row>
    <row r="2780" spans="1:15">
      <c r="A2780" s="517" t="s">
        <v>3937</v>
      </c>
      <c r="B2780" s="549">
        <f>VLOOKUP(A2780,'Equip, Herr y Transp'!$B$2:$E$738,2,0)</f>
        <v>2</v>
      </c>
      <c r="C2780" s="549"/>
      <c r="D2780" s="85">
        <f>VLOOKUP(A2780,'Equip, Herr y Transp'!$B$2:$E$217,2,0)</f>
        <v>2</v>
      </c>
      <c r="E2780" s="85" t="str">
        <f>VLOOKUP(A2780,'Equip, Herr y Transp'!$B$2:$E$217,3,0)</f>
        <v>EQU</v>
      </c>
      <c r="F2780" s="86">
        <f>H2768</f>
        <v>6.25E-2</v>
      </c>
      <c r="G2780" s="112" t="e">
        <f>F2780*E2780</f>
        <v>#VALUE!</v>
      </c>
      <c r="H2780" s="107"/>
    </row>
    <row r="2781" spans="1:15">
      <c r="A2781" s="520" t="s">
        <v>4099</v>
      </c>
      <c r="B2781" s="521"/>
      <c r="C2781" s="521"/>
      <c r="D2781" s="521"/>
      <c r="E2781" s="521"/>
      <c r="F2781" s="521"/>
      <c r="G2781" s="521"/>
      <c r="H2781" s="87" t="e">
        <f>SUM(G2778:G2780)</f>
        <v>#VALUE!</v>
      </c>
    </row>
    <row r="2782" spans="1:15">
      <c r="A2782" s="550" t="s">
        <v>4219</v>
      </c>
      <c r="B2782" s="551"/>
      <c r="C2782" s="551"/>
      <c r="D2782" s="551"/>
      <c r="E2782" s="551"/>
      <c r="F2782" s="551"/>
      <c r="G2782" s="551"/>
      <c r="H2782" s="552"/>
      <c r="K2782" s="50"/>
      <c r="L2782" s="50"/>
      <c r="M2782" s="50"/>
      <c r="N2782" s="50"/>
      <c r="O2782" s="50"/>
    </row>
    <row r="2783" spans="1:15" ht="30" customHeight="1">
      <c r="A2783" s="553" t="s">
        <v>7</v>
      </c>
      <c r="B2783" s="554"/>
      <c r="C2783" s="99" t="s">
        <v>0</v>
      </c>
      <c r="D2783" s="100" t="s">
        <v>4097</v>
      </c>
      <c r="E2783" s="101" t="s">
        <v>1</v>
      </c>
      <c r="F2783" s="555" t="s">
        <v>4207</v>
      </c>
      <c r="G2783" s="555"/>
      <c r="H2783" s="196"/>
      <c r="K2783" s="50"/>
      <c r="L2783" s="50"/>
      <c r="M2783" s="50"/>
      <c r="N2783" s="50"/>
      <c r="O2783" s="50"/>
    </row>
    <row r="2784" spans="1:15">
      <c r="A2784" s="535" t="s">
        <v>4754</v>
      </c>
      <c r="B2784" s="536"/>
      <c r="C2784" s="88">
        <f>VLOOKUP(A2784,'Materiales '!$C$2:$G$396,3,0)</f>
        <v>4</v>
      </c>
      <c r="D2784" s="89" t="str">
        <f>VLOOKUP(A2784,'Materiales '!$C$2:$G$396,4,0)</f>
        <v>Und</v>
      </c>
      <c r="E2784" s="90">
        <v>1</v>
      </c>
      <c r="F2784" s="508" t="e">
        <f>E2784*D2784</f>
        <v>#VALUE!</v>
      </c>
      <c r="G2784" s="519"/>
      <c r="H2784" s="111"/>
      <c r="I2784">
        <f>E2784*G2775</f>
        <v>0</v>
      </c>
      <c r="J2784" s="57"/>
      <c r="K2784" s="50"/>
      <c r="L2784" s="50"/>
      <c r="M2784" s="50"/>
      <c r="N2784" s="50"/>
      <c r="O2784" s="50"/>
    </row>
    <row r="2785" spans="1:15">
      <c r="A2785" s="535" t="s">
        <v>4203</v>
      </c>
      <c r="B2785" s="536"/>
      <c r="C2785" s="88">
        <f>VLOOKUP(A2785,'Materiales '!$C$2:$G$396,3,0)</f>
        <v>4</v>
      </c>
      <c r="D2785" s="89" t="str">
        <f>VLOOKUP(A2785,'Materiales '!$C$2:$G$396,4,0)</f>
        <v>Und</v>
      </c>
      <c r="E2785" s="90">
        <v>1</v>
      </c>
      <c r="F2785" s="508" t="e">
        <f t="shared" ref="F2785:F2791" si="163">E2785*D2785</f>
        <v>#VALUE!</v>
      </c>
      <c r="G2785" s="519"/>
      <c r="H2785" s="111"/>
      <c r="I2785">
        <f>E2785*G2775</f>
        <v>0</v>
      </c>
      <c r="J2785" s="57"/>
      <c r="K2785" s="50"/>
      <c r="L2785" s="50"/>
      <c r="M2785" s="50"/>
      <c r="N2785" s="50"/>
      <c r="O2785" s="50"/>
    </row>
    <row r="2786" spans="1:15">
      <c r="A2786" s="517" t="s">
        <v>4473</v>
      </c>
      <c r="B2786" s="518">
        <f>VLOOKUP(A2786,'Materiales '!$C$2:$G$396,3,0)</f>
        <v>4</v>
      </c>
      <c r="C2786" s="88">
        <f>VLOOKUP(A2786,'Materiales '!$C$2:$G$396,3,0)</f>
        <v>4</v>
      </c>
      <c r="D2786" s="89" t="str">
        <f>VLOOKUP(A2786,'Materiales '!$C$2:$G$396,4,0)</f>
        <v>Und</v>
      </c>
      <c r="E2786" s="90">
        <v>2</v>
      </c>
      <c r="F2786" s="508" t="e">
        <f t="shared" si="163"/>
        <v>#VALUE!</v>
      </c>
      <c r="G2786" s="519"/>
      <c r="H2786" s="111"/>
      <c r="I2786">
        <f>E2786*G2775</f>
        <v>0</v>
      </c>
      <c r="J2786" s="58"/>
      <c r="K2786" s="50"/>
      <c r="L2786" s="50"/>
      <c r="M2786" s="50"/>
      <c r="N2786" s="50"/>
      <c r="O2786" s="50"/>
    </row>
    <row r="2787" spans="1:15">
      <c r="A2787" s="517" t="s">
        <v>4478</v>
      </c>
      <c r="B2787" s="518">
        <f>VLOOKUP(A2787,'Materiales '!$C$2:$G$396,3,0)</f>
        <v>4</v>
      </c>
      <c r="C2787" s="88">
        <f>VLOOKUP(A2787,'Materiales '!$C$2:$G$396,3,0)</f>
        <v>4</v>
      </c>
      <c r="D2787" s="89" t="str">
        <f>VLOOKUP(A2787,'Materiales '!$C$2:$G$396,4,0)</f>
        <v>Und</v>
      </c>
      <c r="E2787" s="90">
        <v>3</v>
      </c>
      <c r="F2787" s="508" t="e">
        <f t="shared" si="163"/>
        <v>#VALUE!</v>
      </c>
      <c r="G2787" s="519"/>
      <c r="H2787" s="111"/>
      <c r="I2787">
        <f>E2787*G2775</f>
        <v>0</v>
      </c>
      <c r="J2787" s="58"/>
      <c r="K2787" s="50"/>
      <c r="L2787" s="50"/>
      <c r="M2787" s="50"/>
      <c r="N2787" s="50"/>
      <c r="O2787" s="50"/>
    </row>
    <row r="2788" spans="1:15">
      <c r="A2788" s="517" t="s">
        <v>4543</v>
      </c>
      <c r="B2788" s="518">
        <f>VLOOKUP(A2788,'Materiales '!$C$2:$G$396,3,0)</f>
        <v>4</v>
      </c>
      <c r="C2788" s="88">
        <f>VLOOKUP(A2788,'Materiales '!$C$2:$G$396,3,0)</f>
        <v>4</v>
      </c>
      <c r="D2788" s="89" t="str">
        <f>VLOOKUP(A2788,'Materiales '!$C$2:$G$396,4,0)</f>
        <v>Und</v>
      </c>
      <c r="E2788" s="90">
        <v>2</v>
      </c>
      <c r="F2788" s="508" t="e">
        <f t="shared" si="163"/>
        <v>#VALUE!</v>
      </c>
      <c r="G2788" s="519"/>
      <c r="H2788" s="111"/>
      <c r="I2788">
        <f>E2788*G2775</f>
        <v>0</v>
      </c>
      <c r="J2788" s="58"/>
      <c r="K2788" s="50"/>
      <c r="L2788" s="50"/>
      <c r="M2788" s="50"/>
      <c r="N2788" s="50"/>
      <c r="O2788" s="50"/>
    </row>
    <row r="2789" spans="1:15">
      <c r="A2789" s="517" t="s">
        <v>4439</v>
      </c>
      <c r="B2789" s="518">
        <f>VLOOKUP(A2789,'Materiales '!$C$2:$G$396,3,0)</f>
        <v>2</v>
      </c>
      <c r="C2789" s="88">
        <f>VLOOKUP(A2789,'Materiales '!$C$2:$G$396,3,0)</f>
        <v>2</v>
      </c>
      <c r="D2789" s="89" t="str">
        <f>VLOOKUP(A2789,'Materiales '!$C$2:$G$396,4,0)</f>
        <v>Ml</v>
      </c>
      <c r="E2789" s="90">
        <v>1</v>
      </c>
      <c r="F2789" s="508" t="e">
        <f t="shared" si="163"/>
        <v>#VALUE!</v>
      </c>
      <c r="G2789" s="519"/>
      <c r="H2789" s="111"/>
      <c r="I2789">
        <f>E2789*G2775</f>
        <v>0</v>
      </c>
      <c r="J2789" s="58"/>
      <c r="K2789" s="50"/>
      <c r="L2789" s="50"/>
      <c r="M2789" s="50"/>
      <c r="N2789" s="50"/>
      <c r="O2789" s="50"/>
    </row>
    <row r="2790" spans="1:15">
      <c r="A2790" s="517" t="s">
        <v>4482</v>
      </c>
      <c r="B2790" s="518">
        <f>VLOOKUP(A2790,'Materiales '!$C$2:$G$396,3,0)</f>
        <v>4</v>
      </c>
      <c r="C2790" s="88">
        <f>VLOOKUP(A2790,'Materiales '!$C$2:$G$396,3,0)</f>
        <v>4</v>
      </c>
      <c r="D2790" s="89" t="str">
        <f>VLOOKUP(A2790,'Materiales '!$C$2:$G$396,4,0)</f>
        <v>Und</v>
      </c>
      <c r="E2790" s="90">
        <v>3</v>
      </c>
      <c r="F2790" s="508" t="e">
        <f t="shared" si="163"/>
        <v>#VALUE!</v>
      </c>
      <c r="G2790" s="519"/>
      <c r="H2790" s="111"/>
      <c r="I2790">
        <f>E2790*G2775</f>
        <v>0</v>
      </c>
      <c r="J2790" s="58"/>
      <c r="K2790" s="50"/>
      <c r="L2790" s="50"/>
      <c r="M2790" s="50"/>
      <c r="N2790" s="50"/>
      <c r="O2790" s="50"/>
    </row>
    <row r="2791" spans="1:15" ht="21.75" customHeight="1">
      <c r="A2791" s="517" t="s">
        <v>4628</v>
      </c>
      <c r="B2791" s="518">
        <f>VLOOKUP(A2791,'Materiales '!$C$2:$G$396,3,0)</f>
        <v>4</v>
      </c>
      <c r="C2791" s="88">
        <f>VLOOKUP(A2791,'Materiales '!$C$2:$G$396,3,0)</f>
        <v>4</v>
      </c>
      <c r="D2791" s="89" t="str">
        <f>VLOOKUP(A2791,'Materiales '!$C$2:$G$396,4,0)</f>
        <v>Und</v>
      </c>
      <c r="E2791" s="90">
        <v>1</v>
      </c>
      <c r="F2791" s="508" t="e">
        <f t="shared" si="163"/>
        <v>#VALUE!</v>
      </c>
      <c r="G2791" s="519"/>
      <c r="H2791" s="111"/>
      <c r="I2791">
        <f>E2791*G2775</f>
        <v>0</v>
      </c>
      <c r="J2791" s="58"/>
      <c r="K2791" s="50"/>
      <c r="L2791" s="50"/>
      <c r="M2791" s="50"/>
      <c r="N2791" s="50"/>
      <c r="O2791" s="50"/>
    </row>
    <row r="2792" spans="1:15">
      <c r="A2792" s="517" t="s">
        <v>8</v>
      </c>
      <c r="B2792" s="518">
        <f>VLOOKUP(A2792,'Materiales '!$C$2:$G$396,3,0)</f>
        <v>0</v>
      </c>
      <c r="C2792" s="88">
        <f>VLOOKUP(A2792,'Materiales '!$C$2:$G$396,3,0)</f>
        <v>0</v>
      </c>
      <c r="D2792" s="89" t="str">
        <f>VLOOKUP(A2792,'Materiales '!$C$2:$G$396,4,0)</f>
        <v>-</v>
      </c>
      <c r="E2792" s="90"/>
      <c r="F2792" s="508" t="e">
        <f>E2792*D2792</f>
        <v>#VALUE!</v>
      </c>
      <c r="G2792" s="519"/>
      <c r="H2792" s="110"/>
      <c r="I2792">
        <f>E2792*G2775</f>
        <v>0</v>
      </c>
      <c r="J2792" s="58"/>
      <c r="K2792" s="50"/>
      <c r="L2792" s="50"/>
      <c r="M2792" s="50"/>
      <c r="N2792" s="50"/>
      <c r="O2792" s="50"/>
    </row>
    <row r="2793" spans="1:15">
      <c r="A2793" s="517" t="s">
        <v>8</v>
      </c>
      <c r="B2793" s="518">
        <f>VLOOKUP(A2793,'Materiales '!$C$2:$G$396,3,0)</f>
        <v>0</v>
      </c>
      <c r="C2793" s="88">
        <f>VLOOKUP(A2793,'Materiales '!$C$2:$G$396,3,0)</f>
        <v>0</v>
      </c>
      <c r="D2793" s="89" t="str">
        <f>VLOOKUP(A2793,'Materiales '!$C$2:$G$396,4,0)</f>
        <v>-</v>
      </c>
      <c r="E2793" s="90"/>
      <c r="F2793" s="508" t="e">
        <f t="shared" ref="F2793:F2796" si="164">E2793*D2793</f>
        <v>#VALUE!</v>
      </c>
      <c r="G2793" s="519"/>
      <c r="H2793" s="111"/>
      <c r="I2793">
        <f>E2793*G2775</f>
        <v>0</v>
      </c>
      <c r="J2793" s="58"/>
      <c r="K2793" s="50"/>
      <c r="L2793" s="50"/>
      <c r="M2793" s="50"/>
      <c r="N2793" s="50"/>
      <c r="O2793" s="50"/>
    </row>
    <row r="2794" spans="1:15">
      <c r="A2794" s="517" t="s">
        <v>8</v>
      </c>
      <c r="B2794" s="518">
        <f>VLOOKUP(A2794,'Materiales '!$C$2:$G$396,3,0)</f>
        <v>0</v>
      </c>
      <c r="C2794" s="88">
        <f>VLOOKUP(A2794,'Materiales '!$C$2:$G$396,3,0)</f>
        <v>0</v>
      </c>
      <c r="D2794" s="89" t="str">
        <f>VLOOKUP(A2794,'Materiales '!$C$2:$G$396,4,0)</f>
        <v>-</v>
      </c>
      <c r="E2794" s="90"/>
      <c r="F2794" s="508" t="e">
        <f t="shared" si="164"/>
        <v>#VALUE!</v>
      </c>
      <c r="G2794" s="519"/>
      <c r="H2794" s="111"/>
      <c r="I2794">
        <f>E2794*G2775</f>
        <v>0</v>
      </c>
      <c r="J2794" s="58"/>
      <c r="K2794" s="50"/>
      <c r="L2794" s="50"/>
      <c r="M2794" s="50"/>
      <c r="N2794" s="50"/>
      <c r="O2794" s="50"/>
    </row>
    <row r="2795" spans="1:15">
      <c r="A2795" s="517" t="s">
        <v>8</v>
      </c>
      <c r="B2795" s="518">
        <f>VLOOKUP(A2795,'Materiales '!$C$2:$G$396,3,0)</f>
        <v>0</v>
      </c>
      <c r="C2795" s="88">
        <f>VLOOKUP(A2795,'Materiales '!$C$2:$G$396,3,0)</f>
        <v>0</v>
      </c>
      <c r="D2795" s="89" t="str">
        <f>VLOOKUP(A2795,'Materiales '!$C$2:$G$396,4,0)</f>
        <v>-</v>
      </c>
      <c r="E2795" s="90"/>
      <c r="F2795" s="508" t="e">
        <f t="shared" si="164"/>
        <v>#VALUE!</v>
      </c>
      <c r="G2795" s="519"/>
      <c r="H2795" s="111"/>
      <c r="I2795">
        <f>E2795*G2775</f>
        <v>0</v>
      </c>
      <c r="J2795" s="58"/>
      <c r="K2795" s="50"/>
      <c r="L2795" s="50"/>
      <c r="M2795" s="50"/>
      <c r="N2795" s="50"/>
      <c r="O2795" s="50"/>
    </row>
    <row r="2796" spans="1:15">
      <c r="A2796" s="517" t="s">
        <v>8</v>
      </c>
      <c r="B2796" s="518">
        <f>VLOOKUP(A2796,'Materiales '!$C$2:$G$396,3,0)</f>
        <v>0</v>
      </c>
      <c r="C2796" s="88">
        <f>VLOOKUP(A2796,'Materiales '!$C$2:$G$396,3,0)</f>
        <v>0</v>
      </c>
      <c r="D2796" s="89" t="str">
        <f>VLOOKUP(A2796,'Materiales '!$C$2:$G$396,4,0)</f>
        <v>-</v>
      </c>
      <c r="E2796" s="90"/>
      <c r="F2796" s="508" t="e">
        <f t="shared" si="164"/>
        <v>#VALUE!</v>
      </c>
      <c r="G2796" s="519"/>
      <c r="H2796" s="111"/>
      <c r="I2796">
        <f>E2796*G2775</f>
        <v>0</v>
      </c>
      <c r="J2796" s="58"/>
      <c r="K2796" s="50"/>
      <c r="L2796" s="50"/>
      <c r="M2796" s="50"/>
      <c r="N2796" s="50"/>
      <c r="O2796" s="50"/>
    </row>
    <row r="2797" spans="1:15">
      <c r="A2797" s="517" t="s">
        <v>8</v>
      </c>
      <c r="B2797" s="518">
        <f>VLOOKUP(A2797,'Materiales '!$C$2:$G$396,3,0)</f>
        <v>0</v>
      </c>
      <c r="C2797" s="88">
        <f>VLOOKUP(A2797,'Materiales '!$C$2:$G$396,3,0)</f>
        <v>0</v>
      </c>
      <c r="D2797" s="89" t="str">
        <f>VLOOKUP(A2797,'Materiales '!$C$2:$G$396,4,0)</f>
        <v>-</v>
      </c>
      <c r="E2797" s="90"/>
      <c r="F2797" s="508" t="e">
        <f>E2797*D2797</f>
        <v>#VALUE!</v>
      </c>
      <c r="G2797" s="519"/>
      <c r="H2797" s="110"/>
      <c r="I2797">
        <f>E2797*G2775</f>
        <v>0</v>
      </c>
      <c r="J2797" s="58"/>
      <c r="K2797" s="50"/>
      <c r="L2797" s="50"/>
      <c r="M2797" s="50"/>
      <c r="N2797" s="50"/>
      <c r="O2797" s="50"/>
    </row>
    <row r="2798" spans="1:15">
      <c r="A2798" s="520" t="s">
        <v>4098</v>
      </c>
      <c r="B2798" s="521"/>
      <c r="C2798" s="521"/>
      <c r="D2798" s="521"/>
      <c r="E2798" s="521"/>
      <c r="F2798" s="521"/>
      <c r="G2798" s="522"/>
      <c r="H2798" s="106" t="e">
        <f>SUM(F2784:F2797)</f>
        <v>#VALUE!</v>
      </c>
      <c r="J2798" s="58"/>
      <c r="K2798" s="50"/>
      <c r="L2798" s="50"/>
      <c r="M2798" s="50"/>
      <c r="N2798" s="50"/>
      <c r="O2798" s="50"/>
    </row>
    <row r="2799" spans="1:15">
      <c r="A2799" s="523" t="s">
        <v>4220</v>
      </c>
      <c r="B2799" s="524"/>
      <c r="C2799" s="524"/>
      <c r="D2799" s="524"/>
      <c r="E2799" s="525"/>
      <c r="F2799" s="524"/>
      <c r="G2799" s="524"/>
      <c r="H2799" s="526"/>
      <c r="J2799" s="58"/>
      <c r="K2799" s="50"/>
      <c r="L2799" s="50"/>
      <c r="M2799" s="50"/>
      <c r="N2799" s="50"/>
      <c r="O2799" s="50"/>
    </row>
    <row r="2800" spans="1:15">
      <c r="A2800" s="527" t="s">
        <v>7</v>
      </c>
      <c r="B2800" s="528"/>
      <c r="C2800" s="98" t="s">
        <v>4221</v>
      </c>
      <c r="D2800" s="97" t="s">
        <v>4222</v>
      </c>
      <c r="E2800" s="187" t="s">
        <v>4223</v>
      </c>
      <c r="F2800" s="529" t="s">
        <v>4207</v>
      </c>
      <c r="G2800" s="529"/>
      <c r="H2800" s="109"/>
      <c r="K2800" s="50"/>
      <c r="L2800" s="50"/>
      <c r="M2800" s="50"/>
      <c r="N2800" s="50"/>
      <c r="O2800" s="50"/>
    </row>
    <row r="2801" spans="1:13">
      <c r="A2801" s="506" t="s">
        <v>3928</v>
      </c>
      <c r="B2801" s="507"/>
      <c r="C2801" s="213">
        <v>1</v>
      </c>
      <c r="D2801" s="92">
        <v>0.03</v>
      </c>
      <c r="E2801" s="93" t="str">
        <f>VLOOKUP(A2801,'Equip, Herr y Transp'!$B$2:$E$217,3,0)</f>
        <v>TR</v>
      </c>
      <c r="F2801" s="530" t="e">
        <f>E2801*D2801*C2801</f>
        <v>#VALUE!</v>
      </c>
      <c r="G2801" s="531"/>
      <c r="H2801" s="107"/>
      <c r="M2801" s="50"/>
    </row>
    <row r="2802" spans="1:13">
      <c r="A2802" s="532" t="s">
        <v>4205</v>
      </c>
      <c r="B2802" s="533"/>
      <c r="C2802" s="533"/>
      <c r="D2802" s="533"/>
      <c r="E2802" s="533"/>
      <c r="F2802" s="533"/>
      <c r="G2802" s="533"/>
      <c r="H2802" s="95" t="e">
        <f>F2801</f>
        <v>#VALUE!</v>
      </c>
    </row>
    <row r="2803" spans="1:13">
      <c r="A2803" s="523" t="s">
        <v>4224</v>
      </c>
      <c r="B2803" s="524"/>
      <c r="C2803" s="524"/>
      <c r="D2803" s="524"/>
      <c r="E2803" s="524"/>
      <c r="F2803" s="524"/>
      <c r="G2803" s="524"/>
      <c r="H2803" s="526"/>
    </row>
    <row r="2804" spans="1:13">
      <c r="A2804" s="527" t="s">
        <v>7</v>
      </c>
      <c r="B2804" s="528"/>
      <c r="C2804" s="96" t="s">
        <v>1</v>
      </c>
      <c r="D2804" s="97" t="s">
        <v>4225</v>
      </c>
      <c r="E2804" s="98" t="s">
        <v>4204</v>
      </c>
      <c r="F2804" s="527" t="s">
        <v>5</v>
      </c>
      <c r="G2804" s="534"/>
      <c r="H2804" s="109"/>
    </row>
    <row r="2805" spans="1:13">
      <c r="A2805" s="506" t="s">
        <v>4191</v>
      </c>
      <c r="B2805" s="507"/>
      <c r="C2805" s="91">
        <v>1</v>
      </c>
      <c r="D2805" s="94">
        <f>VLOOKUP(A2805,'Mano Obra'!$B$2:$T$117,19,0)</f>
        <v>152456</v>
      </c>
      <c r="E2805" s="218">
        <f>H2768</f>
        <v>6.25E-2</v>
      </c>
      <c r="F2805" s="508">
        <f>E2805*D2805*C2805</f>
        <v>9528.5</v>
      </c>
      <c r="G2805" s="509"/>
      <c r="H2805" s="111"/>
      <c r="I2805" s="59"/>
      <c r="J2805" s="117">
        <f>((('Mano Obra'!$M$4/30)*F2805)/D2805)*G2775</f>
        <v>0</v>
      </c>
    </row>
    <row r="2806" spans="1:13">
      <c r="A2806" s="510" t="s">
        <v>4192</v>
      </c>
      <c r="B2806" s="511">
        <f>VLOOKUP(A2806,'Mano Obra'!$B$3:$D$290,2,0)</f>
        <v>1900000</v>
      </c>
      <c r="C2806" s="91">
        <v>1</v>
      </c>
      <c r="D2806" s="94">
        <f>VLOOKUP(A2806,'Mano Obra'!$B$2:$T$117,19,0)</f>
        <v>110488</v>
      </c>
      <c r="E2806" s="218">
        <f>H2768</f>
        <v>6.25E-2</v>
      </c>
      <c r="F2806" s="508">
        <f t="shared" ref="F2806:F2807" si="165">E2806*D2806*C2806</f>
        <v>6905.5</v>
      </c>
      <c r="G2806" s="509"/>
      <c r="H2806" s="111"/>
      <c r="J2806" s="117">
        <f>((('Mano Obra'!$M$5/30)*F2806)/D2806)*G2775</f>
        <v>0</v>
      </c>
    </row>
    <row r="2807" spans="1:13">
      <c r="A2807" s="510" t="s">
        <v>4181</v>
      </c>
      <c r="B2807" s="511">
        <f>VLOOKUP(A2807,'Mano Obra'!$B$3:$D$290,2,0)</f>
        <v>1000000</v>
      </c>
      <c r="C2807" s="91">
        <v>1</v>
      </c>
      <c r="D2807" s="94">
        <f>VLOOKUP(A2807,'Mano Obra'!$B$2:$T$117,19,0)</f>
        <v>67424</v>
      </c>
      <c r="E2807" s="218">
        <f>H2768</f>
        <v>6.25E-2</v>
      </c>
      <c r="F2807" s="508">
        <f t="shared" si="165"/>
        <v>4214</v>
      </c>
      <c r="G2807" s="509"/>
      <c r="H2807" s="110"/>
      <c r="J2807" s="117">
        <f>((('Mano Obra'!$M$6/30)*F2807)/D2807)*G2775</f>
        <v>0</v>
      </c>
    </row>
    <row r="2808" spans="1:13">
      <c r="A2808" s="512" t="s">
        <v>4100</v>
      </c>
      <c r="B2808" s="512"/>
      <c r="C2808" s="512"/>
      <c r="D2808" s="512"/>
      <c r="E2808" s="512"/>
      <c r="F2808" s="512"/>
      <c r="G2808" s="512"/>
      <c r="H2808" s="95">
        <f>SUM(F2805:F2807)</f>
        <v>20648</v>
      </c>
      <c r="J2808" s="117"/>
    </row>
    <row r="2809" spans="1:13">
      <c r="A2809" s="208" t="s">
        <v>4226</v>
      </c>
      <c r="B2809" s="186"/>
      <c r="C2809" s="186"/>
      <c r="D2809" s="183"/>
      <c r="E2809" s="184"/>
      <c r="F2809" s="185"/>
      <c r="G2809" s="184"/>
      <c r="H2809" s="193"/>
    </row>
    <row r="2810" spans="1:13">
      <c r="A2810" s="513" t="s">
        <v>4213</v>
      </c>
      <c r="B2810" s="514"/>
      <c r="C2810" s="514"/>
      <c r="D2810" s="514"/>
      <c r="E2810" s="181"/>
      <c r="F2810" s="182" t="s">
        <v>4227</v>
      </c>
      <c r="G2810" s="181" t="s">
        <v>4228</v>
      </c>
      <c r="H2810" s="194"/>
    </row>
    <row r="2811" spans="1:13">
      <c r="A2811" s="204" t="s">
        <v>4096</v>
      </c>
      <c r="B2811" s="62"/>
      <c r="C2811" s="62"/>
      <c r="D2811" s="63"/>
      <c r="E2811" s="68"/>
      <c r="F2811" s="69">
        <v>0</v>
      </c>
      <c r="G2811" s="70" t="e">
        <f>F2811*H2776</f>
        <v>#VALUE!</v>
      </c>
      <c r="H2811" s="193"/>
    </row>
    <row r="2812" spans="1:13">
      <c r="A2812" s="205" t="s">
        <v>4229</v>
      </c>
      <c r="B2812" s="71"/>
      <c r="C2812" s="71"/>
      <c r="D2812" s="72"/>
      <c r="E2812" s="68"/>
      <c r="F2812" s="69">
        <v>0</v>
      </c>
      <c r="G2812" s="70" t="e">
        <f>F2812*H2776</f>
        <v>#VALUE!</v>
      </c>
      <c r="H2812" s="193"/>
    </row>
    <row r="2813" spans="1:13">
      <c r="A2813" s="205" t="s">
        <v>4</v>
      </c>
      <c r="B2813" s="71"/>
      <c r="C2813" s="71"/>
      <c r="D2813" s="72"/>
      <c r="E2813" s="68"/>
      <c r="F2813" s="69">
        <v>0</v>
      </c>
      <c r="G2813" s="70" t="e">
        <f>F2813*H2776</f>
        <v>#VALUE!</v>
      </c>
      <c r="H2813" s="193"/>
    </row>
    <row r="2814" spans="1:13">
      <c r="A2814" s="206"/>
      <c r="B2814" s="73"/>
      <c r="C2814" s="65"/>
      <c r="D2814" s="74"/>
      <c r="E2814" s="75"/>
      <c r="F2814" s="76"/>
      <c r="G2814" s="77"/>
      <c r="H2814" s="195"/>
    </row>
    <row r="2815" spans="1:13">
      <c r="A2815" s="207"/>
      <c r="B2815" s="73"/>
      <c r="C2815" s="73"/>
      <c r="D2815" s="74"/>
      <c r="E2815" s="78"/>
      <c r="F2815" s="515" t="s">
        <v>4230</v>
      </c>
      <c r="G2815" s="516"/>
      <c r="H2815" s="214" t="e">
        <f>H2776+G2811+G2812+G2813</f>
        <v>#VALUE!</v>
      </c>
    </row>
    <row r="2816" spans="1:13">
      <c r="A2816" s="73"/>
      <c r="B2816" s="73"/>
      <c r="C2816" s="73"/>
      <c r="D2816" s="74"/>
      <c r="E2816" s="360"/>
      <c r="F2816" s="361"/>
      <c r="G2816" s="361"/>
      <c r="H2816" s="362"/>
    </row>
    <row r="2817" spans="1:14">
      <c r="A2817" s="80"/>
      <c r="B2817" s="80"/>
      <c r="C2817" s="80"/>
      <c r="D2817" s="80"/>
      <c r="E2817" s="80"/>
      <c r="F2817" s="80"/>
      <c r="G2817" s="80"/>
      <c r="H2817" s="353"/>
    </row>
    <row r="2818" spans="1:14">
      <c r="A2818" s="537" t="s">
        <v>4214</v>
      </c>
      <c r="B2818" s="538"/>
      <c r="C2818" s="538"/>
      <c r="D2818" s="538"/>
      <c r="E2818" s="538"/>
      <c r="F2818" s="538"/>
      <c r="G2818" s="538"/>
      <c r="H2818" s="539"/>
    </row>
    <row r="2819" spans="1:14">
      <c r="A2819" s="81"/>
      <c r="B2819" s="82"/>
      <c r="C2819" s="82"/>
      <c r="D2819" s="82"/>
      <c r="E2819" s="82"/>
      <c r="F2819" s="83"/>
      <c r="G2819" s="84"/>
      <c r="H2819" s="352">
        <f>ROUND((30/60)/8,4)</f>
        <v>6.25E-2</v>
      </c>
      <c r="I2819" s="105"/>
    </row>
    <row r="2820" spans="1:14">
      <c r="A2820" s="540" t="s">
        <v>4209</v>
      </c>
      <c r="B2820" s="542" t="str">
        <f>COSTOS!$C$14</f>
        <v>MODERNIZACION A TECNOLOGIA LED</v>
      </c>
      <c r="C2820" s="542"/>
      <c r="D2820" s="542"/>
      <c r="E2820" s="542"/>
      <c r="F2820" s="542"/>
      <c r="G2820" s="542"/>
      <c r="H2820" s="543" t="s">
        <v>4210</v>
      </c>
    </row>
    <row r="2821" spans="1:14">
      <c r="A2821" s="541"/>
      <c r="B2821" s="542"/>
      <c r="C2821" s="542"/>
      <c r="D2821" s="542"/>
      <c r="E2821" s="542"/>
      <c r="F2821" s="542"/>
      <c r="G2821" s="542"/>
      <c r="H2821" s="543"/>
    </row>
    <row r="2822" spans="1:14">
      <c r="A2822" s="541"/>
      <c r="B2822" s="542"/>
      <c r="C2822" s="542"/>
      <c r="D2822" s="542"/>
      <c r="E2822" s="542"/>
      <c r="F2822" s="542"/>
      <c r="G2822" s="542"/>
      <c r="H2822" s="543"/>
    </row>
    <row r="2823" spans="1:14" ht="15" customHeight="1">
      <c r="A2823" s="541"/>
      <c r="B2823" s="542"/>
      <c r="C2823" s="542"/>
      <c r="D2823" s="542"/>
      <c r="E2823" s="542"/>
      <c r="F2823" s="542"/>
      <c r="G2823" s="542"/>
      <c r="H2823" s="197">
        <f ca="1">TODAY()</f>
        <v>44889</v>
      </c>
      <c r="K2823" t="s">
        <v>4380</v>
      </c>
      <c r="L2823" t="s">
        <v>4381</v>
      </c>
      <c r="M2823" t="s">
        <v>4382</v>
      </c>
      <c r="N2823" t="s">
        <v>4383</v>
      </c>
    </row>
    <row r="2824" spans="1:14" ht="60.75" customHeight="1">
      <c r="A2824" s="209" t="s">
        <v>4211</v>
      </c>
      <c r="B2824" s="544" t="str">
        <f>COSTOS!$D$16</f>
        <v>Luminarias</v>
      </c>
      <c r="C2824" s="544"/>
      <c r="D2824" s="544"/>
      <c r="E2824" s="544"/>
      <c r="F2824" s="544"/>
      <c r="G2824" s="60" t="s">
        <v>4212</v>
      </c>
      <c r="H2824" s="363">
        <v>1.56</v>
      </c>
      <c r="K2824" s="55" t="e">
        <f>H2849</f>
        <v>#VALUE!</v>
      </c>
      <c r="L2824" s="55">
        <f>H2859</f>
        <v>20648</v>
      </c>
      <c r="M2824" s="55" t="e">
        <f>H2832</f>
        <v>#VALUE!</v>
      </c>
      <c r="N2824" s="55" t="e">
        <f>H2853</f>
        <v>#VALUE!</v>
      </c>
    </row>
    <row r="2825" spans="1:14" ht="43.2" customHeight="1">
      <c r="A2825" s="210" t="s">
        <v>4213</v>
      </c>
      <c r="B2825" s="545" t="str">
        <f>VLOOKUP(H2824,COSTOS!C:M,2,0)</f>
        <v>Luminaria Led 60w monoff</v>
      </c>
      <c r="C2825" s="546"/>
      <c r="D2825" s="546"/>
      <c r="E2825" s="547"/>
      <c r="F2825" s="61" t="s">
        <v>0</v>
      </c>
      <c r="G2825" s="328" t="str">
        <f>VLOOKUP(H2824,COSTOS!C:M,8,0)</f>
        <v>Und</v>
      </c>
      <c r="H2825" s="248"/>
      <c r="I2825" s="278"/>
      <c r="J2825" s="280"/>
      <c r="K2825" s="280"/>
      <c r="L2825" s="280"/>
    </row>
    <row r="2826" spans="1:14">
      <c r="A2826" s="211"/>
      <c r="B2826" s="102"/>
      <c r="C2826" s="102"/>
      <c r="D2826" s="102"/>
      <c r="E2826" s="103"/>
      <c r="F2826" s="104" t="s">
        <v>1</v>
      </c>
      <c r="G2826" s="328">
        <f>VLOOKUP(H2824,COSTOS!C:M,9,0)</f>
        <v>0</v>
      </c>
      <c r="H2826" s="329"/>
      <c r="I2826" s="279"/>
    </row>
    <row r="2827" spans="1:14">
      <c r="A2827" s="212" t="s">
        <v>4215</v>
      </c>
      <c r="B2827" s="65"/>
      <c r="C2827" s="65"/>
      <c r="D2827" s="66"/>
      <c r="E2827" s="190"/>
      <c r="F2827" s="191"/>
      <c r="G2827" s="192" t="s">
        <v>4216</v>
      </c>
      <c r="H2827" s="198" t="e">
        <f>H2832+H2849+H2853+H2859</f>
        <v>#VALUE!</v>
      </c>
    </row>
    <row r="2828" spans="1:14" ht="41.4">
      <c r="A2828" s="548" t="s">
        <v>4213</v>
      </c>
      <c r="B2828" s="548"/>
      <c r="C2828" s="548"/>
      <c r="D2828" s="67" t="s">
        <v>0</v>
      </c>
      <c r="E2828" s="188" t="s">
        <v>4217</v>
      </c>
      <c r="F2828" s="189" t="s">
        <v>4204</v>
      </c>
      <c r="G2828" s="64" t="s">
        <v>2</v>
      </c>
      <c r="H2828" s="199" t="s">
        <v>4218</v>
      </c>
      <c r="K2828" s="281"/>
    </row>
    <row r="2829" spans="1:14">
      <c r="A2829" s="517" t="s">
        <v>3946</v>
      </c>
      <c r="B2829" s="549">
        <f>VLOOKUP(A2829,'Equip, Herr y Transp'!$B$2:$E$738,2,0)</f>
        <v>2</v>
      </c>
      <c r="C2829" s="549"/>
      <c r="D2829" s="85">
        <f>VLOOKUP(A2829,'Equip, Herr y Transp'!$B$2:$E$217,2,0)</f>
        <v>2</v>
      </c>
      <c r="E2829" s="85" t="str">
        <f>VLOOKUP(A2829,'Equip, Herr y Transp'!$B$2:$E$217,3,0)</f>
        <v>EQU</v>
      </c>
      <c r="F2829" s="86">
        <f>H2819</f>
        <v>6.25E-2</v>
      </c>
      <c r="G2829" s="112" t="e">
        <f>F2829*E2829</f>
        <v>#VALUE!</v>
      </c>
      <c r="H2829" s="108"/>
    </row>
    <row r="2830" spans="1:14">
      <c r="A2830" s="517" t="s">
        <v>3904</v>
      </c>
      <c r="B2830" s="549">
        <f>VLOOKUP(A2830,'Equip, Herr y Transp'!$B$2:$E$738,2,0)</f>
        <v>2</v>
      </c>
      <c r="C2830" s="549"/>
      <c r="D2830" s="85">
        <f>VLOOKUP(A2830,'Equip, Herr y Transp'!$B$2:$E$217,2,0)</f>
        <v>2</v>
      </c>
      <c r="E2830" s="85" t="str">
        <f>VLOOKUP(A2830,'Equip, Herr y Transp'!$B$2:$E$217,3,0)</f>
        <v>EQU</v>
      </c>
      <c r="F2830" s="86">
        <f>H2819</f>
        <v>6.25E-2</v>
      </c>
      <c r="G2830" s="112" t="e">
        <f>F2830*E2830</f>
        <v>#VALUE!</v>
      </c>
      <c r="H2830" s="107"/>
    </row>
    <row r="2831" spans="1:14">
      <c r="A2831" s="517" t="s">
        <v>3937</v>
      </c>
      <c r="B2831" s="549">
        <f>VLOOKUP(A2831,'Equip, Herr y Transp'!$B$2:$E$738,2,0)</f>
        <v>2</v>
      </c>
      <c r="C2831" s="549"/>
      <c r="D2831" s="85">
        <f>VLOOKUP(A2831,'Equip, Herr y Transp'!$B$2:$E$217,2,0)</f>
        <v>2</v>
      </c>
      <c r="E2831" s="85" t="str">
        <f>VLOOKUP(A2831,'Equip, Herr y Transp'!$B$2:$E$217,3,0)</f>
        <v>EQU</v>
      </c>
      <c r="F2831" s="86">
        <f>H2819</f>
        <v>6.25E-2</v>
      </c>
      <c r="G2831" s="112" t="e">
        <f>F2831*E2831</f>
        <v>#VALUE!</v>
      </c>
      <c r="H2831" s="107"/>
    </row>
    <row r="2832" spans="1:14">
      <c r="A2832" s="520" t="s">
        <v>4099</v>
      </c>
      <c r="B2832" s="521"/>
      <c r="C2832" s="521"/>
      <c r="D2832" s="521"/>
      <c r="E2832" s="521"/>
      <c r="F2832" s="521"/>
      <c r="G2832" s="521"/>
      <c r="H2832" s="87" t="e">
        <f>SUM(G2829:G2831)</f>
        <v>#VALUE!</v>
      </c>
    </row>
    <row r="2833" spans="1:15">
      <c r="A2833" s="550" t="s">
        <v>4219</v>
      </c>
      <c r="B2833" s="551"/>
      <c r="C2833" s="551"/>
      <c r="D2833" s="551"/>
      <c r="E2833" s="551"/>
      <c r="F2833" s="551"/>
      <c r="G2833" s="551"/>
      <c r="H2833" s="552"/>
      <c r="K2833" s="50"/>
      <c r="L2833" s="50"/>
      <c r="M2833" s="50"/>
      <c r="N2833" s="50"/>
      <c r="O2833" s="50"/>
    </row>
    <row r="2834" spans="1:15" ht="30" customHeight="1">
      <c r="A2834" s="553" t="s">
        <v>7</v>
      </c>
      <c r="B2834" s="554"/>
      <c r="C2834" s="99" t="s">
        <v>0</v>
      </c>
      <c r="D2834" s="100" t="s">
        <v>4097</v>
      </c>
      <c r="E2834" s="101" t="s">
        <v>1</v>
      </c>
      <c r="F2834" s="555" t="s">
        <v>4207</v>
      </c>
      <c r="G2834" s="555"/>
      <c r="H2834" s="196"/>
      <c r="K2834" s="50"/>
      <c r="L2834" s="50"/>
      <c r="M2834" s="50"/>
      <c r="N2834" s="50"/>
      <c r="O2834" s="50"/>
    </row>
    <row r="2835" spans="1:15">
      <c r="A2835" s="535" t="s">
        <v>4713</v>
      </c>
      <c r="B2835" s="536"/>
      <c r="C2835" s="88">
        <f>VLOOKUP(A2835,'Materiales '!$C$2:$G$396,3,0)</f>
        <v>4</v>
      </c>
      <c r="D2835" s="89" t="str">
        <f>VLOOKUP(A2835,'Materiales '!$C$2:$G$396,4,0)</f>
        <v>Und</v>
      </c>
      <c r="E2835" s="90">
        <v>1</v>
      </c>
      <c r="F2835" s="508" t="e">
        <f>E2835*D2835</f>
        <v>#VALUE!</v>
      </c>
      <c r="G2835" s="519"/>
      <c r="H2835" s="111"/>
      <c r="I2835">
        <f>E2835*G2826</f>
        <v>0</v>
      </c>
      <c r="J2835" s="57"/>
      <c r="K2835" s="50"/>
      <c r="L2835" s="50"/>
      <c r="M2835" s="50"/>
      <c r="N2835" s="50"/>
      <c r="O2835" s="50"/>
    </row>
    <row r="2836" spans="1:15">
      <c r="A2836" s="535" t="s">
        <v>4203</v>
      </c>
      <c r="B2836" s="536"/>
      <c r="C2836" s="88">
        <f>VLOOKUP(A2836,'Materiales '!$C$2:$G$396,3,0)</f>
        <v>4</v>
      </c>
      <c r="D2836" s="89" t="str">
        <f>VLOOKUP(A2836,'Materiales '!$C$2:$G$396,4,0)</f>
        <v>Und</v>
      </c>
      <c r="E2836" s="90">
        <v>1</v>
      </c>
      <c r="F2836" s="508" t="e">
        <f t="shared" ref="F2836:F2842" si="166">E2836*D2836</f>
        <v>#VALUE!</v>
      </c>
      <c r="G2836" s="519"/>
      <c r="H2836" s="111"/>
      <c r="I2836">
        <f>E2836*G2826</f>
        <v>0</v>
      </c>
      <c r="J2836" s="57"/>
      <c r="K2836" s="50"/>
      <c r="L2836" s="50"/>
      <c r="M2836" s="50"/>
      <c r="N2836" s="50"/>
      <c r="O2836" s="50"/>
    </row>
    <row r="2837" spans="1:15">
      <c r="A2837" s="517" t="s">
        <v>4473</v>
      </c>
      <c r="B2837" s="518">
        <f>VLOOKUP(A2837,'Materiales '!$C$2:$G$396,3,0)</f>
        <v>4</v>
      </c>
      <c r="C2837" s="88">
        <f>VLOOKUP(A2837,'Materiales '!$C$2:$G$396,3,0)</f>
        <v>4</v>
      </c>
      <c r="D2837" s="89" t="str">
        <f>VLOOKUP(A2837,'Materiales '!$C$2:$G$396,4,0)</f>
        <v>Und</v>
      </c>
      <c r="E2837" s="90">
        <v>2</v>
      </c>
      <c r="F2837" s="508" t="e">
        <f t="shared" si="166"/>
        <v>#VALUE!</v>
      </c>
      <c r="G2837" s="519"/>
      <c r="H2837" s="111"/>
      <c r="I2837">
        <f>E2837*G2826</f>
        <v>0</v>
      </c>
      <c r="J2837" s="58"/>
      <c r="K2837" s="50"/>
      <c r="L2837" s="50"/>
      <c r="M2837" s="50"/>
      <c r="N2837" s="50"/>
      <c r="O2837" s="50"/>
    </row>
    <row r="2838" spans="1:15">
      <c r="A2838" s="517" t="s">
        <v>4478</v>
      </c>
      <c r="B2838" s="518">
        <f>VLOOKUP(A2838,'Materiales '!$C$2:$G$396,3,0)</f>
        <v>4</v>
      </c>
      <c r="C2838" s="88">
        <f>VLOOKUP(A2838,'Materiales '!$C$2:$G$396,3,0)</f>
        <v>4</v>
      </c>
      <c r="D2838" s="89" t="str">
        <f>VLOOKUP(A2838,'Materiales '!$C$2:$G$396,4,0)</f>
        <v>Und</v>
      </c>
      <c r="E2838" s="90">
        <v>3</v>
      </c>
      <c r="F2838" s="508" t="e">
        <f t="shared" si="166"/>
        <v>#VALUE!</v>
      </c>
      <c r="G2838" s="519"/>
      <c r="H2838" s="111"/>
      <c r="I2838">
        <f>E2838*G2826</f>
        <v>0</v>
      </c>
      <c r="J2838" s="58"/>
      <c r="K2838" s="50"/>
      <c r="L2838" s="50"/>
      <c r="M2838" s="50"/>
      <c r="N2838" s="50"/>
      <c r="O2838" s="50"/>
    </row>
    <row r="2839" spans="1:15">
      <c r="A2839" s="517" t="s">
        <v>4543</v>
      </c>
      <c r="B2839" s="518">
        <f>VLOOKUP(A2839,'Materiales '!$C$2:$G$396,3,0)</f>
        <v>4</v>
      </c>
      <c r="C2839" s="88">
        <f>VLOOKUP(A2839,'Materiales '!$C$2:$G$396,3,0)</f>
        <v>4</v>
      </c>
      <c r="D2839" s="89" t="str">
        <f>VLOOKUP(A2839,'Materiales '!$C$2:$G$396,4,0)</f>
        <v>Und</v>
      </c>
      <c r="E2839" s="90">
        <v>2</v>
      </c>
      <c r="F2839" s="508" t="e">
        <f t="shared" si="166"/>
        <v>#VALUE!</v>
      </c>
      <c r="G2839" s="519"/>
      <c r="H2839" s="111"/>
      <c r="I2839">
        <f>E2839*G2826</f>
        <v>0</v>
      </c>
      <c r="J2839" s="58"/>
      <c r="K2839" s="50"/>
      <c r="L2839" s="50"/>
      <c r="M2839" s="50"/>
      <c r="N2839" s="50"/>
      <c r="O2839" s="50"/>
    </row>
    <row r="2840" spans="1:15">
      <c r="A2840" s="517" t="s">
        <v>4439</v>
      </c>
      <c r="B2840" s="518">
        <f>VLOOKUP(A2840,'Materiales '!$C$2:$G$396,3,0)</f>
        <v>2</v>
      </c>
      <c r="C2840" s="88">
        <f>VLOOKUP(A2840,'Materiales '!$C$2:$G$396,3,0)</f>
        <v>2</v>
      </c>
      <c r="D2840" s="89" t="str">
        <f>VLOOKUP(A2840,'Materiales '!$C$2:$G$396,4,0)</f>
        <v>Ml</v>
      </c>
      <c r="E2840" s="90">
        <v>1</v>
      </c>
      <c r="F2840" s="508" t="e">
        <f t="shared" si="166"/>
        <v>#VALUE!</v>
      </c>
      <c r="G2840" s="519"/>
      <c r="H2840" s="111"/>
      <c r="I2840">
        <f>E2840*G2826</f>
        <v>0</v>
      </c>
      <c r="J2840" s="58"/>
      <c r="K2840" s="50"/>
      <c r="L2840" s="50"/>
      <c r="M2840" s="50"/>
      <c r="N2840" s="50"/>
      <c r="O2840" s="50"/>
    </row>
    <row r="2841" spans="1:15">
      <c r="A2841" s="517" t="s">
        <v>4482</v>
      </c>
      <c r="B2841" s="518">
        <f>VLOOKUP(A2841,'Materiales '!$C$2:$G$396,3,0)</f>
        <v>4</v>
      </c>
      <c r="C2841" s="88">
        <f>VLOOKUP(A2841,'Materiales '!$C$2:$G$396,3,0)</f>
        <v>4</v>
      </c>
      <c r="D2841" s="89" t="str">
        <f>VLOOKUP(A2841,'Materiales '!$C$2:$G$396,4,0)</f>
        <v>Und</v>
      </c>
      <c r="E2841" s="90">
        <v>3</v>
      </c>
      <c r="F2841" s="508" t="e">
        <f t="shared" si="166"/>
        <v>#VALUE!</v>
      </c>
      <c r="G2841" s="519"/>
      <c r="H2841" s="111"/>
      <c r="I2841">
        <f>E2841*G2826</f>
        <v>0</v>
      </c>
      <c r="J2841" s="58"/>
      <c r="K2841" s="50"/>
      <c r="L2841" s="50"/>
      <c r="M2841" s="50"/>
      <c r="N2841" s="50"/>
      <c r="O2841" s="50"/>
    </row>
    <row r="2842" spans="1:15" ht="21.75" customHeight="1">
      <c r="A2842" s="517" t="s">
        <v>4628</v>
      </c>
      <c r="B2842" s="518">
        <f>VLOOKUP(A2842,'Materiales '!$C$2:$G$396,3,0)</f>
        <v>4</v>
      </c>
      <c r="C2842" s="88">
        <f>VLOOKUP(A2842,'Materiales '!$C$2:$G$396,3,0)</f>
        <v>4</v>
      </c>
      <c r="D2842" s="89" t="str">
        <f>VLOOKUP(A2842,'Materiales '!$C$2:$G$396,4,0)</f>
        <v>Und</v>
      </c>
      <c r="E2842" s="90">
        <v>1</v>
      </c>
      <c r="F2842" s="508" t="e">
        <f t="shared" si="166"/>
        <v>#VALUE!</v>
      </c>
      <c r="G2842" s="519"/>
      <c r="H2842" s="111"/>
      <c r="I2842">
        <f>E2842*G2826</f>
        <v>0</v>
      </c>
      <c r="J2842" s="58"/>
      <c r="K2842" s="50"/>
      <c r="L2842" s="50"/>
      <c r="M2842" s="50"/>
      <c r="N2842" s="50"/>
      <c r="O2842" s="50"/>
    </row>
    <row r="2843" spans="1:15">
      <c r="A2843" s="517" t="s">
        <v>8</v>
      </c>
      <c r="B2843" s="518">
        <f>VLOOKUP(A2843,'Materiales '!$C$2:$G$396,3,0)</f>
        <v>0</v>
      </c>
      <c r="C2843" s="88">
        <f>VLOOKUP(A2843,'Materiales '!$C$2:$G$396,3,0)</f>
        <v>0</v>
      </c>
      <c r="D2843" s="89" t="str">
        <f>VLOOKUP(A2843,'Materiales '!$C$2:$G$396,4,0)</f>
        <v>-</v>
      </c>
      <c r="E2843" s="90"/>
      <c r="F2843" s="508" t="e">
        <f>E2843*D2843</f>
        <v>#VALUE!</v>
      </c>
      <c r="G2843" s="519"/>
      <c r="H2843" s="110"/>
      <c r="I2843">
        <f>E2843*G2826</f>
        <v>0</v>
      </c>
      <c r="J2843" s="58"/>
      <c r="K2843" s="50"/>
      <c r="L2843" s="50"/>
      <c r="M2843" s="50"/>
      <c r="N2843" s="50"/>
      <c r="O2843" s="50"/>
    </row>
    <row r="2844" spans="1:15">
      <c r="A2844" s="517" t="s">
        <v>8</v>
      </c>
      <c r="B2844" s="518">
        <f>VLOOKUP(A2844,'Materiales '!$C$2:$G$396,3,0)</f>
        <v>0</v>
      </c>
      <c r="C2844" s="88">
        <f>VLOOKUP(A2844,'Materiales '!$C$2:$G$396,3,0)</f>
        <v>0</v>
      </c>
      <c r="D2844" s="89" t="str">
        <f>VLOOKUP(A2844,'Materiales '!$C$2:$G$396,4,0)</f>
        <v>-</v>
      </c>
      <c r="E2844" s="90"/>
      <c r="F2844" s="508" t="e">
        <f t="shared" ref="F2844:F2847" si="167">E2844*D2844</f>
        <v>#VALUE!</v>
      </c>
      <c r="G2844" s="519"/>
      <c r="H2844" s="111"/>
      <c r="I2844">
        <f>E2844*G2826</f>
        <v>0</v>
      </c>
      <c r="J2844" s="58"/>
      <c r="K2844" s="50"/>
      <c r="L2844" s="50"/>
      <c r="M2844" s="50"/>
      <c r="N2844" s="50"/>
      <c r="O2844" s="50"/>
    </row>
    <row r="2845" spans="1:15">
      <c r="A2845" s="517" t="s">
        <v>8</v>
      </c>
      <c r="B2845" s="518">
        <f>VLOOKUP(A2845,'Materiales '!$C$2:$G$396,3,0)</f>
        <v>0</v>
      </c>
      <c r="C2845" s="88">
        <f>VLOOKUP(A2845,'Materiales '!$C$2:$G$396,3,0)</f>
        <v>0</v>
      </c>
      <c r="D2845" s="89" t="str">
        <f>VLOOKUP(A2845,'Materiales '!$C$2:$G$396,4,0)</f>
        <v>-</v>
      </c>
      <c r="E2845" s="90"/>
      <c r="F2845" s="508" t="e">
        <f t="shared" si="167"/>
        <v>#VALUE!</v>
      </c>
      <c r="G2845" s="519"/>
      <c r="H2845" s="111"/>
      <c r="I2845">
        <f>E2845*G2826</f>
        <v>0</v>
      </c>
      <c r="J2845" s="58"/>
      <c r="K2845" s="50"/>
      <c r="L2845" s="50"/>
      <c r="M2845" s="50"/>
      <c r="N2845" s="50"/>
      <c r="O2845" s="50"/>
    </row>
    <row r="2846" spans="1:15">
      <c r="A2846" s="517" t="s">
        <v>8</v>
      </c>
      <c r="B2846" s="518">
        <f>VLOOKUP(A2846,'Materiales '!$C$2:$G$396,3,0)</f>
        <v>0</v>
      </c>
      <c r="C2846" s="88">
        <f>VLOOKUP(A2846,'Materiales '!$C$2:$G$396,3,0)</f>
        <v>0</v>
      </c>
      <c r="D2846" s="89" t="str">
        <f>VLOOKUP(A2846,'Materiales '!$C$2:$G$396,4,0)</f>
        <v>-</v>
      </c>
      <c r="E2846" s="90"/>
      <c r="F2846" s="508" t="e">
        <f t="shared" si="167"/>
        <v>#VALUE!</v>
      </c>
      <c r="G2846" s="519"/>
      <c r="H2846" s="111"/>
      <c r="I2846">
        <f>E2846*G2826</f>
        <v>0</v>
      </c>
      <c r="J2846" s="58"/>
      <c r="K2846" s="50"/>
      <c r="L2846" s="50"/>
      <c r="M2846" s="50"/>
      <c r="N2846" s="50"/>
      <c r="O2846" s="50"/>
    </row>
    <row r="2847" spans="1:15">
      <c r="A2847" s="517" t="s">
        <v>8</v>
      </c>
      <c r="B2847" s="518">
        <f>VLOOKUP(A2847,'Materiales '!$C$2:$G$396,3,0)</f>
        <v>0</v>
      </c>
      <c r="C2847" s="88">
        <f>VLOOKUP(A2847,'Materiales '!$C$2:$G$396,3,0)</f>
        <v>0</v>
      </c>
      <c r="D2847" s="89" t="str">
        <f>VLOOKUP(A2847,'Materiales '!$C$2:$G$396,4,0)</f>
        <v>-</v>
      </c>
      <c r="E2847" s="90"/>
      <c r="F2847" s="508" t="e">
        <f t="shared" si="167"/>
        <v>#VALUE!</v>
      </c>
      <c r="G2847" s="519"/>
      <c r="H2847" s="111"/>
      <c r="I2847">
        <f>E2847*G2826</f>
        <v>0</v>
      </c>
      <c r="J2847" s="58"/>
      <c r="K2847" s="50"/>
      <c r="L2847" s="50"/>
      <c r="M2847" s="50"/>
      <c r="N2847" s="50"/>
      <c r="O2847" s="50"/>
    </row>
    <row r="2848" spans="1:15">
      <c r="A2848" s="517" t="s">
        <v>8</v>
      </c>
      <c r="B2848" s="518">
        <f>VLOOKUP(A2848,'Materiales '!$C$2:$G$396,3,0)</f>
        <v>0</v>
      </c>
      <c r="C2848" s="88">
        <f>VLOOKUP(A2848,'Materiales '!$C$2:$G$396,3,0)</f>
        <v>0</v>
      </c>
      <c r="D2848" s="89" t="str">
        <f>VLOOKUP(A2848,'Materiales '!$C$2:$G$396,4,0)</f>
        <v>-</v>
      </c>
      <c r="E2848" s="90"/>
      <c r="F2848" s="508" t="e">
        <f>E2848*D2848</f>
        <v>#VALUE!</v>
      </c>
      <c r="G2848" s="519"/>
      <c r="H2848" s="110"/>
      <c r="I2848">
        <f>E2848*G2826</f>
        <v>0</v>
      </c>
      <c r="J2848" s="58"/>
      <c r="K2848" s="50"/>
      <c r="L2848" s="50"/>
      <c r="M2848" s="50"/>
      <c r="N2848" s="50"/>
      <c r="O2848" s="50"/>
    </row>
    <row r="2849" spans="1:15">
      <c r="A2849" s="520" t="s">
        <v>4098</v>
      </c>
      <c r="B2849" s="521"/>
      <c r="C2849" s="521"/>
      <c r="D2849" s="521"/>
      <c r="E2849" s="521"/>
      <c r="F2849" s="521"/>
      <c r="G2849" s="522"/>
      <c r="H2849" s="106" t="e">
        <f>SUM(F2835:F2848)</f>
        <v>#VALUE!</v>
      </c>
      <c r="J2849" s="58"/>
      <c r="K2849" s="50"/>
      <c r="L2849" s="50"/>
      <c r="M2849" s="50"/>
      <c r="N2849" s="50"/>
      <c r="O2849" s="50"/>
    </row>
    <row r="2850" spans="1:15">
      <c r="A2850" s="523" t="s">
        <v>4220</v>
      </c>
      <c r="B2850" s="524"/>
      <c r="C2850" s="524"/>
      <c r="D2850" s="524"/>
      <c r="E2850" s="525"/>
      <c r="F2850" s="524"/>
      <c r="G2850" s="524"/>
      <c r="H2850" s="526"/>
      <c r="J2850" s="58"/>
      <c r="K2850" s="50"/>
      <c r="L2850" s="50"/>
      <c r="M2850" s="50"/>
      <c r="N2850" s="50"/>
      <c r="O2850" s="50"/>
    </row>
    <row r="2851" spans="1:15">
      <c r="A2851" s="527" t="s">
        <v>7</v>
      </c>
      <c r="B2851" s="528"/>
      <c r="C2851" s="98" t="s">
        <v>4221</v>
      </c>
      <c r="D2851" s="97" t="s">
        <v>4222</v>
      </c>
      <c r="E2851" s="187" t="s">
        <v>4223</v>
      </c>
      <c r="F2851" s="529" t="s">
        <v>4207</v>
      </c>
      <c r="G2851" s="529"/>
      <c r="H2851" s="109"/>
      <c r="K2851" s="50"/>
      <c r="L2851" s="50"/>
      <c r="M2851" s="50"/>
      <c r="N2851" s="50"/>
      <c r="O2851" s="50"/>
    </row>
    <row r="2852" spans="1:15">
      <c r="A2852" s="506" t="s">
        <v>3928</v>
      </c>
      <c r="B2852" s="507"/>
      <c r="C2852" s="213">
        <v>1</v>
      </c>
      <c r="D2852" s="92">
        <v>0.03</v>
      </c>
      <c r="E2852" s="93" t="str">
        <f>VLOOKUP(A2852,'Equip, Herr y Transp'!$B$2:$E$217,3,0)</f>
        <v>TR</v>
      </c>
      <c r="F2852" s="530" t="e">
        <f>E2852*D2852*C2852</f>
        <v>#VALUE!</v>
      </c>
      <c r="G2852" s="531"/>
      <c r="H2852" s="107"/>
      <c r="M2852" s="50"/>
    </row>
    <row r="2853" spans="1:15">
      <c r="A2853" s="532" t="s">
        <v>4205</v>
      </c>
      <c r="B2853" s="533"/>
      <c r="C2853" s="533"/>
      <c r="D2853" s="533"/>
      <c r="E2853" s="533"/>
      <c r="F2853" s="533"/>
      <c r="G2853" s="533"/>
      <c r="H2853" s="95" t="e">
        <f>F2852</f>
        <v>#VALUE!</v>
      </c>
    </row>
    <row r="2854" spans="1:15">
      <c r="A2854" s="523" t="s">
        <v>4224</v>
      </c>
      <c r="B2854" s="524"/>
      <c r="C2854" s="524"/>
      <c r="D2854" s="524"/>
      <c r="E2854" s="524"/>
      <c r="F2854" s="524"/>
      <c r="G2854" s="524"/>
      <c r="H2854" s="526"/>
    </row>
    <row r="2855" spans="1:15">
      <c r="A2855" s="527" t="s">
        <v>7</v>
      </c>
      <c r="B2855" s="528"/>
      <c r="C2855" s="96" t="s">
        <v>1</v>
      </c>
      <c r="D2855" s="97" t="s">
        <v>4225</v>
      </c>
      <c r="E2855" s="98" t="s">
        <v>4204</v>
      </c>
      <c r="F2855" s="527" t="s">
        <v>5</v>
      </c>
      <c r="G2855" s="534"/>
      <c r="H2855" s="109"/>
    </row>
    <row r="2856" spans="1:15">
      <c r="A2856" s="506" t="s">
        <v>4191</v>
      </c>
      <c r="B2856" s="507"/>
      <c r="C2856" s="91">
        <v>1</v>
      </c>
      <c r="D2856" s="94">
        <f>VLOOKUP(A2856,'Mano Obra'!$B$2:$T$117,19,0)</f>
        <v>152456</v>
      </c>
      <c r="E2856" s="218">
        <f>H2819</f>
        <v>6.25E-2</v>
      </c>
      <c r="F2856" s="508">
        <f>E2856*D2856*C2856</f>
        <v>9528.5</v>
      </c>
      <c r="G2856" s="509"/>
      <c r="H2856" s="111"/>
      <c r="I2856" s="59"/>
      <c r="J2856" s="117">
        <f>((('Mano Obra'!$M$4/30)*F2856)/D2856)*G2826</f>
        <v>0</v>
      </c>
    </row>
    <row r="2857" spans="1:15">
      <c r="A2857" s="510" t="s">
        <v>4192</v>
      </c>
      <c r="B2857" s="511">
        <f>VLOOKUP(A2857,'Mano Obra'!$B$3:$D$290,2,0)</f>
        <v>1900000</v>
      </c>
      <c r="C2857" s="91">
        <v>1</v>
      </c>
      <c r="D2857" s="94">
        <f>VLOOKUP(A2857,'Mano Obra'!$B$2:$T$117,19,0)</f>
        <v>110488</v>
      </c>
      <c r="E2857" s="218">
        <f>H2819</f>
        <v>6.25E-2</v>
      </c>
      <c r="F2857" s="508">
        <f t="shared" ref="F2857:F2858" si="168">E2857*D2857*C2857</f>
        <v>6905.5</v>
      </c>
      <c r="G2857" s="509"/>
      <c r="H2857" s="111"/>
      <c r="J2857" s="117">
        <f>((('Mano Obra'!$M$5/30)*F2857)/D2857)*G2826</f>
        <v>0</v>
      </c>
    </row>
    <row r="2858" spans="1:15">
      <c r="A2858" s="510" t="s">
        <v>4181</v>
      </c>
      <c r="B2858" s="511">
        <f>VLOOKUP(A2858,'Mano Obra'!$B$3:$D$290,2,0)</f>
        <v>1000000</v>
      </c>
      <c r="C2858" s="91">
        <v>1</v>
      </c>
      <c r="D2858" s="94">
        <f>VLOOKUP(A2858,'Mano Obra'!$B$2:$T$117,19,0)</f>
        <v>67424</v>
      </c>
      <c r="E2858" s="218">
        <f>H2819</f>
        <v>6.25E-2</v>
      </c>
      <c r="F2858" s="508">
        <f t="shared" si="168"/>
        <v>4214</v>
      </c>
      <c r="G2858" s="509"/>
      <c r="H2858" s="110"/>
      <c r="J2858" s="117">
        <f>((('Mano Obra'!$M$6/30)*F2858)/D2858)*G2826</f>
        <v>0</v>
      </c>
    </row>
    <row r="2859" spans="1:15">
      <c r="A2859" s="512" t="s">
        <v>4100</v>
      </c>
      <c r="B2859" s="512"/>
      <c r="C2859" s="512"/>
      <c r="D2859" s="512"/>
      <c r="E2859" s="512"/>
      <c r="F2859" s="512"/>
      <c r="G2859" s="512"/>
      <c r="H2859" s="95">
        <f>SUM(F2856:F2858)</f>
        <v>20648</v>
      </c>
      <c r="J2859" s="117"/>
    </row>
    <row r="2860" spans="1:15">
      <c r="A2860" s="208" t="s">
        <v>4226</v>
      </c>
      <c r="B2860" s="186"/>
      <c r="C2860" s="186"/>
      <c r="D2860" s="183"/>
      <c r="E2860" s="184"/>
      <c r="F2860" s="185"/>
      <c r="G2860" s="184"/>
      <c r="H2860" s="193"/>
    </row>
    <row r="2861" spans="1:15">
      <c r="A2861" s="513" t="s">
        <v>4213</v>
      </c>
      <c r="B2861" s="514"/>
      <c r="C2861" s="514"/>
      <c r="D2861" s="514"/>
      <c r="E2861" s="181"/>
      <c r="F2861" s="182" t="s">
        <v>4227</v>
      </c>
      <c r="G2861" s="181" t="s">
        <v>4228</v>
      </c>
      <c r="H2861" s="194"/>
    </row>
    <row r="2862" spans="1:15">
      <c r="A2862" s="204" t="s">
        <v>4096</v>
      </c>
      <c r="B2862" s="62"/>
      <c r="C2862" s="62"/>
      <c r="D2862" s="63"/>
      <c r="E2862" s="68"/>
      <c r="F2862" s="69">
        <v>0</v>
      </c>
      <c r="G2862" s="70" t="e">
        <f>F2862*H2827</f>
        <v>#VALUE!</v>
      </c>
      <c r="H2862" s="193"/>
    </row>
    <row r="2863" spans="1:15">
      <c r="A2863" s="205" t="s">
        <v>4229</v>
      </c>
      <c r="B2863" s="71"/>
      <c r="C2863" s="71"/>
      <c r="D2863" s="72"/>
      <c r="E2863" s="68"/>
      <c r="F2863" s="69">
        <v>0</v>
      </c>
      <c r="G2863" s="70" t="e">
        <f>F2863*H2827</f>
        <v>#VALUE!</v>
      </c>
      <c r="H2863" s="193"/>
    </row>
    <row r="2864" spans="1:15">
      <c r="A2864" s="205" t="s">
        <v>4</v>
      </c>
      <c r="B2864" s="71"/>
      <c r="C2864" s="71"/>
      <c r="D2864" s="72"/>
      <c r="E2864" s="68"/>
      <c r="F2864" s="69">
        <v>0</v>
      </c>
      <c r="G2864" s="70" t="e">
        <f>F2864*H2827</f>
        <v>#VALUE!</v>
      </c>
      <c r="H2864" s="193"/>
    </row>
    <row r="2865" spans="1:14">
      <c r="A2865" s="206"/>
      <c r="B2865" s="73"/>
      <c r="C2865" s="65"/>
      <c r="D2865" s="74"/>
      <c r="E2865" s="75"/>
      <c r="F2865" s="76"/>
      <c r="G2865" s="77"/>
      <c r="H2865" s="195"/>
    </row>
    <row r="2866" spans="1:14">
      <c r="A2866" s="207"/>
      <c r="B2866" s="73"/>
      <c r="C2866" s="73"/>
      <c r="D2866" s="74"/>
      <c r="E2866" s="78"/>
      <c r="F2866" s="515" t="s">
        <v>4230</v>
      </c>
      <c r="G2866" s="516"/>
      <c r="H2866" s="214" t="e">
        <f>H2827+G2862+G2863+G2864</f>
        <v>#VALUE!</v>
      </c>
    </row>
    <row r="2867" spans="1:14">
      <c r="A2867" s="73"/>
      <c r="B2867" s="73"/>
      <c r="C2867" s="73"/>
      <c r="D2867" s="74"/>
      <c r="E2867" s="360"/>
      <c r="F2867" s="361"/>
      <c r="G2867" s="361"/>
      <c r="H2867" s="362"/>
    </row>
    <row r="2868" spans="1:14">
      <c r="A2868" s="80"/>
      <c r="B2868" s="80"/>
      <c r="C2868" s="80"/>
      <c r="D2868" s="80"/>
      <c r="E2868" s="80"/>
      <c r="F2868" s="80"/>
      <c r="G2868" s="80"/>
      <c r="H2868" s="353"/>
    </row>
    <row r="2869" spans="1:14">
      <c r="A2869" s="537" t="s">
        <v>4214</v>
      </c>
      <c r="B2869" s="538"/>
      <c r="C2869" s="538"/>
      <c r="D2869" s="538"/>
      <c r="E2869" s="538"/>
      <c r="F2869" s="538"/>
      <c r="G2869" s="538"/>
      <c r="H2869" s="539"/>
    </row>
    <row r="2870" spans="1:14">
      <c r="A2870" s="81"/>
      <c r="B2870" s="82"/>
      <c r="C2870" s="82"/>
      <c r="D2870" s="82"/>
      <c r="E2870" s="82"/>
      <c r="F2870" s="83"/>
      <c r="G2870" s="84"/>
      <c r="H2870" s="352">
        <f>ROUND((30/60)/8,4)</f>
        <v>6.25E-2</v>
      </c>
      <c r="I2870" s="105"/>
    </row>
    <row r="2871" spans="1:14">
      <c r="A2871" s="540" t="s">
        <v>4209</v>
      </c>
      <c r="B2871" s="542" t="str">
        <f>COSTOS!$C$14</f>
        <v>MODERNIZACION A TECNOLOGIA LED</v>
      </c>
      <c r="C2871" s="542"/>
      <c r="D2871" s="542"/>
      <c r="E2871" s="542"/>
      <c r="F2871" s="542"/>
      <c r="G2871" s="542"/>
      <c r="H2871" s="543" t="s">
        <v>4210</v>
      </c>
    </row>
    <row r="2872" spans="1:14">
      <c r="A2872" s="541"/>
      <c r="B2872" s="542"/>
      <c r="C2872" s="542"/>
      <c r="D2872" s="542"/>
      <c r="E2872" s="542"/>
      <c r="F2872" s="542"/>
      <c r="G2872" s="542"/>
      <c r="H2872" s="543"/>
    </row>
    <row r="2873" spans="1:14">
      <c r="A2873" s="541"/>
      <c r="B2873" s="542"/>
      <c r="C2873" s="542"/>
      <c r="D2873" s="542"/>
      <c r="E2873" s="542"/>
      <c r="F2873" s="542"/>
      <c r="G2873" s="542"/>
      <c r="H2873" s="543"/>
    </row>
    <row r="2874" spans="1:14" ht="15" customHeight="1">
      <c r="A2874" s="541"/>
      <c r="B2874" s="542"/>
      <c r="C2874" s="542"/>
      <c r="D2874" s="542"/>
      <c r="E2874" s="542"/>
      <c r="F2874" s="542"/>
      <c r="G2874" s="542"/>
      <c r="H2874" s="197">
        <f ca="1">TODAY()</f>
        <v>44889</v>
      </c>
      <c r="K2874" t="s">
        <v>4380</v>
      </c>
      <c r="L2874" t="s">
        <v>4381</v>
      </c>
      <c r="M2874" t="s">
        <v>4382</v>
      </c>
      <c r="N2874" t="s">
        <v>4383</v>
      </c>
    </row>
    <row r="2875" spans="1:14" ht="60.75" customHeight="1">
      <c r="A2875" s="209" t="s">
        <v>4211</v>
      </c>
      <c r="B2875" s="544" t="str">
        <f>COSTOS!$D$16</f>
        <v>Luminarias</v>
      </c>
      <c r="C2875" s="544"/>
      <c r="D2875" s="544"/>
      <c r="E2875" s="544"/>
      <c r="F2875" s="544"/>
      <c r="G2875" s="60" t="s">
        <v>4212</v>
      </c>
      <c r="H2875" s="363">
        <v>1.57</v>
      </c>
      <c r="K2875" s="55" t="e">
        <f>H2900</f>
        <v>#VALUE!</v>
      </c>
      <c r="L2875" s="55">
        <f>H2910</f>
        <v>20648</v>
      </c>
      <c r="M2875" s="55" t="e">
        <f>H2883</f>
        <v>#VALUE!</v>
      </c>
      <c r="N2875" s="55" t="e">
        <f>H2904</f>
        <v>#VALUE!</v>
      </c>
    </row>
    <row r="2876" spans="1:14" ht="43.2" customHeight="1">
      <c r="A2876" s="210" t="s">
        <v>4213</v>
      </c>
      <c r="B2876" s="545" t="str">
        <f>VLOOKUP(H2875,COSTOS!C:M,2,0)</f>
        <v>Luminaria Led 80w monoff</v>
      </c>
      <c r="C2876" s="546"/>
      <c r="D2876" s="546"/>
      <c r="E2876" s="547"/>
      <c r="F2876" s="61" t="s">
        <v>0</v>
      </c>
      <c r="G2876" s="328" t="str">
        <f>VLOOKUP(H2875,COSTOS!C:M,8,0)</f>
        <v>Und</v>
      </c>
      <c r="H2876" s="248"/>
      <c r="I2876" s="278"/>
      <c r="J2876" s="280"/>
      <c r="K2876" s="280"/>
      <c r="L2876" s="280"/>
    </row>
    <row r="2877" spans="1:14">
      <c r="A2877" s="211"/>
      <c r="B2877" s="102"/>
      <c r="C2877" s="102"/>
      <c r="D2877" s="102"/>
      <c r="E2877" s="103"/>
      <c r="F2877" s="104" t="s">
        <v>1</v>
      </c>
      <c r="G2877" s="328">
        <f>VLOOKUP(H2875,COSTOS!C:M,9,0)</f>
        <v>0</v>
      </c>
      <c r="H2877" s="329"/>
      <c r="I2877" s="279"/>
    </row>
    <row r="2878" spans="1:14">
      <c r="A2878" s="212" t="s">
        <v>4215</v>
      </c>
      <c r="B2878" s="65"/>
      <c r="C2878" s="65"/>
      <c r="D2878" s="66"/>
      <c r="E2878" s="190"/>
      <c r="F2878" s="191"/>
      <c r="G2878" s="192" t="s">
        <v>4216</v>
      </c>
      <c r="H2878" s="198" t="e">
        <f>H2883+H2900+H2904+H2910</f>
        <v>#VALUE!</v>
      </c>
    </row>
    <row r="2879" spans="1:14" ht="41.4">
      <c r="A2879" s="548" t="s">
        <v>4213</v>
      </c>
      <c r="B2879" s="548"/>
      <c r="C2879" s="548"/>
      <c r="D2879" s="67" t="s">
        <v>0</v>
      </c>
      <c r="E2879" s="188" t="s">
        <v>4217</v>
      </c>
      <c r="F2879" s="189" t="s">
        <v>4204</v>
      </c>
      <c r="G2879" s="64" t="s">
        <v>2</v>
      </c>
      <c r="H2879" s="199" t="s">
        <v>4218</v>
      </c>
      <c r="K2879" s="281"/>
    </row>
    <row r="2880" spans="1:14">
      <c r="A2880" s="517" t="s">
        <v>3946</v>
      </c>
      <c r="B2880" s="549">
        <f>VLOOKUP(A2880,'Equip, Herr y Transp'!$B$2:$E$738,2,0)</f>
        <v>2</v>
      </c>
      <c r="C2880" s="549"/>
      <c r="D2880" s="85">
        <f>VLOOKUP(A2880,'Equip, Herr y Transp'!$B$2:$E$217,2,0)</f>
        <v>2</v>
      </c>
      <c r="E2880" s="85" t="str">
        <f>VLOOKUP(A2880,'Equip, Herr y Transp'!$B$2:$E$217,3,0)</f>
        <v>EQU</v>
      </c>
      <c r="F2880" s="86">
        <f>H2870</f>
        <v>6.25E-2</v>
      </c>
      <c r="G2880" s="112" t="e">
        <f>F2880*E2880</f>
        <v>#VALUE!</v>
      </c>
      <c r="H2880" s="108"/>
    </row>
    <row r="2881" spans="1:15">
      <c r="A2881" s="517" t="s">
        <v>3904</v>
      </c>
      <c r="B2881" s="549">
        <f>VLOOKUP(A2881,'Equip, Herr y Transp'!$B$2:$E$738,2,0)</f>
        <v>2</v>
      </c>
      <c r="C2881" s="549"/>
      <c r="D2881" s="85">
        <f>VLOOKUP(A2881,'Equip, Herr y Transp'!$B$2:$E$217,2,0)</f>
        <v>2</v>
      </c>
      <c r="E2881" s="85" t="str">
        <f>VLOOKUP(A2881,'Equip, Herr y Transp'!$B$2:$E$217,3,0)</f>
        <v>EQU</v>
      </c>
      <c r="F2881" s="86">
        <f>H2870</f>
        <v>6.25E-2</v>
      </c>
      <c r="G2881" s="112" t="e">
        <f>F2881*E2881</f>
        <v>#VALUE!</v>
      </c>
      <c r="H2881" s="107"/>
    </row>
    <row r="2882" spans="1:15">
      <c r="A2882" s="517" t="s">
        <v>3937</v>
      </c>
      <c r="B2882" s="549">
        <f>VLOOKUP(A2882,'Equip, Herr y Transp'!$B$2:$E$738,2,0)</f>
        <v>2</v>
      </c>
      <c r="C2882" s="549"/>
      <c r="D2882" s="85">
        <f>VLOOKUP(A2882,'Equip, Herr y Transp'!$B$2:$E$217,2,0)</f>
        <v>2</v>
      </c>
      <c r="E2882" s="85" t="str">
        <f>VLOOKUP(A2882,'Equip, Herr y Transp'!$B$2:$E$217,3,0)</f>
        <v>EQU</v>
      </c>
      <c r="F2882" s="86">
        <f>H2870</f>
        <v>6.25E-2</v>
      </c>
      <c r="G2882" s="112" t="e">
        <f>F2882*E2882</f>
        <v>#VALUE!</v>
      </c>
      <c r="H2882" s="107"/>
    </row>
    <row r="2883" spans="1:15">
      <c r="A2883" s="520" t="s">
        <v>4099</v>
      </c>
      <c r="B2883" s="521"/>
      <c r="C2883" s="521"/>
      <c r="D2883" s="521"/>
      <c r="E2883" s="521"/>
      <c r="F2883" s="521"/>
      <c r="G2883" s="521"/>
      <c r="H2883" s="87" t="e">
        <f>SUM(G2880:G2882)</f>
        <v>#VALUE!</v>
      </c>
    </row>
    <row r="2884" spans="1:15">
      <c r="A2884" s="550" t="s">
        <v>4219</v>
      </c>
      <c r="B2884" s="551"/>
      <c r="C2884" s="551"/>
      <c r="D2884" s="551"/>
      <c r="E2884" s="551"/>
      <c r="F2884" s="551"/>
      <c r="G2884" s="551"/>
      <c r="H2884" s="552"/>
      <c r="K2884" s="50"/>
      <c r="L2884" s="50"/>
      <c r="M2884" s="50"/>
      <c r="N2884" s="50"/>
      <c r="O2884" s="50"/>
    </row>
    <row r="2885" spans="1:15" ht="30" customHeight="1">
      <c r="A2885" s="553" t="s">
        <v>7</v>
      </c>
      <c r="B2885" s="554"/>
      <c r="C2885" s="99" t="s">
        <v>0</v>
      </c>
      <c r="D2885" s="100" t="s">
        <v>4097</v>
      </c>
      <c r="E2885" s="101" t="s">
        <v>1</v>
      </c>
      <c r="F2885" s="555" t="s">
        <v>4207</v>
      </c>
      <c r="G2885" s="555"/>
      <c r="H2885" s="196"/>
      <c r="K2885" s="50"/>
      <c r="L2885" s="50"/>
      <c r="M2885" s="50"/>
      <c r="N2885" s="50"/>
      <c r="O2885" s="50"/>
    </row>
    <row r="2886" spans="1:15">
      <c r="A2886" s="535" t="s">
        <v>4756</v>
      </c>
      <c r="B2886" s="536"/>
      <c r="C2886" s="88">
        <f>VLOOKUP(A2886,'Materiales '!$C$2:$G$396,3,0)</f>
        <v>4</v>
      </c>
      <c r="D2886" s="89" t="str">
        <f>VLOOKUP(A2886,'Materiales '!$C$2:$G$396,4,0)</f>
        <v>Und</v>
      </c>
      <c r="E2886" s="90">
        <v>1</v>
      </c>
      <c r="F2886" s="508" t="e">
        <f>E2886*D2886</f>
        <v>#VALUE!</v>
      </c>
      <c r="G2886" s="519"/>
      <c r="H2886" s="111"/>
      <c r="I2886">
        <f>E2886*G2877</f>
        <v>0</v>
      </c>
      <c r="J2886" s="57"/>
      <c r="K2886" s="50"/>
      <c r="L2886" s="50"/>
      <c r="M2886" s="50"/>
      <c r="N2886" s="50"/>
      <c r="O2886" s="50"/>
    </row>
    <row r="2887" spans="1:15">
      <c r="A2887" s="535" t="s">
        <v>4203</v>
      </c>
      <c r="B2887" s="536"/>
      <c r="C2887" s="88">
        <f>VLOOKUP(A2887,'Materiales '!$C$2:$G$396,3,0)</f>
        <v>4</v>
      </c>
      <c r="D2887" s="89" t="str">
        <f>VLOOKUP(A2887,'Materiales '!$C$2:$G$396,4,0)</f>
        <v>Und</v>
      </c>
      <c r="E2887" s="90">
        <v>1</v>
      </c>
      <c r="F2887" s="508" t="e">
        <f t="shared" ref="F2887:F2893" si="169">E2887*D2887</f>
        <v>#VALUE!</v>
      </c>
      <c r="G2887" s="519"/>
      <c r="H2887" s="111"/>
      <c r="I2887">
        <f>E2887*G2877</f>
        <v>0</v>
      </c>
      <c r="J2887" s="57"/>
      <c r="K2887" s="50"/>
      <c r="L2887" s="50"/>
      <c r="M2887" s="50"/>
      <c r="N2887" s="50"/>
      <c r="O2887" s="50"/>
    </row>
    <row r="2888" spans="1:15">
      <c r="A2888" s="517" t="s">
        <v>4473</v>
      </c>
      <c r="B2888" s="518">
        <f>VLOOKUP(A2888,'Materiales '!$C$2:$G$396,3,0)</f>
        <v>4</v>
      </c>
      <c r="C2888" s="88">
        <f>VLOOKUP(A2888,'Materiales '!$C$2:$G$396,3,0)</f>
        <v>4</v>
      </c>
      <c r="D2888" s="89" t="str">
        <f>VLOOKUP(A2888,'Materiales '!$C$2:$G$396,4,0)</f>
        <v>Und</v>
      </c>
      <c r="E2888" s="90">
        <v>2</v>
      </c>
      <c r="F2888" s="508" t="e">
        <f t="shared" si="169"/>
        <v>#VALUE!</v>
      </c>
      <c r="G2888" s="519"/>
      <c r="H2888" s="111"/>
      <c r="I2888">
        <f>E2888*G2877</f>
        <v>0</v>
      </c>
      <c r="J2888" s="58"/>
      <c r="K2888" s="50"/>
      <c r="L2888" s="50"/>
      <c r="M2888" s="50"/>
      <c r="N2888" s="50"/>
      <c r="O2888" s="50"/>
    </row>
    <row r="2889" spans="1:15">
      <c r="A2889" s="517" t="s">
        <v>4478</v>
      </c>
      <c r="B2889" s="518">
        <f>VLOOKUP(A2889,'Materiales '!$C$2:$G$396,3,0)</f>
        <v>4</v>
      </c>
      <c r="C2889" s="88">
        <f>VLOOKUP(A2889,'Materiales '!$C$2:$G$396,3,0)</f>
        <v>4</v>
      </c>
      <c r="D2889" s="89" t="str">
        <f>VLOOKUP(A2889,'Materiales '!$C$2:$G$396,4,0)</f>
        <v>Und</v>
      </c>
      <c r="E2889" s="90">
        <v>3</v>
      </c>
      <c r="F2889" s="508" t="e">
        <f t="shared" si="169"/>
        <v>#VALUE!</v>
      </c>
      <c r="G2889" s="519"/>
      <c r="H2889" s="111"/>
      <c r="I2889">
        <f>E2889*G2877</f>
        <v>0</v>
      </c>
      <c r="J2889" s="58"/>
      <c r="K2889" s="50"/>
      <c r="L2889" s="50"/>
      <c r="M2889" s="50"/>
      <c r="N2889" s="50"/>
      <c r="O2889" s="50"/>
    </row>
    <row r="2890" spans="1:15">
      <c r="A2890" s="517" t="s">
        <v>4543</v>
      </c>
      <c r="B2890" s="518">
        <f>VLOOKUP(A2890,'Materiales '!$C$2:$G$396,3,0)</f>
        <v>4</v>
      </c>
      <c r="C2890" s="88">
        <f>VLOOKUP(A2890,'Materiales '!$C$2:$G$396,3,0)</f>
        <v>4</v>
      </c>
      <c r="D2890" s="89" t="str">
        <f>VLOOKUP(A2890,'Materiales '!$C$2:$G$396,4,0)</f>
        <v>Und</v>
      </c>
      <c r="E2890" s="90">
        <v>2</v>
      </c>
      <c r="F2890" s="508" t="e">
        <f t="shared" si="169"/>
        <v>#VALUE!</v>
      </c>
      <c r="G2890" s="519"/>
      <c r="H2890" s="111"/>
      <c r="I2890">
        <f>E2890*G2877</f>
        <v>0</v>
      </c>
      <c r="J2890" s="58"/>
      <c r="K2890" s="50"/>
      <c r="L2890" s="50"/>
      <c r="M2890" s="50"/>
      <c r="N2890" s="50"/>
      <c r="O2890" s="50"/>
    </row>
    <row r="2891" spans="1:15">
      <c r="A2891" s="517" t="s">
        <v>4439</v>
      </c>
      <c r="B2891" s="518">
        <f>VLOOKUP(A2891,'Materiales '!$C$2:$G$396,3,0)</f>
        <v>2</v>
      </c>
      <c r="C2891" s="88">
        <f>VLOOKUP(A2891,'Materiales '!$C$2:$G$396,3,0)</f>
        <v>2</v>
      </c>
      <c r="D2891" s="89" t="str">
        <f>VLOOKUP(A2891,'Materiales '!$C$2:$G$396,4,0)</f>
        <v>Ml</v>
      </c>
      <c r="E2891" s="90">
        <v>1</v>
      </c>
      <c r="F2891" s="508" t="e">
        <f t="shared" si="169"/>
        <v>#VALUE!</v>
      </c>
      <c r="G2891" s="519"/>
      <c r="H2891" s="111"/>
      <c r="I2891">
        <f>E2891*G2877</f>
        <v>0</v>
      </c>
      <c r="J2891" s="58"/>
      <c r="K2891" s="50"/>
      <c r="L2891" s="50"/>
      <c r="M2891" s="50"/>
      <c r="N2891" s="50"/>
      <c r="O2891" s="50"/>
    </row>
    <row r="2892" spans="1:15">
      <c r="A2892" s="517" t="s">
        <v>4482</v>
      </c>
      <c r="B2892" s="518">
        <f>VLOOKUP(A2892,'Materiales '!$C$2:$G$396,3,0)</f>
        <v>4</v>
      </c>
      <c r="C2892" s="88">
        <f>VLOOKUP(A2892,'Materiales '!$C$2:$G$396,3,0)</f>
        <v>4</v>
      </c>
      <c r="D2892" s="89" t="str">
        <f>VLOOKUP(A2892,'Materiales '!$C$2:$G$396,4,0)</f>
        <v>Und</v>
      </c>
      <c r="E2892" s="90">
        <v>3</v>
      </c>
      <c r="F2892" s="508" t="e">
        <f t="shared" si="169"/>
        <v>#VALUE!</v>
      </c>
      <c r="G2892" s="519"/>
      <c r="H2892" s="111"/>
      <c r="I2892">
        <f>E2892*G2877</f>
        <v>0</v>
      </c>
      <c r="J2892" s="58"/>
      <c r="K2892" s="50"/>
      <c r="L2892" s="50"/>
      <c r="M2892" s="50"/>
      <c r="N2892" s="50"/>
      <c r="O2892" s="50"/>
    </row>
    <row r="2893" spans="1:15" ht="21.75" customHeight="1">
      <c r="A2893" s="517" t="s">
        <v>4628</v>
      </c>
      <c r="B2893" s="518">
        <f>VLOOKUP(A2893,'Materiales '!$C$2:$G$396,3,0)</f>
        <v>4</v>
      </c>
      <c r="C2893" s="88">
        <f>VLOOKUP(A2893,'Materiales '!$C$2:$G$396,3,0)</f>
        <v>4</v>
      </c>
      <c r="D2893" s="89" t="str">
        <f>VLOOKUP(A2893,'Materiales '!$C$2:$G$396,4,0)</f>
        <v>Und</v>
      </c>
      <c r="E2893" s="90">
        <v>1</v>
      </c>
      <c r="F2893" s="508" t="e">
        <f t="shared" si="169"/>
        <v>#VALUE!</v>
      </c>
      <c r="G2893" s="519"/>
      <c r="H2893" s="111"/>
      <c r="I2893">
        <f>E2893*G2877</f>
        <v>0</v>
      </c>
      <c r="J2893" s="58"/>
      <c r="K2893" s="50"/>
      <c r="L2893" s="50"/>
      <c r="M2893" s="50"/>
      <c r="N2893" s="50"/>
      <c r="O2893" s="50"/>
    </row>
    <row r="2894" spans="1:15">
      <c r="A2894" s="517" t="s">
        <v>8</v>
      </c>
      <c r="B2894" s="518">
        <f>VLOOKUP(A2894,'Materiales '!$C$2:$G$396,3,0)</f>
        <v>0</v>
      </c>
      <c r="C2894" s="88">
        <f>VLOOKUP(A2894,'Materiales '!$C$2:$G$396,3,0)</f>
        <v>0</v>
      </c>
      <c r="D2894" s="89" t="str">
        <f>VLOOKUP(A2894,'Materiales '!$C$2:$G$396,4,0)</f>
        <v>-</v>
      </c>
      <c r="E2894" s="90"/>
      <c r="F2894" s="508" t="e">
        <f>E2894*D2894</f>
        <v>#VALUE!</v>
      </c>
      <c r="G2894" s="519"/>
      <c r="H2894" s="110"/>
      <c r="I2894">
        <f>E2894*G2877</f>
        <v>0</v>
      </c>
      <c r="J2894" s="58"/>
      <c r="K2894" s="50"/>
      <c r="L2894" s="50"/>
      <c r="M2894" s="50"/>
      <c r="N2894" s="50"/>
      <c r="O2894" s="50"/>
    </row>
    <row r="2895" spans="1:15">
      <c r="A2895" s="517" t="s">
        <v>8</v>
      </c>
      <c r="B2895" s="518">
        <f>VLOOKUP(A2895,'Materiales '!$C$2:$G$396,3,0)</f>
        <v>0</v>
      </c>
      <c r="C2895" s="88">
        <f>VLOOKUP(A2895,'Materiales '!$C$2:$G$396,3,0)</f>
        <v>0</v>
      </c>
      <c r="D2895" s="89" t="str">
        <f>VLOOKUP(A2895,'Materiales '!$C$2:$G$396,4,0)</f>
        <v>-</v>
      </c>
      <c r="E2895" s="90"/>
      <c r="F2895" s="508" t="e">
        <f t="shared" ref="F2895:F2898" si="170">E2895*D2895</f>
        <v>#VALUE!</v>
      </c>
      <c r="G2895" s="519"/>
      <c r="H2895" s="111"/>
      <c r="I2895">
        <f>E2895*G2877</f>
        <v>0</v>
      </c>
      <c r="J2895" s="58"/>
      <c r="K2895" s="50"/>
      <c r="L2895" s="50"/>
      <c r="M2895" s="50"/>
      <c r="N2895" s="50"/>
      <c r="O2895" s="50"/>
    </row>
    <row r="2896" spans="1:15">
      <c r="A2896" s="517" t="s">
        <v>8</v>
      </c>
      <c r="B2896" s="518">
        <f>VLOOKUP(A2896,'Materiales '!$C$2:$G$396,3,0)</f>
        <v>0</v>
      </c>
      <c r="C2896" s="88">
        <f>VLOOKUP(A2896,'Materiales '!$C$2:$G$396,3,0)</f>
        <v>0</v>
      </c>
      <c r="D2896" s="89" t="str">
        <f>VLOOKUP(A2896,'Materiales '!$C$2:$G$396,4,0)</f>
        <v>-</v>
      </c>
      <c r="E2896" s="90"/>
      <c r="F2896" s="508" t="e">
        <f t="shared" si="170"/>
        <v>#VALUE!</v>
      </c>
      <c r="G2896" s="519"/>
      <c r="H2896" s="111"/>
      <c r="I2896">
        <f>E2896*G2877</f>
        <v>0</v>
      </c>
      <c r="J2896" s="58"/>
      <c r="K2896" s="50"/>
      <c r="L2896" s="50"/>
      <c r="M2896" s="50"/>
      <c r="N2896" s="50"/>
      <c r="O2896" s="50"/>
    </row>
    <row r="2897" spans="1:15">
      <c r="A2897" s="517" t="s">
        <v>8</v>
      </c>
      <c r="B2897" s="518">
        <f>VLOOKUP(A2897,'Materiales '!$C$2:$G$396,3,0)</f>
        <v>0</v>
      </c>
      <c r="C2897" s="88">
        <f>VLOOKUP(A2897,'Materiales '!$C$2:$G$396,3,0)</f>
        <v>0</v>
      </c>
      <c r="D2897" s="89" t="str">
        <f>VLOOKUP(A2897,'Materiales '!$C$2:$G$396,4,0)</f>
        <v>-</v>
      </c>
      <c r="E2897" s="90"/>
      <c r="F2897" s="508" t="e">
        <f t="shared" si="170"/>
        <v>#VALUE!</v>
      </c>
      <c r="G2897" s="519"/>
      <c r="H2897" s="111"/>
      <c r="I2897">
        <f>E2897*G2877</f>
        <v>0</v>
      </c>
      <c r="J2897" s="58"/>
      <c r="K2897" s="50"/>
      <c r="L2897" s="50"/>
      <c r="M2897" s="50"/>
      <c r="N2897" s="50"/>
      <c r="O2897" s="50"/>
    </row>
    <row r="2898" spans="1:15">
      <c r="A2898" s="517" t="s">
        <v>8</v>
      </c>
      <c r="B2898" s="518">
        <f>VLOOKUP(A2898,'Materiales '!$C$2:$G$396,3,0)</f>
        <v>0</v>
      </c>
      <c r="C2898" s="88">
        <f>VLOOKUP(A2898,'Materiales '!$C$2:$G$396,3,0)</f>
        <v>0</v>
      </c>
      <c r="D2898" s="89" t="str">
        <f>VLOOKUP(A2898,'Materiales '!$C$2:$G$396,4,0)</f>
        <v>-</v>
      </c>
      <c r="E2898" s="90"/>
      <c r="F2898" s="508" t="e">
        <f t="shared" si="170"/>
        <v>#VALUE!</v>
      </c>
      <c r="G2898" s="519"/>
      <c r="H2898" s="111"/>
      <c r="I2898">
        <f>E2898*G2877</f>
        <v>0</v>
      </c>
      <c r="J2898" s="58"/>
      <c r="K2898" s="50"/>
      <c r="L2898" s="50"/>
      <c r="M2898" s="50"/>
      <c r="N2898" s="50"/>
      <c r="O2898" s="50"/>
    </row>
    <row r="2899" spans="1:15">
      <c r="A2899" s="517" t="s">
        <v>8</v>
      </c>
      <c r="B2899" s="518">
        <f>VLOOKUP(A2899,'Materiales '!$C$2:$G$396,3,0)</f>
        <v>0</v>
      </c>
      <c r="C2899" s="88">
        <f>VLOOKUP(A2899,'Materiales '!$C$2:$G$396,3,0)</f>
        <v>0</v>
      </c>
      <c r="D2899" s="89" t="str">
        <f>VLOOKUP(A2899,'Materiales '!$C$2:$G$396,4,0)</f>
        <v>-</v>
      </c>
      <c r="E2899" s="90"/>
      <c r="F2899" s="508" t="e">
        <f>E2899*D2899</f>
        <v>#VALUE!</v>
      </c>
      <c r="G2899" s="519"/>
      <c r="H2899" s="110"/>
      <c r="I2899">
        <f>E2899*G2877</f>
        <v>0</v>
      </c>
      <c r="J2899" s="58"/>
      <c r="K2899" s="50"/>
      <c r="L2899" s="50"/>
      <c r="M2899" s="50"/>
      <c r="N2899" s="50"/>
      <c r="O2899" s="50"/>
    </row>
    <row r="2900" spans="1:15">
      <c r="A2900" s="520" t="s">
        <v>4098</v>
      </c>
      <c r="B2900" s="521"/>
      <c r="C2900" s="521"/>
      <c r="D2900" s="521"/>
      <c r="E2900" s="521"/>
      <c r="F2900" s="521"/>
      <c r="G2900" s="522"/>
      <c r="H2900" s="106" t="e">
        <f>SUM(F2886:F2899)</f>
        <v>#VALUE!</v>
      </c>
      <c r="J2900" s="58"/>
      <c r="K2900" s="50"/>
      <c r="L2900" s="50"/>
      <c r="M2900" s="50"/>
      <c r="N2900" s="50"/>
      <c r="O2900" s="50"/>
    </row>
    <row r="2901" spans="1:15">
      <c r="A2901" s="523" t="s">
        <v>4220</v>
      </c>
      <c r="B2901" s="524"/>
      <c r="C2901" s="524"/>
      <c r="D2901" s="524"/>
      <c r="E2901" s="525"/>
      <c r="F2901" s="524"/>
      <c r="G2901" s="524"/>
      <c r="H2901" s="526"/>
      <c r="J2901" s="58"/>
      <c r="K2901" s="50"/>
      <c r="L2901" s="50"/>
      <c r="M2901" s="50"/>
      <c r="N2901" s="50"/>
      <c r="O2901" s="50"/>
    </row>
    <row r="2902" spans="1:15">
      <c r="A2902" s="527" t="s">
        <v>7</v>
      </c>
      <c r="B2902" s="528"/>
      <c r="C2902" s="98" t="s">
        <v>4221</v>
      </c>
      <c r="D2902" s="97" t="s">
        <v>4222</v>
      </c>
      <c r="E2902" s="187" t="s">
        <v>4223</v>
      </c>
      <c r="F2902" s="529" t="s">
        <v>4207</v>
      </c>
      <c r="G2902" s="529"/>
      <c r="H2902" s="109"/>
      <c r="K2902" s="50"/>
      <c r="L2902" s="50"/>
      <c r="M2902" s="50"/>
      <c r="N2902" s="50"/>
      <c r="O2902" s="50"/>
    </row>
    <row r="2903" spans="1:15">
      <c r="A2903" s="506" t="s">
        <v>3928</v>
      </c>
      <c r="B2903" s="507"/>
      <c r="C2903" s="213">
        <v>1</v>
      </c>
      <c r="D2903" s="92">
        <v>0.03</v>
      </c>
      <c r="E2903" s="93" t="str">
        <f>VLOOKUP(A2903,'Equip, Herr y Transp'!$B$2:$E$217,3,0)</f>
        <v>TR</v>
      </c>
      <c r="F2903" s="530" t="e">
        <f>E2903*D2903*C2903</f>
        <v>#VALUE!</v>
      </c>
      <c r="G2903" s="531"/>
      <c r="H2903" s="107"/>
      <c r="M2903" s="50"/>
    </row>
    <row r="2904" spans="1:15">
      <c r="A2904" s="532" t="s">
        <v>4205</v>
      </c>
      <c r="B2904" s="533"/>
      <c r="C2904" s="533"/>
      <c r="D2904" s="533"/>
      <c r="E2904" s="533"/>
      <c r="F2904" s="533"/>
      <c r="G2904" s="533"/>
      <c r="H2904" s="95" t="e">
        <f>F2903</f>
        <v>#VALUE!</v>
      </c>
    </row>
    <row r="2905" spans="1:15">
      <c r="A2905" s="523" t="s">
        <v>4224</v>
      </c>
      <c r="B2905" s="524"/>
      <c r="C2905" s="524"/>
      <c r="D2905" s="524"/>
      <c r="E2905" s="524"/>
      <c r="F2905" s="524"/>
      <c r="G2905" s="524"/>
      <c r="H2905" s="526"/>
    </row>
    <row r="2906" spans="1:15">
      <c r="A2906" s="527" t="s">
        <v>7</v>
      </c>
      <c r="B2906" s="528"/>
      <c r="C2906" s="96" t="s">
        <v>1</v>
      </c>
      <c r="D2906" s="97" t="s">
        <v>4225</v>
      </c>
      <c r="E2906" s="98" t="s">
        <v>4204</v>
      </c>
      <c r="F2906" s="527" t="s">
        <v>5</v>
      </c>
      <c r="G2906" s="534"/>
      <c r="H2906" s="109"/>
    </row>
    <row r="2907" spans="1:15">
      <c r="A2907" s="506" t="s">
        <v>4191</v>
      </c>
      <c r="B2907" s="507"/>
      <c r="C2907" s="91">
        <v>1</v>
      </c>
      <c r="D2907" s="94">
        <f>VLOOKUP(A2907,'Mano Obra'!$B$2:$T$117,19,0)</f>
        <v>152456</v>
      </c>
      <c r="E2907" s="218">
        <f>H2870</f>
        <v>6.25E-2</v>
      </c>
      <c r="F2907" s="508">
        <f>E2907*D2907*C2907</f>
        <v>9528.5</v>
      </c>
      <c r="G2907" s="509"/>
      <c r="H2907" s="111"/>
      <c r="I2907" s="59"/>
      <c r="J2907" s="117">
        <f>((('Mano Obra'!$M$4/30)*F2907)/D2907)*G2877</f>
        <v>0</v>
      </c>
    </row>
    <row r="2908" spans="1:15">
      <c r="A2908" s="510" t="s">
        <v>4192</v>
      </c>
      <c r="B2908" s="511">
        <f>VLOOKUP(A2908,'Mano Obra'!$B$3:$D$290,2,0)</f>
        <v>1900000</v>
      </c>
      <c r="C2908" s="91">
        <v>1</v>
      </c>
      <c r="D2908" s="94">
        <f>VLOOKUP(A2908,'Mano Obra'!$B$2:$T$117,19,0)</f>
        <v>110488</v>
      </c>
      <c r="E2908" s="218">
        <f>H2870</f>
        <v>6.25E-2</v>
      </c>
      <c r="F2908" s="508">
        <f t="shared" ref="F2908:F2909" si="171">E2908*D2908*C2908</f>
        <v>6905.5</v>
      </c>
      <c r="G2908" s="509"/>
      <c r="H2908" s="111"/>
      <c r="J2908" s="117">
        <f>((('Mano Obra'!$M$5/30)*F2908)/D2908)*G2877</f>
        <v>0</v>
      </c>
    </row>
    <row r="2909" spans="1:15">
      <c r="A2909" s="510" t="s">
        <v>4181</v>
      </c>
      <c r="B2909" s="511">
        <f>VLOOKUP(A2909,'Mano Obra'!$B$3:$D$290,2,0)</f>
        <v>1000000</v>
      </c>
      <c r="C2909" s="91">
        <v>1</v>
      </c>
      <c r="D2909" s="94">
        <f>VLOOKUP(A2909,'Mano Obra'!$B$2:$T$117,19,0)</f>
        <v>67424</v>
      </c>
      <c r="E2909" s="218">
        <f>H2870</f>
        <v>6.25E-2</v>
      </c>
      <c r="F2909" s="508">
        <f t="shared" si="171"/>
        <v>4214</v>
      </c>
      <c r="G2909" s="509"/>
      <c r="H2909" s="110"/>
      <c r="J2909" s="117">
        <f>((('Mano Obra'!$M$6/30)*F2909)/D2909)*G2877</f>
        <v>0</v>
      </c>
    </row>
    <row r="2910" spans="1:15">
      <c r="A2910" s="512" t="s">
        <v>4100</v>
      </c>
      <c r="B2910" s="512"/>
      <c r="C2910" s="512"/>
      <c r="D2910" s="512"/>
      <c r="E2910" s="512"/>
      <c r="F2910" s="512"/>
      <c r="G2910" s="512"/>
      <c r="H2910" s="95">
        <f>SUM(F2907:F2909)</f>
        <v>20648</v>
      </c>
      <c r="J2910" s="117"/>
    </row>
    <row r="2911" spans="1:15">
      <c r="A2911" s="208" t="s">
        <v>4226</v>
      </c>
      <c r="B2911" s="186"/>
      <c r="C2911" s="186"/>
      <c r="D2911" s="183"/>
      <c r="E2911" s="184"/>
      <c r="F2911" s="185"/>
      <c r="G2911" s="184"/>
      <c r="H2911" s="193"/>
    </row>
    <row r="2912" spans="1:15">
      <c r="A2912" s="513" t="s">
        <v>4213</v>
      </c>
      <c r="B2912" s="514"/>
      <c r="C2912" s="514"/>
      <c r="D2912" s="514"/>
      <c r="E2912" s="181"/>
      <c r="F2912" s="182" t="s">
        <v>4227</v>
      </c>
      <c r="G2912" s="181" t="s">
        <v>4228</v>
      </c>
      <c r="H2912" s="194"/>
    </row>
    <row r="2913" spans="1:14">
      <c r="A2913" s="204" t="s">
        <v>4096</v>
      </c>
      <c r="B2913" s="62"/>
      <c r="C2913" s="62"/>
      <c r="D2913" s="63"/>
      <c r="E2913" s="68"/>
      <c r="F2913" s="69">
        <v>0</v>
      </c>
      <c r="G2913" s="70" t="e">
        <f>F2913*H2878</f>
        <v>#VALUE!</v>
      </c>
      <c r="H2913" s="193"/>
    </row>
    <row r="2914" spans="1:14">
      <c r="A2914" s="205" t="s">
        <v>4229</v>
      </c>
      <c r="B2914" s="71"/>
      <c r="C2914" s="71"/>
      <c r="D2914" s="72"/>
      <c r="E2914" s="68"/>
      <c r="F2914" s="69">
        <v>0</v>
      </c>
      <c r="G2914" s="70" t="e">
        <f>F2914*H2878</f>
        <v>#VALUE!</v>
      </c>
      <c r="H2914" s="193"/>
    </row>
    <row r="2915" spans="1:14">
      <c r="A2915" s="205" t="s">
        <v>4</v>
      </c>
      <c r="B2915" s="71"/>
      <c r="C2915" s="71"/>
      <c r="D2915" s="72"/>
      <c r="E2915" s="68"/>
      <c r="F2915" s="69">
        <v>0</v>
      </c>
      <c r="G2915" s="70" t="e">
        <f>F2915*H2878</f>
        <v>#VALUE!</v>
      </c>
      <c r="H2915" s="193"/>
    </row>
    <row r="2916" spans="1:14">
      <c r="A2916" s="206"/>
      <c r="B2916" s="73"/>
      <c r="C2916" s="65"/>
      <c r="D2916" s="74"/>
      <c r="E2916" s="75"/>
      <c r="F2916" s="76"/>
      <c r="G2916" s="77"/>
      <c r="H2916" s="195"/>
    </row>
    <row r="2917" spans="1:14">
      <c r="A2917" s="207"/>
      <c r="B2917" s="73"/>
      <c r="C2917" s="73"/>
      <c r="D2917" s="74"/>
      <c r="E2917" s="78"/>
      <c r="F2917" s="515" t="s">
        <v>4230</v>
      </c>
      <c r="G2917" s="516"/>
      <c r="H2917" s="214" t="e">
        <f>H2878+G2913+G2914+G2915</f>
        <v>#VALUE!</v>
      </c>
    </row>
    <row r="2918" spans="1:14">
      <c r="A2918" s="73"/>
      <c r="B2918" s="73"/>
      <c r="C2918" s="73"/>
      <c r="D2918" s="74"/>
      <c r="E2918" s="360"/>
      <c r="F2918" s="361"/>
      <c r="G2918" s="361"/>
      <c r="H2918" s="362"/>
    </row>
    <row r="2919" spans="1:14">
      <c r="A2919" s="80"/>
      <c r="B2919" s="80"/>
      <c r="C2919" s="80"/>
      <c r="D2919" s="80"/>
      <c r="E2919" s="80"/>
      <c r="F2919" s="80"/>
      <c r="G2919" s="80"/>
      <c r="H2919" s="353"/>
    </row>
    <row r="2920" spans="1:14">
      <c r="A2920" s="537" t="s">
        <v>4214</v>
      </c>
      <c r="B2920" s="538"/>
      <c r="C2920" s="538"/>
      <c r="D2920" s="538"/>
      <c r="E2920" s="538"/>
      <c r="F2920" s="538"/>
      <c r="G2920" s="538"/>
      <c r="H2920" s="539"/>
    </row>
    <row r="2921" spans="1:14">
      <c r="A2921" s="81"/>
      <c r="B2921" s="82"/>
      <c r="C2921" s="82"/>
      <c r="D2921" s="82"/>
      <c r="E2921" s="82"/>
      <c r="F2921" s="83"/>
      <c r="G2921" s="84"/>
      <c r="H2921" s="352">
        <f>ROUND((30/60)/8,4)</f>
        <v>6.25E-2</v>
      </c>
      <c r="I2921" s="105"/>
    </row>
    <row r="2922" spans="1:14">
      <c r="A2922" s="540" t="s">
        <v>4209</v>
      </c>
      <c r="B2922" s="542" t="str">
        <f>COSTOS!$C$14</f>
        <v>MODERNIZACION A TECNOLOGIA LED</v>
      </c>
      <c r="C2922" s="542"/>
      <c r="D2922" s="542"/>
      <c r="E2922" s="542"/>
      <c r="F2922" s="542"/>
      <c r="G2922" s="542"/>
      <c r="H2922" s="543" t="s">
        <v>4210</v>
      </c>
    </row>
    <row r="2923" spans="1:14">
      <c r="A2923" s="541"/>
      <c r="B2923" s="542"/>
      <c r="C2923" s="542"/>
      <c r="D2923" s="542"/>
      <c r="E2923" s="542"/>
      <c r="F2923" s="542"/>
      <c r="G2923" s="542"/>
      <c r="H2923" s="543"/>
    </row>
    <row r="2924" spans="1:14">
      <c r="A2924" s="541"/>
      <c r="B2924" s="542"/>
      <c r="C2924" s="542"/>
      <c r="D2924" s="542"/>
      <c r="E2924" s="542"/>
      <c r="F2924" s="542"/>
      <c r="G2924" s="542"/>
      <c r="H2924" s="543"/>
    </row>
    <row r="2925" spans="1:14" ht="15" customHeight="1">
      <c r="A2925" s="541"/>
      <c r="B2925" s="542"/>
      <c r="C2925" s="542"/>
      <c r="D2925" s="542"/>
      <c r="E2925" s="542"/>
      <c r="F2925" s="542"/>
      <c r="G2925" s="542"/>
      <c r="H2925" s="197">
        <f ca="1">TODAY()</f>
        <v>44889</v>
      </c>
      <c r="K2925" t="s">
        <v>4380</v>
      </c>
      <c r="L2925" t="s">
        <v>4381</v>
      </c>
      <c r="M2925" t="s">
        <v>4382</v>
      </c>
      <c r="N2925" t="s">
        <v>4383</v>
      </c>
    </row>
    <row r="2926" spans="1:14" ht="60.75" customHeight="1">
      <c r="A2926" s="209" t="s">
        <v>4211</v>
      </c>
      <c r="B2926" s="544" t="str">
        <f>COSTOS!$D$16</f>
        <v>Luminarias</v>
      </c>
      <c r="C2926" s="544"/>
      <c r="D2926" s="544"/>
      <c r="E2926" s="544"/>
      <c r="F2926" s="544"/>
      <c r="G2926" s="60" t="s">
        <v>4212</v>
      </c>
      <c r="H2926" s="363">
        <v>1.58</v>
      </c>
      <c r="K2926" s="55" t="e">
        <f>H2951</f>
        <v>#VALUE!</v>
      </c>
      <c r="L2926" s="55">
        <f>H2961</f>
        <v>20648</v>
      </c>
      <c r="M2926" s="55" t="e">
        <f>H2934</f>
        <v>#VALUE!</v>
      </c>
      <c r="N2926" s="55" t="e">
        <f>H2955</f>
        <v>#VALUE!</v>
      </c>
    </row>
    <row r="2927" spans="1:14" ht="43.2" customHeight="1">
      <c r="A2927" s="210" t="s">
        <v>4213</v>
      </c>
      <c r="B2927" s="545" t="str">
        <f>VLOOKUP(H2926,COSTOS!C:M,2,0)</f>
        <v>Luminaria Led 90w</v>
      </c>
      <c r="C2927" s="546"/>
      <c r="D2927" s="546"/>
      <c r="E2927" s="547"/>
      <c r="F2927" s="61" t="s">
        <v>0</v>
      </c>
      <c r="G2927" s="328" t="str">
        <f>VLOOKUP(H2926,COSTOS!C:M,8,0)</f>
        <v>Und</v>
      </c>
      <c r="H2927" s="248"/>
      <c r="I2927" s="278"/>
      <c r="J2927" s="280"/>
      <c r="K2927" s="280"/>
      <c r="L2927" s="280"/>
    </row>
    <row r="2928" spans="1:14">
      <c r="A2928" s="211"/>
      <c r="B2928" s="102"/>
      <c r="C2928" s="102"/>
      <c r="D2928" s="102"/>
      <c r="E2928" s="103"/>
      <c r="F2928" s="104" t="s">
        <v>1</v>
      </c>
      <c r="G2928" s="328">
        <f>VLOOKUP(H2926,COSTOS!C:M,9,0)</f>
        <v>0</v>
      </c>
      <c r="H2928" s="329"/>
      <c r="I2928" s="279"/>
    </row>
    <row r="2929" spans="1:15">
      <c r="A2929" s="212" t="s">
        <v>4215</v>
      </c>
      <c r="B2929" s="65"/>
      <c r="C2929" s="65"/>
      <c r="D2929" s="66"/>
      <c r="E2929" s="190"/>
      <c r="F2929" s="191"/>
      <c r="G2929" s="192" t="s">
        <v>4216</v>
      </c>
      <c r="H2929" s="198" t="e">
        <f>H2934+H2951+H2955+H2961</f>
        <v>#VALUE!</v>
      </c>
    </row>
    <row r="2930" spans="1:15" ht="41.4">
      <c r="A2930" s="548" t="s">
        <v>4213</v>
      </c>
      <c r="B2930" s="548"/>
      <c r="C2930" s="548"/>
      <c r="D2930" s="67" t="s">
        <v>0</v>
      </c>
      <c r="E2930" s="188" t="s">
        <v>4217</v>
      </c>
      <c r="F2930" s="189" t="s">
        <v>4204</v>
      </c>
      <c r="G2930" s="64" t="s">
        <v>2</v>
      </c>
      <c r="H2930" s="199" t="s">
        <v>4218</v>
      </c>
      <c r="K2930" s="281"/>
    </row>
    <row r="2931" spans="1:15">
      <c r="A2931" s="517" t="s">
        <v>3946</v>
      </c>
      <c r="B2931" s="549">
        <f>VLOOKUP(A2931,'Equip, Herr y Transp'!$B$2:$E$738,2,0)</f>
        <v>2</v>
      </c>
      <c r="C2931" s="549"/>
      <c r="D2931" s="85">
        <f>VLOOKUP(A2931,'Equip, Herr y Transp'!$B$2:$E$217,2,0)</f>
        <v>2</v>
      </c>
      <c r="E2931" s="85" t="str">
        <f>VLOOKUP(A2931,'Equip, Herr y Transp'!$B$2:$E$217,3,0)</f>
        <v>EQU</v>
      </c>
      <c r="F2931" s="86">
        <f>H2921</f>
        <v>6.25E-2</v>
      </c>
      <c r="G2931" s="112" t="e">
        <f>F2931*E2931</f>
        <v>#VALUE!</v>
      </c>
      <c r="H2931" s="108"/>
    </row>
    <row r="2932" spans="1:15">
      <c r="A2932" s="517" t="s">
        <v>3904</v>
      </c>
      <c r="B2932" s="549">
        <f>VLOOKUP(A2932,'Equip, Herr y Transp'!$B$2:$E$738,2,0)</f>
        <v>2</v>
      </c>
      <c r="C2932" s="549"/>
      <c r="D2932" s="85">
        <f>VLOOKUP(A2932,'Equip, Herr y Transp'!$B$2:$E$217,2,0)</f>
        <v>2</v>
      </c>
      <c r="E2932" s="85" t="str">
        <f>VLOOKUP(A2932,'Equip, Herr y Transp'!$B$2:$E$217,3,0)</f>
        <v>EQU</v>
      </c>
      <c r="F2932" s="86">
        <f>H2921</f>
        <v>6.25E-2</v>
      </c>
      <c r="G2932" s="112" t="e">
        <f>F2932*E2932</f>
        <v>#VALUE!</v>
      </c>
      <c r="H2932" s="107"/>
    </row>
    <row r="2933" spans="1:15">
      <c r="A2933" s="517" t="s">
        <v>3937</v>
      </c>
      <c r="B2933" s="549">
        <f>VLOOKUP(A2933,'Equip, Herr y Transp'!$B$2:$E$738,2,0)</f>
        <v>2</v>
      </c>
      <c r="C2933" s="549"/>
      <c r="D2933" s="85">
        <f>VLOOKUP(A2933,'Equip, Herr y Transp'!$B$2:$E$217,2,0)</f>
        <v>2</v>
      </c>
      <c r="E2933" s="85" t="str">
        <f>VLOOKUP(A2933,'Equip, Herr y Transp'!$B$2:$E$217,3,0)</f>
        <v>EQU</v>
      </c>
      <c r="F2933" s="86">
        <f>H2921</f>
        <v>6.25E-2</v>
      </c>
      <c r="G2933" s="112" t="e">
        <f>F2933*E2933</f>
        <v>#VALUE!</v>
      </c>
      <c r="H2933" s="107"/>
    </row>
    <row r="2934" spans="1:15">
      <c r="A2934" s="520" t="s">
        <v>4099</v>
      </c>
      <c r="B2934" s="521"/>
      <c r="C2934" s="521"/>
      <c r="D2934" s="521"/>
      <c r="E2934" s="521"/>
      <c r="F2934" s="521"/>
      <c r="G2934" s="521"/>
      <c r="H2934" s="87" t="e">
        <f>SUM(G2931:G2933)</f>
        <v>#VALUE!</v>
      </c>
    </row>
    <row r="2935" spans="1:15">
      <c r="A2935" s="550" t="s">
        <v>4219</v>
      </c>
      <c r="B2935" s="551"/>
      <c r="C2935" s="551"/>
      <c r="D2935" s="551"/>
      <c r="E2935" s="551"/>
      <c r="F2935" s="551"/>
      <c r="G2935" s="551"/>
      <c r="H2935" s="552"/>
      <c r="K2935" s="50"/>
      <c r="L2935" s="50"/>
      <c r="M2935" s="50"/>
      <c r="N2935" s="50"/>
      <c r="O2935" s="50"/>
    </row>
    <row r="2936" spans="1:15" ht="30" customHeight="1">
      <c r="A2936" s="553" t="s">
        <v>7</v>
      </c>
      <c r="B2936" s="554"/>
      <c r="C2936" s="99" t="s">
        <v>0</v>
      </c>
      <c r="D2936" s="100" t="s">
        <v>4097</v>
      </c>
      <c r="E2936" s="101" t="s">
        <v>1</v>
      </c>
      <c r="F2936" s="555" t="s">
        <v>4207</v>
      </c>
      <c r="G2936" s="555"/>
      <c r="H2936" s="196"/>
      <c r="K2936" s="50"/>
      <c r="L2936" s="50"/>
      <c r="M2936" s="50"/>
      <c r="N2936" s="50"/>
      <c r="O2936" s="50"/>
    </row>
    <row r="2937" spans="1:15">
      <c r="A2937" s="535" t="s">
        <v>4757</v>
      </c>
      <c r="B2937" s="536"/>
      <c r="C2937" s="88">
        <f>VLOOKUP(A2937,'Materiales '!$C$2:$G$396,3,0)</f>
        <v>4</v>
      </c>
      <c r="D2937" s="89" t="str">
        <f>VLOOKUP(A2937,'Materiales '!$C$2:$G$396,4,0)</f>
        <v>Und</v>
      </c>
      <c r="E2937" s="90">
        <v>1</v>
      </c>
      <c r="F2937" s="508" t="e">
        <f>E2937*D2937</f>
        <v>#VALUE!</v>
      </c>
      <c r="G2937" s="519"/>
      <c r="H2937" s="111"/>
      <c r="I2937">
        <f>E2937*G2928</f>
        <v>0</v>
      </c>
      <c r="J2937" s="57"/>
      <c r="K2937" s="50"/>
      <c r="L2937" s="50"/>
      <c r="M2937" s="50"/>
      <c r="N2937" s="50"/>
      <c r="O2937" s="50"/>
    </row>
    <row r="2938" spans="1:15">
      <c r="A2938" s="535" t="s">
        <v>4203</v>
      </c>
      <c r="B2938" s="536"/>
      <c r="C2938" s="88">
        <f>VLOOKUP(A2938,'Materiales '!$C$2:$G$396,3,0)</f>
        <v>4</v>
      </c>
      <c r="D2938" s="89" t="str">
        <f>VLOOKUP(A2938,'Materiales '!$C$2:$G$396,4,0)</f>
        <v>Und</v>
      </c>
      <c r="E2938" s="90">
        <v>1</v>
      </c>
      <c r="F2938" s="508" t="e">
        <f t="shared" ref="F2938:F2944" si="172">E2938*D2938</f>
        <v>#VALUE!</v>
      </c>
      <c r="G2938" s="519"/>
      <c r="H2938" s="111"/>
      <c r="I2938">
        <f>E2938*G2928</f>
        <v>0</v>
      </c>
      <c r="J2938" s="57"/>
      <c r="K2938" s="50"/>
      <c r="L2938" s="50"/>
      <c r="M2938" s="50"/>
      <c r="N2938" s="50"/>
      <c r="O2938" s="50"/>
    </row>
    <row r="2939" spans="1:15">
      <c r="A2939" s="517" t="s">
        <v>4473</v>
      </c>
      <c r="B2939" s="518">
        <f>VLOOKUP(A2939,'Materiales '!$C$2:$G$396,3,0)</f>
        <v>4</v>
      </c>
      <c r="C2939" s="88">
        <f>VLOOKUP(A2939,'Materiales '!$C$2:$G$396,3,0)</f>
        <v>4</v>
      </c>
      <c r="D2939" s="89" t="str">
        <f>VLOOKUP(A2939,'Materiales '!$C$2:$G$396,4,0)</f>
        <v>Und</v>
      </c>
      <c r="E2939" s="90">
        <v>2</v>
      </c>
      <c r="F2939" s="508" t="e">
        <f t="shared" si="172"/>
        <v>#VALUE!</v>
      </c>
      <c r="G2939" s="519"/>
      <c r="H2939" s="111"/>
      <c r="I2939">
        <f>E2939*G2928</f>
        <v>0</v>
      </c>
      <c r="J2939" s="58"/>
      <c r="K2939" s="50"/>
      <c r="L2939" s="50"/>
      <c r="M2939" s="50"/>
      <c r="N2939" s="50"/>
      <c r="O2939" s="50"/>
    </row>
    <row r="2940" spans="1:15">
      <c r="A2940" s="517" t="s">
        <v>4478</v>
      </c>
      <c r="B2940" s="518">
        <f>VLOOKUP(A2940,'Materiales '!$C$2:$G$396,3,0)</f>
        <v>4</v>
      </c>
      <c r="C2940" s="88">
        <f>VLOOKUP(A2940,'Materiales '!$C$2:$G$396,3,0)</f>
        <v>4</v>
      </c>
      <c r="D2940" s="89" t="str">
        <f>VLOOKUP(A2940,'Materiales '!$C$2:$G$396,4,0)</f>
        <v>Und</v>
      </c>
      <c r="E2940" s="90">
        <v>3</v>
      </c>
      <c r="F2940" s="508" t="e">
        <f t="shared" si="172"/>
        <v>#VALUE!</v>
      </c>
      <c r="G2940" s="519"/>
      <c r="H2940" s="111"/>
      <c r="I2940">
        <f>E2940*G2928</f>
        <v>0</v>
      </c>
      <c r="J2940" s="58"/>
      <c r="K2940" s="50"/>
      <c r="L2940" s="50"/>
      <c r="M2940" s="50"/>
      <c r="N2940" s="50"/>
      <c r="O2940" s="50"/>
    </row>
    <row r="2941" spans="1:15">
      <c r="A2941" s="517" t="s">
        <v>4543</v>
      </c>
      <c r="B2941" s="518">
        <f>VLOOKUP(A2941,'Materiales '!$C$2:$G$396,3,0)</f>
        <v>4</v>
      </c>
      <c r="C2941" s="88">
        <f>VLOOKUP(A2941,'Materiales '!$C$2:$G$396,3,0)</f>
        <v>4</v>
      </c>
      <c r="D2941" s="89" t="str">
        <f>VLOOKUP(A2941,'Materiales '!$C$2:$G$396,4,0)</f>
        <v>Und</v>
      </c>
      <c r="E2941" s="90">
        <v>2</v>
      </c>
      <c r="F2941" s="508" t="e">
        <f t="shared" si="172"/>
        <v>#VALUE!</v>
      </c>
      <c r="G2941" s="519"/>
      <c r="H2941" s="111"/>
      <c r="I2941">
        <f>E2941*G2928</f>
        <v>0</v>
      </c>
      <c r="J2941" s="58"/>
      <c r="K2941" s="50"/>
      <c r="L2941" s="50"/>
      <c r="M2941" s="50"/>
      <c r="N2941" s="50"/>
      <c r="O2941" s="50"/>
    </row>
    <row r="2942" spans="1:15">
      <c r="A2942" s="517" t="s">
        <v>4439</v>
      </c>
      <c r="B2942" s="518">
        <f>VLOOKUP(A2942,'Materiales '!$C$2:$G$396,3,0)</f>
        <v>2</v>
      </c>
      <c r="C2942" s="88">
        <f>VLOOKUP(A2942,'Materiales '!$C$2:$G$396,3,0)</f>
        <v>2</v>
      </c>
      <c r="D2942" s="89" t="str">
        <f>VLOOKUP(A2942,'Materiales '!$C$2:$G$396,4,0)</f>
        <v>Ml</v>
      </c>
      <c r="E2942" s="90">
        <v>1</v>
      </c>
      <c r="F2942" s="508" t="e">
        <f t="shared" si="172"/>
        <v>#VALUE!</v>
      </c>
      <c r="G2942" s="519"/>
      <c r="H2942" s="111"/>
      <c r="I2942">
        <f>E2942*G2928</f>
        <v>0</v>
      </c>
      <c r="J2942" s="58"/>
      <c r="K2942" s="50"/>
      <c r="L2942" s="50"/>
      <c r="M2942" s="50"/>
      <c r="N2942" s="50"/>
      <c r="O2942" s="50"/>
    </row>
    <row r="2943" spans="1:15">
      <c r="A2943" s="517" t="s">
        <v>4482</v>
      </c>
      <c r="B2943" s="518">
        <f>VLOOKUP(A2943,'Materiales '!$C$2:$G$396,3,0)</f>
        <v>4</v>
      </c>
      <c r="C2943" s="88">
        <f>VLOOKUP(A2943,'Materiales '!$C$2:$G$396,3,0)</f>
        <v>4</v>
      </c>
      <c r="D2943" s="89" t="str">
        <f>VLOOKUP(A2943,'Materiales '!$C$2:$G$396,4,0)</f>
        <v>Und</v>
      </c>
      <c r="E2943" s="90">
        <v>3</v>
      </c>
      <c r="F2943" s="508" t="e">
        <f t="shared" si="172"/>
        <v>#VALUE!</v>
      </c>
      <c r="G2943" s="519"/>
      <c r="H2943" s="111"/>
      <c r="I2943">
        <f>E2943*G2928</f>
        <v>0</v>
      </c>
      <c r="J2943" s="58"/>
      <c r="K2943" s="50"/>
      <c r="L2943" s="50"/>
      <c r="M2943" s="50"/>
      <c r="N2943" s="50"/>
      <c r="O2943" s="50"/>
    </row>
    <row r="2944" spans="1:15" ht="21.75" customHeight="1">
      <c r="A2944" s="517" t="s">
        <v>4628</v>
      </c>
      <c r="B2944" s="518">
        <f>VLOOKUP(A2944,'Materiales '!$C$2:$G$396,3,0)</f>
        <v>4</v>
      </c>
      <c r="C2944" s="88">
        <f>VLOOKUP(A2944,'Materiales '!$C$2:$G$396,3,0)</f>
        <v>4</v>
      </c>
      <c r="D2944" s="89" t="str">
        <f>VLOOKUP(A2944,'Materiales '!$C$2:$G$396,4,0)</f>
        <v>Und</v>
      </c>
      <c r="E2944" s="90">
        <v>1</v>
      </c>
      <c r="F2944" s="508" t="e">
        <f t="shared" si="172"/>
        <v>#VALUE!</v>
      </c>
      <c r="G2944" s="519"/>
      <c r="H2944" s="111"/>
      <c r="I2944">
        <f>E2944*G2928</f>
        <v>0</v>
      </c>
      <c r="J2944" s="58"/>
      <c r="K2944" s="50"/>
      <c r="L2944" s="50"/>
      <c r="M2944" s="50"/>
      <c r="N2944" s="50"/>
      <c r="O2944" s="50"/>
    </row>
    <row r="2945" spans="1:15">
      <c r="A2945" s="517" t="s">
        <v>8</v>
      </c>
      <c r="B2945" s="518">
        <f>VLOOKUP(A2945,'Materiales '!$C$2:$G$396,3,0)</f>
        <v>0</v>
      </c>
      <c r="C2945" s="88">
        <f>VLOOKUP(A2945,'Materiales '!$C$2:$G$396,3,0)</f>
        <v>0</v>
      </c>
      <c r="D2945" s="89" t="str">
        <f>VLOOKUP(A2945,'Materiales '!$C$2:$G$396,4,0)</f>
        <v>-</v>
      </c>
      <c r="E2945" s="90"/>
      <c r="F2945" s="508" t="e">
        <f>E2945*D2945</f>
        <v>#VALUE!</v>
      </c>
      <c r="G2945" s="519"/>
      <c r="H2945" s="110"/>
      <c r="I2945">
        <f>E2945*G2928</f>
        <v>0</v>
      </c>
      <c r="J2945" s="58"/>
      <c r="K2945" s="50"/>
      <c r="L2945" s="50"/>
      <c r="M2945" s="50"/>
      <c r="N2945" s="50"/>
      <c r="O2945" s="50"/>
    </row>
    <row r="2946" spans="1:15">
      <c r="A2946" s="517" t="s">
        <v>8</v>
      </c>
      <c r="B2946" s="518">
        <f>VLOOKUP(A2946,'Materiales '!$C$2:$G$396,3,0)</f>
        <v>0</v>
      </c>
      <c r="C2946" s="88">
        <f>VLOOKUP(A2946,'Materiales '!$C$2:$G$396,3,0)</f>
        <v>0</v>
      </c>
      <c r="D2946" s="89" t="str">
        <f>VLOOKUP(A2946,'Materiales '!$C$2:$G$396,4,0)</f>
        <v>-</v>
      </c>
      <c r="E2946" s="90"/>
      <c r="F2946" s="508" t="e">
        <f t="shared" ref="F2946:F2949" si="173">E2946*D2946</f>
        <v>#VALUE!</v>
      </c>
      <c r="G2946" s="519"/>
      <c r="H2946" s="111"/>
      <c r="I2946">
        <f>E2946*G2928</f>
        <v>0</v>
      </c>
      <c r="J2946" s="58"/>
      <c r="K2946" s="50"/>
      <c r="L2946" s="50"/>
      <c r="M2946" s="50"/>
      <c r="N2946" s="50"/>
      <c r="O2946" s="50"/>
    </row>
    <row r="2947" spans="1:15">
      <c r="A2947" s="517" t="s">
        <v>8</v>
      </c>
      <c r="B2947" s="518">
        <f>VLOOKUP(A2947,'Materiales '!$C$2:$G$396,3,0)</f>
        <v>0</v>
      </c>
      <c r="C2947" s="88">
        <f>VLOOKUP(A2947,'Materiales '!$C$2:$G$396,3,0)</f>
        <v>0</v>
      </c>
      <c r="D2947" s="89" t="str">
        <f>VLOOKUP(A2947,'Materiales '!$C$2:$G$396,4,0)</f>
        <v>-</v>
      </c>
      <c r="E2947" s="90"/>
      <c r="F2947" s="508" t="e">
        <f t="shared" si="173"/>
        <v>#VALUE!</v>
      </c>
      <c r="G2947" s="519"/>
      <c r="H2947" s="111"/>
      <c r="I2947">
        <f>E2947*G2928</f>
        <v>0</v>
      </c>
      <c r="J2947" s="58"/>
      <c r="K2947" s="50"/>
      <c r="L2947" s="50"/>
      <c r="M2947" s="50"/>
      <c r="N2947" s="50"/>
      <c r="O2947" s="50"/>
    </row>
    <row r="2948" spans="1:15">
      <c r="A2948" s="517" t="s">
        <v>8</v>
      </c>
      <c r="B2948" s="518">
        <f>VLOOKUP(A2948,'Materiales '!$C$2:$G$396,3,0)</f>
        <v>0</v>
      </c>
      <c r="C2948" s="88">
        <f>VLOOKUP(A2948,'Materiales '!$C$2:$G$396,3,0)</f>
        <v>0</v>
      </c>
      <c r="D2948" s="89" t="str">
        <f>VLOOKUP(A2948,'Materiales '!$C$2:$G$396,4,0)</f>
        <v>-</v>
      </c>
      <c r="E2948" s="90"/>
      <c r="F2948" s="508" t="e">
        <f t="shared" si="173"/>
        <v>#VALUE!</v>
      </c>
      <c r="G2948" s="519"/>
      <c r="H2948" s="111"/>
      <c r="I2948">
        <f>E2948*G2928</f>
        <v>0</v>
      </c>
      <c r="J2948" s="58"/>
      <c r="K2948" s="50"/>
      <c r="L2948" s="50"/>
      <c r="M2948" s="50"/>
      <c r="N2948" s="50"/>
      <c r="O2948" s="50"/>
    </row>
    <row r="2949" spans="1:15">
      <c r="A2949" s="517" t="s">
        <v>8</v>
      </c>
      <c r="B2949" s="518">
        <f>VLOOKUP(A2949,'Materiales '!$C$2:$G$396,3,0)</f>
        <v>0</v>
      </c>
      <c r="C2949" s="88">
        <f>VLOOKUP(A2949,'Materiales '!$C$2:$G$396,3,0)</f>
        <v>0</v>
      </c>
      <c r="D2949" s="89" t="str">
        <f>VLOOKUP(A2949,'Materiales '!$C$2:$G$396,4,0)</f>
        <v>-</v>
      </c>
      <c r="E2949" s="90"/>
      <c r="F2949" s="508" t="e">
        <f t="shared" si="173"/>
        <v>#VALUE!</v>
      </c>
      <c r="G2949" s="519"/>
      <c r="H2949" s="111"/>
      <c r="I2949">
        <f>E2949*G2928</f>
        <v>0</v>
      </c>
      <c r="J2949" s="58"/>
      <c r="K2949" s="50"/>
      <c r="L2949" s="50"/>
      <c r="M2949" s="50"/>
      <c r="N2949" s="50"/>
      <c r="O2949" s="50"/>
    </row>
    <row r="2950" spans="1:15">
      <c r="A2950" s="517" t="s">
        <v>8</v>
      </c>
      <c r="B2950" s="518">
        <f>VLOOKUP(A2950,'Materiales '!$C$2:$G$396,3,0)</f>
        <v>0</v>
      </c>
      <c r="C2950" s="88">
        <f>VLOOKUP(A2950,'Materiales '!$C$2:$G$396,3,0)</f>
        <v>0</v>
      </c>
      <c r="D2950" s="89" t="str">
        <f>VLOOKUP(A2950,'Materiales '!$C$2:$G$396,4,0)</f>
        <v>-</v>
      </c>
      <c r="E2950" s="90"/>
      <c r="F2950" s="508" t="e">
        <f>E2950*D2950</f>
        <v>#VALUE!</v>
      </c>
      <c r="G2950" s="519"/>
      <c r="H2950" s="110"/>
      <c r="I2950">
        <f>E2950*G2928</f>
        <v>0</v>
      </c>
      <c r="J2950" s="58"/>
      <c r="K2950" s="50"/>
      <c r="L2950" s="50"/>
      <c r="M2950" s="50"/>
      <c r="N2950" s="50"/>
      <c r="O2950" s="50"/>
    </row>
    <row r="2951" spans="1:15">
      <c r="A2951" s="520" t="s">
        <v>4098</v>
      </c>
      <c r="B2951" s="521"/>
      <c r="C2951" s="521"/>
      <c r="D2951" s="521"/>
      <c r="E2951" s="521"/>
      <c r="F2951" s="521"/>
      <c r="G2951" s="522"/>
      <c r="H2951" s="106" t="e">
        <f>SUM(F2937:F2950)</f>
        <v>#VALUE!</v>
      </c>
      <c r="J2951" s="58"/>
      <c r="K2951" s="50"/>
      <c r="L2951" s="50"/>
      <c r="M2951" s="50"/>
      <c r="N2951" s="50"/>
      <c r="O2951" s="50"/>
    </row>
    <row r="2952" spans="1:15">
      <c r="A2952" s="523" t="s">
        <v>4220</v>
      </c>
      <c r="B2952" s="524"/>
      <c r="C2952" s="524"/>
      <c r="D2952" s="524"/>
      <c r="E2952" s="525"/>
      <c r="F2952" s="524"/>
      <c r="G2952" s="524"/>
      <c r="H2952" s="526"/>
      <c r="J2952" s="58"/>
      <c r="K2952" s="50"/>
      <c r="L2952" s="50"/>
      <c r="M2952" s="50"/>
      <c r="N2952" s="50"/>
      <c r="O2952" s="50"/>
    </row>
    <row r="2953" spans="1:15">
      <c r="A2953" s="527" t="s">
        <v>7</v>
      </c>
      <c r="B2953" s="528"/>
      <c r="C2953" s="98" t="s">
        <v>4221</v>
      </c>
      <c r="D2953" s="97" t="s">
        <v>4222</v>
      </c>
      <c r="E2953" s="187" t="s">
        <v>4223</v>
      </c>
      <c r="F2953" s="529" t="s">
        <v>4207</v>
      </c>
      <c r="G2953" s="529"/>
      <c r="H2953" s="109"/>
      <c r="K2953" s="50"/>
      <c r="L2953" s="50"/>
      <c r="M2953" s="50"/>
      <c r="N2953" s="50"/>
      <c r="O2953" s="50"/>
    </row>
    <row r="2954" spans="1:15">
      <c r="A2954" s="506" t="s">
        <v>3928</v>
      </c>
      <c r="B2954" s="507"/>
      <c r="C2954" s="213">
        <v>1</v>
      </c>
      <c r="D2954" s="92">
        <v>0.03</v>
      </c>
      <c r="E2954" s="93" t="str">
        <f>VLOOKUP(A2954,'Equip, Herr y Transp'!$B$2:$E$217,3,0)</f>
        <v>TR</v>
      </c>
      <c r="F2954" s="530" t="e">
        <f>E2954*D2954*C2954</f>
        <v>#VALUE!</v>
      </c>
      <c r="G2954" s="531"/>
      <c r="H2954" s="107"/>
      <c r="M2954" s="50"/>
    </row>
    <row r="2955" spans="1:15">
      <c r="A2955" s="532" t="s">
        <v>4205</v>
      </c>
      <c r="B2955" s="533"/>
      <c r="C2955" s="533"/>
      <c r="D2955" s="533"/>
      <c r="E2955" s="533"/>
      <c r="F2955" s="533"/>
      <c r="G2955" s="533"/>
      <c r="H2955" s="95" t="e">
        <f>F2954</f>
        <v>#VALUE!</v>
      </c>
    </row>
    <row r="2956" spans="1:15">
      <c r="A2956" s="523" t="s">
        <v>4224</v>
      </c>
      <c r="B2956" s="524"/>
      <c r="C2956" s="524"/>
      <c r="D2956" s="524"/>
      <c r="E2956" s="524"/>
      <c r="F2956" s="524"/>
      <c r="G2956" s="524"/>
      <c r="H2956" s="526"/>
    </row>
    <row r="2957" spans="1:15">
      <c r="A2957" s="527" t="s">
        <v>7</v>
      </c>
      <c r="B2957" s="528"/>
      <c r="C2957" s="96" t="s">
        <v>1</v>
      </c>
      <c r="D2957" s="97" t="s">
        <v>4225</v>
      </c>
      <c r="E2957" s="98" t="s">
        <v>4204</v>
      </c>
      <c r="F2957" s="527" t="s">
        <v>5</v>
      </c>
      <c r="G2957" s="534"/>
      <c r="H2957" s="109"/>
    </row>
    <row r="2958" spans="1:15">
      <c r="A2958" s="506" t="s">
        <v>4191</v>
      </c>
      <c r="B2958" s="507"/>
      <c r="C2958" s="91">
        <v>1</v>
      </c>
      <c r="D2958" s="94">
        <f>VLOOKUP(A2958,'Mano Obra'!$B$2:$T$117,19,0)</f>
        <v>152456</v>
      </c>
      <c r="E2958" s="218">
        <f>H2921</f>
        <v>6.25E-2</v>
      </c>
      <c r="F2958" s="508">
        <f>E2958*D2958*C2958</f>
        <v>9528.5</v>
      </c>
      <c r="G2958" s="509"/>
      <c r="H2958" s="111"/>
      <c r="I2958" s="59"/>
      <c r="J2958" s="117">
        <f>((('Mano Obra'!$M$4/30)*F2958)/D2958)*G2928</f>
        <v>0</v>
      </c>
    </row>
    <row r="2959" spans="1:15">
      <c r="A2959" s="510" t="s">
        <v>4192</v>
      </c>
      <c r="B2959" s="511">
        <f>VLOOKUP(A2959,'Mano Obra'!$B$3:$D$290,2,0)</f>
        <v>1900000</v>
      </c>
      <c r="C2959" s="91">
        <v>1</v>
      </c>
      <c r="D2959" s="94">
        <f>VLOOKUP(A2959,'Mano Obra'!$B$2:$T$117,19,0)</f>
        <v>110488</v>
      </c>
      <c r="E2959" s="218">
        <f>H2921</f>
        <v>6.25E-2</v>
      </c>
      <c r="F2959" s="508">
        <f t="shared" ref="F2959:F2960" si="174">E2959*D2959*C2959</f>
        <v>6905.5</v>
      </c>
      <c r="G2959" s="509"/>
      <c r="H2959" s="111"/>
      <c r="J2959" s="117">
        <f>((('Mano Obra'!$M$5/30)*F2959)/D2959)*G2928</f>
        <v>0</v>
      </c>
    </row>
    <row r="2960" spans="1:15">
      <c r="A2960" s="510" t="s">
        <v>4181</v>
      </c>
      <c r="B2960" s="511">
        <f>VLOOKUP(A2960,'Mano Obra'!$B$3:$D$290,2,0)</f>
        <v>1000000</v>
      </c>
      <c r="C2960" s="91">
        <v>1</v>
      </c>
      <c r="D2960" s="94">
        <f>VLOOKUP(A2960,'Mano Obra'!$B$2:$T$117,19,0)</f>
        <v>67424</v>
      </c>
      <c r="E2960" s="218">
        <f>H2921</f>
        <v>6.25E-2</v>
      </c>
      <c r="F2960" s="508">
        <f t="shared" si="174"/>
        <v>4214</v>
      </c>
      <c r="G2960" s="509"/>
      <c r="H2960" s="110"/>
      <c r="J2960" s="117">
        <f>((('Mano Obra'!$M$6/30)*F2960)/D2960)*G2928</f>
        <v>0</v>
      </c>
    </row>
    <row r="2961" spans="1:14">
      <c r="A2961" s="512" t="s">
        <v>4100</v>
      </c>
      <c r="B2961" s="512"/>
      <c r="C2961" s="512"/>
      <c r="D2961" s="512"/>
      <c r="E2961" s="512"/>
      <c r="F2961" s="512"/>
      <c r="G2961" s="512"/>
      <c r="H2961" s="95">
        <f>SUM(F2958:F2960)</f>
        <v>20648</v>
      </c>
      <c r="J2961" s="117"/>
    </row>
    <row r="2962" spans="1:14">
      <c r="A2962" s="208" t="s">
        <v>4226</v>
      </c>
      <c r="B2962" s="186"/>
      <c r="C2962" s="186"/>
      <c r="D2962" s="183"/>
      <c r="E2962" s="184"/>
      <c r="F2962" s="185"/>
      <c r="G2962" s="184"/>
      <c r="H2962" s="193"/>
    </row>
    <row r="2963" spans="1:14">
      <c r="A2963" s="513" t="s">
        <v>4213</v>
      </c>
      <c r="B2963" s="514"/>
      <c r="C2963" s="514"/>
      <c r="D2963" s="514"/>
      <c r="E2963" s="181"/>
      <c r="F2963" s="182" t="s">
        <v>4227</v>
      </c>
      <c r="G2963" s="181" t="s">
        <v>4228</v>
      </c>
      <c r="H2963" s="194"/>
    </row>
    <row r="2964" spans="1:14">
      <c r="A2964" s="204" t="s">
        <v>4096</v>
      </c>
      <c r="B2964" s="62"/>
      <c r="C2964" s="62"/>
      <c r="D2964" s="63"/>
      <c r="E2964" s="68"/>
      <c r="F2964" s="69">
        <v>0</v>
      </c>
      <c r="G2964" s="70" t="e">
        <f>F2964*H2929</f>
        <v>#VALUE!</v>
      </c>
      <c r="H2964" s="193"/>
    </row>
    <row r="2965" spans="1:14">
      <c r="A2965" s="205" t="s">
        <v>4229</v>
      </c>
      <c r="B2965" s="71"/>
      <c r="C2965" s="71"/>
      <c r="D2965" s="72"/>
      <c r="E2965" s="68"/>
      <c r="F2965" s="69">
        <v>0</v>
      </c>
      <c r="G2965" s="70" t="e">
        <f>F2965*H2929</f>
        <v>#VALUE!</v>
      </c>
      <c r="H2965" s="193"/>
    </row>
    <row r="2966" spans="1:14">
      <c r="A2966" s="205" t="s">
        <v>4</v>
      </c>
      <c r="B2966" s="71"/>
      <c r="C2966" s="71"/>
      <c r="D2966" s="72"/>
      <c r="E2966" s="68"/>
      <c r="F2966" s="69">
        <v>0</v>
      </c>
      <c r="G2966" s="70" t="e">
        <f>F2966*H2929</f>
        <v>#VALUE!</v>
      </c>
      <c r="H2966" s="193"/>
    </row>
    <row r="2967" spans="1:14">
      <c r="A2967" s="206"/>
      <c r="B2967" s="73"/>
      <c r="C2967" s="65"/>
      <c r="D2967" s="74"/>
      <c r="E2967" s="75"/>
      <c r="F2967" s="76"/>
      <c r="G2967" s="77"/>
      <c r="H2967" s="195"/>
    </row>
    <row r="2968" spans="1:14">
      <c r="A2968" s="207"/>
      <c r="B2968" s="73"/>
      <c r="C2968" s="73"/>
      <c r="D2968" s="74"/>
      <c r="E2968" s="78"/>
      <c r="F2968" s="515" t="s">
        <v>4230</v>
      </c>
      <c r="G2968" s="516"/>
      <c r="H2968" s="214" t="e">
        <f>H2929+G2964+G2965+G2966</f>
        <v>#VALUE!</v>
      </c>
    </row>
    <row r="2969" spans="1:14">
      <c r="A2969" s="73"/>
      <c r="B2969" s="73"/>
      <c r="C2969" s="73"/>
      <c r="D2969" s="74"/>
      <c r="E2969" s="360"/>
      <c r="F2969" s="361"/>
      <c r="G2969" s="361"/>
      <c r="H2969" s="362"/>
    </row>
    <row r="2970" spans="1:14">
      <c r="A2970" s="80"/>
      <c r="B2970" s="80"/>
      <c r="C2970" s="80"/>
      <c r="D2970" s="80"/>
      <c r="E2970" s="80"/>
      <c r="F2970" s="80"/>
      <c r="G2970" s="80"/>
      <c r="H2970" s="353"/>
    </row>
    <row r="2971" spans="1:14">
      <c r="A2971" s="537" t="s">
        <v>4214</v>
      </c>
      <c r="B2971" s="538"/>
      <c r="C2971" s="538"/>
      <c r="D2971" s="538"/>
      <c r="E2971" s="538"/>
      <c r="F2971" s="538"/>
      <c r="G2971" s="538"/>
      <c r="H2971" s="539"/>
    </row>
    <row r="2972" spans="1:14">
      <c r="A2972" s="81"/>
      <c r="B2972" s="82"/>
      <c r="C2972" s="82"/>
      <c r="D2972" s="82"/>
      <c r="E2972" s="82"/>
      <c r="F2972" s="83"/>
      <c r="G2972" s="84"/>
      <c r="H2972" s="352">
        <f>ROUND((30/60)/8,4)</f>
        <v>6.25E-2</v>
      </c>
      <c r="I2972" s="105"/>
    </row>
    <row r="2973" spans="1:14">
      <c r="A2973" s="540" t="s">
        <v>4209</v>
      </c>
      <c r="B2973" s="542" t="str">
        <f>COSTOS!$C$14</f>
        <v>MODERNIZACION A TECNOLOGIA LED</v>
      </c>
      <c r="C2973" s="542"/>
      <c r="D2973" s="542"/>
      <c r="E2973" s="542"/>
      <c r="F2973" s="542"/>
      <c r="G2973" s="542"/>
      <c r="H2973" s="543" t="s">
        <v>4210</v>
      </c>
    </row>
    <row r="2974" spans="1:14">
      <c r="A2974" s="541"/>
      <c r="B2974" s="542"/>
      <c r="C2974" s="542"/>
      <c r="D2974" s="542"/>
      <c r="E2974" s="542"/>
      <c r="F2974" s="542"/>
      <c r="G2974" s="542"/>
      <c r="H2974" s="543"/>
    </row>
    <row r="2975" spans="1:14">
      <c r="A2975" s="541"/>
      <c r="B2975" s="542"/>
      <c r="C2975" s="542"/>
      <c r="D2975" s="542"/>
      <c r="E2975" s="542"/>
      <c r="F2975" s="542"/>
      <c r="G2975" s="542"/>
      <c r="H2975" s="543"/>
    </row>
    <row r="2976" spans="1:14" ht="15" customHeight="1">
      <c r="A2976" s="541"/>
      <c r="B2976" s="542"/>
      <c r="C2976" s="542"/>
      <c r="D2976" s="542"/>
      <c r="E2976" s="542"/>
      <c r="F2976" s="542"/>
      <c r="G2976" s="542"/>
      <c r="H2976" s="197">
        <f ca="1">TODAY()</f>
        <v>44889</v>
      </c>
      <c r="K2976" t="s">
        <v>4380</v>
      </c>
      <c r="L2976" t="s">
        <v>4381</v>
      </c>
      <c r="M2976" t="s">
        <v>4382</v>
      </c>
      <c r="N2976" t="s">
        <v>4383</v>
      </c>
    </row>
    <row r="2977" spans="1:15" ht="60.75" customHeight="1">
      <c r="A2977" s="209" t="s">
        <v>4211</v>
      </c>
      <c r="B2977" s="544" t="str">
        <f>COSTOS!$D$16</f>
        <v>Luminarias</v>
      </c>
      <c r="C2977" s="544"/>
      <c r="D2977" s="544"/>
      <c r="E2977" s="544"/>
      <c r="F2977" s="544"/>
      <c r="G2977" s="60" t="s">
        <v>4212</v>
      </c>
      <c r="H2977" s="363">
        <v>1.59</v>
      </c>
      <c r="K2977" s="55" t="e">
        <f>H3002</f>
        <v>#VALUE!</v>
      </c>
      <c r="L2977" s="55">
        <f>H3012</f>
        <v>20648</v>
      </c>
      <c r="M2977" s="55" t="e">
        <f>H2985</f>
        <v>#VALUE!</v>
      </c>
      <c r="N2977" s="55" t="e">
        <f>H3006</f>
        <v>#VALUE!</v>
      </c>
    </row>
    <row r="2978" spans="1:15" ht="43.2" customHeight="1">
      <c r="A2978" s="210" t="s">
        <v>4213</v>
      </c>
      <c r="B2978" s="545" t="str">
        <f>VLOOKUP(H2977,COSTOS!C:M,2,0)</f>
        <v>Luminaria Led 100w monoff</v>
      </c>
      <c r="C2978" s="546"/>
      <c r="D2978" s="546"/>
      <c r="E2978" s="547"/>
      <c r="F2978" s="61" t="s">
        <v>0</v>
      </c>
      <c r="G2978" s="328" t="str">
        <f>VLOOKUP(H2977,COSTOS!C:M,8,0)</f>
        <v>Und</v>
      </c>
      <c r="H2978" s="248"/>
      <c r="I2978" s="278"/>
      <c r="J2978" s="280"/>
      <c r="K2978" s="280"/>
      <c r="L2978" s="280"/>
    </row>
    <row r="2979" spans="1:15">
      <c r="A2979" s="211"/>
      <c r="B2979" s="102"/>
      <c r="C2979" s="102"/>
      <c r="D2979" s="102"/>
      <c r="E2979" s="103"/>
      <c r="F2979" s="104" t="s">
        <v>1</v>
      </c>
      <c r="G2979" s="328">
        <f>VLOOKUP(H2977,COSTOS!C:M,9,0)</f>
        <v>0</v>
      </c>
      <c r="H2979" s="329"/>
      <c r="I2979" s="279"/>
    </row>
    <row r="2980" spans="1:15">
      <c r="A2980" s="212" t="s">
        <v>4215</v>
      </c>
      <c r="B2980" s="65"/>
      <c r="C2980" s="65"/>
      <c r="D2980" s="66"/>
      <c r="E2980" s="190"/>
      <c r="F2980" s="191"/>
      <c r="G2980" s="192" t="s">
        <v>4216</v>
      </c>
      <c r="H2980" s="198" t="e">
        <f>H2985+H3002+H3006+H3012</f>
        <v>#VALUE!</v>
      </c>
    </row>
    <row r="2981" spans="1:15" ht="41.4">
      <c r="A2981" s="548" t="s">
        <v>4213</v>
      </c>
      <c r="B2981" s="548"/>
      <c r="C2981" s="548"/>
      <c r="D2981" s="67" t="s">
        <v>0</v>
      </c>
      <c r="E2981" s="188" t="s">
        <v>4217</v>
      </c>
      <c r="F2981" s="189" t="s">
        <v>4204</v>
      </c>
      <c r="G2981" s="64" t="s">
        <v>2</v>
      </c>
      <c r="H2981" s="199" t="s">
        <v>4218</v>
      </c>
      <c r="K2981" s="281"/>
    </row>
    <row r="2982" spans="1:15">
      <c r="A2982" s="517" t="s">
        <v>3946</v>
      </c>
      <c r="B2982" s="549">
        <f>VLOOKUP(A2982,'Equip, Herr y Transp'!$B$2:$E$738,2,0)</f>
        <v>2</v>
      </c>
      <c r="C2982" s="549"/>
      <c r="D2982" s="85">
        <f>VLOOKUP(A2982,'Equip, Herr y Transp'!$B$2:$E$217,2,0)</f>
        <v>2</v>
      </c>
      <c r="E2982" s="85" t="str">
        <f>VLOOKUP(A2982,'Equip, Herr y Transp'!$B$2:$E$217,3,0)</f>
        <v>EQU</v>
      </c>
      <c r="F2982" s="86">
        <f>H2972</f>
        <v>6.25E-2</v>
      </c>
      <c r="G2982" s="112" t="e">
        <f>F2982*E2982</f>
        <v>#VALUE!</v>
      </c>
      <c r="H2982" s="108"/>
    </row>
    <row r="2983" spans="1:15">
      <c r="A2983" s="517" t="s">
        <v>3904</v>
      </c>
      <c r="B2983" s="549">
        <f>VLOOKUP(A2983,'Equip, Herr y Transp'!$B$2:$E$738,2,0)</f>
        <v>2</v>
      </c>
      <c r="C2983" s="549"/>
      <c r="D2983" s="85">
        <f>VLOOKUP(A2983,'Equip, Herr y Transp'!$B$2:$E$217,2,0)</f>
        <v>2</v>
      </c>
      <c r="E2983" s="85" t="str">
        <f>VLOOKUP(A2983,'Equip, Herr y Transp'!$B$2:$E$217,3,0)</f>
        <v>EQU</v>
      </c>
      <c r="F2983" s="86">
        <f>H2972</f>
        <v>6.25E-2</v>
      </c>
      <c r="G2983" s="112" t="e">
        <f>F2983*E2983</f>
        <v>#VALUE!</v>
      </c>
      <c r="H2983" s="107"/>
    </row>
    <row r="2984" spans="1:15">
      <c r="A2984" s="517" t="s">
        <v>3937</v>
      </c>
      <c r="B2984" s="549">
        <f>VLOOKUP(A2984,'Equip, Herr y Transp'!$B$2:$E$738,2,0)</f>
        <v>2</v>
      </c>
      <c r="C2984" s="549"/>
      <c r="D2984" s="85">
        <f>VLOOKUP(A2984,'Equip, Herr y Transp'!$B$2:$E$217,2,0)</f>
        <v>2</v>
      </c>
      <c r="E2984" s="85" t="str">
        <f>VLOOKUP(A2984,'Equip, Herr y Transp'!$B$2:$E$217,3,0)</f>
        <v>EQU</v>
      </c>
      <c r="F2984" s="86">
        <f>H2972</f>
        <v>6.25E-2</v>
      </c>
      <c r="G2984" s="112" t="e">
        <f>F2984*E2984</f>
        <v>#VALUE!</v>
      </c>
      <c r="H2984" s="107"/>
    </row>
    <row r="2985" spans="1:15">
      <c r="A2985" s="520" t="s">
        <v>4099</v>
      </c>
      <c r="B2985" s="521"/>
      <c r="C2985" s="521"/>
      <c r="D2985" s="521"/>
      <c r="E2985" s="521"/>
      <c r="F2985" s="521"/>
      <c r="G2985" s="521"/>
      <c r="H2985" s="87" t="e">
        <f>SUM(G2982:G2984)</f>
        <v>#VALUE!</v>
      </c>
    </row>
    <row r="2986" spans="1:15">
      <c r="A2986" s="550" t="s">
        <v>4219</v>
      </c>
      <c r="B2986" s="551"/>
      <c r="C2986" s="551"/>
      <c r="D2986" s="551"/>
      <c r="E2986" s="551"/>
      <c r="F2986" s="551"/>
      <c r="G2986" s="551"/>
      <c r="H2986" s="552"/>
      <c r="K2986" s="50"/>
      <c r="L2986" s="50"/>
      <c r="M2986" s="50"/>
      <c r="N2986" s="50"/>
      <c r="O2986" s="50"/>
    </row>
    <row r="2987" spans="1:15" ht="30" customHeight="1">
      <c r="A2987" s="553" t="s">
        <v>7</v>
      </c>
      <c r="B2987" s="554"/>
      <c r="C2987" s="99" t="s">
        <v>0</v>
      </c>
      <c r="D2987" s="100" t="s">
        <v>4097</v>
      </c>
      <c r="E2987" s="101" t="s">
        <v>1</v>
      </c>
      <c r="F2987" s="555" t="s">
        <v>4207</v>
      </c>
      <c r="G2987" s="555"/>
      <c r="H2987" s="196"/>
      <c r="K2987" s="50"/>
      <c r="L2987" s="50"/>
      <c r="M2987" s="50"/>
      <c r="N2987" s="50"/>
      <c r="O2987" s="50"/>
    </row>
    <row r="2988" spans="1:15">
      <c r="A2988" s="535" t="s">
        <v>4757</v>
      </c>
      <c r="B2988" s="536"/>
      <c r="C2988" s="88">
        <f>VLOOKUP(A2988,'Materiales '!$C$2:$G$396,3,0)</f>
        <v>4</v>
      </c>
      <c r="D2988" s="89" t="str">
        <f>VLOOKUP(A2988,'Materiales '!$C$2:$G$396,4,0)</f>
        <v>Und</v>
      </c>
      <c r="E2988" s="90">
        <v>1</v>
      </c>
      <c r="F2988" s="508" t="e">
        <f>E2988*D2988</f>
        <v>#VALUE!</v>
      </c>
      <c r="G2988" s="519"/>
      <c r="H2988" s="111"/>
      <c r="I2988">
        <f>E2988*G2979</f>
        <v>0</v>
      </c>
      <c r="J2988" s="57"/>
      <c r="K2988" s="50"/>
      <c r="L2988" s="50"/>
      <c r="M2988" s="50"/>
      <c r="N2988" s="50"/>
      <c r="O2988" s="50"/>
    </row>
    <row r="2989" spans="1:15">
      <c r="A2989" s="535" t="s">
        <v>4203</v>
      </c>
      <c r="B2989" s="536"/>
      <c r="C2989" s="88">
        <f>VLOOKUP(A2989,'Materiales '!$C$2:$G$396,3,0)</f>
        <v>4</v>
      </c>
      <c r="D2989" s="89" t="str">
        <f>VLOOKUP(A2989,'Materiales '!$C$2:$G$396,4,0)</f>
        <v>Und</v>
      </c>
      <c r="E2989" s="90">
        <v>1</v>
      </c>
      <c r="F2989" s="508" t="e">
        <f t="shared" ref="F2989:F2995" si="175">E2989*D2989</f>
        <v>#VALUE!</v>
      </c>
      <c r="G2989" s="519"/>
      <c r="H2989" s="111"/>
      <c r="I2989">
        <f>E2989*G2979</f>
        <v>0</v>
      </c>
      <c r="J2989" s="57"/>
      <c r="K2989" s="50"/>
      <c r="L2989" s="50"/>
      <c r="M2989" s="50"/>
      <c r="N2989" s="50"/>
      <c r="O2989" s="50"/>
    </row>
    <row r="2990" spans="1:15">
      <c r="A2990" s="517" t="s">
        <v>4473</v>
      </c>
      <c r="B2990" s="518">
        <f>VLOOKUP(A2990,'Materiales '!$C$2:$G$396,3,0)</f>
        <v>4</v>
      </c>
      <c r="C2990" s="88">
        <f>VLOOKUP(A2990,'Materiales '!$C$2:$G$396,3,0)</f>
        <v>4</v>
      </c>
      <c r="D2990" s="89" t="str">
        <f>VLOOKUP(A2990,'Materiales '!$C$2:$G$396,4,0)</f>
        <v>Und</v>
      </c>
      <c r="E2990" s="90">
        <v>2</v>
      </c>
      <c r="F2990" s="508" t="e">
        <f t="shared" si="175"/>
        <v>#VALUE!</v>
      </c>
      <c r="G2990" s="519"/>
      <c r="H2990" s="111"/>
      <c r="I2990">
        <f>E2990*G2979</f>
        <v>0</v>
      </c>
      <c r="J2990" s="58"/>
      <c r="K2990" s="50"/>
      <c r="L2990" s="50"/>
      <c r="M2990" s="50"/>
      <c r="N2990" s="50"/>
      <c r="O2990" s="50"/>
    </row>
    <row r="2991" spans="1:15">
      <c r="A2991" s="517" t="s">
        <v>4478</v>
      </c>
      <c r="B2991" s="518">
        <f>VLOOKUP(A2991,'Materiales '!$C$2:$G$396,3,0)</f>
        <v>4</v>
      </c>
      <c r="C2991" s="88">
        <f>VLOOKUP(A2991,'Materiales '!$C$2:$G$396,3,0)</f>
        <v>4</v>
      </c>
      <c r="D2991" s="89" t="str">
        <f>VLOOKUP(A2991,'Materiales '!$C$2:$G$396,4,0)</f>
        <v>Und</v>
      </c>
      <c r="E2991" s="90">
        <v>3</v>
      </c>
      <c r="F2991" s="508" t="e">
        <f t="shared" si="175"/>
        <v>#VALUE!</v>
      </c>
      <c r="G2991" s="519"/>
      <c r="H2991" s="111"/>
      <c r="I2991">
        <f>E2991*G2979</f>
        <v>0</v>
      </c>
      <c r="J2991" s="58"/>
      <c r="K2991" s="50"/>
      <c r="L2991" s="50"/>
      <c r="M2991" s="50"/>
      <c r="N2991" s="50"/>
      <c r="O2991" s="50"/>
    </row>
    <row r="2992" spans="1:15">
      <c r="A2992" s="517" t="s">
        <v>4543</v>
      </c>
      <c r="B2992" s="518">
        <f>VLOOKUP(A2992,'Materiales '!$C$2:$G$396,3,0)</f>
        <v>4</v>
      </c>
      <c r="C2992" s="88">
        <f>VLOOKUP(A2992,'Materiales '!$C$2:$G$396,3,0)</f>
        <v>4</v>
      </c>
      <c r="D2992" s="89" t="str">
        <f>VLOOKUP(A2992,'Materiales '!$C$2:$G$396,4,0)</f>
        <v>Und</v>
      </c>
      <c r="E2992" s="90">
        <v>2</v>
      </c>
      <c r="F2992" s="508" t="e">
        <f t="shared" si="175"/>
        <v>#VALUE!</v>
      </c>
      <c r="G2992" s="519"/>
      <c r="H2992" s="111"/>
      <c r="I2992">
        <f>E2992*G2979</f>
        <v>0</v>
      </c>
      <c r="J2992" s="58"/>
      <c r="K2992" s="50"/>
      <c r="L2992" s="50"/>
      <c r="M2992" s="50"/>
      <c r="N2992" s="50"/>
      <c r="O2992" s="50"/>
    </row>
    <row r="2993" spans="1:15">
      <c r="A2993" s="517" t="s">
        <v>4439</v>
      </c>
      <c r="B2993" s="518">
        <f>VLOOKUP(A2993,'Materiales '!$C$2:$G$396,3,0)</f>
        <v>2</v>
      </c>
      <c r="C2993" s="88">
        <f>VLOOKUP(A2993,'Materiales '!$C$2:$G$396,3,0)</f>
        <v>2</v>
      </c>
      <c r="D2993" s="89" t="str">
        <f>VLOOKUP(A2993,'Materiales '!$C$2:$G$396,4,0)</f>
        <v>Ml</v>
      </c>
      <c r="E2993" s="90">
        <v>1</v>
      </c>
      <c r="F2993" s="508" t="e">
        <f t="shared" si="175"/>
        <v>#VALUE!</v>
      </c>
      <c r="G2993" s="519"/>
      <c r="H2993" s="111"/>
      <c r="I2993">
        <f>E2993*G2979</f>
        <v>0</v>
      </c>
      <c r="J2993" s="58"/>
      <c r="K2993" s="50"/>
      <c r="L2993" s="50"/>
      <c r="M2993" s="50"/>
      <c r="N2993" s="50"/>
      <c r="O2993" s="50"/>
    </row>
    <row r="2994" spans="1:15">
      <c r="A2994" s="517" t="s">
        <v>4482</v>
      </c>
      <c r="B2994" s="518">
        <f>VLOOKUP(A2994,'Materiales '!$C$2:$G$396,3,0)</f>
        <v>4</v>
      </c>
      <c r="C2994" s="88">
        <f>VLOOKUP(A2994,'Materiales '!$C$2:$G$396,3,0)</f>
        <v>4</v>
      </c>
      <c r="D2994" s="89" t="str">
        <f>VLOOKUP(A2994,'Materiales '!$C$2:$G$396,4,0)</f>
        <v>Und</v>
      </c>
      <c r="E2994" s="90">
        <v>3</v>
      </c>
      <c r="F2994" s="508" t="e">
        <f t="shared" si="175"/>
        <v>#VALUE!</v>
      </c>
      <c r="G2994" s="519"/>
      <c r="H2994" s="111"/>
      <c r="I2994">
        <f>E2994*G2979</f>
        <v>0</v>
      </c>
      <c r="J2994" s="58"/>
      <c r="K2994" s="50"/>
      <c r="L2994" s="50"/>
      <c r="M2994" s="50"/>
      <c r="N2994" s="50"/>
      <c r="O2994" s="50"/>
    </row>
    <row r="2995" spans="1:15" ht="21.75" customHeight="1">
      <c r="A2995" s="517" t="s">
        <v>4628</v>
      </c>
      <c r="B2995" s="518">
        <f>VLOOKUP(A2995,'Materiales '!$C$2:$G$396,3,0)</f>
        <v>4</v>
      </c>
      <c r="C2995" s="88">
        <f>VLOOKUP(A2995,'Materiales '!$C$2:$G$396,3,0)</f>
        <v>4</v>
      </c>
      <c r="D2995" s="89" t="str">
        <f>VLOOKUP(A2995,'Materiales '!$C$2:$G$396,4,0)</f>
        <v>Und</v>
      </c>
      <c r="E2995" s="90">
        <v>1</v>
      </c>
      <c r="F2995" s="508" t="e">
        <f t="shared" si="175"/>
        <v>#VALUE!</v>
      </c>
      <c r="G2995" s="519"/>
      <c r="H2995" s="111"/>
      <c r="I2995">
        <f>E2995*G2979</f>
        <v>0</v>
      </c>
      <c r="J2995" s="58"/>
      <c r="K2995" s="50"/>
      <c r="L2995" s="50"/>
      <c r="M2995" s="50"/>
      <c r="N2995" s="50"/>
      <c r="O2995" s="50"/>
    </row>
    <row r="2996" spans="1:15">
      <c r="A2996" s="517" t="s">
        <v>8</v>
      </c>
      <c r="B2996" s="518">
        <f>VLOOKUP(A2996,'Materiales '!$C$2:$G$396,3,0)</f>
        <v>0</v>
      </c>
      <c r="C2996" s="88">
        <f>VLOOKUP(A2996,'Materiales '!$C$2:$G$396,3,0)</f>
        <v>0</v>
      </c>
      <c r="D2996" s="89" t="str">
        <f>VLOOKUP(A2996,'Materiales '!$C$2:$G$396,4,0)</f>
        <v>-</v>
      </c>
      <c r="E2996" s="90"/>
      <c r="F2996" s="508" t="e">
        <f>E2996*D2996</f>
        <v>#VALUE!</v>
      </c>
      <c r="G2996" s="519"/>
      <c r="H2996" s="110"/>
      <c r="I2996">
        <f>E2996*G2979</f>
        <v>0</v>
      </c>
      <c r="J2996" s="58"/>
      <c r="K2996" s="50"/>
      <c r="L2996" s="50"/>
      <c r="M2996" s="50"/>
      <c r="N2996" s="50"/>
      <c r="O2996" s="50"/>
    </row>
    <row r="2997" spans="1:15">
      <c r="A2997" s="517" t="s">
        <v>8</v>
      </c>
      <c r="B2997" s="518">
        <f>VLOOKUP(A2997,'Materiales '!$C$2:$G$396,3,0)</f>
        <v>0</v>
      </c>
      <c r="C2997" s="88">
        <f>VLOOKUP(A2997,'Materiales '!$C$2:$G$396,3,0)</f>
        <v>0</v>
      </c>
      <c r="D2997" s="89" t="str">
        <f>VLOOKUP(A2997,'Materiales '!$C$2:$G$396,4,0)</f>
        <v>-</v>
      </c>
      <c r="E2997" s="90"/>
      <c r="F2997" s="508" t="e">
        <f t="shared" ref="F2997:F3000" si="176">E2997*D2997</f>
        <v>#VALUE!</v>
      </c>
      <c r="G2997" s="519"/>
      <c r="H2997" s="111"/>
      <c r="I2997">
        <f>E2997*G2979</f>
        <v>0</v>
      </c>
      <c r="J2997" s="58"/>
      <c r="K2997" s="50"/>
      <c r="L2997" s="50"/>
      <c r="M2997" s="50"/>
      <c r="N2997" s="50"/>
      <c r="O2997" s="50"/>
    </row>
    <row r="2998" spans="1:15">
      <c r="A2998" s="517" t="s">
        <v>8</v>
      </c>
      <c r="B2998" s="518">
        <f>VLOOKUP(A2998,'Materiales '!$C$2:$G$396,3,0)</f>
        <v>0</v>
      </c>
      <c r="C2998" s="88">
        <f>VLOOKUP(A2998,'Materiales '!$C$2:$G$396,3,0)</f>
        <v>0</v>
      </c>
      <c r="D2998" s="89" t="str">
        <f>VLOOKUP(A2998,'Materiales '!$C$2:$G$396,4,0)</f>
        <v>-</v>
      </c>
      <c r="E2998" s="90"/>
      <c r="F2998" s="508" t="e">
        <f t="shared" si="176"/>
        <v>#VALUE!</v>
      </c>
      <c r="G2998" s="519"/>
      <c r="H2998" s="111"/>
      <c r="I2998">
        <f>E2998*G2979</f>
        <v>0</v>
      </c>
      <c r="J2998" s="58"/>
      <c r="K2998" s="50"/>
      <c r="L2998" s="50"/>
      <c r="M2998" s="50"/>
      <c r="N2998" s="50"/>
      <c r="O2998" s="50"/>
    </row>
    <row r="2999" spans="1:15">
      <c r="A2999" s="517" t="s">
        <v>8</v>
      </c>
      <c r="B2999" s="518">
        <f>VLOOKUP(A2999,'Materiales '!$C$2:$G$396,3,0)</f>
        <v>0</v>
      </c>
      <c r="C2999" s="88">
        <f>VLOOKUP(A2999,'Materiales '!$C$2:$G$396,3,0)</f>
        <v>0</v>
      </c>
      <c r="D2999" s="89" t="str">
        <f>VLOOKUP(A2999,'Materiales '!$C$2:$G$396,4,0)</f>
        <v>-</v>
      </c>
      <c r="E2999" s="90"/>
      <c r="F2999" s="508" t="e">
        <f t="shared" si="176"/>
        <v>#VALUE!</v>
      </c>
      <c r="G2999" s="519"/>
      <c r="H2999" s="111"/>
      <c r="I2999">
        <f>E2999*G2979</f>
        <v>0</v>
      </c>
      <c r="J2999" s="58"/>
      <c r="K2999" s="50"/>
      <c r="L2999" s="50"/>
      <c r="M2999" s="50"/>
      <c r="N2999" s="50"/>
      <c r="O2999" s="50"/>
    </row>
    <row r="3000" spans="1:15">
      <c r="A3000" s="517" t="s">
        <v>8</v>
      </c>
      <c r="B3000" s="518">
        <f>VLOOKUP(A3000,'Materiales '!$C$2:$G$396,3,0)</f>
        <v>0</v>
      </c>
      <c r="C3000" s="88">
        <f>VLOOKUP(A3000,'Materiales '!$C$2:$G$396,3,0)</f>
        <v>0</v>
      </c>
      <c r="D3000" s="89" t="str">
        <f>VLOOKUP(A3000,'Materiales '!$C$2:$G$396,4,0)</f>
        <v>-</v>
      </c>
      <c r="E3000" s="90"/>
      <c r="F3000" s="508" t="e">
        <f t="shared" si="176"/>
        <v>#VALUE!</v>
      </c>
      <c r="G3000" s="519"/>
      <c r="H3000" s="111"/>
      <c r="I3000">
        <f>E3000*G2979</f>
        <v>0</v>
      </c>
      <c r="J3000" s="58"/>
      <c r="K3000" s="50"/>
      <c r="L3000" s="50"/>
      <c r="M3000" s="50"/>
      <c r="N3000" s="50"/>
      <c r="O3000" s="50"/>
    </row>
    <row r="3001" spans="1:15">
      <c r="A3001" s="517" t="s">
        <v>8</v>
      </c>
      <c r="B3001" s="518">
        <f>VLOOKUP(A3001,'Materiales '!$C$2:$G$396,3,0)</f>
        <v>0</v>
      </c>
      <c r="C3001" s="88">
        <f>VLOOKUP(A3001,'Materiales '!$C$2:$G$396,3,0)</f>
        <v>0</v>
      </c>
      <c r="D3001" s="89" t="str">
        <f>VLOOKUP(A3001,'Materiales '!$C$2:$G$396,4,0)</f>
        <v>-</v>
      </c>
      <c r="E3001" s="90"/>
      <c r="F3001" s="508" t="e">
        <f>E3001*D3001</f>
        <v>#VALUE!</v>
      </c>
      <c r="G3001" s="519"/>
      <c r="H3001" s="110"/>
      <c r="I3001">
        <f>E3001*G2979</f>
        <v>0</v>
      </c>
      <c r="J3001" s="58"/>
      <c r="K3001" s="50"/>
      <c r="L3001" s="50"/>
      <c r="M3001" s="50"/>
      <c r="N3001" s="50"/>
      <c r="O3001" s="50"/>
    </row>
    <row r="3002" spans="1:15">
      <c r="A3002" s="520" t="s">
        <v>4098</v>
      </c>
      <c r="B3002" s="521"/>
      <c r="C3002" s="521"/>
      <c r="D3002" s="521"/>
      <c r="E3002" s="521"/>
      <c r="F3002" s="521"/>
      <c r="G3002" s="522"/>
      <c r="H3002" s="106" t="e">
        <f>SUM(F2988:F3001)</f>
        <v>#VALUE!</v>
      </c>
      <c r="J3002" s="58"/>
      <c r="K3002" s="50"/>
      <c r="L3002" s="50"/>
      <c r="M3002" s="50"/>
      <c r="N3002" s="50"/>
      <c r="O3002" s="50"/>
    </row>
    <row r="3003" spans="1:15">
      <c r="A3003" s="523" t="s">
        <v>4220</v>
      </c>
      <c r="B3003" s="524"/>
      <c r="C3003" s="524"/>
      <c r="D3003" s="524"/>
      <c r="E3003" s="525"/>
      <c r="F3003" s="524"/>
      <c r="G3003" s="524"/>
      <c r="H3003" s="526"/>
      <c r="J3003" s="58"/>
      <c r="K3003" s="50"/>
      <c r="L3003" s="50"/>
      <c r="M3003" s="50"/>
      <c r="N3003" s="50"/>
      <c r="O3003" s="50"/>
    </row>
    <row r="3004" spans="1:15">
      <c r="A3004" s="527" t="s">
        <v>7</v>
      </c>
      <c r="B3004" s="528"/>
      <c r="C3004" s="98" t="s">
        <v>4221</v>
      </c>
      <c r="D3004" s="97" t="s">
        <v>4222</v>
      </c>
      <c r="E3004" s="187" t="s">
        <v>4223</v>
      </c>
      <c r="F3004" s="529" t="s">
        <v>4207</v>
      </c>
      <c r="G3004" s="529"/>
      <c r="H3004" s="109"/>
      <c r="K3004" s="50"/>
      <c r="L3004" s="50"/>
      <c r="M3004" s="50"/>
      <c r="N3004" s="50"/>
      <c r="O3004" s="50"/>
    </row>
    <row r="3005" spans="1:15">
      <c r="A3005" s="506" t="s">
        <v>3928</v>
      </c>
      <c r="B3005" s="507"/>
      <c r="C3005" s="213">
        <v>1</v>
      </c>
      <c r="D3005" s="92">
        <v>0.03</v>
      </c>
      <c r="E3005" s="93" t="str">
        <f>VLOOKUP(A3005,'Equip, Herr y Transp'!$B$2:$E$217,3,0)</f>
        <v>TR</v>
      </c>
      <c r="F3005" s="530" t="e">
        <f>E3005*D3005*C3005</f>
        <v>#VALUE!</v>
      </c>
      <c r="G3005" s="531"/>
      <c r="H3005" s="107"/>
      <c r="M3005" s="50"/>
    </row>
    <row r="3006" spans="1:15">
      <c r="A3006" s="532" t="s">
        <v>4205</v>
      </c>
      <c r="B3006" s="533"/>
      <c r="C3006" s="533"/>
      <c r="D3006" s="533"/>
      <c r="E3006" s="533"/>
      <c r="F3006" s="533"/>
      <c r="G3006" s="533"/>
      <c r="H3006" s="95" t="e">
        <f>F3005</f>
        <v>#VALUE!</v>
      </c>
    </row>
    <row r="3007" spans="1:15">
      <c r="A3007" s="523" t="s">
        <v>4224</v>
      </c>
      <c r="B3007" s="524"/>
      <c r="C3007" s="524"/>
      <c r="D3007" s="524"/>
      <c r="E3007" s="524"/>
      <c r="F3007" s="524"/>
      <c r="G3007" s="524"/>
      <c r="H3007" s="526"/>
    </row>
    <row r="3008" spans="1:15">
      <c r="A3008" s="527" t="s">
        <v>7</v>
      </c>
      <c r="B3008" s="528"/>
      <c r="C3008" s="96" t="s">
        <v>1</v>
      </c>
      <c r="D3008" s="97" t="s">
        <v>4225</v>
      </c>
      <c r="E3008" s="98" t="s">
        <v>4204</v>
      </c>
      <c r="F3008" s="527" t="s">
        <v>5</v>
      </c>
      <c r="G3008" s="534"/>
      <c r="H3008" s="109"/>
    </row>
    <row r="3009" spans="1:10">
      <c r="A3009" s="506" t="s">
        <v>4191</v>
      </c>
      <c r="B3009" s="507"/>
      <c r="C3009" s="91">
        <v>1</v>
      </c>
      <c r="D3009" s="94">
        <f>VLOOKUP(A3009,'Mano Obra'!$B$2:$T$117,19,0)</f>
        <v>152456</v>
      </c>
      <c r="E3009" s="218">
        <f>H2972</f>
        <v>6.25E-2</v>
      </c>
      <c r="F3009" s="508">
        <f>E3009*D3009*C3009</f>
        <v>9528.5</v>
      </c>
      <c r="G3009" s="509"/>
      <c r="H3009" s="111"/>
      <c r="I3009" s="59"/>
      <c r="J3009" s="117">
        <f>((('Mano Obra'!$M$4/30)*F3009)/D3009)*G2979</f>
        <v>0</v>
      </c>
    </row>
    <row r="3010" spans="1:10">
      <c r="A3010" s="510" t="s">
        <v>4192</v>
      </c>
      <c r="B3010" s="511">
        <f>VLOOKUP(A3010,'Mano Obra'!$B$3:$D$290,2,0)</f>
        <v>1900000</v>
      </c>
      <c r="C3010" s="91">
        <v>1</v>
      </c>
      <c r="D3010" s="94">
        <f>VLOOKUP(A3010,'Mano Obra'!$B$2:$T$117,19,0)</f>
        <v>110488</v>
      </c>
      <c r="E3010" s="218">
        <f>H2972</f>
        <v>6.25E-2</v>
      </c>
      <c r="F3010" s="508">
        <f t="shared" ref="F3010:F3011" si="177">E3010*D3010*C3010</f>
        <v>6905.5</v>
      </c>
      <c r="G3010" s="509"/>
      <c r="H3010" s="111"/>
      <c r="J3010" s="117">
        <f>((('Mano Obra'!$M$5/30)*F3010)/D3010)*G2979</f>
        <v>0</v>
      </c>
    </row>
    <row r="3011" spans="1:10">
      <c r="A3011" s="510" t="s">
        <v>4181</v>
      </c>
      <c r="B3011" s="511">
        <f>VLOOKUP(A3011,'Mano Obra'!$B$3:$D$290,2,0)</f>
        <v>1000000</v>
      </c>
      <c r="C3011" s="91">
        <v>1</v>
      </c>
      <c r="D3011" s="94">
        <f>VLOOKUP(A3011,'Mano Obra'!$B$2:$T$117,19,0)</f>
        <v>67424</v>
      </c>
      <c r="E3011" s="218">
        <f>H2972</f>
        <v>6.25E-2</v>
      </c>
      <c r="F3011" s="508">
        <f t="shared" si="177"/>
        <v>4214</v>
      </c>
      <c r="G3011" s="509"/>
      <c r="H3011" s="110"/>
      <c r="J3011" s="117">
        <f>((('Mano Obra'!$M$6/30)*F3011)/D3011)*G2979</f>
        <v>0</v>
      </c>
    </row>
    <row r="3012" spans="1:10">
      <c r="A3012" s="512" t="s">
        <v>4100</v>
      </c>
      <c r="B3012" s="512"/>
      <c r="C3012" s="512"/>
      <c r="D3012" s="512"/>
      <c r="E3012" s="512"/>
      <c r="F3012" s="512"/>
      <c r="G3012" s="512"/>
      <c r="H3012" s="95">
        <f>SUM(F3009:F3011)</f>
        <v>20648</v>
      </c>
      <c r="J3012" s="117"/>
    </row>
    <row r="3013" spans="1:10">
      <c r="A3013" s="208" t="s">
        <v>4226</v>
      </c>
      <c r="B3013" s="186"/>
      <c r="C3013" s="186"/>
      <c r="D3013" s="183"/>
      <c r="E3013" s="184"/>
      <c r="F3013" s="185"/>
      <c r="G3013" s="184"/>
      <c r="H3013" s="193"/>
    </row>
    <row r="3014" spans="1:10">
      <c r="A3014" s="513" t="s">
        <v>4213</v>
      </c>
      <c r="B3014" s="514"/>
      <c r="C3014" s="514"/>
      <c r="D3014" s="514"/>
      <c r="E3014" s="181"/>
      <c r="F3014" s="182" t="s">
        <v>4227</v>
      </c>
      <c r="G3014" s="181" t="s">
        <v>4228</v>
      </c>
      <c r="H3014" s="194"/>
    </row>
    <row r="3015" spans="1:10">
      <c r="A3015" s="204" t="s">
        <v>4096</v>
      </c>
      <c r="B3015" s="62"/>
      <c r="C3015" s="62"/>
      <c r="D3015" s="63"/>
      <c r="E3015" s="68"/>
      <c r="F3015" s="69">
        <v>0</v>
      </c>
      <c r="G3015" s="70" t="e">
        <f>F3015*H2980</f>
        <v>#VALUE!</v>
      </c>
      <c r="H3015" s="193"/>
    </row>
    <row r="3016" spans="1:10">
      <c r="A3016" s="205" t="s">
        <v>4229</v>
      </c>
      <c r="B3016" s="71"/>
      <c r="C3016" s="71"/>
      <c r="D3016" s="72"/>
      <c r="E3016" s="68"/>
      <c r="F3016" s="69">
        <v>0</v>
      </c>
      <c r="G3016" s="70" t="e">
        <f>F3016*H2980</f>
        <v>#VALUE!</v>
      </c>
      <c r="H3016" s="193"/>
    </row>
    <row r="3017" spans="1:10">
      <c r="A3017" s="205" t="s">
        <v>4</v>
      </c>
      <c r="B3017" s="71"/>
      <c r="C3017" s="71"/>
      <c r="D3017" s="72"/>
      <c r="E3017" s="68"/>
      <c r="F3017" s="69">
        <v>0</v>
      </c>
      <c r="G3017" s="70" t="e">
        <f>F3017*H2980</f>
        <v>#VALUE!</v>
      </c>
      <c r="H3017" s="193"/>
    </row>
    <row r="3018" spans="1:10">
      <c r="A3018" s="206"/>
      <c r="B3018" s="73"/>
      <c r="C3018" s="65"/>
      <c r="D3018" s="74"/>
      <c r="E3018" s="75"/>
      <c r="F3018" s="76"/>
      <c r="G3018" s="77"/>
      <c r="H3018" s="195"/>
    </row>
    <row r="3019" spans="1:10">
      <c r="A3019" s="207"/>
      <c r="B3019" s="73"/>
      <c r="C3019" s="73"/>
      <c r="D3019" s="74"/>
      <c r="E3019" s="78"/>
      <c r="F3019" s="515" t="s">
        <v>4230</v>
      </c>
      <c r="G3019" s="516"/>
      <c r="H3019" s="214" t="e">
        <f>H2980+G3015+G3016+G3017</f>
        <v>#VALUE!</v>
      </c>
    </row>
    <row r="3020" spans="1:10">
      <c r="A3020" s="73"/>
      <c r="B3020" s="73"/>
      <c r="C3020" s="73"/>
      <c r="D3020" s="74"/>
      <c r="E3020" s="360"/>
      <c r="F3020" s="361"/>
      <c r="G3020" s="361"/>
      <c r="H3020" s="362"/>
    </row>
    <row r="3021" spans="1:10">
      <c r="A3021" s="80"/>
      <c r="B3021" s="80"/>
      <c r="C3021" s="80"/>
      <c r="D3021" s="80"/>
      <c r="E3021" s="80"/>
      <c r="F3021" s="80"/>
      <c r="G3021" s="80"/>
      <c r="H3021" s="353"/>
    </row>
    <row r="3022" spans="1:10">
      <c r="A3022" s="537" t="s">
        <v>4214</v>
      </c>
      <c r="B3022" s="538"/>
      <c r="C3022" s="538"/>
      <c r="D3022" s="538"/>
      <c r="E3022" s="538"/>
      <c r="F3022" s="538"/>
      <c r="G3022" s="538"/>
      <c r="H3022" s="539"/>
    </row>
    <row r="3023" spans="1:10">
      <c r="A3023" s="81"/>
      <c r="B3023" s="82"/>
      <c r="C3023" s="82"/>
      <c r="D3023" s="82"/>
      <c r="E3023" s="82"/>
      <c r="F3023" s="83"/>
      <c r="G3023" s="84"/>
      <c r="H3023" s="352">
        <f>ROUND((30/60)/8,4)</f>
        <v>6.25E-2</v>
      </c>
      <c r="I3023" s="105"/>
    </row>
    <row r="3024" spans="1:10">
      <c r="A3024" s="540" t="s">
        <v>4209</v>
      </c>
      <c r="B3024" s="542" t="str">
        <f>COSTOS!$C$14</f>
        <v>MODERNIZACION A TECNOLOGIA LED</v>
      </c>
      <c r="C3024" s="542"/>
      <c r="D3024" s="542"/>
      <c r="E3024" s="542"/>
      <c r="F3024" s="542"/>
      <c r="G3024" s="542"/>
      <c r="H3024" s="543" t="s">
        <v>4210</v>
      </c>
    </row>
    <row r="3025" spans="1:15">
      <c r="A3025" s="541"/>
      <c r="B3025" s="542"/>
      <c r="C3025" s="542"/>
      <c r="D3025" s="542"/>
      <c r="E3025" s="542"/>
      <c r="F3025" s="542"/>
      <c r="G3025" s="542"/>
      <c r="H3025" s="543"/>
    </row>
    <row r="3026" spans="1:15">
      <c r="A3026" s="541"/>
      <c r="B3026" s="542"/>
      <c r="C3026" s="542"/>
      <c r="D3026" s="542"/>
      <c r="E3026" s="542"/>
      <c r="F3026" s="542"/>
      <c r="G3026" s="542"/>
      <c r="H3026" s="543"/>
    </row>
    <row r="3027" spans="1:15" ht="15" customHeight="1">
      <c r="A3027" s="541"/>
      <c r="B3027" s="542"/>
      <c r="C3027" s="542"/>
      <c r="D3027" s="542"/>
      <c r="E3027" s="542"/>
      <c r="F3027" s="542"/>
      <c r="G3027" s="542"/>
      <c r="H3027" s="197">
        <f ca="1">TODAY()</f>
        <v>44889</v>
      </c>
      <c r="K3027" t="s">
        <v>4380</v>
      </c>
      <c r="L3027" t="s">
        <v>4381</v>
      </c>
      <c r="M3027" t="s">
        <v>4382</v>
      </c>
      <c r="N3027" t="s">
        <v>4383</v>
      </c>
    </row>
    <row r="3028" spans="1:15" ht="60.75" customHeight="1">
      <c r="A3028" s="209" t="s">
        <v>4211</v>
      </c>
      <c r="B3028" s="544" t="str">
        <f>COSTOS!$D$16</f>
        <v>Luminarias</v>
      </c>
      <c r="C3028" s="544"/>
      <c r="D3028" s="544"/>
      <c r="E3028" s="544"/>
      <c r="F3028" s="544"/>
      <c r="G3028" s="60" t="s">
        <v>4212</v>
      </c>
      <c r="H3028" s="363" t="s">
        <v>4764</v>
      </c>
      <c r="K3028" s="55" t="e">
        <f>H3053</f>
        <v>#VALUE!</v>
      </c>
      <c r="L3028" s="55">
        <f>H3063</f>
        <v>20648</v>
      </c>
      <c r="M3028" s="55" t="e">
        <f>H3036</f>
        <v>#VALUE!</v>
      </c>
      <c r="N3028" s="55" t="e">
        <f>H3057</f>
        <v>#VALUE!</v>
      </c>
    </row>
    <row r="3029" spans="1:15" ht="43.2" customHeight="1">
      <c r="A3029" s="210" t="s">
        <v>4213</v>
      </c>
      <c r="B3029" s="545" t="str">
        <f>VLOOKUP(H3028,COSTOS!C:M,2,0)</f>
        <v>Luminaria Led 120w monoff</v>
      </c>
      <c r="C3029" s="546"/>
      <c r="D3029" s="546"/>
      <c r="E3029" s="547"/>
      <c r="F3029" s="61" t="s">
        <v>0</v>
      </c>
      <c r="G3029" s="328" t="str">
        <f>VLOOKUP(H3028,COSTOS!C:M,8,0)</f>
        <v>Und</v>
      </c>
      <c r="H3029" s="248"/>
      <c r="I3029" s="278"/>
      <c r="J3029" s="280"/>
      <c r="K3029" s="280"/>
      <c r="L3029" s="280"/>
    </row>
    <row r="3030" spans="1:15">
      <c r="A3030" s="211"/>
      <c r="B3030" s="102"/>
      <c r="C3030" s="102"/>
      <c r="D3030" s="102"/>
      <c r="E3030" s="103"/>
      <c r="F3030" s="104" t="s">
        <v>1</v>
      </c>
      <c r="G3030" s="328">
        <f>VLOOKUP(H3028,COSTOS!C:M,9,0)</f>
        <v>0</v>
      </c>
      <c r="H3030" s="329"/>
      <c r="I3030" s="279"/>
    </row>
    <row r="3031" spans="1:15">
      <c r="A3031" s="212" t="s">
        <v>4215</v>
      </c>
      <c r="B3031" s="65"/>
      <c r="C3031" s="65"/>
      <c r="D3031" s="66"/>
      <c r="E3031" s="190"/>
      <c r="F3031" s="191"/>
      <c r="G3031" s="192" t="s">
        <v>4216</v>
      </c>
      <c r="H3031" s="198" t="e">
        <f>H3036+H3053+H3057+H3063</f>
        <v>#VALUE!</v>
      </c>
    </row>
    <row r="3032" spans="1:15" ht="41.4">
      <c r="A3032" s="548" t="s">
        <v>4213</v>
      </c>
      <c r="B3032" s="548"/>
      <c r="C3032" s="548"/>
      <c r="D3032" s="67" t="s">
        <v>0</v>
      </c>
      <c r="E3032" s="188" t="s">
        <v>4217</v>
      </c>
      <c r="F3032" s="189" t="s">
        <v>4204</v>
      </c>
      <c r="G3032" s="64" t="s">
        <v>2</v>
      </c>
      <c r="H3032" s="199" t="s">
        <v>4218</v>
      </c>
      <c r="K3032" s="281"/>
    </row>
    <row r="3033" spans="1:15">
      <c r="A3033" s="517" t="s">
        <v>3946</v>
      </c>
      <c r="B3033" s="549">
        <f>VLOOKUP(A3033,'Equip, Herr y Transp'!$B$2:$E$738,2,0)</f>
        <v>2</v>
      </c>
      <c r="C3033" s="549"/>
      <c r="D3033" s="85">
        <f>VLOOKUP(A3033,'Equip, Herr y Transp'!$B$2:$E$217,2,0)</f>
        <v>2</v>
      </c>
      <c r="E3033" s="85" t="str">
        <f>VLOOKUP(A3033,'Equip, Herr y Transp'!$B$2:$E$217,3,0)</f>
        <v>EQU</v>
      </c>
      <c r="F3033" s="86">
        <f>H3023</f>
        <v>6.25E-2</v>
      </c>
      <c r="G3033" s="112" t="e">
        <f>F3033*E3033</f>
        <v>#VALUE!</v>
      </c>
      <c r="H3033" s="108"/>
    </row>
    <row r="3034" spans="1:15">
      <c r="A3034" s="517" t="s">
        <v>3904</v>
      </c>
      <c r="B3034" s="549">
        <f>VLOOKUP(A3034,'Equip, Herr y Transp'!$B$2:$E$738,2,0)</f>
        <v>2</v>
      </c>
      <c r="C3034" s="549"/>
      <c r="D3034" s="85">
        <f>VLOOKUP(A3034,'Equip, Herr y Transp'!$B$2:$E$217,2,0)</f>
        <v>2</v>
      </c>
      <c r="E3034" s="85" t="str">
        <f>VLOOKUP(A3034,'Equip, Herr y Transp'!$B$2:$E$217,3,0)</f>
        <v>EQU</v>
      </c>
      <c r="F3034" s="86">
        <f>H3023</f>
        <v>6.25E-2</v>
      </c>
      <c r="G3034" s="112" t="e">
        <f>F3034*E3034</f>
        <v>#VALUE!</v>
      </c>
      <c r="H3034" s="107"/>
    </row>
    <row r="3035" spans="1:15">
      <c r="A3035" s="517" t="s">
        <v>3937</v>
      </c>
      <c r="B3035" s="549">
        <f>VLOOKUP(A3035,'Equip, Herr y Transp'!$B$2:$E$738,2,0)</f>
        <v>2</v>
      </c>
      <c r="C3035" s="549"/>
      <c r="D3035" s="85">
        <f>VLOOKUP(A3035,'Equip, Herr y Transp'!$B$2:$E$217,2,0)</f>
        <v>2</v>
      </c>
      <c r="E3035" s="85" t="str">
        <f>VLOOKUP(A3035,'Equip, Herr y Transp'!$B$2:$E$217,3,0)</f>
        <v>EQU</v>
      </c>
      <c r="F3035" s="86">
        <f>H3023</f>
        <v>6.25E-2</v>
      </c>
      <c r="G3035" s="112" t="e">
        <f>F3035*E3035</f>
        <v>#VALUE!</v>
      </c>
      <c r="H3035" s="107"/>
    </row>
    <row r="3036" spans="1:15">
      <c r="A3036" s="520" t="s">
        <v>4099</v>
      </c>
      <c r="B3036" s="521"/>
      <c r="C3036" s="521"/>
      <c r="D3036" s="521"/>
      <c r="E3036" s="521"/>
      <c r="F3036" s="521"/>
      <c r="G3036" s="521"/>
      <c r="H3036" s="87" t="e">
        <f>SUM(G3033:G3035)</f>
        <v>#VALUE!</v>
      </c>
    </row>
    <row r="3037" spans="1:15">
      <c r="A3037" s="550" t="s">
        <v>4219</v>
      </c>
      <c r="B3037" s="551"/>
      <c r="C3037" s="551"/>
      <c r="D3037" s="551"/>
      <c r="E3037" s="551"/>
      <c r="F3037" s="551"/>
      <c r="G3037" s="551"/>
      <c r="H3037" s="552"/>
      <c r="K3037" s="50"/>
      <c r="L3037" s="50"/>
      <c r="M3037" s="50"/>
      <c r="N3037" s="50"/>
      <c r="O3037" s="50"/>
    </row>
    <row r="3038" spans="1:15" ht="30" customHeight="1">
      <c r="A3038" s="553" t="s">
        <v>7</v>
      </c>
      <c r="B3038" s="554"/>
      <c r="C3038" s="99" t="s">
        <v>0</v>
      </c>
      <c r="D3038" s="100" t="s">
        <v>4097</v>
      </c>
      <c r="E3038" s="101" t="s">
        <v>1</v>
      </c>
      <c r="F3038" s="555" t="s">
        <v>4207</v>
      </c>
      <c r="G3038" s="555"/>
      <c r="H3038" s="196"/>
      <c r="K3038" s="50"/>
      <c r="L3038" s="50"/>
      <c r="M3038" s="50"/>
      <c r="N3038" s="50"/>
      <c r="O3038" s="50"/>
    </row>
    <row r="3039" spans="1:15">
      <c r="A3039" s="535" t="s">
        <v>4759</v>
      </c>
      <c r="B3039" s="536"/>
      <c r="C3039" s="88">
        <f>VLOOKUP(A3039,'Materiales '!$C$2:$G$396,3,0)</f>
        <v>4</v>
      </c>
      <c r="D3039" s="89" t="str">
        <f>VLOOKUP(A3039,'Materiales '!$C$2:$G$396,4,0)</f>
        <v>Und</v>
      </c>
      <c r="E3039" s="90">
        <v>1</v>
      </c>
      <c r="F3039" s="508" t="e">
        <f>E3039*D3039</f>
        <v>#VALUE!</v>
      </c>
      <c r="G3039" s="519"/>
      <c r="H3039" s="111"/>
      <c r="I3039">
        <f>E3039*G3030</f>
        <v>0</v>
      </c>
      <c r="J3039" s="57"/>
      <c r="K3039" s="50"/>
      <c r="L3039" s="50"/>
      <c r="M3039" s="50"/>
      <c r="N3039" s="50"/>
      <c r="O3039" s="50"/>
    </row>
    <row r="3040" spans="1:15">
      <c r="A3040" s="535" t="s">
        <v>4203</v>
      </c>
      <c r="B3040" s="536"/>
      <c r="C3040" s="88">
        <f>VLOOKUP(A3040,'Materiales '!$C$2:$G$396,3,0)</f>
        <v>4</v>
      </c>
      <c r="D3040" s="89" t="str">
        <f>VLOOKUP(A3040,'Materiales '!$C$2:$G$396,4,0)</f>
        <v>Und</v>
      </c>
      <c r="E3040" s="90">
        <v>1</v>
      </c>
      <c r="F3040" s="508" t="e">
        <f t="shared" ref="F3040:F3046" si="178">E3040*D3040</f>
        <v>#VALUE!</v>
      </c>
      <c r="G3040" s="519"/>
      <c r="H3040" s="111"/>
      <c r="I3040">
        <f>E3040*G3030</f>
        <v>0</v>
      </c>
      <c r="J3040" s="57"/>
      <c r="K3040" s="50"/>
      <c r="L3040" s="50"/>
      <c r="M3040" s="50"/>
      <c r="N3040" s="50"/>
      <c r="O3040" s="50"/>
    </row>
    <row r="3041" spans="1:15">
      <c r="A3041" s="517" t="s">
        <v>4473</v>
      </c>
      <c r="B3041" s="518">
        <f>VLOOKUP(A3041,'Materiales '!$C$2:$G$396,3,0)</f>
        <v>4</v>
      </c>
      <c r="C3041" s="88">
        <f>VLOOKUP(A3041,'Materiales '!$C$2:$G$396,3,0)</f>
        <v>4</v>
      </c>
      <c r="D3041" s="89" t="str">
        <f>VLOOKUP(A3041,'Materiales '!$C$2:$G$396,4,0)</f>
        <v>Und</v>
      </c>
      <c r="E3041" s="90">
        <v>2</v>
      </c>
      <c r="F3041" s="508" t="e">
        <f t="shared" si="178"/>
        <v>#VALUE!</v>
      </c>
      <c r="G3041" s="519"/>
      <c r="H3041" s="111"/>
      <c r="I3041">
        <f>E3041*G3030</f>
        <v>0</v>
      </c>
      <c r="J3041" s="58"/>
      <c r="K3041" s="50"/>
      <c r="L3041" s="50"/>
      <c r="M3041" s="50"/>
      <c r="N3041" s="50"/>
      <c r="O3041" s="50"/>
    </row>
    <row r="3042" spans="1:15">
      <c r="A3042" s="517" t="s">
        <v>4478</v>
      </c>
      <c r="B3042" s="518">
        <f>VLOOKUP(A3042,'Materiales '!$C$2:$G$396,3,0)</f>
        <v>4</v>
      </c>
      <c r="C3042" s="88">
        <f>VLOOKUP(A3042,'Materiales '!$C$2:$G$396,3,0)</f>
        <v>4</v>
      </c>
      <c r="D3042" s="89" t="str">
        <f>VLOOKUP(A3042,'Materiales '!$C$2:$G$396,4,0)</f>
        <v>Und</v>
      </c>
      <c r="E3042" s="90">
        <v>3</v>
      </c>
      <c r="F3042" s="508" t="e">
        <f t="shared" si="178"/>
        <v>#VALUE!</v>
      </c>
      <c r="G3042" s="519"/>
      <c r="H3042" s="111"/>
      <c r="I3042">
        <f>E3042*G3030</f>
        <v>0</v>
      </c>
      <c r="J3042" s="58"/>
      <c r="K3042" s="50"/>
      <c r="L3042" s="50"/>
      <c r="M3042" s="50"/>
      <c r="N3042" s="50"/>
      <c r="O3042" s="50"/>
    </row>
    <row r="3043" spans="1:15">
      <c r="A3043" s="517" t="s">
        <v>4543</v>
      </c>
      <c r="B3043" s="518">
        <f>VLOOKUP(A3043,'Materiales '!$C$2:$G$396,3,0)</f>
        <v>4</v>
      </c>
      <c r="C3043" s="88">
        <f>VLOOKUP(A3043,'Materiales '!$C$2:$G$396,3,0)</f>
        <v>4</v>
      </c>
      <c r="D3043" s="89" t="str">
        <f>VLOOKUP(A3043,'Materiales '!$C$2:$G$396,4,0)</f>
        <v>Und</v>
      </c>
      <c r="E3043" s="90">
        <v>2</v>
      </c>
      <c r="F3043" s="508" t="e">
        <f t="shared" si="178"/>
        <v>#VALUE!</v>
      </c>
      <c r="G3043" s="519"/>
      <c r="H3043" s="111"/>
      <c r="I3043">
        <f>E3043*G3030</f>
        <v>0</v>
      </c>
      <c r="J3043" s="58"/>
      <c r="K3043" s="50"/>
      <c r="L3043" s="50"/>
      <c r="M3043" s="50"/>
      <c r="N3043" s="50"/>
      <c r="O3043" s="50"/>
    </row>
    <row r="3044" spans="1:15">
      <c r="A3044" s="517" t="s">
        <v>4439</v>
      </c>
      <c r="B3044" s="518">
        <f>VLOOKUP(A3044,'Materiales '!$C$2:$G$396,3,0)</f>
        <v>2</v>
      </c>
      <c r="C3044" s="88">
        <f>VLOOKUP(A3044,'Materiales '!$C$2:$G$396,3,0)</f>
        <v>2</v>
      </c>
      <c r="D3044" s="89" t="str">
        <f>VLOOKUP(A3044,'Materiales '!$C$2:$G$396,4,0)</f>
        <v>Ml</v>
      </c>
      <c r="E3044" s="90">
        <v>1</v>
      </c>
      <c r="F3044" s="508" t="e">
        <f t="shared" si="178"/>
        <v>#VALUE!</v>
      </c>
      <c r="G3044" s="519"/>
      <c r="H3044" s="111"/>
      <c r="I3044">
        <f>E3044*G3030</f>
        <v>0</v>
      </c>
      <c r="J3044" s="58"/>
      <c r="K3044" s="50"/>
      <c r="L3044" s="50"/>
      <c r="M3044" s="50"/>
      <c r="N3044" s="50"/>
      <c r="O3044" s="50"/>
    </row>
    <row r="3045" spans="1:15">
      <c r="A3045" s="517" t="s">
        <v>4482</v>
      </c>
      <c r="B3045" s="518">
        <f>VLOOKUP(A3045,'Materiales '!$C$2:$G$396,3,0)</f>
        <v>4</v>
      </c>
      <c r="C3045" s="88">
        <f>VLOOKUP(A3045,'Materiales '!$C$2:$G$396,3,0)</f>
        <v>4</v>
      </c>
      <c r="D3045" s="89" t="str">
        <f>VLOOKUP(A3045,'Materiales '!$C$2:$G$396,4,0)</f>
        <v>Und</v>
      </c>
      <c r="E3045" s="90">
        <v>3</v>
      </c>
      <c r="F3045" s="508" t="e">
        <f t="shared" si="178"/>
        <v>#VALUE!</v>
      </c>
      <c r="G3045" s="519"/>
      <c r="H3045" s="111"/>
      <c r="I3045">
        <f>E3045*G3030</f>
        <v>0</v>
      </c>
      <c r="J3045" s="58"/>
      <c r="K3045" s="50"/>
      <c r="L3045" s="50"/>
      <c r="M3045" s="50"/>
      <c r="N3045" s="50"/>
      <c r="O3045" s="50"/>
    </row>
    <row r="3046" spans="1:15" ht="21.75" customHeight="1">
      <c r="A3046" s="517" t="s">
        <v>4628</v>
      </c>
      <c r="B3046" s="518">
        <f>VLOOKUP(A3046,'Materiales '!$C$2:$G$396,3,0)</f>
        <v>4</v>
      </c>
      <c r="C3046" s="88">
        <f>VLOOKUP(A3046,'Materiales '!$C$2:$G$396,3,0)</f>
        <v>4</v>
      </c>
      <c r="D3046" s="89" t="str">
        <f>VLOOKUP(A3046,'Materiales '!$C$2:$G$396,4,0)</f>
        <v>Und</v>
      </c>
      <c r="E3046" s="90">
        <v>1</v>
      </c>
      <c r="F3046" s="508" t="e">
        <f t="shared" si="178"/>
        <v>#VALUE!</v>
      </c>
      <c r="G3046" s="519"/>
      <c r="H3046" s="111"/>
      <c r="I3046">
        <f>E3046*G3030</f>
        <v>0</v>
      </c>
      <c r="J3046" s="58"/>
      <c r="K3046" s="50"/>
      <c r="L3046" s="50"/>
      <c r="M3046" s="50"/>
      <c r="N3046" s="50"/>
      <c r="O3046" s="50"/>
    </row>
    <row r="3047" spans="1:15">
      <c r="A3047" s="517" t="s">
        <v>8</v>
      </c>
      <c r="B3047" s="518">
        <f>VLOOKUP(A3047,'Materiales '!$C$2:$G$396,3,0)</f>
        <v>0</v>
      </c>
      <c r="C3047" s="88">
        <f>VLOOKUP(A3047,'Materiales '!$C$2:$G$396,3,0)</f>
        <v>0</v>
      </c>
      <c r="D3047" s="89" t="str">
        <f>VLOOKUP(A3047,'Materiales '!$C$2:$G$396,4,0)</f>
        <v>-</v>
      </c>
      <c r="E3047" s="90"/>
      <c r="F3047" s="508" t="e">
        <f>E3047*D3047</f>
        <v>#VALUE!</v>
      </c>
      <c r="G3047" s="519"/>
      <c r="H3047" s="110"/>
      <c r="I3047">
        <f>E3047*G3030</f>
        <v>0</v>
      </c>
      <c r="J3047" s="58"/>
      <c r="K3047" s="50"/>
      <c r="L3047" s="50"/>
      <c r="M3047" s="50"/>
      <c r="N3047" s="50"/>
      <c r="O3047" s="50"/>
    </row>
    <row r="3048" spans="1:15">
      <c r="A3048" s="517" t="s">
        <v>8</v>
      </c>
      <c r="B3048" s="518">
        <f>VLOOKUP(A3048,'Materiales '!$C$2:$G$396,3,0)</f>
        <v>0</v>
      </c>
      <c r="C3048" s="88">
        <f>VLOOKUP(A3048,'Materiales '!$C$2:$G$396,3,0)</f>
        <v>0</v>
      </c>
      <c r="D3048" s="89" t="str">
        <f>VLOOKUP(A3048,'Materiales '!$C$2:$G$396,4,0)</f>
        <v>-</v>
      </c>
      <c r="E3048" s="90"/>
      <c r="F3048" s="508" t="e">
        <f t="shared" ref="F3048:F3051" si="179">E3048*D3048</f>
        <v>#VALUE!</v>
      </c>
      <c r="G3048" s="519"/>
      <c r="H3048" s="111"/>
      <c r="I3048">
        <f>E3048*G3030</f>
        <v>0</v>
      </c>
      <c r="J3048" s="58"/>
      <c r="K3048" s="50"/>
      <c r="L3048" s="50"/>
      <c r="M3048" s="50"/>
      <c r="N3048" s="50"/>
      <c r="O3048" s="50"/>
    </row>
    <row r="3049" spans="1:15">
      <c r="A3049" s="517" t="s">
        <v>8</v>
      </c>
      <c r="B3049" s="518">
        <f>VLOOKUP(A3049,'Materiales '!$C$2:$G$396,3,0)</f>
        <v>0</v>
      </c>
      <c r="C3049" s="88">
        <f>VLOOKUP(A3049,'Materiales '!$C$2:$G$396,3,0)</f>
        <v>0</v>
      </c>
      <c r="D3049" s="89" t="str">
        <f>VLOOKUP(A3049,'Materiales '!$C$2:$G$396,4,0)</f>
        <v>-</v>
      </c>
      <c r="E3049" s="90"/>
      <c r="F3049" s="508" t="e">
        <f t="shared" si="179"/>
        <v>#VALUE!</v>
      </c>
      <c r="G3049" s="519"/>
      <c r="H3049" s="111"/>
      <c r="I3049">
        <f>E3049*G3030</f>
        <v>0</v>
      </c>
      <c r="J3049" s="58"/>
      <c r="K3049" s="50"/>
      <c r="L3049" s="50"/>
      <c r="M3049" s="50"/>
      <c r="N3049" s="50"/>
      <c r="O3049" s="50"/>
    </row>
    <row r="3050" spans="1:15">
      <c r="A3050" s="517" t="s">
        <v>8</v>
      </c>
      <c r="B3050" s="518">
        <f>VLOOKUP(A3050,'Materiales '!$C$2:$G$396,3,0)</f>
        <v>0</v>
      </c>
      <c r="C3050" s="88">
        <f>VLOOKUP(A3050,'Materiales '!$C$2:$G$396,3,0)</f>
        <v>0</v>
      </c>
      <c r="D3050" s="89" t="str">
        <f>VLOOKUP(A3050,'Materiales '!$C$2:$G$396,4,0)</f>
        <v>-</v>
      </c>
      <c r="E3050" s="90"/>
      <c r="F3050" s="508" t="e">
        <f t="shared" si="179"/>
        <v>#VALUE!</v>
      </c>
      <c r="G3050" s="519"/>
      <c r="H3050" s="111"/>
      <c r="I3050">
        <f>E3050*G3030</f>
        <v>0</v>
      </c>
      <c r="J3050" s="58"/>
      <c r="K3050" s="50"/>
      <c r="L3050" s="50"/>
      <c r="M3050" s="50"/>
      <c r="N3050" s="50"/>
      <c r="O3050" s="50"/>
    </row>
    <row r="3051" spans="1:15">
      <c r="A3051" s="517" t="s">
        <v>8</v>
      </c>
      <c r="B3051" s="518">
        <f>VLOOKUP(A3051,'Materiales '!$C$2:$G$396,3,0)</f>
        <v>0</v>
      </c>
      <c r="C3051" s="88">
        <f>VLOOKUP(A3051,'Materiales '!$C$2:$G$396,3,0)</f>
        <v>0</v>
      </c>
      <c r="D3051" s="89" t="str">
        <f>VLOOKUP(A3051,'Materiales '!$C$2:$G$396,4,0)</f>
        <v>-</v>
      </c>
      <c r="E3051" s="90"/>
      <c r="F3051" s="508" t="e">
        <f t="shared" si="179"/>
        <v>#VALUE!</v>
      </c>
      <c r="G3051" s="519"/>
      <c r="H3051" s="111"/>
      <c r="I3051">
        <f>E3051*G3030</f>
        <v>0</v>
      </c>
      <c r="J3051" s="58"/>
      <c r="K3051" s="50"/>
      <c r="L3051" s="50"/>
      <c r="M3051" s="50"/>
      <c r="N3051" s="50"/>
      <c r="O3051" s="50"/>
    </row>
    <row r="3052" spans="1:15">
      <c r="A3052" s="517" t="s">
        <v>8</v>
      </c>
      <c r="B3052" s="518">
        <f>VLOOKUP(A3052,'Materiales '!$C$2:$G$396,3,0)</f>
        <v>0</v>
      </c>
      <c r="C3052" s="88">
        <f>VLOOKUP(A3052,'Materiales '!$C$2:$G$396,3,0)</f>
        <v>0</v>
      </c>
      <c r="D3052" s="89" t="str">
        <f>VLOOKUP(A3052,'Materiales '!$C$2:$G$396,4,0)</f>
        <v>-</v>
      </c>
      <c r="E3052" s="90"/>
      <c r="F3052" s="508" t="e">
        <f>E3052*D3052</f>
        <v>#VALUE!</v>
      </c>
      <c r="G3052" s="519"/>
      <c r="H3052" s="110"/>
      <c r="I3052">
        <f>E3052*G3030</f>
        <v>0</v>
      </c>
      <c r="J3052" s="58"/>
      <c r="K3052" s="50"/>
      <c r="L3052" s="50"/>
      <c r="M3052" s="50"/>
      <c r="N3052" s="50"/>
      <c r="O3052" s="50"/>
    </row>
    <row r="3053" spans="1:15">
      <c r="A3053" s="520" t="s">
        <v>4098</v>
      </c>
      <c r="B3053" s="521"/>
      <c r="C3053" s="521"/>
      <c r="D3053" s="521"/>
      <c r="E3053" s="521"/>
      <c r="F3053" s="521"/>
      <c r="G3053" s="522"/>
      <c r="H3053" s="106" t="e">
        <f>SUM(F3039:F3052)</f>
        <v>#VALUE!</v>
      </c>
      <c r="J3053" s="58"/>
      <c r="K3053" s="50"/>
      <c r="L3053" s="50"/>
      <c r="M3053" s="50"/>
      <c r="N3053" s="50"/>
      <c r="O3053" s="50"/>
    </row>
    <row r="3054" spans="1:15">
      <c r="A3054" s="523" t="s">
        <v>4220</v>
      </c>
      <c r="B3054" s="524"/>
      <c r="C3054" s="524"/>
      <c r="D3054" s="524"/>
      <c r="E3054" s="525"/>
      <c r="F3054" s="524"/>
      <c r="G3054" s="524"/>
      <c r="H3054" s="526"/>
      <c r="J3054" s="58"/>
      <c r="K3054" s="50"/>
      <c r="L3054" s="50"/>
      <c r="M3054" s="50"/>
      <c r="N3054" s="50"/>
      <c r="O3054" s="50"/>
    </row>
    <row r="3055" spans="1:15">
      <c r="A3055" s="527" t="s">
        <v>7</v>
      </c>
      <c r="B3055" s="528"/>
      <c r="C3055" s="98" t="s">
        <v>4221</v>
      </c>
      <c r="D3055" s="97" t="s">
        <v>4222</v>
      </c>
      <c r="E3055" s="187" t="s">
        <v>4223</v>
      </c>
      <c r="F3055" s="529" t="s">
        <v>4207</v>
      </c>
      <c r="G3055" s="529"/>
      <c r="H3055" s="109"/>
      <c r="K3055" s="50"/>
      <c r="L3055" s="50"/>
      <c r="M3055" s="50"/>
      <c r="N3055" s="50"/>
      <c r="O3055" s="50"/>
    </row>
    <row r="3056" spans="1:15">
      <c r="A3056" s="506" t="s">
        <v>3928</v>
      </c>
      <c r="B3056" s="507"/>
      <c r="C3056" s="213">
        <v>1</v>
      </c>
      <c r="D3056" s="92">
        <v>0.03</v>
      </c>
      <c r="E3056" s="93" t="str">
        <f>VLOOKUP(A3056,'Equip, Herr y Transp'!$B$2:$E$217,3,0)</f>
        <v>TR</v>
      </c>
      <c r="F3056" s="530" t="e">
        <f>E3056*D3056*C3056</f>
        <v>#VALUE!</v>
      </c>
      <c r="G3056" s="531"/>
      <c r="H3056" s="107"/>
      <c r="M3056" s="50"/>
    </row>
    <row r="3057" spans="1:10">
      <c r="A3057" s="532" t="s">
        <v>4205</v>
      </c>
      <c r="B3057" s="533"/>
      <c r="C3057" s="533"/>
      <c r="D3057" s="533"/>
      <c r="E3057" s="533"/>
      <c r="F3057" s="533"/>
      <c r="G3057" s="533"/>
      <c r="H3057" s="95" t="e">
        <f>F3056</f>
        <v>#VALUE!</v>
      </c>
    </row>
    <row r="3058" spans="1:10">
      <c r="A3058" s="523" t="s">
        <v>4224</v>
      </c>
      <c r="B3058" s="524"/>
      <c r="C3058" s="524"/>
      <c r="D3058" s="524"/>
      <c r="E3058" s="524"/>
      <c r="F3058" s="524"/>
      <c r="G3058" s="524"/>
      <c r="H3058" s="526"/>
    </row>
    <row r="3059" spans="1:10">
      <c r="A3059" s="527" t="s">
        <v>7</v>
      </c>
      <c r="B3059" s="528"/>
      <c r="C3059" s="96" t="s">
        <v>1</v>
      </c>
      <c r="D3059" s="97" t="s">
        <v>4225</v>
      </c>
      <c r="E3059" s="98" t="s">
        <v>4204</v>
      </c>
      <c r="F3059" s="527" t="s">
        <v>5</v>
      </c>
      <c r="G3059" s="534"/>
      <c r="H3059" s="109"/>
    </row>
    <row r="3060" spans="1:10">
      <c r="A3060" s="506" t="s">
        <v>4191</v>
      </c>
      <c r="B3060" s="507"/>
      <c r="C3060" s="91">
        <v>1</v>
      </c>
      <c r="D3060" s="94">
        <f>VLOOKUP(A3060,'Mano Obra'!$B$2:$T$117,19,0)</f>
        <v>152456</v>
      </c>
      <c r="E3060" s="218">
        <f>H3023</f>
        <v>6.25E-2</v>
      </c>
      <c r="F3060" s="508">
        <f>E3060*D3060*C3060</f>
        <v>9528.5</v>
      </c>
      <c r="G3060" s="509"/>
      <c r="H3060" s="111"/>
      <c r="I3060" s="59"/>
      <c r="J3060" s="117">
        <f>((('Mano Obra'!$M$4/30)*F3060)/D3060)*G3030</f>
        <v>0</v>
      </c>
    </row>
    <row r="3061" spans="1:10">
      <c r="A3061" s="510" t="s">
        <v>4192</v>
      </c>
      <c r="B3061" s="511">
        <f>VLOOKUP(A3061,'Mano Obra'!$B$3:$D$290,2,0)</f>
        <v>1900000</v>
      </c>
      <c r="C3061" s="91">
        <v>1</v>
      </c>
      <c r="D3061" s="94">
        <f>VLOOKUP(A3061,'Mano Obra'!$B$2:$T$117,19,0)</f>
        <v>110488</v>
      </c>
      <c r="E3061" s="218">
        <f>H3023</f>
        <v>6.25E-2</v>
      </c>
      <c r="F3061" s="508">
        <f t="shared" ref="F3061:F3062" si="180">E3061*D3061*C3061</f>
        <v>6905.5</v>
      </c>
      <c r="G3061" s="509"/>
      <c r="H3061" s="111"/>
      <c r="J3061" s="117">
        <f>((('Mano Obra'!$M$5/30)*F3061)/D3061)*G3030</f>
        <v>0</v>
      </c>
    </row>
    <row r="3062" spans="1:10">
      <c r="A3062" s="510" t="s">
        <v>4181</v>
      </c>
      <c r="B3062" s="511">
        <f>VLOOKUP(A3062,'Mano Obra'!$B$3:$D$290,2,0)</f>
        <v>1000000</v>
      </c>
      <c r="C3062" s="91">
        <v>1</v>
      </c>
      <c r="D3062" s="94">
        <f>VLOOKUP(A3062,'Mano Obra'!$B$2:$T$117,19,0)</f>
        <v>67424</v>
      </c>
      <c r="E3062" s="218">
        <f>H3023</f>
        <v>6.25E-2</v>
      </c>
      <c r="F3062" s="508">
        <f t="shared" si="180"/>
        <v>4214</v>
      </c>
      <c r="G3062" s="509"/>
      <c r="H3062" s="110"/>
      <c r="J3062" s="117">
        <f>((('Mano Obra'!$M$6/30)*F3062)/D3062)*G3030</f>
        <v>0</v>
      </c>
    </row>
    <row r="3063" spans="1:10">
      <c r="A3063" s="512" t="s">
        <v>4100</v>
      </c>
      <c r="B3063" s="512"/>
      <c r="C3063" s="512"/>
      <c r="D3063" s="512"/>
      <c r="E3063" s="512"/>
      <c r="F3063" s="512"/>
      <c r="G3063" s="512"/>
      <c r="H3063" s="95">
        <f>SUM(F3060:F3062)</f>
        <v>20648</v>
      </c>
      <c r="J3063" s="117"/>
    </row>
    <row r="3064" spans="1:10">
      <c r="A3064" s="208" t="s">
        <v>4226</v>
      </c>
      <c r="B3064" s="186"/>
      <c r="C3064" s="186"/>
      <c r="D3064" s="183"/>
      <c r="E3064" s="184"/>
      <c r="F3064" s="185"/>
      <c r="G3064" s="184"/>
      <c r="H3064" s="193"/>
    </row>
    <row r="3065" spans="1:10">
      <c r="A3065" s="513" t="s">
        <v>4213</v>
      </c>
      <c r="B3065" s="514"/>
      <c r="C3065" s="514"/>
      <c r="D3065" s="514"/>
      <c r="E3065" s="181"/>
      <c r="F3065" s="182" t="s">
        <v>4227</v>
      </c>
      <c r="G3065" s="181" t="s">
        <v>4228</v>
      </c>
      <c r="H3065" s="194"/>
    </row>
    <row r="3066" spans="1:10">
      <c r="A3066" s="204" t="s">
        <v>4096</v>
      </c>
      <c r="B3066" s="62"/>
      <c r="C3066" s="62"/>
      <c r="D3066" s="63"/>
      <c r="E3066" s="68"/>
      <c r="F3066" s="69">
        <v>0</v>
      </c>
      <c r="G3066" s="70" t="e">
        <f>F3066*H3031</f>
        <v>#VALUE!</v>
      </c>
      <c r="H3066" s="193"/>
    </row>
    <row r="3067" spans="1:10">
      <c r="A3067" s="205" t="s">
        <v>4229</v>
      </c>
      <c r="B3067" s="71"/>
      <c r="C3067" s="71"/>
      <c r="D3067" s="72"/>
      <c r="E3067" s="68"/>
      <c r="F3067" s="69">
        <v>0</v>
      </c>
      <c r="G3067" s="70" t="e">
        <f>F3067*H3031</f>
        <v>#VALUE!</v>
      </c>
      <c r="H3067" s="193"/>
    </row>
    <row r="3068" spans="1:10">
      <c r="A3068" s="205" t="s">
        <v>4</v>
      </c>
      <c r="B3068" s="71"/>
      <c r="C3068" s="71"/>
      <c r="D3068" s="72"/>
      <c r="E3068" s="68"/>
      <c r="F3068" s="69">
        <v>0</v>
      </c>
      <c r="G3068" s="70" t="e">
        <f>F3068*H3031</f>
        <v>#VALUE!</v>
      </c>
      <c r="H3068" s="193"/>
    </row>
    <row r="3069" spans="1:10">
      <c r="A3069" s="206"/>
      <c r="B3069" s="73"/>
      <c r="C3069" s="65"/>
      <c r="D3069" s="74"/>
      <c r="E3069" s="75"/>
      <c r="F3069" s="76"/>
      <c r="G3069" s="77"/>
      <c r="H3069" s="195"/>
    </row>
    <row r="3070" spans="1:10">
      <c r="A3070" s="207"/>
      <c r="B3070" s="73"/>
      <c r="C3070" s="73"/>
      <c r="D3070" s="74"/>
      <c r="E3070" s="78"/>
      <c r="F3070" s="515" t="s">
        <v>4230</v>
      </c>
      <c r="G3070" s="516"/>
      <c r="H3070" s="214" t="e">
        <f>H3031+G3066+G3067+G3068</f>
        <v>#VALUE!</v>
      </c>
    </row>
    <row r="3071" spans="1:10">
      <c r="A3071" s="73"/>
      <c r="B3071" s="73"/>
      <c r="C3071" s="73"/>
      <c r="D3071" s="74"/>
      <c r="E3071" s="360"/>
      <c r="F3071" s="361"/>
      <c r="G3071" s="361"/>
      <c r="H3071" s="362"/>
    </row>
    <row r="3072" spans="1:10">
      <c r="A3072" s="80"/>
      <c r="B3072" s="80"/>
      <c r="C3072" s="80"/>
      <c r="D3072" s="80"/>
      <c r="E3072" s="80"/>
      <c r="F3072" s="80"/>
      <c r="G3072" s="80"/>
      <c r="H3072" s="353"/>
    </row>
    <row r="3073" spans="1:15">
      <c r="A3073" s="537" t="s">
        <v>4214</v>
      </c>
      <c r="B3073" s="538"/>
      <c r="C3073" s="538"/>
      <c r="D3073" s="538"/>
      <c r="E3073" s="538"/>
      <c r="F3073" s="538"/>
      <c r="G3073" s="538"/>
      <c r="H3073" s="539"/>
    </row>
    <row r="3074" spans="1:15">
      <c r="A3074" s="81"/>
      <c r="B3074" s="82"/>
      <c r="C3074" s="82"/>
      <c r="D3074" s="82"/>
      <c r="E3074" s="82"/>
      <c r="F3074" s="83"/>
      <c r="G3074" s="84"/>
      <c r="H3074" s="352">
        <f>ROUND((30/60)/8,4)</f>
        <v>6.25E-2</v>
      </c>
      <c r="I3074" s="105"/>
    </row>
    <row r="3075" spans="1:15">
      <c r="A3075" s="540" t="s">
        <v>4209</v>
      </c>
      <c r="B3075" s="542" t="str">
        <f>COSTOS!$C$14</f>
        <v>MODERNIZACION A TECNOLOGIA LED</v>
      </c>
      <c r="C3075" s="542"/>
      <c r="D3075" s="542"/>
      <c r="E3075" s="542"/>
      <c r="F3075" s="542"/>
      <c r="G3075" s="542"/>
      <c r="H3075" s="543" t="s">
        <v>4210</v>
      </c>
    </row>
    <row r="3076" spans="1:15">
      <c r="A3076" s="541"/>
      <c r="B3076" s="542"/>
      <c r="C3076" s="542"/>
      <c r="D3076" s="542"/>
      <c r="E3076" s="542"/>
      <c r="F3076" s="542"/>
      <c r="G3076" s="542"/>
      <c r="H3076" s="543"/>
    </row>
    <row r="3077" spans="1:15">
      <c r="A3077" s="541"/>
      <c r="B3077" s="542"/>
      <c r="C3077" s="542"/>
      <c r="D3077" s="542"/>
      <c r="E3077" s="542"/>
      <c r="F3077" s="542"/>
      <c r="G3077" s="542"/>
      <c r="H3077" s="543"/>
    </row>
    <row r="3078" spans="1:15" ht="15" customHeight="1">
      <c r="A3078" s="541"/>
      <c r="B3078" s="542"/>
      <c r="C3078" s="542"/>
      <c r="D3078" s="542"/>
      <c r="E3078" s="542"/>
      <c r="F3078" s="542"/>
      <c r="G3078" s="542"/>
      <c r="H3078" s="197">
        <f ca="1">TODAY()</f>
        <v>44889</v>
      </c>
      <c r="K3078" t="s">
        <v>4380</v>
      </c>
      <c r="L3078" t="s">
        <v>4381</v>
      </c>
      <c r="M3078" t="s">
        <v>4382</v>
      </c>
      <c r="N3078" t="s">
        <v>4383</v>
      </c>
    </row>
    <row r="3079" spans="1:15" ht="60.75" customHeight="1">
      <c r="A3079" s="209" t="s">
        <v>4211</v>
      </c>
      <c r="B3079" s="544" t="str">
        <f>COSTOS!$D$16</f>
        <v>Luminarias</v>
      </c>
      <c r="C3079" s="544"/>
      <c r="D3079" s="544"/>
      <c r="E3079" s="544"/>
      <c r="F3079" s="544"/>
      <c r="G3079" s="60" t="s">
        <v>4212</v>
      </c>
      <c r="H3079" s="363">
        <v>1.61</v>
      </c>
      <c r="K3079" s="55" t="e">
        <f>H3104</f>
        <v>#VALUE!</v>
      </c>
      <c r="L3079" s="55">
        <f>H3114</f>
        <v>20648</v>
      </c>
      <c r="M3079" s="55" t="e">
        <f>H3087</f>
        <v>#VALUE!</v>
      </c>
      <c r="N3079" s="55" t="e">
        <f>H3108</f>
        <v>#VALUE!</v>
      </c>
    </row>
    <row r="3080" spans="1:15" ht="43.2" customHeight="1">
      <c r="A3080" s="210" t="s">
        <v>4213</v>
      </c>
      <c r="B3080" s="545" t="str">
        <f>VLOOKUP(H3079,COSTOS!C:M,2,0)</f>
        <v>Luminaria Led 27.8w agm</v>
      </c>
      <c r="C3080" s="546"/>
      <c r="D3080" s="546"/>
      <c r="E3080" s="547"/>
      <c r="F3080" s="61" t="s">
        <v>0</v>
      </c>
      <c r="G3080" s="328" t="str">
        <f>VLOOKUP(H3079,COSTOS!C:M,8,0)</f>
        <v>Und</v>
      </c>
      <c r="H3080" s="248"/>
      <c r="I3080" s="278"/>
      <c r="J3080" s="280"/>
      <c r="K3080" s="280"/>
      <c r="L3080" s="280"/>
    </row>
    <row r="3081" spans="1:15">
      <c r="A3081" s="211"/>
      <c r="B3081" s="102"/>
      <c r="C3081" s="102"/>
      <c r="D3081" s="102"/>
      <c r="E3081" s="103"/>
      <c r="F3081" s="104" t="s">
        <v>1</v>
      </c>
      <c r="G3081" s="328">
        <f>VLOOKUP(H3079,COSTOS!C:M,9,0)</f>
        <v>0</v>
      </c>
      <c r="H3081" s="329"/>
      <c r="I3081" s="279"/>
    </row>
    <row r="3082" spans="1:15">
      <c r="A3082" s="212" t="s">
        <v>4215</v>
      </c>
      <c r="B3082" s="65"/>
      <c r="C3082" s="65"/>
      <c r="D3082" s="66"/>
      <c r="E3082" s="190"/>
      <c r="F3082" s="191"/>
      <c r="G3082" s="192" t="s">
        <v>4216</v>
      </c>
      <c r="H3082" s="198" t="e">
        <f>H3087+H3104+H3108+H3114</f>
        <v>#VALUE!</v>
      </c>
    </row>
    <row r="3083" spans="1:15" ht="41.4">
      <c r="A3083" s="548" t="s">
        <v>4213</v>
      </c>
      <c r="B3083" s="548"/>
      <c r="C3083" s="548"/>
      <c r="D3083" s="67" t="s">
        <v>0</v>
      </c>
      <c r="E3083" s="188" t="s">
        <v>4217</v>
      </c>
      <c r="F3083" s="189" t="s">
        <v>4204</v>
      </c>
      <c r="G3083" s="64" t="s">
        <v>2</v>
      </c>
      <c r="H3083" s="199" t="s">
        <v>4218</v>
      </c>
      <c r="K3083" s="281"/>
    </row>
    <row r="3084" spans="1:15">
      <c r="A3084" s="517" t="s">
        <v>3946</v>
      </c>
      <c r="B3084" s="549">
        <f>VLOOKUP(A3084,'Equip, Herr y Transp'!$B$2:$E$738,2,0)</f>
        <v>2</v>
      </c>
      <c r="C3084" s="549"/>
      <c r="D3084" s="85">
        <f>VLOOKUP(A3084,'Equip, Herr y Transp'!$B$2:$E$217,2,0)</f>
        <v>2</v>
      </c>
      <c r="E3084" s="85" t="str">
        <f>VLOOKUP(A3084,'Equip, Herr y Transp'!$B$2:$E$217,3,0)</f>
        <v>EQU</v>
      </c>
      <c r="F3084" s="86">
        <f>H3074</f>
        <v>6.25E-2</v>
      </c>
      <c r="G3084" s="112" t="e">
        <f>F3084*E3084</f>
        <v>#VALUE!</v>
      </c>
      <c r="H3084" s="108"/>
    </row>
    <row r="3085" spans="1:15">
      <c r="A3085" s="517" t="s">
        <v>3904</v>
      </c>
      <c r="B3085" s="549">
        <f>VLOOKUP(A3085,'Equip, Herr y Transp'!$B$2:$E$738,2,0)</f>
        <v>2</v>
      </c>
      <c r="C3085" s="549"/>
      <c r="D3085" s="85">
        <f>VLOOKUP(A3085,'Equip, Herr y Transp'!$B$2:$E$217,2,0)</f>
        <v>2</v>
      </c>
      <c r="E3085" s="85" t="str">
        <f>VLOOKUP(A3085,'Equip, Herr y Transp'!$B$2:$E$217,3,0)</f>
        <v>EQU</v>
      </c>
      <c r="F3085" s="86">
        <f>H3074</f>
        <v>6.25E-2</v>
      </c>
      <c r="G3085" s="112" t="e">
        <f>F3085*E3085</f>
        <v>#VALUE!</v>
      </c>
      <c r="H3085" s="107"/>
    </row>
    <row r="3086" spans="1:15">
      <c r="A3086" s="517" t="s">
        <v>3937</v>
      </c>
      <c r="B3086" s="549">
        <f>VLOOKUP(A3086,'Equip, Herr y Transp'!$B$2:$E$738,2,0)</f>
        <v>2</v>
      </c>
      <c r="C3086" s="549"/>
      <c r="D3086" s="85">
        <f>VLOOKUP(A3086,'Equip, Herr y Transp'!$B$2:$E$217,2,0)</f>
        <v>2</v>
      </c>
      <c r="E3086" s="85" t="str">
        <f>VLOOKUP(A3086,'Equip, Herr y Transp'!$B$2:$E$217,3,0)</f>
        <v>EQU</v>
      </c>
      <c r="F3086" s="86">
        <f>H3074</f>
        <v>6.25E-2</v>
      </c>
      <c r="G3086" s="112" t="e">
        <f>F3086*E3086</f>
        <v>#VALUE!</v>
      </c>
      <c r="H3086" s="107"/>
    </row>
    <row r="3087" spans="1:15">
      <c r="A3087" s="520" t="s">
        <v>4099</v>
      </c>
      <c r="B3087" s="521"/>
      <c r="C3087" s="521"/>
      <c r="D3087" s="521"/>
      <c r="E3087" s="521"/>
      <c r="F3087" s="521"/>
      <c r="G3087" s="521"/>
      <c r="H3087" s="87" t="e">
        <f>SUM(G3084:G3086)</f>
        <v>#VALUE!</v>
      </c>
    </row>
    <row r="3088" spans="1:15">
      <c r="A3088" s="550" t="s">
        <v>4219</v>
      </c>
      <c r="B3088" s="551"/>
      <c r="C3088" s="551"/>
      <c r="D3088" s="551"/>
      <c r="E3088" s="551"/>
      <c r="F3088" s="551"/>
      <c r="G3088" s="551"/>
      <c r="H3088" s="552"/>
      <c r="K3088" s="50"/>
      <c r="L3088" s="50"/>
      <c r="M3088" s="50"/>
      <c r="N3088" s="50"/>
      <c r="O3088" s="50"/>
    </row>
    <row r="3089" spans="1:15" ht="30" customHeight="1">
      <c r="A3089" s="553" t="s">
        <v>7</v>
      </c>
      <c r="B3089" s="554"/>
      <c r="C3089" s="99" t="s">
        <v>0</v>
      </c>
      <c r="D3089" s="100" t="s">
        <v>4097</v>
      </c>
      <c r="E3089" s="101" t="s">
        <v>1</v>
      </c>
      <c r="F3089" s="555" t="s">
        <v>4207</v>
      </c>
      <c r="G3089" s="555"/>
      <c r="H3089" s="196"/>
      <c r="K3089" s="50"/>
      <c r="L3089" s="50"/>
      <c r="M3089" s="50"/>
      <c r="N3089" s="50"/>
      <c r="O3089" s="50"/>
    </row>
    <row r="3090" spans="1:15">
      <c r="A3090" s="535" t="s">
        <v>4760</v>
      </c>
      <c r="B3090" s="536"/>
      <c r="C3090" s="88">
        <f>VLOOKUP(A3090,'Materiales '!$C$2:$G$396,3,0)</f>
        <v>4</v>
      </c>
      <c r="D3090" s="89" t="str">
        <f>VLOOKUP(A3090,'Materiales '!$C$2:$G$396,4,0)</f>
        <v>Und</v>
      </c>
      <c r="E3090" s="90">
        <v>1</v>
      </c>
      <c r="F3090" s="508" t="e">
        <f>E3090*D3090</f>
        <v>#VALUE!</v>
      </c>
      <c r="G3090" s="519"/>
      <c r="H3090" s="111"/>
      <c r="I3090">
        <f>E3090*G3081</f>
        <v>0</v>
      </c>
      <c r="J3090" s="57"/>
      <c r="K3090" s="50"/>
      <c r="L3090" s="50"/>
      <c r="M3090" s="50"/>
      <c r="N3090" s="50"/>
      <c r="O3090" s="50"/>
    </row>
    <row r="3091" spans="1:15">
      <c r="A3091" s="535" t="s">
        <v>4203</v>
      </c>
      <c r="B3091" s="536"/>
      <c r="C3091" s="88">
        <f>VLOOKUP(A3091,'Materiales '!$C$2:$G$396,3,0)</f>
        <v>4</v>
      </c>
      <c r="D3091" s="89" t="str">
        <f>VLOOKUP(A3091,'Materiales '!$C$2:$G$396,4,0)</f>
        <v>Und</v>
      </c>
      <c r="E3091" s="90">
        <v>1</v>
      </c>
      <c r="F3091" s="508" t="e">
        <f t="shared" ref="F3091:F3097" si="181">E3091*D3091</f>
        <v>#VALUE!</v>
      </c>
      <c r="G3091" s="519"/>
      <c r="H3091" s="111"/>
      <c r="I3091">
        <f>E3091*G3081</f>
        <v>0</v>
      </c>
      <c r="J3091" s="57"/>
      <c r="K3091" s="50"/>
      <c r="L3091" s="50"/>
      <c r="M3091" s="50"/>
      <c r="N3091" s="50"/>
      <c r="O3091" s="50"/>
    </row>
    <row r="3092" spans="1:15">
      <c r="A3092" s="517" t="s">
        <v>4473</v>
      </c>
      <c r="B3092" s="518">
        <f>VLOOKUP(A3092,'Materiales '!$C$2:$G$396,3,0)</f>
        <v>4</v>
      </c>
      <c r="C3092" s="88">
        <f>VLOOKUP(A3092,'Materiales '!$C$2:$G$396,3,0)</f>
        <v>4</v>
      </c>
      <c r="D3092" s="89" t="str">
        <f>VLOOKUP(A3092,'Materiales '!$C$2:$G$396,4,0)</f>
        <v>Und</v>
      </c>
      <c r="E3092" s="90">
        <v>2</v>
      </c>
      <c r="F3092" s="508" t="e">
        <f t="shared" si="181"/>
        <v>#VALUE!</v>
      </c>
      <c r="G3092" s="519"/>
      <c r="H3092" s="111"/>
      <c r="I3092">
        <f>E3092*G3081</f>
        <v>0</v>
      </c>
      <c r="J3092" s="58"/>
      <c r="K3092" s="50"/>
      <c r="L3092" s="50"/>
      <c r="M3092" s="50"/>
      <c r="N3092" s="50"/>
      <c r="O3092" s="50"/>
    </row>
    <row r="3093" spans="1:15">
      <c r="A3093" s="517" t="s">
        <v>4478</v>
      </c>
      <c r="B3093" s="518">
        <f>VLOOKUP(A3093,'Materiales '!$C$2:$G$396,3,0)</f>
        <v>4</v>
      </c>
      <c r="C3093" s="88">
        <f>VLOOKUP(A3093,'Materiales '!$C$2:$G$396,3,0)</f>
        <v>4</v>
      </c>
      <c r="D3093" s="89" t="str">
        <f>VLOOKUP(A3093,'Materiales '!$C$2:$G$396,4,0)</f>
        <v>Und</v>
      </c>
      <c r="E3093" s="90">
        <v>3</v>
      </c>
      <c r="F3093" s="508" t="e">
        <f t="shared" si="181"/>
        <v>#VALUE!</v>
      </c>
      <c r="G3093" s="519"/>
      <c r="H3093" s="111"/>
      <c r="I3093">
        <f>E3093*G3081</f>
        <v>0</v>
      </c>
      <c r="J3093" s="58"/>
      <c r="K3093" s="50"/>
      <c r="L3093" s="50"/>
      <c r="M3093" s="50"/>
      <c r="N3093" s="50"/>
      <c r="O3093" s="50"/>
    </row>
    <row r="3094" spans="1:15">
      <c r="A3094" s="517" t="s">
        <v>4543</v>
      </c>
      <c r="B3094" s="518">
        <f>VLOOKUP(A3094,'Materiales '!$C$2:$G$396,3,0)</f>
        <v>4</v>
      </c>
      <c r="C3094" s="88">
        <f>VLOOKUP(A3094,'Materiales '!$C$2:$G$396,3,0)</f>
        <v>4</v>
      </c>
      <c r="D3094" s="89" t="str">
        <f>VLOOKUP(A3094,'Materiales '!$C$2:$G$396,4,0)</f>
        <v>Und</v>
      </c>
      <c r="E3094" s="90">
        <v>2</v>
      </c>
      <c r="F3094" s="508" t="e">
        <f t="shared" si="181"/>
        <v>#VALUE!</v>
      </c>
      <c r="G3094" s="519"/>
      <c r="H3094" s="111"/>
      <c r="I3094">
        <f>E3094*G3081</f>
        <v>0</v>
      </c>
      <c r="J3094" s="58"/>
      <c r="K3094" s="50"/>
      <c r="L3094" s="50"/>
      <c r="M3094" s="50"/>
      <c r="N3094" s="50"/>
      <c r="O3094" s="50"/>
    </row>
    <row r="3095" spans="1:15">
      <c r="A3095" s="517" t="s">
        <v>4439</v>
      </c>
      <c r="B3095" s="518">
        <f>VLOOKUP(A3095,'Materiales '!$C$2:$G$396,3,0)</f>
        <v>2</v>
      </c>
      <c r="C3095" s="88">
        <f>VLOOKUP(A3095,'Materiales '!$C$2:$G$396,3,0)</f>
        <v>2</v>
      </c>
      <c r="D3095" s="89" t="str">
        <f>VLOOKUP(A3095,'Materiales '!$C$2:$G$396,4,0)</f>
        <v>Ml</v>
      </c>
      <c r="E3095" s="90">
        <v>1</v>
      </c>
      <c r="F3095" s="508" t="e">
        <f t="shared" si="181"/>
        <v>#VALUE!</v>
      </c>
      <c r="G3095" s="519"/>
      <c r="H3095" s="111"/>
      <c r="I3095">
        <f>E3095*G3081</f>
        <v>0</v>
      </c>
      <c r="J3095" s="58"/>
      <c r="K3095" s="50"/>
      <c r="L3095" s="50"/>
      <c r="M3095" s="50"/>
      <c r="N3095" s="50"/>
      <c r="O3095" s="50"/>
    </row>
    <row r="3096" spans="1:15">
      <c r="A3096" s="517" t="s">
        <v>4482</v>
      </c>
      <c r="B3096" s="518">
        <f>VLOOKUP(A3096,'Materiales '!$C$2:$G$396,3,0)</f>
        <v>4</v>
      </c>
      <c r="C3096" s="88">
        <f>VLOOKUP(A3096,'Materiales '!$C$2:$G$396,3,0)</f>
        <v>4</v>
      </c>
      <c r="D3096" s="89" t="str">
        <f>VLOOKUP(A3096,'Materiales '!$C$2:$G$396,4,0)</f>
        <v>Und</v>
      </c>
      <c r="E3096" s="90">
        <v>3</v>
      </c>
      <c r="F3096" s="508" t="e">
        <f t="shared" si="181"/>
        <v>#VALUE!</v>
      </c>
      <c r="G3096" s="519"/>
      <c r="H3096" s="111"/>
      <c r="I3096">
        <f>E3096*G3081</f>
        <v>0</v>
      </c>
      <c r="J3096" s="58"/>
      <c r="K3096" s="50"/>
      <c r="L3096" s="50"/>
      <c r="M3096" s="50"/>
      <c r="N3096" s="50"/>
      <c r="O3096" s="50"/>
    </row>
    <row r="3097" spans="1:15" ht="21.75" customHeight="1">
      <c r="A3097" s="517" t="s">
        <v>4628</v>
      </c>
      <c r="B3097" s="518">
        <f>VLOOKUP(A3097,'Materiales '!$C$2:$G$396,3,0)</f>
        <v>4</v>
      </c>
      <c r="C3097" s="88">
        <f>VLOOKUP(A3097,'Materiales '!$C$2:$G$396,3,0)</f>
        <v>4</v>
      </c>
      <c r="D3097" s="89" t="str">
        <f>VLOOKUP(A3097,'Materiales '!$C$2:$G$396,4,0)</f>
        <v>Und</v>
      </c>
      <c r="E3097" s="90">
        <v>1</v>
      </c>
      <c r="F3097" s="508" t="e">
        <f t="shared" si="181"/>
        <v>#VALUE!</v>
      </c>
      <c r="G3097" s="519"/>
      <c r="H3097" s="111"/>
      <c r="I3097">
        <f>E3097*G3081</f>
        <v>0</v>
      </c>
      <c r="J3097" s="58"/>
      <c r="K3097" s="50"/>
      <c r="L3097" s="50"/>
      <c r="M3097" s="50"/>
      <c r="N3097" s="50"/>
      <c r="O3097" s="50"/>
    </row>
    <row r="3098" spans="1:15">
      <c r="A3098" s="517" t="s">
        <v>8</v>
      </c>
      <c r="B3098" s="518">
        <f>VLOOKUP(A3098,'Materiales '!$C$2:$G$396,3,0)</f>
        <v>0</v>
      </c>
      <c r="C3098" s="88">
        <f>VLOOKUP(A3098,'Materiales '!$C$2:$G$396,3,0)</f>
        <v>0</v>
      </c>
      <c r="D3098" s="89" t="str">
        <f>VLOOKUP(A3098,'Materiales '!$C$2:$G$396,4,0)</f>
        <v>-</v>
      </c>
      <c r="E3098" s="90"/>
      <c r="F3098" s="508" t="e">
        <f>E3098*D3098</f>
        <v>#VALUE!</v>
      </c>
      <c r="G3098" s="519"/>
      <c r="H3098" s="110"/>
      <c r="I3098">
        <f>E3098*G3081</f>
        <v>0</v>
      </c>
      <c r="J3098" s="58"/>
      <c r="K3098" s="50"/>
      <c r="L3098" s="50"/>
      <c r="M3098" s="50"/>
      <c r="N3098" s="50"/>
      <c r="O3098" s="50"/>
    </row>
    <row r="3099" spans="1:15">
      <c r="A3099" s="517" t="s">
        <v>8</v>
      </c>
      <c r="B3099" s="518">
        <f>VLOOKUP(A3099,'Materiales '!$C$2:$G$396,3,0)</f>
        <v>0</v>
      </c>
      <c r="C3099" s="88">
        <f>VLOOKUP(A3099,'Materiales '!$C$2:$G$396,3,0)</f>
        <v>0</v>
      </c>
      <c r="D3099" s="89" t="str">
        <f>VLOOKUP(A3099,'Materiales '!$C$2:$G$396,4,0)</f>
        <v>-</v>
      </c>
      <c r="E3099" s="90"/>
      <c r="F3099" s="508" t="e">
        <f t="shared" ref="F3099:F3102" si="182">E3099*D3099</f>
        <v>#VALUE!</v>
      </c>
      <c r="G3099" s="519"/>
      <c r="H3099" s="111"/>
      <c r="I3099">
        <f>E3099*G3081</f>
        <v>0</v>
      </c>
      <c r="J3099" s="58"/>
      <c r="K3099" s="50"/>
      <c r="L3099" s="50"/>
      <c r="M3099" s="50"/>
      <c r="N3099" s="50"/>
      <c r="O3099" s="50"/>
    </row>
    <row r="3100" spans="1:15">
      <c r="A3100" s="517" t="s">
        <v>8</v>
      </c>
      <c r="B3100" s="518">
        <f>VLOOKUP(A3100,'Materiales '!$C$2:$G$396,3,0)</f>
        <v>0</v>
      </c>
      <c r="C3100" s="88">
        <f>VLOOKUP(A3100,'Materiales '!$C$2:$G$396,3,0)</f>
        <v>0</v>
      </c>
      <c r="D3100" s="89" t="str">
        <f>VLOOKUP(A3100,'Materiales '!$C$2:$G$396,4,0)</f>
        <v>-</v>
      </c>
      <c r="E3100" s="90"/>
      <c r="F3100" s="508" t="e">
        <f t="shared" si="182"/>
        <v>#VALUE!</v>
      </c>
      <c r="G3100" s="519"/>
      <c r="H3100" s="111"/>
      <c r="I3100">
        <f>E3100*G3081</f>
        <v>0</v>
      </c>
      <c r="J3100" s="58"/>
      <c r="K3100" s="50"/>
      <c r="L3100" s="50"/>
      <c r="M3100" s="50"/>
      <c r="N3100" s="50"/>
      <c r="O3100" s="50"/>
    </row>
    <row r="3101" spans="1:15">
      <c r="A3101" s="517" t="s">
        <v>8</v>
      </c>
      <c r="B3101" s="518">
        <f>VLOOKUP(A3101,'Materiales '!$C$2:$G$396,3,0)</f>
        <v>0</v>
      </c>
      <c r="C3101" s="88">
        <f>VLOOKUP(A3101,'Materiales '!$C$2:$G$396,3,0)</f>
        <v>0</v>
      </c>
      <c r="D3101" s="89" t="str">
        <f>VLOOKUP(A3101,'Materiales '!$C$2:$G$396,4,0)</f>
        <v>-</v>
      </c>
      <c r="E3101" s="90"/>
      <c r="F3101" s="508" t="e">
        <f t="shared" si="182"/>
        <v>#VALUE!</v>
      </c>
      <c r="G3101" s="519"/>
      <c r="H3101" s="111"/>
      <c r="I3101">
        <f>E3101*G3081</f>
        <v>0</v>
      </c>
      <c r="J3101" s="58"/>
      <c r="K3101" s="50"/>
      <c r="L3101" s="50"/>
      <c r="M3101" s="50"/>
      <c r="N3101" s="50"/>
      <c r="O3101" s="50"/>
    </row>
    <row r="3102" spans="1:15">
      <c r="A3102" s="517" t="s">
        <v>8</v>
      </c>
      <c r="B3102" s="518">
        <f>VLOOKUP(A3102,'Materiales '!$C$2:$G$396,3,0)</f>
        <v>0</v>
      </c>
      <c r="C3102" s="88">
        <f>VLOOKUP(A3102,'Materiales '!$C$2:$G$396,3,0)</f>
        <v>0</v>
      </c>
      <c r="D3102" s="89" t="str">
        <f>VLOOKUP(A3102,'Materiales '!$C$2:$G$396,4,0)</f>
        <v>-</v>
      </c>
      <c r="E3102" s="90"/>
      <c r="F3102" s="508" t="e">
        <f t="shared" si="182"/>
        <v>#VALUE!</v>
      </c>
      <c r="G3102" s="519"/>
      <c r="H3102" s="111"/>
      <c r="I3102">
        <f>E3102*G3081</f>
        <v>0</v>
      </c>
      <c r="J3102" s="58"/>
      <c r="K3102" s="50"/>
      <c r="L3102" s="50"/>
      <c r="M3102" s="50"/>
      <c r="N3102" s="50"/>
      <c r="O3102" s="50"/>
    </row>
    <row r="3103" spans="1:15">
      <c r="A3103" s="517" t="s">
        <v>8</v>
      </c>
      <c r="B3103" s="518">
        <f>VLOOKUP(A3103,'Materiales '!$C$2:$G$396,3,0)</f>
        <v>0</v>
      </c>
      <c r="C3103" s="88">
        <f>VLOOKUP(A3103,'Materiales '!$C$2:$G$396,3,0)</f>
        <v>0</v>
      </c>
      <c r="D3103" s="89" t="str">
        <f>VLOOKUP(A3103,'Materiales '!$C$2:$G$396,4,0)</f>
        <v>-</v>
      </c>
      <c r="E3103" s="90"/>
      <c r="F3103" s="508" t="e">
        <f>E3103*D3103</f>
        <v>#VALUE!</v>
      </c>
      <c r="G3103" s="519"/>
      <c r="H3103" s="110"/>
      <c r="I3103">
        <f>E3103*G3081</f>
        <v>0</v>
      </c>
      <c r="J3103" s="58"/>
      <c r="K3103" s="50"/>
      <c r="L3103" s="50"/>
      <c r="M3103" s="50"/>
      <c r="N3103" s="50"/>
      <c r="O3103" s="50"/>
    </row>
    <row r="3104" spans="1:15">
      <c r="A3104" s="520" t="s">
        <v>4098</v>
      </c>
      <c r="B3104" s="521"/>
      <c r="C3104" s="521"/>
      <c r="D3104" s="521"/>
      <c r="E3104" s="521"/>
      <c r="F3104" s="521"/>
      <c r="G3104" s="522"/>
      <c r="H3104" s="106" t="e">
        <f>SUM(F3090:F3103)</f>
        <v>#VALUE!</v>
      </c>
      <c r="J3104" s="58"/>
      <c r="K3104" s="50"/>
      <c r="L3104" s="50"/>
      <c r="M3104" s="50"/>
      <c r="N3104" s="50"/>
      <c r="O3104" s="50"/>
    </row>
    <row r="3105" spans="1:15">
      <c r="A3105" s="523" t="s">
        <v>4220</v>
      </c>
      <c r="B3105" s="524"/>
      <c r="C3105" s="524"/>
      <c r="D3105" s="524"/>
      <c r="E3105" s="525"/>
      <c r="F3105" s="524"/>
      <c r="G3105" s="524"/>
      <c r="H3105" s="526"/>
      <c r="J3105" s="58"/>
      <c r="K3105" s="50"/>
      <c r="L3105" s="50"/>
      <c r="M3105" s="50"/>
      <c r="N3105" s="50"/>
      <c r="O3105" s="50"/>
    </row>
    <row r="3106" spans="1:15">
      <c r="A3106" s="527" t="s">
        <v>7</v>
      </c>
      <c r="B3106" s="528"/>
      <c r="C3106" s="98" t="s">
        <v>4221</v>
      </c>
      <c r="D3106" s="97" t="s">
        <v>4222</v>
      </c>
      <c r="E3106" s="187" t="s">
        <v>4223</v>
      </c>
      <c r="F3106" s="529" t="s">
        <v>4207</v>
      </c>
      <c r="G3106" s="529"/>
      <c r="H3106" s="109"/>
      <c r="K3106" s="50"/>
      <c r="L3106" s="50"/>
      <c r="M3106" s="50"/>
      <c r="N3106" s="50"/>
      <c r="O3106" s="50"/>
    </row>
    <row r="3107" spans="1:15">
      <c r="A3107" s="506" t="s">
        <v>3928</v>
      </c>
      <c r="B3107" s="507"/>
      <c r="C3107" s="213">
        <v>1</v>
      </c>
      <c r="D3107" s="92">
        <v>0.03</v>
      </c>
      <c r="E3107" s="93" t="str">
        <f>VLOOKUP(A3107,'Equip, Herr y Transp'!$B$2:$E$217,3,0)</f>
        <v>TR</v>
      </c>
      <c r="F3107" s="530" t="e">
        <f>E3107*D3107*C3107</f>
        <v>#VALUE!</v>
      </c>
      <c r="G3107" s="531"/>
      <c r="H3107" s="107"/>
      <c r="M3107" s="50"/>
    </row>
    <row r="3108" spans="1:15">
      <c r="A3108" s="532" t="s">
        <v>4205</v>
      </c>
      <c r="B3108" s="533"/>
      <c r="C3108" s="533"/>
      <c r="D3108" s="533"/>
      <c r="E3108" s="533"/>
      <c r="F3108" s="533"/>
      <c r="G3108" s="533"/>
      <c r="H3108" s="95" t="e">
        <f>F3107</f>
        <v>#VALUE!</v>
      </c>
    </row>
    <row r="3109" spans="1:15">
      <c r="A3109" s="523" t="s">
        <v>4224</v>
      </c>
      <c r="B3109" s="524"/>
      <c r="C3109" s="524"/>
      <c r="D3109" s="524"/>
      <c r="E3109" s="524"/>
      <c r="F3109" s="524"/>
      <c r="G3109" s="524"/>
      <c r="H3109" s="526"/>
    </row>
    <row r="3110" spans="1:15">
      <c r="A3110" s="527" t="s">
        <v>7</v>
      </c>
      <c r="B3110" s="528"/>
      <c r="C3110" s="96" t="s">
        <v>1</v>
      </c>
      <c r="D3110" s="97" t="s">
        <v>4225</v>
      </c>
      <c r="E3110" s="98" t="s">
        <v>4204</v>
      </c>
      <c r="F3110" s="527" t="s">
        <v>5</v>
      </c>
      <c r="G3110" s="534"/>
      <c r="H3110" s="109"/>
    </row>
    <row r="3111" spans="1:15">
      <c r="A3111" s="506" t="s">
        <v>4191</v>
      </c>
      <c r="B3111" s="507"/>
      <c r="C3111" s="91">
        <v>1</v>
      </c>
      <c r="D3111" s="94">
        <f>VLOOKUP(A3111,'Mano Obra'!$B$2:$T$117,19,0)</f>
        <v>152456</v>
      </c>
      <c r="E3111" s="218">
        <f>H3074</f>
        <v>6.25E-2</v>
      </c>
      <c r="F3111" s="508">
        <f>E3111*D3111*C3111</f>
        <v>9528.5</v>
      </c>
      <c r="G3111" s="509"/>
      <c r="H3111" s="111"/>
      <c r="I3111" s="59"/>
      <c r="J3111" s="117">
        <f>((('Mano Obra'!$M$4/30)*F3111)/D3111)*G3081</f>
        <v>0</v>
      </c>
    </row>
    <row r="3112" spans="1:15">
      <c r="A3112" s="510" t="s">
        <v>4192</v>
      </c>
      <c r="B3112" s="511">
        <f>VLOOKUP(A3112,'Mano Obra'!$B$3:$D$290,2,0)</f>
        <v>1900000</v>
      </c>
      <c r="C3112" s="91">
        <v>1</v>
      </c>
      <c r="D3112" s="94">
        <f>VLOOKUP(A3112,'Mano Obra'!$B$2:$T$117,19,0)</f>
        <v>110488</v>
      </c>
      <c r="E3112" s="218">
        <f>H3074</f>
        <v>6.25E-2</v>
      </c>
      <c r="F3112" s="508">
        <f t="shared" ref="F3112:F3113" si="183">E3112*D3112*C3112</f>
        <v>6905.5</v>
      </c>
      <c r="G3112" s="509"/>
      <c r="H3112" s="111"/>
      <c r="J3112" s="117">
        <f>((('Mano Obra'!$M$5/30)*F3112)/D3112)*G3081</f>
        <v>0</v>
      </c>
    </row>
    <row r="3113" spans="1:15">
      <c r="A3113" s="510" t="s">
        <v>4181</v>
      </c>
      <c r="B3113" s="511">
        <f>VLOOKUP(A3113,'Mano Obra'!$B$3:$D$290,2,0)</f>
        <v>1000000</v>
      </c>
      <c r="C3113" s="91">
        <v>1</v>
      </c>
      <c r="D3113" s="94">
        <f>VLOOKUP(A3113,'Mano Obra'!$B$2:$T$117,19,0)</f>
        <v>67424</v>
      </c>
      <c r="E3113" s="218">
        <f>H3074</f>
        <v>6.25E-2</v>
      </c>
      <c r="F3113" s="508">
        <f t="shared" si="183"/>
        <v>4214</v>
      </c>
      <c r="G3113" s="509"/>
      <c r="H3113" s="110"/>
      <c r="J3113" s="117">
        <f>((('Mano Obra'!$M$6/30)*F3113)/D3113)*G3081</f>
        <v>0</v>
      </c>
    </row>
    <row r="3114" spans="1:15">
      <c r="A3114" s="512" t="s">
        <v>4100</v>
      </c>
      <c r="B3114" s="512"/>
      <c r="C3114" s="512"/>
      <c r="D3114" s="512"/>
      <c r="E3114" s="512"/>
      <c r="F3114" s="512"/>
      <c r="G3114" s="512"/>
      <c r="H3114" s="95">
        <f>SUM(F3111:F3113)</f>
        <v>20648</v>
      </c>
      <c r="J3114" s="117"/>
    </row>
    <row r="3115" spans="1:15">
      <c r="A3115" s="208" t="s">
        <v>4226</v>
      </c>
      <c r="B3115" s="186"/>
      <c r="C3115" s="186"/>
      <c r="D3115" s="183"/>
      <c r="E3115" s="184"/>
      <c r="F3115" s="185"/>
      <c r="G3115" s="184"/>
      <c r="H3115" s="193"/>
    </row>
    <row r="3116" spans="1:15">
      <c r="A3116" s="513" t="s">
        <v>4213</v>
      </c>
      <c r="B3116" s="514"/>
      <c r="C3116" s="514"/>
      <c r="D3116" s="514"/>
      <c r="E3116" s="181"/>
      <c r="F3116" s="182" t="s">
        <v>4227</v>
      </c>
      <c r="G3116" s="181" t="s">
        <v>4228</v>
      </c>
      <c r="H3116" s="194"/>
    </row>
    <row r="3117" spans="1:15">
      <c r="A3117" s="204" t="s">
        <v>4096</v>
      </c>
      <c r="B3117" s="62"/>
      <c r="C3117" s="62"/>
      <c r="D3117" s="63"/>
      <c r="E3117" s="68"/>
      <c r="F3117" s="69">
        <v>0</v>
      </c>
      <c r="G3117" s="70" t="e">
        <f>F3117*H3082</f>
        <v>#VALUE!</v>
      </c>
      <c r="H3117" s="193"/>
    </row>
    <row r="3118" spans="1:15">
      <c r="A3118" s="205" t="s">
        <v>4229</v>
      </c>
      <c r="B3118" s="71"/>
      <c r="C3118" s="71"/>
      <c r="D3118" s="72"/>
      <c r="E3118" s="68"/>
      <c r="F3118" s="69">
        <v>0</v>
      </c>
      <c r="G3118" s="70" t="e">
        <f>F3118*H3082</f>
        <v>#VALUE!</v>
      </c>
      <c r="H3118" s="193"/>
    </row>
    <row r="3119" spans="1:15">
      <c r="A3119" s="205" t="s">
        <v>4</v>
      </c>
      <c r="B3119" s="71"/>
      <c r="C3119" s="71"/>
      <c r="D3119" s="72"/>
      <c r="E3119" s="68"/>
      <c r="F3119" s="69">
        <v>0</v>
      </c>
      <c r="G3119" s="70" t="e">
        <f>F3119*H3082</f>
        <v>#VALUE!</v>
      </c>
      <c r="H3119" s="193"/>
    </row>
    <row r="3120" spans="1:15">
      <c r="A3120" s="206"/>
      <c r="B3120" s="73"/>
      <c r="C3120" s="65"/>
      <c r="D3120" s="74"/>
      <c r="E3120" s="75"/>
      <c r="F3120" s="76"/>
      <c r="G3120" s="77"/>
      <c r="H3120" s="195"/>
    </row>
    <row r="3121" spans="1:14">
      <c r="A3121" s="207"/>
      <c r="B3121" s="73"/>
      <c r="C3121" s="73"/>
      <c r="D3121" s="74"/>
      <c r="E3121" s="78"/>
      <c r="F3121" s="515" t="s">
        <v>4230</v>
      </c>
      <c r="G3121" s="516"/>
      <c r="H3121" s="214" t="e">
        <f>H3082+G3117+G3118+G3119</f>
        <v>#VALUE!</v>
      </c>
    </row>
    <row r="3122" spans="1:14">
      <c r="A3122" s="73"/>
      <c r="B3122" s="73"/>
      <c r="C3122" s="73"/>
      <c r="D3122" s="74"/>
      <c r="E3122" s="360"/>
      <c r="F3122" s="361"/>
      <c r="G3122" s="361"/>
      <c r="H3122" s="362"/>
    </row>
    <row r="3123" spans="1:14">
      <c r="A3123" s="80"/>
      <c r="B3123" s="80"/>
      <c r="C3123" s="80"/>
      <c r="D3123" s="80"/>
      <c r="E3123" s="80"/>
      <c r="F3123" s="80"/>
      <c r="G3123" s="80"/>
      <c r="H3123" s="353"/>
    </row>
    <row r="3124" spans="1:14">
      <c r="A3124" s="537" t="s">
        <v>4214</v>
      </c>
      <c r="B3124" s="538"/>
      <c r="C3124" s="538"/>
      <c r="D3124" s="538"/>
      <c r="E3124" s="538"/>
      <c r="F3124" s="538"/>
      <c r="G3124" s="538"/>
      <c r="H3124" s="539"/>
    </row>
    <row r="3125" spans="1:14">
      <c r="A3125" s="81"/>
      <c r="B3125" s="82"/>
      <c r="C3125" s="82"/>
      <c r="D3125" s="82"/>
      <c r="E3125" s="82"/>
      <c r="F3125" s="83"/>
      <c r="G3125" s="84"/>
      <c r="H3125" s="352">
        <f>ROUND((30/60)/8,4)</f>
        <v>6.25E-2</v>
      </c>
      <c r="I3125" s="105"/>
    </row>
    <row r="3126" spans="1:14">
      <c r="A3126" s="540" t="s">
        <v>4209</v>
      </c>
      <c r="B3126" s="542" t="str">
        <f>COSTOS!$C$14</f>
        <v>MODERNIZACION A TECNOLOGIA LED</v>
      </c>
      <c r="C3126" s="542"/>
      <c r="D3126" s="542"/>
      <c r="E3126" s="542"/>
      <c r="F3126" s="542"/>
      <c r="G3126" s="542"/>
      <c r="H3126" s="543" t="s">
        <v>4210</v>
      </c>
    </row>
    <row r="3127" spans="1:14">
      <c r="A3127" s="541"/>
      <c r="B3127" s="542"/>
      <c r="C3127" s="542"/>
      <c r="D3127" s="542"/>
      <c r="E3127" s="542"/>
      <c r="F3127" s="542"/>
      <c r="G3127" s="542"/>
      <c r="H3127" s="543"/>
    </row>
    <row r="3128" spans="1:14">
      <c r="A3128" s="541"/>
      <c r="B3128" s="542"/>
      <c r="C3128" s="542"/>
      <c r="D3128" s="542"/>
      <c r="E3128" s="542"/>
      <c r="F3128" s="542"/>
      <c r="G3128" s="542"/>
      <c r="H3128" s="543"/>
    </row>
    <row r="3129" spans="1:14" ht="15" customHeight="1">
      <c r="A3129" s="541"/>
      <c r="B3129" s="542"/>
      <c r="C3129" s="542"/>
      <c r="D3129" s="542"/>
      <c r="E3129" s="542"/>
      <c r="F3129" s="542"/>
      <c r="G3129" s="542"/>
      <c r="H3129" s="197">
        <f ca="1">TODAY()</f>
        <v>44889</v>
      </c>
      <c r="K3129" t="s">
        <v>4380</v>
      </c>
      <c r="L3129" t="s">
        <v>4381</v>
      </c>
      <c r="M3129" t="s">
        <v>4382</v>
      </c>
      <c r="N3129" t="s">
        <v>4383</v>
      </c>
    </row>
    <row r="3130" spans="1:14" ht="60.75" customHeight="1">
      <c r="A3130" s="209" t="s">
        <v>4211</v>
      </c>
      <c r="B3130" s="544" t="str">
        <f>COSTOS!$D$16</f>
        <v>Luminarias</v>
      </c>
      <c r="C3130" s="544"/>
      <c r="D3130" s="544"/>
      <c r="E3130" s="544"/>
      <c r="F3130" s="544"/>
      <c r="G3130" s="60" t="s">
        <v>4212</v>
      </c>
      <c r="H3130" s="363">
        <v>1.62</v>
      </c>
      <c r="K3130" s="55" t="e">
        <f>H3155</f>
        <v>#VALUE!</v>
      </c>
      <c r="L3130" s="55">
        <f>H3165</f>
        <v>20648</v>
      </c>
      <c r="M3130" s="55" t="e">
        <f>H3138</f>
        <v>#VALUE!</v>
      </c>
      <c r="N3130" s="55" t="e">
        <f>H3159</f>
        <v>#VALUE!</v>
      </c>
    </row>
    <row r="3131" spans="1:14" ht="43.2" customHeight="1">
      <c r="A3131" s="210" t="s">
        <v>4213</v>
      </c>
      <c r="B3131" s="545" t="str">
        <f>VLOOKUP(H3130,COSTOS!C:M,2,0)</f>
        <v>Luminaria Led 60.2w agm</v>
      </c>
      <c r="C3131" s="546"/>
      <c r="D3131" s="546"/>
      <c r="E3131" s="547"/>
      <c r="F3131" s="61" t="s">
        <v>0</v>
      </c>
      <c r="G3131" s="328" t="str">
        <f>VLOOKUP(H3130,COSTOS!C:M,8,0)</f>
        <v>Und</v>
      </c>
      <c r="H3131" s="248"/>
      <c r="I3131" s="278"/>
      <c r="J3131" s="280"/>
      <c r="K3131" s="280"/>
      <c r="L3131" s="280"/>
    </row>
    <row r="3132" spans="1:14">
      <c r="A3132" s="211"/>
      <c r="B3132" s="102"/>
      <c r="C3132" s="102"/>
      <c r="D3132" s="102"/>
      <c r="E3132" s="103"/>
      <c r="F3132" s="104" t="s">
        <v>1</v>
      </c>
      <c r="G3132" s="328">
        <f>VLOOKUP(H3130,COSTOS!C:M,9,0)</f>
        <v>0</v>
      </c>
      <c r="H3132" s="329"/>
      <c r="I3132" s="279"/>
    </row>
    <row r="3133" spans="1:14">
      <c r="A3133" s="212" t="s">
        <v>4215</v>
      </c>
      <c r="B3133" s="65"/>
      <c r="C3133" s="65"/>
      <c r="D3133" s="66"/>
      <c r="E3133" s="190"/>
      <c r="F3133" s="191"/>
      <c r="G3133" s="192" t="s">
        <v>4216</v>
      </c>
      <c r="H3133" s="198" t="e">
        <f>H3138+H3155+H3159+H3165</f>
        <v>#VALUE!</v>
      </c>
    </row>
    <row r="3134" spans="1:14" ht="41.4">
      <c r="A3134" s="548" t="s">
        <v>4213</v>
      </c>
      <c r="B3134" s="548"/>
      <c r="C3134" s="548"/>
      <c r="D3134" s="67" t="s">
        <v>0</v>
      </c>
      <c r="E3134" s="188" t="s">
        <v>4217</v>
      </c>
      <c r="F3134" s="189" t="s">
        <v>4204</v>
      </c>
      <c r="G3134" s="64" t="s">
        <v>2</v>
      </c>
      <c r="H3134" s="199" t="s">
        <v>4218</v>
      </c>
      <c r="K3134" s="281"/>
    </row>
    <row r="3135" spans="1:14">
      <c r="A3135" s="517" t="s">
        <v>3946</v>
      </c>
      <c r="B3135" s="549">
        <f>VLOOKUP(A3135,'Equip, Herr y Transp'!$B$2:$E$738,2,0)</f>
        <v>2</v>
      </c>
      <c r="C3135" s="549"/>
      <c r="D3135" s="85">
        <f>VLOOKUP(A3135,'Equip, Herr y Transp'!$B$2:$E$217,2,0)</f>
        <v>2</v>
      </c>
      <c r="E3135" s="85" t="str">
        <f>VLOOKUP(A3135,'Equip, Herr y Transp'!$B$2:$E$217,3,0)</f>
        <v>EQU</v>
      </c>
      <c r="F3135" s="86">
        <f>H3125</f>
        <v>6.25E-2</v>
      </c>
      <c r="G3135" s="112" t="e">
        <f>F3135*E3135</f>
        <v>#VALUE!</v>
      </c>
      <c r="H3135" s="108"/>
    </row>
    <row r="3136" spans="1:14">
      <c r="A3136" s="517" t="s">
        <v>3904</v>
      </c>
      <c r="B3136" s="549">
        <f>VLOOKUP(A3136,'Equip, Herr y Transp'!$B$2:$E$738,2,0)</f>
        <v>2</v>
      </c>
      <c r="C3136" s="549"/>
      <c r="D3136" s="85">
        <f>VLOOKUP(A3136,'Equip, Herr y Transp'!$B$2:$E$217,2,0)</f>
        <v>2</v>
      </c>
      <c r="E3136" s="85" t="str">
        <f>VLOOKUP(A3136,'Equip, Herr y Transp'!$B$2:$E$217,3,0)</f>
        <v>EQU</v>
      </c>
      <c r="F3136" s="86">
        <f>H3125</f>
        <v>6.25E-2</v>
      </c>
      <c r="G3136" s="112" t="e">
        <f>F3136*E3136</f>
        <v>#VALUE!</v>
      </c>
      <c r="H3136" s="107"/>
    </row>
    <row r="3137" spans="1:15">
      <c r="A3137" s="517" t="s">
        <v>3937</v>
      </c>
      <c r="B3137" s="549">
        <f>VLOOKUP(A3137,'Equip, Herr y Transp'!$B$2:$E$738,2,0)</f>
        <v>2</v>
      </c>
      <c r="C3137" s="549"/>
      <c r="D3137" s="85">
        <f>VLOOKUP(A3137,'Equip, Herr y Transp'!$B$2:$E$217,2,0)</f>
        <v>2</v>
      </c>
      <c r="E3137" s="85" t="str">
        <f>VLOOKUP(A3137,'Equip, Herr y Transp'!$B$2:$E$217,3,0)</f>
        <v>EQU</v>
      </c>
      <c r="F3137" s="86">
        <f>H3125</f>
        <v>6.25E-2</v>
      </c>
      <c r="G3137" s="112" t="e">
        <f>F3137*E3137</f>
        <v>#VALUE!</v>
      </c>
      <c r="H3137" s="107"/>
    </row>
    <row r="3138" spans="1:15">
      <c r="A3138" s="520" t="s">
        <v>4099</v>
      </c>
      <c r="B3138" s="521"/>
      <c r="C3138" s="521"/>
      <c r="D3138" s="521"/>
      <c r="E3138" s="521"/>
      <c r="F3138" s="521"/>
      <c r="G3138" s="521"/>
      <c r="H3138" s="87" t="e">
        <f>SUM(G3135:G3137)</f>
        <v>#VALUE!</v>
      </c>
    </row>
    <row r="3139" spans="1:15">
      <c r="A3139" s="550" t="s">
        <v>4219</v>
      </c>
      <c r="B3139" s="551"/>
      <c r="C3139" s="551"/>
      <c r="D3139" s="551"/>
      <c r="E3139" s="551"/>
      <c r="F3139" s="551"/>
      <c r="G3139" s="551"/>
      <c r="H3139" s="552"/>
      <c r="K3139" s="50"/>
      <c r="L3139" s="50"/>
      <c r="M3139" s="50"/>
      <c r="N3139" s="50"/>
      <c r="O3139" s="50"/>
    </row>
    <row r="3140" spans="1:15" ht="30" customHeight="1">
      <c r="A3140" s="553" t="s">
        <v>7</v>
      </c>
      <c r="B3140" s="554"/>
      <c r="C3140" s="99" t="s">
        <v>0</v>
      </c>
      <c r="D3140" s="100" t="s">
        <v>4097</v>
      </c>
      <c r="E3140" s="101" t="s">
        <v>1</v>
      </c>
      <c r="F3140" s="555" t="s">
        <v>4207</v>
      </c>
      <c r="G3140" s="555"/>
      <c r="H3140" s="196"/>
      <c r="K3140" s="50"/>
      <c r="L3140" s="50"/>
      <c r="M3140" s="50"/>
      <c r="N3140" s="50"/>
      <c r="O3140" s="50"/>
    </row>
    <row r="3141" spans="1:15">
      <c r="A3141" s="535" t="s">
        <v>4761</v>
      </c>
      <c r="B3141" s="536"/>
      <c r="C3141" s="88">
        <f>VLOOKUP(A3141,'Materiales '!$C$2:$G$396,3,0)</f>
        <v>4</v>
      </c>
      <c r="D3141" s="89" t="str">
        <f>VLOOKUP(A3141,'Materiales '!$C$2:$G$396,4,0)</f>
        <v>Und</v>
      </c>
      <c r="E3141" s="90">
        <v>1</v>
      </c>
      <c r="F3141" s="508" t="e">
        <f>E3141*D3141</f>
        <v>#VALUE!</v>
      </c>
      <c r="G3141" s="519"/>
      <c r="H3141" s="111"/>
      <c r="I3141">
        <f>E3141*G3132</f>
        <v>0</v>
      </c>
      <c r="J3141" s="57"/>
      <c r="K3141" s="50"/>
      <c r="L3141" s="50"/>
      <c r="M3141" s="50"/>
      <c r="N3141" s="50"/>
      <c r="O3141" s="50"/>
    </row>
    <row r="3142" spans="1:15">
      <c r="A3142" s="535" t="s">
        <v>4203</v>
      </c>
      <c r="B3142" s="536"/>
      <c r="C3142" s="88">
        <f>VLOOKUP(A3142,'Materiales '!$C$2:$G$396,3,0)</f>
        <v>4</v>
      </c>
      <c r="D3142" s="89" t="str">
        <f>VLOOKUP(A3142,'Materiales '!$C$2:$G$396,4,0)</f>
        <v>Und</v>
      </c>
      <c r="E3142" s="90">
        <v>1</v>
      </c>
      <c r="F3142" s="508" t="e">
        <f t="shared" ref="F3142:F3148" si="184">E3142*D3142</f>
        <v>#VALUE!</v>
      </c>
      <c r="G3142" s="519"/>
      <c r="H3142" s="111"/>
      <c r="I3142">
        <f>E3142*G3132</f>
        <v>0</v>
      </c>
      <c r="J3142" s="57"/>
      <c r="K3142" s="50"/>
      <c r="L3142" s="50"/>
      <c r="M3142" s="50"/>
      <c r="N3142" s="50"/>
      <c r="O3142" s="50"/>
    </row>
    <row r="3143" spans="1:15">
      <c r="A3143" s="517" t="s">
        <v>4473</v>
      </c>
      <c r="B3143" s="518">
        <f>VLOOKUP(A3143,'Materiales '!$C$2:$G$396,3,0)</f>
        <v>4</v>
      </c>
      <c r="C3143" s="88">
        <f>VLOOKUP(A3143,'Materiales '!$C$2:$G$396,3,0)</f>
        <v>4</v>
      </c>
      <c r="D3143" s="89" t="str">
        <f>VLOOKUP(A3143,'Materiales '!$C$2:$G$396,4,0)</f>
        <v>Und</v>
      </c>
      <c r="E3143" s="90">
        <v>2</v>
      </c>
      <c r="F3143" s="508" t="e">
        <f t="shared" si="184"/>
        <v>#VALUE!</v>
      </c>
      <c r="G3143" s="519"/>
      <c r="H3143" s="111"/>
      <c r="I3143">
        <f>E3143*G3132</f>
        <v>0</v>
      </c>
      <c r="J3143" s="58"/>
      <c r="K3143" s="50"/>
      <c r="L3143" s="50"/>
      <c r="M3143" s="50"/>
      <c r="N3143" s="50"/>
      <c r="O3143" s="50"/>
    </row>
    <row r="3144" spans="1:15">
      <c r="A3144" s="517" t="s">
        <v>4478</v>
      </c>
      <c r="B3144" s="518">
        <f>VLOOKUP(A3144,'Materiales '!$C$2:$G$396,3,0)</f>
        <v>4</v>
      </c>
      <c r="C3144" s="88">
        <f>VLOOKUP(A3144,'Materiales '!$C$2:$G$396,3,0)</f>
        <v>4</v>
      </c>
      <c r="D3144" s="89" t="str">
        <f>VLOOKUP(A3144,'Materiales '!$C$2:$G$396,4,0)</f>
        <v>Und</v>
      </c>
      <c r="E3144" s="90">
        <v>3</v>
      </c>
      <c r="F3144" s="508" t="e">
        <f t="shared" si="184"/>
        <v>#VALUE!</v>
      </c>
      <c r="G3144" s="519"/>
      <c r="H3144" s="111"/>
      <c r="I3144">
        <f>E3144*G3132</f>
        <v>0</v>
      </c>
      <c r="J3144" s="58"/>
      <c r="K3144" s="50"/>
      <c r="L3144" s="50"/>
      <c r="M3144" s="50"/>
      <c r="N3144" s="50"/>
      <c r="O3144" s="50"/>
    </row>
    <row r="3145" spans="1:15">
      <c r="A3145" s="517" t="s">
        <v>4543</v>
      </c>
      <c r="B3145" s="518">
        <f>VLOOKUP(A3145,'Materiales '!$C$2:$G$396,3,0)</f>
        <v>4</v>
      </c>
      <c r="C3145" s="88">
        <f>VLOOKUP(A3145,'Materiales '!$C$2:$G$396,3,0)</f>
        <v>4</v>
      </c>
      <c r="D3145" s="89" t="str">
        <f>VLOOKUP(A3145,'Materiales '!$C$2:$G$396,4,0)</f>
        <v>Und</v>
      </c>
      <c r="E3145" s="90">
        <v>2</v>
      </c>
      <c r="F3145" s="508" t="e">
        <f t="shared" si="184"/>
        <v>#VALUE!</v>
      </c>
      <c r="G3145" s="519"/>
      <c r="H3145" s="111"/>
      <c r="I3145">
        <f>E3145*G3132</f>
        <v>0</v>
      </c>
      <c r="J3145" s="58"/>
      <c r="K3145" s="50"/>
      <c r="L3145" s="50"/>
      <c r="M3145" s="50"/>
      <c r="N3145" s="50"/>
      <c r="O3145" s="50"/>
    </row>
    <row r="3146" spans="1:15">
      <c r="A3146" s="517" t="s">
        <v>4439</v>
      </c>
      <c r="B3146" s="518">
        <f>VLOOKUP(A3146,'Materiales '!$C$2:$G$396,3,0)</f>
        <v>2</v>
      </c>
      <c r="C3146" s="88">
        <f>VLOOKUP(A3146,'Materiales '!$C$2:$G$396,3,0)</f>
        <v>2</v>
      </c>
      <c r="D3146" s="89" t="str">
        <f>VLOOKUP(A3146,'Materiales '!$C$2:$G$396,4,0)</f>
        <v>Ml</v>
      </c>
      <c r="E3146" s="90">
        <v>1</v>
      </c>
      <c r="F3146" s="508" t="e">
        <f t="shared" si="184"/>
        <v>#VALUE!</v>
      </c>
      <c r="G3146" s="519"/>
      <c r="H3146" s="111"/>
      <c r="I3146">
        <f>E3146*G3132</f>
        <v>0</v>
      </c>
      <c r="J3146" s="58"/>
      <c r="K3146" s="50"/>
      <c r="L3146" s="50"/>
      <c r="M3146" s="50"/>
      <c r="N3146" s="50"/>
      <c r="O3146" s="50"/>
    </row>
    <row r="3147" spans="1:15">
      <c r="A3147" s="517" t="s">
        <v>4482</v>
      </c>
      <c r="B3147" s="518">
        <f>VLOOKUP(A3147,'Materiales '!$C$2:$G$396,3,0)</f>
        <v>4</v>
      </c>
      <c r="C3147" s="88">
        <f>VLOOKUP(A3147,'Materiales '!$C$2:$G$396,3,0)</f>
        <v>4</v>
      </c>
      <c r="D3147" s="89" t="str">
        <f>VLOOKUP(A3147,'Materiales '!$C$2:$G$396,4,0)</f>
        <v>Und</v>
      </c>
      <c r="E3147" s="90">
        <v>3</v>
      </c>
      <c r="F3147" s="508" t="e">
        <f t="shared" si="184"/>
        <v>#VALUE!</v>
      </c>
      <c r="G3147" s="519"/>
      <c r="H3147" s="111"/>
      <c r="I3147">
        <f>E3147*G3132</f>
        <v>0</v>
      </c>
      <c r="J3147" s="58"/>
      <c r="K3147" s="50"/>
      <c r="L3147" s="50"/>
      <c r="M3147" s="50"/>
      <c r="N3147" s="50"/>
      <c r="O3147" s="50"/>
    </row>
    <row r="3148" spans="1:15" ht="21.75" customHeight="1">
      <c r="A3148" s="517" t="s">
        <v>4628</v>
      </c>
      <c r="B3148" s="518">
        <f>VLOOKUP(A3148,'Materiales '!$C$2:$G$396,3,0)</f>
        <v>4</v>
      </c>
      <c r="C3148" s="88">
        <f>VLOOKUP(A3148,'Materiales '!$C$2:$G$396,3,0)</f>
        <v>4</v>
      </c>
      <c r="D3148" s="89" t="str">
        <f>VLOOKUP(A3148,'Materiales '!$C$2:$G$396,4,0)</f>
        <v>Und</v>
      </c>
      <c r="E3148" s="90">
        <v>1</v>
      </c>
      <c r="F3148" s="508" t="e">
        <f t="shared" si="184"/>
        <v>#VALUE!</v>
      </c>
      <c r="G3148" s="519"/>
      <c r="H3148" s="111"/>
      <c r="I3148">
        <f>E3148*G3132</f>
        <v>0</v>
      </c>
      <c r="J3148" s="58"/>
      <c r="K3148" s="50"/>
      <c r="L3148" s="50"/>
      <c r="M3148" s="50"/>
      <c r="N3148" s="50"/>
      <c r="O3148" s="50"/>
    </row>
    <row r="3149" spans="1:15">
      <c r="A3149" s="517" t="s">
        <v>8</v>
      </c>
      <c r="B3149" s="518">
        <f>VLOOKUP(A3149,'Materiales '!$C$2:$G$396,3,0)</f>
        <v>0</v>
      </c>
      <c r="C3149" s="88">
        <f>VLOOKUP(A3149,'Materiales '!$C$2:$G$396,3,0)</f>
        <v>0</v>
      </c>
      <c r="D3149" s="89" t="str">
        <f>VLOOKUP(A3149,'Materiales '!$C$2:$G$396,4,0)</f>
        <v>-</v>
      </c>
      <c r="E3149" s="90"/>
      <c r="F3149" s="508" t="e">
        <f>E3149*D3149</f>
        <v>#VALUE!</v>
      </c>
      <c r="G3149" s="519"/>
      <c r="H3149" s="110"/>
      <c r="I3149">
        <f>E3149*G3132</f>
        <v>0</v>
      </c>
      <c r="J3149" s="58"/>
      <c r="K3149" s="50"/>
      <c r="L3149" s="50"/>
      <c r="M3149" s="50"/>
      <c r="N3149" s="50"/>
      <c r="O3149" s="50"/>
    </row>
    <row r="3150" spans="1:15">
      <c r="A3150" s="517" t="s">
        <v>8</v>
      </c>
      <c r="B3150" s="518">
        <f>VLOOKUP(A3150,'Materiales '!$C$2:$G$396,3,0)</f>
        <v>0</v>
      </c>
      <c r="C3150" s="88">
        <f>VLOOKUP(A3150,'Materiales '!$C$2:$G$396,3,0)</f>
        <v>0</v>
      </c>
      <c r="D3150" s="89" t="str">
        <f>VLOOKUP(A3150,'Materiales '!$C$2:$G$396,4,0)</f>
        <v>-</v>
      </c>
      <c r="E3150" s="90"/>
      <c r="F3150" s="508" t="e">
        <f t="shared" ref="F3150:F3153" si="185">E3150*D3150</f>
        <v>#VALUE!</v>
      </c>
      <c r="G3150" s="519"/>
      <c r="H3150" s="111"/>
      <c r="I3150">
        <f>E3150*G3132</f>
        <v>0</v>
      </c>
      <c r="J3150" s="58"/>
      <c r="K3150" s="50"/>
      <c r="L3150" s="50"/>
      <c r="M3150" s="50"/>
      <c r="N3150" s="50"/>
      <c r="O3150" s="50"/>
    </row>
    <row r="3151" spans="1:15">
      <c r="A3151" s="517" t="s">
        <v>8</v>
      </c>
      <c r="B3151" s="518">
        <f>VLOOKUP(A3151,'Materiales '!$C$2:$G$396,3,0)</f>
        <v>0</v>
      </c>
      <c r="C3151" s="88">
        <f>VLOOKUP(A3151,'Materiales '!$C$2:$G$396,3,0)</f>
        <v>0</v>
      </c>
      <c r="D3151" s="89" t="str">
        <f>VLOOKUP(A3151,'Materiales '!$C$2:$G$396,4,0)</f>
        <v>-</v>
      </c>
      <c r="E3151" s="90"/>
      <c r="F3151" s="508" t="e">
        <f t="shared" si="185"/>
        <v>#VALUE!</v>
      </c>
      <c r="G3151" s="519"/>
      <c r="H3151" s="111"/>
      <c r="I3151">
        <f>E3151*G3132</f>
        <v>0</v>
      </c>
      <c r="J3151" s="58"/>
      <c r="K3151" s="50"/>
      <c r="L3151" s="50"/>
      <c r="M3151" s="50"/>
      <c r="N3151" s="50"/>
      <c r="O3151" s="50"/>
    </row>
    <row r="3152" spans="1:15">
      <c r="A3152" s="517" t="s">
        <v>8</v>
      </c>
      <c r="B3152" s="518">
        <f>VLOOKUP(A3152,'Materiales '!$C$2:$G$396,3,0)</f>
        <v>0</v>
      </c>
      <c r="C3152" s="88">
        <f>VLOOKUP(A3152,'Materiales '!$C$2:$G$396,3,0)</f>
        <v>0</v>
      </c>
      <c r="D3152" s="89" t="str">
        <f>VLOOKUP(A3152,'Materiales '!$C$2:$G$396,4,0)</f>
        <v>-</v>
      </c>
      <c r="E3152" s="90"/>
      <c r="F3152" s="508" t="e">
        <f t="shared" si="185"/>
        <v>#VALUE!</v>
      </c>
      <c r="G3152" s="519"/>
      <c r="H3152" s="111"/>
      <c r="I3152">
        <f>E3152*G3132</f>
        <v>0</v>
      </c>
      <c r="J3152" s="58"/>
      <c r="K3152" s="50"/>
      <c r="L3152" s="50"/>
      <c r="M3152" s="50"/>
      <c r="N3152" s="50"/>
      <c r="O3152" s="50"/>
    </row>
    <row r="3153" spans="1:15">
      <c r="A3153" s="517" t="s">
        <v>8</v>
      </c>
      <c r="B3153" s="518">
        <f>VLOOKUP(A3153,'Materiales '!$C$2:$G$396,3,0)</f>
        <v>0</v>
      </c>
      <c r="C3153" s="88">
        <f>VLOOKUP(A3153,'Materiales '!$C$2:$G$396,3,0)</f>
        <v>0</v>
      </c>
      <c r="D3153" s="89" t="str">
        <f>VLOOKUP(A3153,'Materiales '!$C$2:$G$396,4,0)</f>
        <v>-</v>
      </c>
      <c r="E3153" s="90"/>
      <c r="F3153" s="508" t="e">
        <f t="shared" si="185"/>
        <v>#VALUE!</v>
      </c>
      <c r="G3153" s="519"/>
      <c r="H3153" s="111"/>
      <c r="I3153">
        <f>E3153*G3132</f>
        <v>0</v>
      </c>
      <c r="J3153" s="58"/>
      <c r="K3153" s="50"/>
      <c r="L3153" s="50"/>
      <c r="M3153" s="50"/>
      <c r="N3153" s="50"/>
      <c r="O3153" s="50"/>
    </row>
    <row r="3154" spans="1:15">
      <c r="A3154" s="517" t="s">
        <v>8</v>
      </c>
      <c r="B3154" s="518">
        <f>VLOOKUP(A3154,'Materiales '!$C$2:$G$396,3,0)</f>
        <v>0</v>
      </c>
      <c r="C3154" s="88">
        <f>VLOOKUP(A3154,'Materiales '!$C$2:$G$396,3,0)</f>
        <v>0</v>
      </c>
      <c r="D3154" s="89" t="str">
        <f>VLOOKUP(A3154,'Materiales '!$C$2:$G$396,4,0)</f>
        <v>-</v>
      </c>
      <c r="E3154" s="90"/>
      <c r="F3154" s="508" t="e">
        <f>E3154*D3154</f>
        <v>#VALUE!</v>
      </c>
      <c r="G3154" s="519"/>
      <c r="H3154" s="110"/>
      <c r="I3154">
        <f>E3154*G3132</f>
        <v>0</v>
      </c>
      <c r="J3154" s="58"/>
      <c r="K3154" s="50"/>
      <c r="L3154" s="50"/>
      <c r="M3154" s="50"/>
      <c r="N3154" s="50"/>
      <c r="O3154" s="50"/>
    </row>
    <row r="3155" spans="1:15">
      <c r="A3155" s="520" t="s">
        <v>4098</v>
      </c>
      <c r="B3155" s="521"/>
      <c r="C3155" s="521"/>
      <c r="D3155" s="521"/>
      <c r="E3155" s="521"/>
      <c r="F3155" s="521"/>
      <c r="G3155" s="522"/>
      <c r="H3155" s="106" t="e">
        <f>SUM(F3141:F3154)</f>
        <v>#VALUE!</v>
      </c>
      <c r="J3155" s="58"/>
      <c r="K3155" s="50"/>
      <c r="L3155" s="50"/>
      <c r="M3155" s="50"/>
      <c r="N3155" s="50"/>
      <c r="O3155" s="50"/>
    </row>
    <row r="3156" spans="1:15">
      <c r="A3156" s="523" t="s">
        <v>4220</v>
      </c>
      <c r="B3156" s="524"/>
      <c r="C3156" s="524"/>
      <c r="D3156" s="524"/>
      <c r="E3156" s="525"/>
      <c r="F3156" s="524"/>
      <c r="G3156" s="524"/>
      <c r="H3156" s="526"/>
      <c r="J3156" s="58"/>
      <c r="K3156" s="50"/>
      <c r="L3156" s="50"/>
      <c r="M3156" s="50"/>
      <c r="N3156" s="50"/>
      <c r="O3156" s="50"/>
    </row>
    <row r="3157" spans="1:15">
      <c r="A3157" s="527" t="s">
        <v>7</v>
      </c>
      <c r="B3157" s="528"/>
      <c r="C3157" s="98" t="s">
        <v>4221</v>
      </c>
      <c r="D3157" s="97" t="s">
        <v>4222</v>
      </c>
      <c r="E3157" s="187" t="s">
        <v>4223</v>
      </c>
      <c r="F3157" s="529" t="s">
        <v>4207</v>
      </c>
      <c r="G3157" s="529"/>
      <c r="H3157" s="109"/>
      <c r="K3157" s="50"/>
      <c r="L3157" s="50"/>
      <c r="M3157" s="50"/>
      <c r="N3157" s="50"/>
      <c r="O3157" s="50"/>
    </row>
    <row r="3158" spans="1:15">
      <c r="A3158" s="506" t="s">
        <v>3928</v>
      </c>
      <c r="B3158" s="507"/>
      <c r="C3158" s="213">
        <v>1</v>
      </c>
      <c r="D3158" s="92">
        <v>0.03</v>
      </c>
      <c r="E3158" s="93" t="str">
        <f>VLOOKUP(A3158,'Equip, Herr y Transp'!$B$2:$E$217,3,0)</f>
        <v>TR</v>
      </c>
      <c r="F3158" s="530" t="e">
        <f>E3158*D3158*C3158</f>
        <v>#VALUE!</v>
      </c>
      <c r="G3158" s="531"/>
      <c r="H3158" s="107"/>
      <c r="M3158" s="50"/>
    </row>
    <row r="3159" spans="1:15">
      <c r="A3159" s="532" t="s">
        <v>4205</v>
      </c>
      <c r="B3159" s="533"/>
      <c r="C3159" s="533"/>
      <c r="D3159" s="533"/>
      <c r="E3159" s="533"/>
      <c r="F3159" s="533"/>
      <c r="G3159" s="533"/>
      <c r="H3159" s="95" t="e">
        <f>F3158</f>
        <v>#VALUE!</v>
      </c>
    </row>
    <row r="3160" spans="1:15">
      <c r="A3160" s="523" t="s">
        <v>4224</v>
      </c>
      <c r="B3160" s="524"/>
      <c r="C3160" s="524"/>
      <c r="D3160" s="524"/>
      <c r="E3160" s="524"/>
      <c r="F3160" s="524"/>
      <c r="G3160" s="524"/>
      <c r="H3160" s="526"/>
    </row>
    <row r="3161" spans="1:15">
      <c r="A3161" s="527" t="s">
        <v>7</v>
      </c>
      <c r="B3161" s="528"/>
      <c r="C3161" s="96" t="s">
        <v>1</v>
      </c>
      <c r="D3161" s="97" t="s">
        <v>4225</v>
      </c>
      <c r="E3161" s="98" t="s">
        <v>4204</v>
      </c>
      <c r="F3161" s="527" t="s">
        <v>5</v>
      </c>
      <c r="G3161" s="534"/>
      <c r="H3161" s="109"/>
    </row>
    <row r="3162" spans="1:15">
      <c r="A3162" s="506" t="s">
        <v>4191</v>
      </c>
      <c r="B3162" s="507"/>
      <c r="C3162" s="91">
        <v>1</v>
      </c>
      <c r="D3162" s="94">
        <f>VLOOKUP(A3162,'Mano Obra'!$B$2:$T$117,19,0)</f>
        <v>152456</v>
      </c>
      <c r="E3162" s="218">
        <f>H3125</f>
        <v>6.25E-2</v>
      </c>
      <c r="F3162" s="508">
        <f>E3162*D3162*C3162</f>
        <v>9528.5</v>
      </c>
      <c r="G3162" s="509"/>
      <c r="H3162" s="111"/>
      <c r="I3162" s="59"/>
      <c r="J3162" s="117">
        <f>((('Mano Obra'!$M$4/30)*F3162)/D3162)*G3132</f>
        <v>0</v>
      </c>
    </row>
    <row r="3163" spans="1:15">
      <c r="A3163" s="510" t="s">
        <v>4192</v>
      </c>
      <c r="B3163" s="511">
        <f>VLOOKUP(A3163,'Mano Obra'!$B$3:$D$290,2,0)</f>
        <v>1900000</v>
      </c>
      <c r="C3163" s="91">
        <v>1</v>
      </c>
      <c r="D3163" s="94">
        <f>VLOOKUP(A3163,'Mano Obra'!$B$2:$T$117,19,0)</f>
        <v>110488</v>
      </c>
      <c r="E3163" s="218">
        <f>H3125</f>
        <v>6.25E-2</v>
      </c>
      <c r="F3163" s="508">
        <f t="shared" ref="F3163:F3164" si="186">E3163*D3163*C3163</f>
        <v>6905.5</v>
      </c>
      <c r="G3163" s="509"/>
      <c r="H3163" s="111"/>
      <c r="J3163" s="117">
        <f>((('Mano Obra'!$M$5/30)*F3163)/D3163)*G3132</f>
        <v>0</v>
      </c>
    </row>
    <row r="3164" spans="1:15">
      <c r="A3164" s="510" t="s">
        <v>4181</v>
      </c>
      <c r="B3164" s="511">
        <f>VLOOKUP(A3164,'Mano Obra'!$B$3:$D$290,2,0)</f>
        <v>1000000</v>
      </c>
      <c r="C3164" s="91">
        <v>1</v>
      </c>
      <c r="D3164" s="94">
        <f>VLOOKUP(A3164,'Mano Obra'!$B$2:$T$117,19,0)</f>
        <v>67424</v>
      </c>
      <c r="E3164" s="218">
        <f>H3125</f>
        <v>6.25E-2</v>
      </c>
      <c r="F3164" s="508">
        <f t="shared" si="186"/>
        <v>4214</v>
      </c>
      <c r="G3164" s="509"/>
      <c r="H3164" s="110"/>
      <c r="J3164" s="117">
        <f>((('Mano Obra'!$M$6/30)*F3164)/D3164)*G3132</f>
        <v>0</v>
      </c>
    </row>
    <row r="3165" spans="1:15">
      <c r="A3165" s="512" t="s">
        <v>4100</v>
      </c>
      <c r="B3165" s="512"/>
      <c r="C3165" s="512"/>
      <c r="D3165" s="512"/>
      <c r="E3165" s="512"/>
      <c r="F3165" s="512"/>
      <c r="G3165" s="512"/>
      <c r="H3165" s="95">
        <f>SUM(F3162:F3164)</f>
        <v>20648</v>
      </c>
      <c r="J3165" s="117"/>
    </row>
    <row r="3166" spans="1:15">
      <c r="A3166" s="208" t="s">
        <v>4226</v>
      </c>
      <c r="B3166" s="186"/>
      <c r="C3166" s="186"/>
      <c r="D3166" s="183"/>
      <c r="E3166" s="184"/>
      <c r="F3166" s="185"/>
      <c r="G3166" s="184"/>
      <c r="H3166" s="193"/>
    </row>
    <row r="3167" spans="1:15">
      <c r="A3167" s="513" t="s">
        <v>4213</v>
      </c>
      <c r="B3167" s="514"/>
      <c r="C3167" s="514"/>
      <c r="D3167" s="514"/>
      <c r="E3167" s="181"/>
      <c r="F3167" s="182" t="s">
        <v>4227</v>
      </c>
      <c r="G3167" s="181" t="s">
        <v>4228</v>
      </c>
      <c r="H3167" s="194"/>
    </row>
    <row r="3168" spans="1:15">
      <c r="A3168" s="204" t="s">
        <v>4096</v>
      </c>
      <c r="B3168" s="62"/>
      <c r="C3168" s="62"/>
      <c r="D3168" s="63"/>
      <c r="E3168" s="68"/>
      <c r="F3168" s="69">
        <v>0</v>
      </c>
      <c r="G3168" s="70" t="e">
        <f>F3168*H3133</f>
        <v>#VALUE!</v>
      </c>
      <c r="H3168" s="193"/>
    </row>
    <row r="3169" spans="1:14">
      <c r="A3169" s="205" t="s">
        <v>4229</v>
      </c>
      <c r="B3169" s="71"/>
      <c r="C3169" s="71"/>
      <c r="D3169" s="72"/>
      <c r="E3169" s="68"/>
      <c r="F3169" s="69">
        <v>0</v>
      </c>
      <c r="G3169" s="70" t="e">
        <f>F3169*H3133</f>
        <v>#VALUE!</v>
      </c>
      <c r="H3169" s="193"/>
    </row>
    <row r="3170" spans="1:14">
      <c r="A3170" s="205" t="s">
        <v>4</v>
      </c>
      <c r="B3170" s="71"/>
      <c r="C3170" s="71"/>
      <c r="D3170" s="72"/>
      <c r="E3170" s="68"/>
      <c r="F3170" s="69">
        <v>0</v>
      </c>
      <c r="G3170" s="70" t="e">
        <f>F3170*H3133</f>
        <v>#VALUE!</v>
      </c>
      <c r="H3170" s="193"/>
    </row>
    <row r="3171" spans="1:14">
      <c r="A3171" s="206"/>
      <c r="B3171" s="73"/>
      <c r="C3171" s="65"/>
      <c r="D3171" s="74"/>
      <c r="E3171" s="75"/>
      <c r="F3171" s="76"/>
      <c r="G3171" s="77"/>
      <c r="H3171" s="195"/>
    </row>
    <row r="3172" spans="1:14">
      <c r="A3172" s="207"/>
      <c r="B3172" s="73"/>
      <c r="C3172" s="73"/>
      <c r="D3172" s="74"/>
      <c r="E3172" s="78"/>
      <c r="F3172" s="515" t="s">
        <v>4230</v>
      </c>
      <c r="G3172" s="516"/>
      <c r="H3172" s="214" t="e">
        <f>H3133+G3168+G3169+G3170</f>
        <v>#VALUE!</v>
      </c>
    </row>
    <row r="3173" spans="1:14">
      <c r="A3173" s="73"/>
      <c r="B3173" s="73"/>
      <c r="C3173" s="73"/>
      <c r="D3173" s="74"/>
      <c r="E3173" s="360"/>
      <c r="F3173" s="361"/>
      <c r="G3173" s="361"/>
      <c r="H3173" s="362"/>
    </row>
    <row r="3174" spans="1:14">
      <c r="A3174" s="80"/>
      <c r="B3174" s="80"/>
      <c r="C3174" s="80"/>
      <c r="D3174" s="80"/>
      <c r="E3174" s="80"/>
      <c r="F3174" s="80"/>
      <c r="G3174" s="80"/>
      <c r="H3174" s="353"/>
    </row>
    <row r="3175" spans="1:14">
      <c r="A3175" s="537" t="s">
        <v>4214</v>
      </c>
      <c r="B3175" s="538"/>
      <c r="C3175" s="538"/>
      <c r="D3175" s="538"/>
      <c r="E3175" s="538"/>
      <c r="F3175" s="538"/>
      <c r="G3175" s="538"/>
      <c r="H3175" s="539"/>
    </row>
    <row r="3176" spans="1:14">
      <c r="A3176" s="81"/>
      <c r="B3176" s="82"/>
      <c r="C3176" s="82"/>
      <c r="D3176" s="82"/>
      <c r="E3176" s="82"/>
      <c r="F3176" s="83"/>
      <c r="G3176" s="84"/>
      <c r="H3176" s="352">
        <f>ROUND((30/60)/8,4)</f>
        <v>6.25E-2</v>
      </c>
      <c r="I3176" s="105"/>
    </row>
    <row r="3177" spans="1:14">
      <c r="A3177" s="540" t="s">
        <v>4209</v>
      </c>
      <c r="B3177" s="542" t="str">
        <f>COSTOS!$C$14</f>
        <v>MODERNIZACION A TECNOLOGIA LED</v>
      </c>
      <c r="C3177" s="542"/>
      <c r="D3177" s="542"/>
      <c r="E3177" s="542"/>
      <c r="F3177" s="542"/>
      <c r="G3177" s="542"/>
      <c r="H3177" s="543" t="s">
        <v>4210</v>
      </c>
    </row>
    <row r="3178" spans="1:14">
      <c r="A3178" s="541"/>
      <c r="B3178" s="542"/>
      <c r="C3178" s="542"/>
      <c r="D3178" s="542"/>
      <c r="E3178" s="542"/>
      <c r="F3178" s="542"/>
      <c r="G3178" s="542"/>
      <c r="H3178" s="543"/>
    </row>
    <row r="3179" spans="1:14">
      <c r="A3179" s="541"/>
      <c r="B3179" s="542"/>
      <c r="C3179" s="542"/>
      <c r="D3179" s="542"/>
      <c r="E3179" s="542"/>
      <c r="F3179" s="542"/>
      <c r="G3179" s="542"/>
      <c r="H3179" s="543"/>
    </row>
    <row r="3180" spans="1:14" ht="15" customHeight="1">
      <c r="A3180" s="541"/>
      <c r="B3180" s="542"/>
      <c r="C3180" s="542"/>
      <c r="D3180" s="542"/>
      <c r="E3180" s="542"/>
      <c r="F3180" s="542"/>
      <c r="G3180" s="542"/>
      <c r="H3180" s="197">
        <f ca="1">TODAY()</f>
        <v>44889</v>
      </c>
      <c r="K3180" t="s">
        <v>4380</v>
      </c>
      <c r="L3180" t="s">
        <v>4381</v>
      </c>
      <c r="M3180" t="s">
        <v>4382</v>
      </c>
      <c r="N3180" t="s">
        <v>4383</v>
      </c>
    </row>
    <row r="3181" spans="1:14" ht="60.75" customHeight="1">
      <c r="A3181" s="209" t="s">
        <v>4211</v>
      </c>
      <c r="B3181" s="544" t="str">
        <f>COSTOS!$D$16</f>
        <v>Luminarias</v>
      </c>
      <c r="C3181" s="544"/>
      <c r="D3181" s="544"/>
      <c r="E3181" s="544"/>
      <c r="F3181" s="544"/>
      <c r="G3181" s="60" t="s">
        <v>4212</v>
      </c>
      <c r="H3181" s="363">
        <v>1.63</v>
      </c>
      <c r="K3181" s="55" t="e">
        <f>H3206</f>
        <v>#VALUE!</v>
      </c>
      <c r="L3181" s="55">
        <f>H3216</f>
        <v>20648</v>
      </c>
      <c r="M3181" s="55" t="e">
        <f>H3189</f>
        <v>#VALUE!</v>
      </c>
      <c r="N3181" s="55" t="e">
        <f>H3210</f>
        <v>#VALUE!</v>
      </c>
    </row>
    <row r="3182" spans="1:14" ht="43.2" customHeight="1">
      <c r="A3182" s="210" t="s">
        <v>4213</v>
      </c>
      <c r="B3182" s="545" t="str">
        <f>VLOOKUP(H3181,COSTOS!C:M,2,0)</f>
        <v>Luminaria Led 74.1w agm</v>
      </c>
      <c r="C3182" s="546"/>
      <c r="D3182" s="546"/>
      <c r="E3182" s="547"/>
      <c r="F3182" s="61" t="s">
        <v>0</v>
      </c>
      <c r="G3182" s="328" t="str">
        <f>VLOOKUP(H3181,COSTOS!C:M,8,0)</f>
        <v>Und</v>
      </c>
      <c r="H3182" s="248"/>
      <c r="I3182" s="278"/>
      <c r="J3182" s="280"/>
      <c r="K3182" s="280"/>
      <c r="L3182" s="280"/>
    </row>
    <row r="3183" spans="1:14">
      <c r="A3183" s="211"/>
      <c r="B3183" s="102"/>
      <c r="C3183" s="102"/>
      <c r="D3183" s="102"/>
      <c r="E3183" s="103"/>
      <c r="F3183" s="104" t="s">
        <v>1</v>
      </c>
      <c r="G3183" s="328">
        <f>VLOOKUP(H3181,COSTOS!C:M,9,0)</f>
        <v>0</v>
      </c>
      <c r="H3183" s="329"/>
      <c r="I3183" s="279"/>
    </row>
    <row r="3184" spans="1:14">
      <c r="A3184" s="212" t="s">
        <v>4215</v>
      </c>
      <c r="B3184" s="65"/>
      <c r="C3184" s="65"/>
      <c r="D3184" s="66"/>
      <c r="E3184" s="190"/>
      <c r="F3184" s="191"/>
      <c r="G3184" s="192" t="s">
        <v>4216</v>
      </c>
      <c r="H3184" s="198" t="e">
        <f>H3189+H3206+H3210+H3216</f>
        <v>#VALUE!</v>
      </c>
    </row>
    <row r="3185" spans="1:15" ht="41.4">
      <c r="A3185" s="548" t="s">
        <v>4213</v>
      </c>
      <c r="B3185" s="548"/>
      <c r="C3185" s="548"/>
      <c r="D3185" s="67" t="s">
        <v>0</v>
      </c>
      <c r="E3185" s="188" t="s">
        <v>4217</v>
      </c>
      <c r="F3185" s="189" t="s">
        <v>4204</v>
      </c>
      <c r="G3185" s="64" t="s">
        <v>2</v>
      </c>
      <c r="H3185" s="199" t="s">
        <v>4218</v>
      </c>
      <c r="K3185" s="281"/>
    </row>
    <row r="3186" spans="1:15">
      <c r="A3186" s="517" t="s">
        <v>3946</v>
      </c>
      <c r="B3186" s="549">
        <f>VLOOKUP(A3186,'Equip, Herr y Transp'!$B$2:$E$738,2,0)</f>
        <v>2</v>
      </c>
      <c r="C3186" s="549"/>
      <c r="D3186" s="85">
        <f>VLOOKUP(A3186,'Equip, Herr y Transp'!$B$2:$E$217,2,0)</f>
        <v>2</v>
      </c>
      <c r="E3186" s="85" t="str">
        <f>VLOOKUP(A3186,'Equip, Herr y Transp'!$B$2:$E$217,3,0)</f>
        <v>EQU</v>
      </c>
      <c r="F3186" s="86">
        <f>H3176</f>
        <v>6.25E-2</v>
      </c>
      <c r="G3186" s="112" t="e">
        <f>F3186*E3186</f>
        <v>#VALUE!</v>
      </c>
      <c r="H3186" s="108"/>
    </row>
    <row r="3187" spans="1:15">
      <c r="A3187" s="517" t="s">
        <v>3904</v>
      </c>
      <c r="B3187" s="549">
        <f>VLOOKUP(A3187,'Equip, Herr y Transp'!$B$2:$E$738,2,0)</f>
        <v>2</v>
      </c>
      <c r="C3187" s="549"/>
      <c r="D3187" s="85">
        <f>VLOOKUP(A3187,'Equip, Herr y Transp'!$B$2:$E$217,2,0)</f>
        <v>2</v>
      </c>
      <c r="E3187" s="85" t="str">
        <f>VLOOKUP(A3187,'Equip, Herr y Transp'!$B$2:$E$217,3,0)</f>
        <v>EQU</v>
      </c>
      <c r="F3187" s="86">
        <f>H3176</f>
        <v>6.25E-2</v>
      </c>
      <c r="G3187" s="112" t="e">
        <f>F3187*E3187</f>
        <v>#VALUE!</v>
      </c>
      <c r="H3187" s="107"/>
    </row>
    <row r="3188" spans="1:15">
      <c r="A3188" s="517" t="s">
        <v>3937</v>
      </c>
      <c r="B3188" s="549">
        <f>VLOOKUP(A3188,'Equip, Herr y Transp'!$B$2:$E$738,2,0)</f>
        <v>2</v>
      </c>
      <c r="C3188" s="549"/>
      <c r="D3188" s="85">
        <f>VLOOKUP(A3188,'Equip, Herr y Transp'!$B$2:$E$217,2,0)</f>
        <v>2</v>
      </c>
      <c r="E3188" s="85" t="str">
        <f>VLOOKUP(A3188,'Equip, Herr y Transp'!$B$2:$E$217,3,0)</f>
        <v>EQU</v>
      </c>
      <c r="F3188" s="86">
        <f>H3176</f>
        <v>6.25E-2</v>
      </c>
      <c r="G3188" s="112" t="e">
        <f>F3188*E3188</f>
        <v>#VALUE!</v>
      </c>
      <c r="H3188" s="107"/>
    </row>
    <row r="3189" spans="1:15">
      <c r="A3189" s="520" t="s">
        <v>4099</v>
      </c>
      <c r="B3189" s="521"/>
      <c r="C3189" s="521"/>
      <c r="D3189" s="521"/>
      <c r="E3189" s="521"/>
      <c r="F3189" s="521"/>
      <c r="G3189" s="521"/>
      <c r="H3189" s="87" t="e">
        <f>SUM(G3186:G3188)</f>
        <v>#VALUE!</v>
      </c>
    </row>
    <row r="3190" spans="1:15">
      <c r="A3190" s="550" t="s">
        <v>4219</v>
      </c>
      <c r="B3190" s="551"/>
      <c r="C3190" s="551"/>
      <c r="D3190" s="551"/>
      <c r="E3190" s="551"/>
      <c r="F3190" s="551"/>
      <c r="G3190" s="551"/>
      <c r="H3190" s="552"/>
      <c r="K3190" s="50"/>
      <c r="L3190" s="50"/>
      <c r="M3190" s="50"/>
      <c r="N3190" s="50"/>
      <c r="O3190" s="50"/>
    </row>
    <row r="3191" spans="1:15" ht="30" customHeight="1">
      <c r="A3191" s="553" t="s">
        <v>7</v>
      </c>
      <c r="B3191" s="554"/>
      <c r="C3191" s="99" t="s">
        <v>0</v>
      </c>
      <c r="D3191" s="100" t="s">
        <v>4097</v>
      </c>
      <c r="E3191" s="101" t="s">
        <v>1</v>
      </c>
      <c r="F3191" s="555" t="s">
        <v>4207</v>
      </c>
      <c r="G3191" s="555"/>
      <c r="H3191" s="196"/>
      <c r="K3191" s="50"/>
      <c r="L3191" s="50"/>
      <c r="M3191" s="50"/>
      <c r="N3191" s="50"/>
      <c r="O3191" s="50"/>
    </row>
    <row r="3192" spans="1:15">
      <c r="A3192" s="535" t="s">
        <v>4762</v>
      </c>
      <c r="B3192" s="536"/>
      <c r="C3192" s="88">
        <f>VLOOKUP(A3192,'Materiales '!$C$2:$G$396,3,0)</f>
        <v>4</v>
      </c>
      <c r="D3192" s="89" t="str">
        <f>VLOOKUP(A3192,'Materiales '!$C$2:$G$396,4,0)</f>
        <v>Und</v>
      </c>
      <c r="E3192" s="90">
        <v>1</v>
      </c>
      <c r="F3192" s="508" t="e">
        <f>E3192*D3192</f>
        <v>#VALUE!</v>
      </c>
      <c r="G3192" s="519"/>
      <c r="H3192" s="111"/>
      <c r="I3192">
        <f>E3192*G3183</f>
        <v>0</v>
      </c>
      <c r="J3192" s="57"/>
      <c r="K3192" s="50"/>
      <c r="L3192" s="50"/>
      <c r="M3192" s="50"/>
      <c r="N3192" s="50"/>
      <c r="O3192" s="50"/>
    </row>
    <row r="3193" spans="1:15">
      <c r="A3193" s="535" t="s">
        <v>4203</v>
      </c>
      <c r="B3193" s="536"/>
      <c r="C3193" s="88">
        <f>VLOOKUP(A3193,'Materiales '!$C$2:$G$396,3,0)</f>
        <v>4</v>
      </c>
      <c r="D3193" s="89" t="str">
        <f>VLOOKUP(A3193,'Materiales '!$C$2:$G$396,4,0)</f>
        <v>Und</v>
      </c>
      <c r="E3193" s="90">
        <v>1</v>
      </c>
      <c r="F3193" s="508" t="e">
        <f t="shared" ref="F3193:F3199" si="187">E3193*D3193</f>
        <v>#VALUE!</v>
      </c>
      <c r="G3193" s="519"/>
      <c r="H3193" s="111"/>
      <c r="I3193">
        <f>E3193*G3183</f>
        <v>0</v>
      </c>
      <c r="J3193" s="57"/>
      <c r="K3193" s="50"/>
      <c r="L3193" s="50"/>
      <c r="M3193" s="50"/>
      <c r="N3193" s="50"/>
      <c r="O3193" s="50"/>
    </row>
    <row r="3194" spans="1:15">
      <c r="A3194" s="517" t="s">
        <v>4473</v>
      </c>
      <c r="B3194" s="518">
        <f>VLOOKUP(A3194,'Materiales '!$C$2:$G$396,3,0)</f>
        <v>4</v>
      </c>
      <c r="C3194" s="88">
        <f>VLOOKUP(A3194,'Materiales '!$C$2:$G$396,3,0)</f>
        <v>4</v>
      </c>
      <c r="D3194" s="89" t="str">
        <f>VLOOKUP(A3194,'Materiales '!$C$2:$G$396,4,0)</f>
        <v>Und</v>
      </c>
      <c r="E3194" s="90">
        <v>2</v>
      </c>
      <c r="F3194" s="508" t="e">
        <f t="shared" si="187"/>
        <v>#VALUE!</v>
      </c>
      <c r="G3194" s="519"/>
      <c r="H3194" s="111"/>
      <c r="I3194">
        <f>E3194*G3183</f>
        <v>0</v>
      </c>
      <c r="J3194" s="58"/>
      <c r="K3194" s="50"/>
      <c r="L3194" s="50"/>
      <c r="M3194" s="50"/>
      <c r="N3194" s="50"/>
      <c r="O3194" s="50"/>
    </row>
    <row r="3195" spans="1:15">
      <c r="A3195" s="517" t="s">
        <v>4478</v>
      </c>
      <c r="B3195" s="518">
        <f>VLOOKUP(A3195,'Materiales '!$C$2:$G$396,3,0)</f>
        <v>4</v>
      </c>
      <c r="C3195" s="88">
        <f>VLOOKUP(A3195,'Materiales '!$C$2:$G$396,3,0)</f>
        <v>4</v>
      </c>
      <c r="D3195" s="89" t="str">
        <f>VLOOKUP(A3195,'Materiales '!$C$2:$G$396,4,0)</f>
        <v>Und</v>
      </c>
      <c r="E3195" s="90">
        <v>3</v>
      </c>
      <c r="F3195" s="508" t="e">
        <f t="shared" si="187"/>
        <v>#VALUE!</v>
      </c>
      <c r="G3195" s="519"/>
      <c r="H3195" s="111"/>
      <c r="I3195">
        <f>E3195*G3183</f>
        <v>0</v>
      </c>
      <c r="J3195" s="58"/>
      <c r="K3195" s="50"/>
      <c r="L3195" s="50"/>
      <c r="M3195" s="50"/>
      <c r="N3195" s="50"/>
      <c r="O3195" s="50"/>
    </row>
    <row r="3196" spans="1:15">
      <c r="A3196" s="517" t="s">
        <v>4543</v>
      </c>
      <c r="B3196" s="518">
        <f>VLOOKUP(A3196,'Materiales '!$C$2:$G$396,3,0)</f>
        <v>4</v>
      </c>
      <c r="C3196" s="88">
        <f>VLOOKUP(A3196,'Materiales '!$C$2:$G$396,3,0)</f>
        <v>4</v>
      </c>
      <c r="D3196" s="89" t="str">
        <f>VLOOKUP(A3196,'Materiales '!$C$2:$G$396,4,0)</f>
        <v>Und</v>
      </c>
      <c r="E3196" s="90">
        <v>2</v>
      </c>
      <c r="F3196" s="508" t="e">
        <f t="shared" si="187"/>
        <v>#VALUE!</v>
      </c>
      <c r="G3196" s="519"/>
      <c r="H3196" s="111"/>
      <c r="I3196">
        <f>E3196*G3183</f>
        <v>0</v>
      </c>
      <c r="J3196" s="58"/>
      <c r="K3196" s="50"/>
      <c r="L3196" s="50"/>
      <c r="M3196" s="50"/>
      <c r="N3196" s="50"/>
      <c r="O3196" s="50"/>
    </row>
    <row r="3197" spans="1:15">
      <c r="A3197" s="517" t="s">
        <v>4439</v>
      </c>
      <c r="B3197" s="518">
        <f>VLOOKUP(A3197,'Materiales '!$C$2:$G$396,3,0)</f>
        <v>2</v>
      </c>
      <c r="C3197" s="88">
        <f>VLOOKUP(A3197,'Materiales '!$C$2:$G$396,3,0)</f>
        <v>2</v>
      </c>
      <c r="D3197" s="89" t="str">
        <f>VLOOKUP(A3197,'Materiales '!$C$2:$G$396,4,0)</f>
        <v>Ml</v>
      </c>
      <c r="E3197" s="90">
        <v>1</v>
      </c>
      <c r="F3197" s="508" t="e">
        <f t="shared" si="187"/>
        <v>#VALUE!</v>
      </c>
      <c r="G3197" s="519"/>
      <c r="H3197" s="111"/>
      <c r="I3197">
        <f>E3197*G3183</f>
        <v>0</v>
      </c>
      <c r="J3197" s="58"/>
      <c r="K3197" s="50"/>
      <c r="L3197" s="50"/>
      <c r="M3197" s="50"/>
      <c r="N3197" s="50"/>
      <c r="O3197" s="50"/>
    </row>
    <row r="3198" spans="1:15">
      <c r="A3198" s="517" t="s">
        <v>4482</v>
      </c>
      <c r="B3198" s="518">
        <f>VLOOKUP(A3198,'Materiales '!$C$2:$G$396,3,0)</f>
        <v>4</v>
      </c>
      <c r="C3198" s="88">
        <f>VLOOKUP(A3198,'Materiales '!$C$2:$G$396,3,0)</f>
        <v>4</v>
      </c>
      <c r="D3198" s="89" t="str">
        <f>VLOOKUP(A3198,'Materiales '!$C$2:$G$396,4,0)</f>
        <v>Und</v>
      </c>
      <c r="E3198" s="90">
        <v>3</v>
      </c>
      <c r="F3198" s="508" t="e">
        <f t="shared" si="187"/>
        <v>#VALUE!</v>
      </c>
      <c r="G3198" s="519"/>
      <c r="H3198" s="111"/>
      <c r="I3198">
        <f>E3198*G3183</f>
        <v>0</v>
      </c>
      <c r="J3198" s="58"/>
      <c r="K3198" s="50"/>
      <c r="L3198" s="50"/>
      <c r="M3198" s="50"/>
      <c r="N3198" s="50"/>
      <c r="O3198" s="50"/>
    </row>
    <row r="3199" spans="1:15" ht="21.75" customHeight="1">
      <c r="A3199" s="517" t="s">
        <v>4628</v>
      </c>
      <c r="B3199" s="518">
        <f>VLOOKUP(A3199,'Materiales '!$C$2:$G$396,3,0)</f>
        <v>4</v>
      </c>
      <c r="C3199" s="88">
        <f>VLOOKUP(A3199,'Materiales '!$C$2:$G$396,3,0)</f>
        <v>4</v>
      </c>
      <c r="D3199" s="89" t="str">
        <f>VLOOKUP(A3199,'Materiales '!$C$2:$G$396,4,0)</f>
        <v>Und</v>
      </c>
      <c r="E3199" s="90">
        <v>1</v>
      </c>
      <c r="F3199" s="508" t="e">
        <f t="shared" si="187"/>
        <v>#VALUE!</v>
      </c>
      <c r="G3199" s="519"/>
      <c r="H3199" s="111"/>
      <c r="I3199">
        <f>E3199*G3183</f>
        <v>0</v>
      </c>
      <c r="J3199" s="58"/>
      <c r="K3199" s="50"/>
      <c r="L3199" s="50"/>
      <c r="M3199" s="50"/>
      <c r="N3199" s="50"/>
      <c r="O3199" s="50"/>
    </row>
    <row r="3200" spans="1:15">
      <c r="A3200" s="517" t="s">
        <v>8</v>
      </c>
      <c r="B3200" s="518">
        <f>VLOOKUP(A3200,'Materiales '!$C$2:$G$396,3,0)</f>
        <v>0</v>
      </c>
      <c r="C3200" s="88">
        <f>VLOOKUP(A3200,'Materiales '!$C$2:$G$396,3,0)</f>
        <v>0</v>
      </c>
      <c r="D3200" s="89" t="str">
        <f>VLOOKUP(A3200,'Materiales '!$C$2:$G$396,4,0)</f>
        <v>-</v>
      </c>
      <c r="E3200" s="90"/>
      <c r="F3200" s="508" t="e">
        <f>E3200*D3200</f>
        <v>#VALUE!</v>
      </c>
      <c r="G3200" s="519"/>
      <c r="H3200" s="110"/>
      <c r="I3200">
        <f>E3200*G3183</f>
        <v>0</v>
      </c>
      <c r="J3200" s="58"/>
      <c r="K3200" s="50"/>
      <c r="L3200" s="50"/>
      <c r="M3200" s="50"/>
      <c r="N3200" s="50"/>
      <c r="O3200" s="50"/>
    </row>
    <row r="3201" spans="1:15">
      <c r="A3201" s="517" t="s">
        <v>8</v>
      </c>
      <c r="B3201" s="518">
        <f>VLOOKUP(A3201,'Materiales '!$C$2:$G$396,3,0)</f>
        <v>0</v>
      </c>
      <c r="C3201" s="88">
        <f>VLOOKUP(A3201,'Materiales '!$C$2:$G$396,3,0)</f>
        <v>0</v>
      </c>
      <c r="D3201" s="89" t="str">
        <f>VLOOKUP(A3201,'Materiales '!$C$2:$G$396,4,0)</f>
        <v>-</v>
      </c>
      <c r="E3201" s="90"/>
      <c r="F3201" s="508" t="e">
        <f t="shared" ref="F3201:F3204" si="188">E3201*D3201</f>
        <v>#VALUE!</v>
      </c>
      <c r="G3201" s="519"/>
      <c r="H3201" s="111"/>
      <c r="I3201">
        <f>E3201*G3183</f>
        <v>0</v>
      </c>
      <c r="J3201" s="58"/>
      <c r="K3201" s="50"/>
      <c r="L3201" s="50"/>
      <c r="M3201" s="50"/>
      <c r="N3201" s="50"/>
      <c r="O3201" s="50"/>
    </row>
    <row r="3202" spans="1:15">
      <c r="A3202" s="517" t="s">
        <v>8</v>
      </c>
      <c r="B3202" s="518">
        <f>VLOOKUP(A3202,'Materiales '!$C$2:$G$396,3,0)</f>
        <v>0</v>
      </c>
      <c r="C3202" s="88">
        <f>VLOOKUP(A3202,'Materiales '!$C$2:$G$396,3,0)</f>
        <v>0</v>
      </c>
      <c r="D3202" s="89" t="str">
        <f>VLOOKUP(A3202,'Materiales '!$C$2:$G$396,4,0)</f>
        <v>-</v>
      </c>
      <c r="E3202" s="90"/>
      <c r="F3202" s="508" t="e">
        <f t="shared" si="188"/>
        <v>#VALUE!</v>
      </c>
      <c r="G3202" s="519"/>
      <c r="H3202" s="111"/>
      <c r="I3202">
        <f>E3202*G3183</f>
        <v>0</v>
      </c>
      <c r="J3202" s="58"/>
      <c r="K3202" s="50"/>
      <c r="L3202" s="50"/>
      <c r="M3202" s="50"/>
      <c r="N3202" s="50"/>
      <c r="O3202" s="50"/>
    </row>
    <row r="3203" spans="1:15">
      <c r="A3203" s="517" t="s">
        <v>8</v>
      </c>
      <c r="B3203" s="518">
        <f>VLOOKUP(A3203,'Materiales '!$C$2:$G$396,3,0)</f>
        <v>0</v>
      </c>
      <c r="C3203" s="88">
        <f>VLOOKUP(A3203,'Materiales '!$C$2:$G$396,3,0)</f>
        <v>0</v>
      </c>
      <c r="D3203" s="89" t="str">
        <f>VLOOKUP(A3203,'Materiales '!$C$2:$G$396,4,0)</f>
        <v>-</v>
      </c>
      <c r="E3203" s="90"/>
      <c r="F3203" s="508" t="e">
        <f t="shared" si="188"/>
        <v>#VALUE!</v>
      </c>
      <c r="G3203" s="519"/>
      <c r="H3203" s="111"/>
      <c r="I3203">
        <f>E3203*G3183</f>
        <v>0</v>
      </c>
      <c r="J3203" s="58"/>
      <c r="K3203" s="50"/>
      <c r="L3203" s="50"/>
      <c r="M3203" s="50"/>
      <c r="N3203" s="50"/>
      <c r="O3203" s="50"/>
    </row>
    <row r="3204" spans="1:15">
      <c r="A3204" s="517" t="s">
        <v>8</v>
      </c>
      <c r="B3204" s="518">
        <f>VLOOKUP(A3204,'Materiales '!$C$2:$G$396,3,0)</f>
        <v>0</v>
      </c>
      <c r="C3204" s="88">
        <f>VLOOKUP(A3204,'Materiales '!$C$2:$G$396,3,0)</f>
        <v>0</v>
      </c>
      <c r="D3204" s="89" t="str">
        <f>VLOOKUP(A3204,'Materiales '!$C$2:$G$396,4,0)</f>
        <v>-</v>
      </c>
      <c r="E3204" s="90"/>
      <c r="F3204" s="508" t="e">
        <f t="shared" si="188"/>
        <v>#VALUE!</v>
      </c>
      <c r="G3204" s="519"/>
      <c r="H3204" s="111"/>
      <c r="I3204">
        <f>E3204*G3183</f>
        <v>0</v>
      </c>
      <c r="J3204" s="58"/>
      <c r="K3204" s="50"/>
      <c r="L3204" s="50"/>
      <c r="M3204" s="50"/>
      <c r="N3204" s="50"/>
      <c r="O3204" s="50"/>
    </row>
    <row r="3205" spans="1:15">
      <c r="A3205" s="517" t="s">
        <v>8</v>
      </c>
      <c r="B3205" s="518">
        <f>VLOOKUP(A3205,'Materiales '!$C$2:$G$396,3,0)</f>
        <v>0</v>
      </c>
      <c r="C3205" s="88">
        <f>VLOOKUP(A3205,'Materiales '!$C$2:$G$396,3,0)</f>
        <v>0</v>
      </c>
      <c r="D3205" s="89" t="str">
        <f>VLOOKUP(A3205,'Materiales '!$C$2:$G$396,4,0)</f>
        <v>-</v>
      </c>
      <c r="E3205" s="90"/>
      <c r="F3205" s="508" t="e">
        <f>E3205*D3205</f>
        <v>#VALUE!</v>
      </c>
      <c r="G3205" s="519"/>
      <c r="H3205" s="110"/>
      <c r="I3205">
        <f>E3205*G3183</f>
        <v>0</v>
      </c>
      <c r="J3205" s="58"/>
      <c r="K3205" s="50"/>
      <c r="L3205" s="50"/>
      <c r="M3205" s="50"/>
      <c r="N3205" s="50"/>
      <c r="O3205" s="50"/>
    </row>
    <row r="3206" spans="1:15">
      <c r="A3206" s="520" t="s">
        <v>4098</v>
      </c>
      <c r="B3206" s="521"/>
      <c r="C3206" s="521"/>
      <c r="D3206" s="521"/>
      <c r="E3206" s="521"/>
      <c r="F3206" s="521"/>
      <c r="G3206" s="522"/>
      <c r="H3206" s="106" t="e">
        <f>SUM(F3192:F3205)</f>
        <v>#VALUE!</v>
      </c>
      <c r="J3206" s="58"/>
      <c r="K3206" s="50"/>
      <c r="L3206" s="50"/>
      <c r="M3206" s="50"/>
      <c r="N3206" s="50"/>
      <c r="O3206" s="50"/>
    </row>
    <row r="3207" spans="1:15">
      <c r="A3207" s="523" t="s">
        <v>4220</v>
      </c>
      <c r="B3207" s="524"/>
      <c r="C3207" s="524"/>
      <c r="D3207" s="524"/>
      <c r="E3207" s="525"/>
      <c r="F3207" s="524"/>
      <c r="G3207" s="524"/>
      <c r="H3207" s="526"/>
      <c r="J3207" s="58"/>
      <c r="K3207" s="50"/>
      <c r="L3207" s="50"/>
      <c r="M3207" s="50"/>
      <c r="N3207" s="50"/>
      <c r="O3207" s="50"/>
    </row>
    <row r="3208" spans="1:15">
      <c r="A3208" s="527" t="s">
        <v>7</v>
      </c>
      <c r="B3208" s="528"/>
      <c r="C3208" s="98" t="s">
        <v>4221</v>
      </c>
      <c r="D3208" s="97" t="s">
        <v>4222</v>
      </c>
      <c r="E3208" s="187" t="s">
        <v>4223</v>
      </c>
      <c r="F3208" s="529" t="s">
        <v>4207</v>
      </c>
      <c r="G3208" s="529"/>
      <c r="H3208" s="109"/>
      <c r="K3208" s="50"/>
      <c r="L3208" s="50"/>
      <c r="M3208" s="50"/>
      <c r="N3208" s="50"/>
      <c r="O3208" s="50"/>
    </row>
    <row r="3209" spans="1:15">
      <c r="A3209" s="506" t="s">
        <v>3928</v>
      </c>
      <c r="B3209" s="507"/>
      <c r="C3209" s="213">
        <v>1</v>
      </c>
      <c r="D3209" s="92">
        <v>0.03</v>
      </c>
      <c r="E3209" s="93" t="str">
        <f>VLOOKUP(A3209,'Equip, Herr y Transp'!$B$2:$E$217,3,0)</f>
        <v>TR</v>
      </c>
      <c r="F3209" s="530" t="e">
        <f>E3209*D3209*C3209</f>
        <v>#VALUE!</v>
      </c>
      <c r="G3209" s="531"/>
      <c r="H3209" s="107"/>
      <c r="M3209" s="50"/>
    </row>
    <row r="3210" spans="1:15">
      <c r="A3210" s="532" t="s">
        <v>4205</v>
      </c>
      <c r="B3210" s="533"/>
      <c r="C3210" s="533"/>
      <c r="D3210" s="533"/>
      <c r="E3210" s="533"/>
      <c r="F3210" s="533"/>
      <c r="G3210" s="533"/>
      <c r="H3210" s="95" t="e">
        <f>F3209</f>
        <v>#VALUE!</v>
      </c>
    </row>
    <row r="3211" spans="1:15">
      <c r="A3211" s="523" t="s">
        <v>4224</v>
      </c>
      <c r="B3211" s="524"/>
      <c r="C3211" s="524"/>
      <c r="D3211" s="524"/>
      <c r="E3211" s="524"/>
      <c r="F3211" s="524"/>
      <c r="G3211" s="524"/>
      <c r="H3211" s="526"/>
    </row>
    <row r="3212" spans="1:15">
      <c r="A3212" s="527" t="s">
        <v>7</v>
      </c>
      <c r="B3212" s="528"/>
      <c r="C3212" s="96" t="s">
        <v>1</v>
      </c>
      <c r="D3212" s="97" t="s">
        <v>4225</v>
      </c>
      <c r="E3212" s="98" t="s">
        <v>4204</v>
      </c>
      <c r="F3212" s="527" t="s">
        <v>5</v>
      </c>
      <c r="G3212" s="534"/>
      <c r="H3212" s="109"/>
    </row>
    <row r="3213" spans="1:15">
      <c r="A3213" s="506" t="s">
        <v>4191</v>
      </c>
      <c r="B3213" s="507"/>
      <c r="C3213" s="91">
        <v>1</v>
      </c>
      <c r="D3213" s="94">
        <f>VLOOKUP(A3213,'Mano Obra'!$B$2:$T$117,19,0)</f>
        <v>152456</v>
      </c>
      <c r="E3213" s="218">
        <f>H3176</f>
        <v>6.25E-2</v>
      </c>
      <c r="F3213" s="508">
        <f>E3213*D3213*C3213</f>
        <v>9528.5</v>
      </c>
      <c r="G3213" s="509"/>
      <c r="H3213" s="111"/>
      <c r="I3213" s="59"/>
      <c r="J3213" s="117">
        <f>((('Mano Obra'!$M$4/30)*F3213)/D3213)*G3183</f>
        <v>0</v>
      </c>
    </row>
    <row r="3214" spans="1:15">
      <c r="A3214" s="510" t="s">
        <v>4192</v>
      </c>
      <c r="B3214" s="511">
        <f>VLOOKUP(A3214,'Mano Obra'!$B$3:$D$290,2,0)</f>
        <v>1900000</v>
      </c>
      <c r="C3214" s="91">
        <v>1</v>
      </c>
      <c r="D3214" s="94">
        <f>VLOOKUP(A3214,'Mano Obra'!$B$2:$T$117,19,0)</f>
        <v>110488</v>
      </c>
      <c r="E3214" s="218">
        <f>H3176</f>
        <v>6.25E-2</v>
      </c>
      <c r="F3214" s="508">
        <f t="shared" ref="F3214:F3215" si="189">E3214*D3214*C3214</f>
        <v>6905.5</v>
      </c>
      <c r="G3214" s="509"/>
      <c r="H3214" s="111"/>
      <c r="J3214" s="117">
        <f>((('Mano Obra'!$M$5/30)*F3214)/D3214)*G3183</f>
        <v>0</v>
      </c>
    </row>
    <row r="3215" spans="1:15">
      <c r="A3215" s="510" t="s">
        <v>4181</v>
      </c>
      <c r="B3215" s="511">
        <f>VLOOKUP(A3215,'Mano Obra'!$B$3:$D$290,2,0)</f>
        <v>1000000</v>
      </c>
      <c r="C3215" s="91">
        <v>1</v>
      </c>
      <c r="D3215" s="94">
        <f>VLOOKUP(A3215,'Mano Obra'!$B$2:$T$117,19,0)</f>
        <v>67424</v>
      </c>
      <c r="E3215" s="218">
        <f>H3176</f>
        <v>6.25E-2</v>
      </c>
      <c r="F3215" s="508">
        <f t="shared" si="189"/>
        <v>4214</v>
      </c>
      <c r="G3215" s="509"/>
      <c r="H3215" s="110"/>
      <c r="J3215" s="117">
        <f>((('Mano Obra'!$M$6/30)*F3215)/D3215)*G3183</f>
        <v>0</v>
      </c>
    </row>
    <row r="3216" spans="1:15">
      <c r="A3216" s="512" t="s">
        <v>4100</v>
      </c>
      <c r="B3216" s="512"/>
      <c r="C3216" s="512"/>
      <c r="D3216" s="512"/>
      <c r="E3216" s="512"/>
      <c r="F3216" s="512"/>
      <c r="G3216" s="512"/>
      <c r="H3216" s="95">
        <f>SUM(F3213:F3215)</f>
        <v>20648</v>
      </c>
      <c r="J3216" s="117"/>
    </row>
    <row r="3217" spans="1:14">
      <c r="A3217" s="208" t="s">
        <v>4226</v>
      </c>
      <c r="B3217" s="186"/>
      <c r="C3217" s="186"/>
      <c r="D3217" s="183"/>
      <c r="E3217" s="184"/>
      <c r="F3217" s="185"/>
      <c r="G3217" s="184"/>
      <c r="H3217" s="193"/>
    </row>
    <row r="3218" spans="1:14">
      <c r="A3218" s="513" t="s">
        <v>4213</v>
      </c>
      <c r="B3218" s="514"/>
      <c r="C3218" s="514"/>
      <c r="D3218" s="514"/>
      <c r="E3218" s="181"/>
      <c r="F3218" s="182" t="s">
        <v>4227</v>
      </c>
      <c r="G3218" s="181" t="s">
        <v>4228</v>
      </c>
      <c r="H3218" s="194"/>
    </row>
    <row r="3219" spans="1:14">
      <c r="A3219" s="204" t="s">
        <v>4096</v>
      </c>
      <c r="B3219" s="62"/>
      <c r="C3219" s="62"/>
      <c r="D3219" s="63"/>
      <c r="E3219" s="68"/>
      <c r="F3219" s="69">
        <v>0</v>
      </c>
      <c r="G3219" s="70" t="e">
        <f>F3219*H3184</f>
        <v>#VALUE!</v>
      </c>
      <c r="H3219" s="193"/>
    </row>
    <row r="3220" spans="1:14">
      <c r="A3220" s="205" t="s">
        <v>4229</v>
      </c>
      <c r="B3220" s="71"/>
      <c r="C3220" s="71"/>
      <c r="D3220" s="72"/>
      <c r="E3220" s="68"/>
      <c r="F3220" s="69">
        <v>0</v>
      </c>
      <c r="G3220" s="70" t="e">
        <f>F3220*H3184</f>
        <v>#VALUE!</v>
      </c>
      <c r="H3220" s="193"/>
    </row>
    <row r="3221" spans="1:14">
      <c r="A3221" s="205" t="s">
        <v>4</v>
      </c>
      <c r="B3221" s="71"/>
      <c r="C3221" s="71"/>
      <c r="D3221" s="72"/>
      <c r="E3221" s="68"/>
      <c r="F3221" s="69">
        <v>0</v>
      </c>
      <c r="G3221" s="70" t="e">
        <f>F3221*H3184</f>
        <v>#VALUE!</v>
      </c>
      <c r="H3221" s="193"/>
    </row>
    <row r="3222" spans="1:14">
      <c r="A3222" s="206"/>
      <c r="B3222" s="73"/>
      <c r="C3222" s="65"/>
      <c r="D3222" s="74"/>
      <c r="E3222" s="75"/>
      <c r="F3222" s="76"/>
      <c r="G3222" s="77"/>
      <c r="H3222" s="195"/>
    </row>
    <row r="3223" spans="1:14">
      <c r="A3223" s="207"/>
      <c r="B3223" s="73"/>
      <c r="C3223" s="73"/>
      <c r="D3223" s="74"/>
      <c r="E3223" s="78"/>
      <c r="F3223" s="515" t="s">
        <v>4230</v>
      </c>
      <c r="G3223" s="516"/>
      <c r="H3223" s="214" t="e">
        <f>H3184+G3219+G3220+G3221</f>
        <v>#VALUE!</v>
      </c>
    </row>
    <row r="3224" spans="1:14">
      <c r="A3224" s="73"/>
      <c r="B3224" s="73"/>
      <c r="C3224" s="73"/>
      <c r="D3224" s="74"/>
      <c r="E3224" s="360"/>
      <c r="F3224" s="361"/>
      <c r="G3224" s="361"/>
      <c r="H3224" s="362"/>
    </row>
    <row r="3225" spans="1:14">
      <c r="A3225" s="80"/>
      <c r="B3225" s="80"/>
      <c r="C3225" s="80"/>
      <c r="D3225" s="80"/>
      <c r="E3225" s="80"/>
      <c r="F3225" s="80"/>
      <c r="G3225" s="80"/>
      <c r="H3225" s="353"/>
    </row>
    <row r="3226" spans="1:14">
      <c r="A3226" s="537" t="s">
        <v>4214</v>
      </c>
      <c r="B3226" s="538"/>
      <c r="C3226" s="538"/>
      <c r="D3226" s="538"/>
      <c r="E3226" s="538"/>
      <c r="F3226" s="538"/>
      <c r="G3226" s="538"/>
      <c r="H3226" s="539"/>
    </row>
    <row r="3227" spans="1:14">
      <c r="A3227" s="81"/>
      <c r="B3227" s="82"/>
      <c r="C3227" s="82"/>
      <c r="D3227" s="82"/>
      <c r="E3227" s="82"/>
      <c r="F3227" s="83"/>
      <c r="G3227" s="84"/>
      <c r="H3227" s="352">
        <f>ROUND((30/60)/8,4)</f>
        <v>6.25E-2</v>
      </c>
      <c r="I3227" s="105"/>
    </row>
    <row r="3228" spans="1:14">
      <c r="A3228" s="540" t="s">
        <v>4209</v>
      </c>
      <c r="B3228" s="542" t="str">
        <f>COSTOS!$C$14</f>
        <v>MODERNIZACION A TECNOLOGIA LED</v>
      </c>
      <c r="C3228" s="542"/>
      <c r="D3228" s="542"/>
      <c r="E3228" s="542"/>
      <c r="F3228" s="542"/>
      <c r="G3228" s="542"/>
      <c r="H3228" s="543" t="s">
        <v>4210</v>
      </c>
    </row>
    <row r="3229" spans="1:14">
      <c r="A3229" s="541"/>
      <c r="B3229" s="542"/>
      <c r="C3229" s="542"/>
      <c r="D3229" s="542"/>
      <c r="E3229" s="542"/>
      <c r="F3229" s="542"/>
      <c r="G3229" s="542"/>
      <c r="H3229" s="543"/>
    </row>
    <row r="3230" spans="1:14">
      <c r="A3230" s="541"/>
      <c r="B3230" s="542"/>
      <c r="C3230" s="542"/>
      <c r="D3230" s="542"/>
      <c r="E3230" s="542"/>
      <c r="F3230" s="542"/>
      <c r="G3230" s="542"/>
      <c r="H3230" s="543"/>
    </row>
    <row r="3231" spans="1:14" ht="15" customHeight="1">
      <c r="A3231" s="541"/>
      <c r="B3231" s="542"/>
      <c r="C3231" s="542"/>
      <c r="D3231" s="542"/>
      <c r="E3231" s="542"/>
      <c r="F3231" s="542"/>
      <c r="G3231" s="542"/>
      <c r="H3231" s="197">
        <f ca="1">TODAY()</f>
        <v>44889</v>
      </c>
      <c r="K3231" t="s">
        <v>4380</v>
      </c>
      <c r="L3231" t="s">
        <v>4381</v>
      </c>
      <c r="M3231" t="s">
        <v>4382</v>
      </c>
      <c r="N3231" t="s">
        <v>4383</v>
      </c>
    </row>
    <row r="3232" spans="1:14" ht="60.75" customHeight="1">
      <c r="A3232" s="209" t="s">
        <v>4211</v>
      </c>
      <c r="B3232" s="544" t="str">
        <f>COSTOS!$D$16</f>
        <v>Luminarias</v>
      </c>
      <c r="C3232" s="544"/>
      <c r="D3232" s="544"/>
      <c r="E3232" s="544"/>
      <c r="F3232" s="544"/>
      <c r="G3232" s="60" t="s">
        <v>4212</v>
      </c>
      <c r="H3232" s="363">
        <v>1.64</v>
      </c>
      <c r="K3232" s="55" t="e">
        <f>H3257</f>
        <v>#VALUE!</v>
      </c>
      <c r="L3232" s="55">
        <f>H3267</f>
        <v>20648</v>
      </c>
      <c r="M3232" s="55" t="e">
        <f>H3240</f>
        <v>#VALUE!</v>
      </c>
      <c r="N3232" s="55" t="e">
        <f>H3261</f>
        <v>#VALUE!</v>
      </c>
    </row>
    <row r="3233" spans="1:15" ht="43.2" customHeight="1">
      <c r="A3233" s="210" t="s">
        <v>4213</v>
      </c>
      <c r="B3233" s="545" t="str">
        <f>VLOOKUP(H3232,COSTOS!C:M,2,0)</f>
        <v>Luminaria Led 92.6w agm</v>
      </c>
      <c r="C3233" s="546"/>
      <c r="D3233" s="546"/>
      <c r="E3233" s="547"/>
      <c r="F3233" s="61" t="s">
        <v>0</v>
      </c>
      <c r="G3233" s="328" t="str">
        <f>VLOOKUP(H3232,COSTOS!C:M,8,0)</f>
        <v>Und</v>
      </c>
      <c r="H3233" s="248"/>
      <c r="I3233" s="278"/>
      <c r="J3233" s="280"/>
      <c r="K3233" s="280"/>
      <c r="L3233" s="280"/>
    </row>
    <row r="3234" spans="1:15">
      <c r="A3234" s="211"/>
      <c r="B3234" s="102"/>
      <c r="C3234" s="102"/>
      <c r="D3234" s="102"/>
      <c r="E3234" s="103"/>
      <c r="F3234" s="104" t="s">
        <v>1</v>
      </c>
      <c r="G3234" s="328">
        <f>VLOOKUP(H3232,COSTOS!C:M,9,0)</f>
        <v>0</v>
      </c>
      <c r="H3234" s="329"/>
      <c r="I3234" s="279"/>
    </row>
    <row r="3235" spans="1:15">
      <c r="A3235" s="212" t="s">
        <v>4215</v>
      </c>
      <c r="B3235" s="65"/>
      <c r="C3235" s="65"/>
      <c r="D3235" s="66"/>
      <c r="E3235" s="190"/>
      <c r="F3235" s="191"/>
      <c r="G3235" s="192" t="s">
        <v>4216</v>
      </c>
      <c r="H3235" s="198" t="e">
        <f>H3240+H3257+H3261+H3267</f>
        <v>#VALUE!</v>
      </c>
    </row>
    <row r="3236" spans="1:15" ht="41.4">
      <c r="A3236" s="548" t="s">
        <v>4213</v>
      </c>
      <c r="B3236" s="548"/>
      <c r="C3236" s="548"/>
      <c r="D3236" s="67" t="s">
        <v>0</v>
      </c>
      <c r="E3236" s="188" t="s">
        <v>4217</v>
      </c>
      <c r="F3236" s="189" t="s">
        <v>4204</v>
      </c>
      <c r="G3236" s="64" t="s">
        <v>2</v>
      </c>
      <c r="H3236" s="199" t="s">
        <v>4218</v>
      </c>
      <c r="K3236" s="281"/>
    </row>
    <row r="3237" spans="1:15">
      <c r="A3237" s="517" t="s">
        <v>3946</v>
      </c>
      <c r="B3237" s="549">
        <f>VLOOKUP(A3237,'Equip, Herr y Transp'!$B$2:$E$738,2,0)</f>
        <v>2</v>
      </c>
      <c r="C3237" s="549"/>
      <c r="D3237" s="85">
        <f>VLOOKUP(A3237,'Equip, Herr y Transp'!$B$2:$E$217,2,0)</f>
        <v>2</v>
      </c>
      <c r="E3237" s="85" t="str">
        <f>VLOOKUP(A3237,'Equip, Herr y Transp'!$B$2:$E$217,3,0)</f>
        <v>EQU</v>
      </c>
      <c r="F3237" s="86">
        <f>H3227</f>
        <v>6.25E-2</v>
      </c>
      <c r="G3237" s="112" t="e">
        <f>F3237*E3237</f>
        <v>#VALUE!</v>
      </c>
      <c r="H3237" s="108"/>
    </row>
    <row r="3238" spans="1:15">
      <c r="A3238" s="517" t="s">
        <v>3904</v>
      </c>
      <c r="B3238" s="549">
        <f>VLOOKUP(A3238,'Equip, Herr y Transp'!$B$2:$E$738,2,0)</f>
        <v>2</v>
      </c>
      <c r="C3238" s="549"/>
      <c r="D3238" s="85">
        <f>VLOOKUP(A3238,'Equip, Herr y Transp'!$B$2:$E$217,2,0)</f>
        <v>2</v>
      </c>
      <c r="E3238" s="85" t="str">
        <f>VLOOKUP(A3238,'Equip, Herr y Transp'!$B$2:$E$217,3,0)</f>
        <v>EQU</v>
      </c>
      <c r="F3238" s="86">
        <f>H3227</f>
        <v>6.25E-2</v>
      </c>
      <c r="G3238" s="112" t="e">
        <f>F3238*E3238</f>
        <v>#VALUE!</v>
      </c>
      <c r="H3238" s="107"/>
    </row>
    <row r="3239" spans="1:15">
      <c r="A3239" s="517" t="s">
        <v>3937</v>
      </c>
      <c r="B3239" s="549">
        <f>VLOOKUP(A3239,'Equip, Herr y Transp'!$B$2:$E$738,2,0)</f>
        <v>2</v>
      </c>
      <c r="C3239" s="549"/>
      <c r="D3239" s="85">
        <f>VLOOKUP(A3239,'Equip, Herr y Transp'!$B$2:$E$217,2,0)</f>
        <v>2</v>
      </c>
      <c r="E3239" s="85" t="str">
        <f>VLOOKUP(A3239,'Equip, Herr y Transp'!$B$2:$E$217,3,0)</f>
        <v>EQU</v>
      </c>
      <c r="F3239" s="86">
        <f>H3227</f>
        <v>6.25E-2</v>
      </c>
      <c r="G3239" s="112" t="e">
        <f>F3239*E3239</f>
        <v>#VALUE!</v>
      </c>
      <c r="H3239" s="107"/>
    </row>
    <row r="3240" spans="1:15">
      <c r="A3240" s="520" t="s">
        <v>4099</v>
      </c>
      <c r="B3240" s="521"/>
      <c r="C3240" s="521"/>
      <c r="D3240" s="521"/>
      <c r="E3240" s="521"/>
      <c r="F3240" s="521"/>
      <c r="G3240" s="521"/>
      <c r="H3240" s="87" t="e">
        <f>SUM(G3237:G3239)</f>
        <v>#VALUE!</v>
      </c>
    </row>
    <row r="3241" spans="1:15">
      <c r="A3241" s="550" t="s">
        <v>4219</v>
      </c>
      <c r="B3241" s="551"/>
      <c r="C3241" s="551"/>
      <c r="D3241" s="551"/>
      <c r="E3241" s="551"/>
      <c r="F3241" s="551"/>
      <c r="G3241" s="551"/>
      <c r="H3241" s="552"/>
      <c r="K3241" s="50"/>
      <c r="L3241" s="50"/>
      <c r="M3241" s="50"/>
      <c r="N3241" s="50"/>
      <c r="O3241" s="50"/>
    </row>
    <row r="3242" spans="1:15" ht="30" customHeight="1">
      <c r="A3242" s="553" t="s">
        <v>7</v>
      </c>
      <c r="B3242" s="554"/>
      <c r="C3242" s="99" t="s">
        <v>0</v>
      </c>
      <c r="D3242" s="100" t="s">
        <v>4097</v>
      </c>
      <c r="E3242" s="101" t="s">
        <v>1</v>
      </c>
      <c r="F3242" s="555" t="s">
        <v>4207</v>
      </c>
      <c r="G3242" s="555"/>
      <c r="H3242" s="196"/>
      <c r="K3242" s="50"/>
      <c r="L3242" s="50"/>
      <c r="M3242" s="50"/>
      <c r="N3242" s="50"/>
      <c r="O3242" s="50"/>
    </row>
    <row r="3243" spans="1:15">
      <c r="A3243" s="535" t="s">
        <v>4763</v>
      </c>
      <c r="B3243" s="536"/>
      <c r="C3243" s="88">
        <f>VLOOKUP(A3243,'Materiales '!$C$2:$G$396,3,0)</f>
        <v>4</v>
      </c>
      <c r="D3243" s="89" t="str">
        <f>VLOOKUP(A3243,'Materiales '!$C$2:$G$396,4,0)</f>
        <v>Und</v>
      </c>
      <c r="E3243" s="90">
        <v>1</v>
      </c>
      <c r="F3243" s="508" t="e">
        <f>E3243*D3243</f>
        <v>#VALUE!</v>
      </c>
      <c r="G3243" s="519"/>
      <c r="H3243" s="111"/>
      <c r="I3243">
        <f>E3243*G3234</f>
        <v>0</v>
      </c>
      <c r="J3243" s="57"/>
      <c r="K3243" s="50"/>
      <c r="L3243" s="50"/>
      <c r="M3243" s="50"/>
      <c r="N3243" s="50"/>
      <c r="O3243" s="50"/>
    </row>
    <row r="3244" spans="1:15">
      <c r="A3244" s="535" t="s">
        <v>4203</v>
      </c>
      <c r="B3244" s="536"/>
      <c r="C3244" s="88">
        <f>VLOOKUP(A3244,'Materiales '!$C$2:$G$396,3,0)</f>
        <v>4</v>
      </c>
      <c r="D3244" s="89" t="str">
        <f>VLOOKUP(A3244,'Materiales '!$C$2:$G$396,4,0)</f>
        <v>Und</v>
      </c>
      <c r="E3244" s="90">
        <v>1</v>
      </c>
      <c r="F3244" s="508" t="e">
        <f t="shared" ref="F3244:F3250" si="190">E3244*D3244</f>
        <v>#VALUE!</v>
      </c>
      <c r="G3244" s="519"/>
      <c r="H3244" s="111"/>
      <c r="I3244">
        <f>E3244*G3234</f>
        <v>0</v>
      </c>
      <c r="J3244" s="57"/>
      <c r="K3244" s="50"/>
      <c r="L3244" s="50"/>
      <c r="M3244" s="50"/>
      <c r="N3244" s="50"/>
      <c r="O3244" s="50"/>
    </row>
    <row r="3245" spans="1:15">
      <c r="A3245" s="517" t="s">
        <v>4473</v>
      </c>
      <c r="B3245" s="518">
        <f>VLOOKUP(A3245,'Materiales '!$C$2:$G$396,3,0)</f>
        <v>4</v>
      </c>
      <c r="C3245" s="88">
        <f>VLOOKUP(A3245,'Materiales '!$C$2:$G$396,3,0)</f>
        <v>4</v>
      </c>
      <c r="D3245" s="89" t="str">
        <f>VLOOKUP(A3245,'Materiales '!$C$2:$G$396,4,0)</f>
        <v>Und</v>
      </c>
      <c r="E3245" s="90">
        <v>2</v>
      </c>
      <c r="F3245" s="508" t="e">
        <f t="shared" si="190"/>
        <v>#VALUE!</v>
      </c>
      <c r="G3245" s="519"/>
      <c r="H3245" s="111"/>
      <c r="I3245">
        <f>E3245*G3234</f>
        <v>0</v>
      </c>
      <c r="J3245" s="58"/>
      <c r="K3245" s="50"/>
      <c r="L3245" s="50"/>
      <c r="M3245" s="50"/>
      <c r="N3245" s="50"/>
      <c r="O3245" s="50"/>
    </row>
    <row r="3246" spans="1:15">
      <c r="A3246" s="517" t="s">
        <v>4478</v>
      </c>
      <c r="B3246" s="518">
        <f>VLOOKUP(A3246,'Materiales '!$C$2:$G$396,3,0)</f>
        <v>4</v>
      </c>
      <c r="C3246" s="88">
        <f>VLOOKUP(A3246,'Materiales '!$C$2:$G$396,3,0)</f>
        <v>4</v>
      </c>
      <c r="D3246" s="89" t="str">
        <f>VLOOKUP(A3246,'Materiales '!$C$2:$G$396,4,0)</f>
        <v>Und</v>
      </c>
      <c r="E3246" s="90">
        <v>3</v>
      </c>
      <c r="F3246" s="508" t="e">
        <f t="shared" si="190"/>
        <v>#VALUE!</v>
      </c>
      <c r="G3246" s="519"/>
      <c r="H3246" s="111"/>
      <c r="I3246">
        <f>E3246*G3234</f>
        <v>0</v>
      </c>
      <c r="J3246" s="58"/>
      <c r="K3246" s="50"/>
      <c r="L3246" s="50"/>
      <c r="M3246" s="50"/>
      <c r="N3246" s="50"/>
      <c r="O3246" s="50"/>
    </row>
    <row r="3247" spans="1:15">
      <c r="A3247" s="517" t="s">
        <v>4543</v>
      </c>
      <c r="B3247" s="518">
        <f>VLOOKUP(A3247,'Materiales '!$C$2:$G$396,3,0)</f>
        <v>4</v>
      </c>
      <c r="C3247" s="88">
        <f>VLOOKUP(A3247,'Materiales '!$C$2:$G$396,3,0)</f>
        <v>4</v>
      </c>
      <c r="D3247" s="89" t="str">
        <f>VLOOKUP(A3247,'Materiales '!$C$2:$G$396,4,0)</f>
        <v>Und</v>
      </c>
      <c r="E3247" s="90">
        <v>2</v>
      </c>
      <c r="F3247" s="508" t="e">
        <f t="shared" si="190"/>
        <v>#VALUE!</v>
      </c>
      <c r="G3247" s="519"/>
      <c r="H3247" s="111"/>
      <c r="I3247">
        <f>E3247*G3234</f>
        <v>0</v>
      </c>
      <c r="J3247" s="58"/>
      <c r="K3247" s="50"/>
      <c r="L3247" s="50"/>
      <c r="M3247" s="50"/>
      <c r="N3247" s="50"/>
      <c r="O3247" s="50"/>
    </row>
    <row r="3248" spans="1:15">
      <c r="A3248" s="517" t="s">
        <v>4439</v>
      </c>
      <c r="B3248" s="518">
        <f>VLOOKUP(A3248,'Materiales '!$C$2:$G$396,3,0)</f>
        <v>2</v>
      </c>
      <c r="C3248" s="88">
        <f>VLOOKUP(A3248,'Materiales '!$C$2:$G$396,3,0)</f>
        <v>2</v>
      </c>
      <c r="D3248" s="89" t="str">
        <f>VLOOKUP(A3248,'Materiales '!$C$2:$G$396,4,0)</f>
        <v>Ml</v>
      </c>
      <c r="E3248" s="90">
        <v>1</v>
      </c>
      <c r="F3248" s="508" t="e">
        <f t="shared" si="190"/>
        <v>#VALUE!</v>
      </c>
      <c r="G3248" s="519"/>
      <c r="H3248" s="111"/>
      <c r="I3248">
        <f>E3248*G3234</f>
        <v>0</v>
      </c>
      <c r="J3248" s="58"/>
      <c r="K3248" s="50"/>
      <c r="L3248" s="50"/>
      <c r="M3248" s="50"/>
      <c r="N3248" s="50"/>
      <c r="O3248" s="50"/>
    </row>
    <row r="3249" spans="1:15">
      <c r="A3249" s="517" t="s">
        <v>4482</v>
      </c>
      <c r="B3249" s="518">
        <f>VLOOKUP(A3249,'Materiales '!$C$2:$G$396,3,0)</f>
        <v>4</v>
      </c>
      <c r="C3249" s="88">
        <f>VLOOKUP(A3249,'Materiales '!$C$2:$G$396,3,0)</f>
        <v>4</v>
      </c>
      <c r="D3249" s="89" t="str">
        <f>VLOOKUP(A3249,'Materiales '!$C$2:$G$396,4,0)</f>
        <v>Und</v>
      </c>
      <c r="E3249" s="90">
        <v>3</v>
      </c>
      <c r="F3249" s="508" t="e">
        <f t="shared" si="190"/>
        <v>#VALUE!</v>
      </c>
      <c r="G3249" s="519"/>
      <c r="H3249" s="111"/>
      <c r="I3249">
        <f>E3249*G3234</f>
        <v>0</v>
      </c>
      <c r="J3249" s="58"/>
      <c r="K3249" s="50"/>
      <c r="L3249" s="50"/>
      <c r="M3249" s="50"/>
      <c r="N3249" s="50"/>
      <c r="O3249" s="50"/>
    </row>
    <row r="3250" spans="1:15" ht="21.75" customHeight="1">
      <c r="A3250" s="517" t="s">
        <v>4628</v>
      </c>
      <c r="B3250" s="518">
        <f>VLOOKUP(A3250,'Materiales '!$C$2:$G$396,3,0)</f>
        <v>4</v>
      </c>
      <c r="C3250" s="88">
        <f>VLOOKUP(A3250,'Materiales '!$C$2:$G$396,3,0)</f>
        <v>4</v>
      </c>
      <c r="D3250" s="89" t="str">
        <f>VLOOKUP(A3250,'Materiales '!$C$2:$G$396,4,0)</f>
        <v>Und</v>
      </c>
      <c r="E3250" s="90">
        <v>1</v>
      </c>
      <c r="F3250" s="508" t="e">
        <f t="shared" si="190"/>
        <v>#VALUE!</v>
      </c>
      <c r="G3250" s="519"/>
      <c r="H3250" s="111"/>
      <c r="I3250">
        <f>E3250*G3234</f>
        <v>0</v>
      </c>
      <c r="J3250" s="58"/>
      <c r="K3250" s="50"/>
      <c r="L3250" s="50"/>
      <c r="M3250" s="50"/>
      <c r="N3250" s="50"/>
      <c r="O3250" s="50"/>
    </row>
    <row r="3251" spans="1:15">
      <c r="A3251" s="517" t="s">
        <v>8</v>
      </c>
      <c r="B3251" s="518">
        <f>VLOOKUP(A3251,'Materiales '!$C$2:$G$396,3,0)</f>
        <v>0</v>
      </c>
      <c r="C3251" s="88">
        <f>VLOOKUP(A3251,'Materiales '!$C$2:$G$396,3,0)</f>
        <v>0</v>
      </c>
      <c r="D3251" s="89" t="str">
        <f>VLOOKUP(A3251,'Materiales '!$C$2:$G$396,4,0)</f>
        <v>-</v>
      </c>
      <c r="E3251" s="90"/>
      <c r="F3251" s="508" t="e">
        <f>E3251*D3251</f>
        <v>#VALUE!</v>
      </c>
      <c r="G3251" s="519"/>
      <c r="H3251" s="110"/>
      <c r="I3251">
        <f>E3251*G3234</f>
        <v>0</v>
      </c>
      <c r="J3251" s="58"/>
      <c r="K3251" s="50"/>
      <c r="L3251" s="50"/>
      <c r="M3251" s="50"/>
      <c r="N3251" s="50"/>
      <c r="O3251" s="50"/>
    </row>
    <row r="3252" spans="1:15">
      <c r="A3252" s="517" t="s">
        <v>8</v>
      </c>
      <c r="B3252" s="518">
        <f>VLOOKUP(A3252,'Materiales '!$C$2:$G$396,3,0)</f>
        <v>0</v>
      </c>
      <c r="C3252" s="88">
        <f>VLOOKUP(A3252,'Materiales '!$C$2:$G$396,3,0)</f>
        <v>0</v>
      </c>
      <c r="D3252" s="89" t="str">
        <f>VLOOKUP(A3252,'Materiales '!$C$2:$G$396,4,0)</f>
        <v>-</v>
      </c>
      <c r="E3252" s="90"/>
      <c r="F3252" s="508" t="e">
        <f t="shared" ref="F3252:F3255" si="191">E3252*D3252</f>
        <v>#VALUE!</v>
      </c>
      <c r="G3252" s="519"/>
      <c r="H3252" s="111"/>
      <c r="I3252">
        <f>E3252*G3234</f>
        <v>0</v>
      </c>
      <c r="J3252" s="58"/>
      <c r="K3252" s="50"/>
      <c r="L3252" s="50"/>
      <c r="M3252" s="50"/>
      <c r="N3252" s="50"/>
      <c r="O3252" s="50"/>
    </row>
    <row r="3253" spans="1:15">
      <c r="A3253" s="517" t="s">
        <v>8</v>
      </c>
      <c r="B3253" s="518">
        <f>VLOOKUP(A3253,'Materiales '!$C$2:$G$396,3,0)</f>
        <v>0</v>
      </c>
      <c r="C3253" s="88">
        <f>VLOOKUP(A3253,'Materiales '!$C$2:$G$396,3,0)</f>
        <v>0</v>
      </c>
      <c r="D3253" s="89" t="str">
        <f>VLOOKUP(A3253,'Materiales '!$C$2:$G$396,4,0)</f>
        <v>-</v>
      </c>
      <c r="E3253" s="90"/>
      <c r="F3253" s="508" t="e">
        <f t="shared" si="191"/>
        <v>#VALUE!</v>
      </c>
      <c r="G3253" s="519"/>
      <c r="H3253" s="111"/>
      <c r="I3253">
        <f>E3253*G3234</f>
        <v>0</v>
      </c>
      <c r="J3253" s="58"/>
      <c r="K3253" s="50"/>
      <c r="L3253" s="50"/>
      <c r="M3253" s="50"/>
      <c r="N3253" s="50"/>
      <c r="O3253" s="50"/>
    </row>
    <row r="3254" spans="1:15">
      <c r="A3254" s="517" t="s">
        <v>8</v>
      </c>
      <c r="B3254" s="518">
        <f>VLOOKUP(A3254,'Materiales '!$C$2:$G$396,3,0)</f>
        <v>0</v>
      </c>
      <c r="C3254" s="88">
        <f>VLOOKUP(A3254,'Materiales '!$C$2:$G$396,3,0)</f>
        <v>0</v>
      </c>
      <c r="D3254" s="89" t="str">
        <f>VLOOKUP(A3254,'Materiales '!$C$2:$G$396,4,0)</f>
        <v>-</v>
      </c>
      <c r="E3254" s="90"/>
      <c r="F3254" s="508" t="e">
        <f t="shared" si="191"/>
        <v>#VALUE!</v>
      </c>
      <c r="G3254" s="519"/>
      <c r="H3254" s="111"/>
      <c r="I3254">
        <f>E3254*G3234</f>
        <v>0</v>
      </c>
      <c r="J3254" s="58"/>
      <c r="K3254" s="50"/>
      <c r="L3254" s="50"/>
      <c r="M3254" s="50"/>
      <c r="N3254" s="50"/>
      <c r="O3254" s="50"/>
    </row>
    <row r="3255" spans="1:15">
      <c r="A3255" s="517" t="s">
        <v>8</v>
      </c>
      <c r="B3255" s="518">
        <f>VLOOKUP(A3255,'Materiales '!$C$2:$G$396,3,0)</f>
        <v>0</v>
      </c>
      <c r="C3255" s="88">
        <f>VLOOKUP(A3255,'Materiales '!$C$2:$G$396,3,0)</f>
        <v>0</v>
      </c>
      <c r="D3255" s="89" t="str">
        <f>VLOOKUP(A3255,'Materiales '!$C$2:$G$396,4,0)</f>
        <v>-</v>
      </c>
      <c r="E3255" s="90"/>
      <c r="F3255" s="508" t="e">
        <f t="shared" si="191"/>
        <v>#VALUE!</v>
      </c>
      <c r="G3255" s="519"/>
      <c r="H3255" s="111"/>
      <c r="I3255">
        <f>E3255*G3234</f>
        <v>0</v>
      </c>
      <c r="J3255" s="58"/>
      <c r="K3255" s="50"/>
      <c r="L3255" s="50"/>
      <c r="M3255" s="50"/>
      <c r="N3255" s="50"/>
      <c r="O3255" s="50"/>
    </row>
    <row r="3256" spans="1:15">
      <c r="A3256" s="517" t="s">
        <v>8</v>
      </c>
      <c r="B3256" s="518">
        <f>VLOOKUP(A3256,'Materiales '!$C$2:$G$396,3,0)</f>
        <v>0</v>
      </c>
      <c r="C3256" s="88">
        <f>VLOOKUP(A3256,'Materiales '!$C$2:$G$396,3,0)</f>
        <v>0</v>
      </c>
      <c r="D3256" s="89" t="str">
        <f>VLOOKUP(A3256,'Materiales '!$C$2:$G$396,4,0)</f>
        <v>-</v>
      </c>
      <c r="E3256" s="90"/>
      <c r="F3256" s="508" t="e">
        <f>E3256*D3256</f>
        <v>#VALUE!</v>
      </c>
      <c r="G3256" s="519"/>
      <c r="H3256" s="110"/>
      <c r="I3256">
        <f>E3256*G3234</f>
        <v>0</v>
      </c>
      <c r="J3256" s="58"/>
      <c r="K3256" s="50"/>
      <c r="L3256" s="50"/>
      <c r="M3256" s="50"/>
      <c r="N3256" s="50"/>
      <c r="O3256" s="50"/>
    </row>
    <row r="3257" spans="1:15">
      <c r="A3257" s="520" t="s">
        <v>4098</v>
      </c>
      <c r="B3257" s="521"/>
      <c r="C3257" s="521"/>
      <c r="D3257" s="521"/>
      <c r="E3257" s="521"/>
      <c r="F3257" s="521"/>
      <c r="G3257" s="522"/>
      <c r="H3257" s="106" t="e">
        <f>SUM(F3243:F3256)</f>
        <v>#VALUE!</v>
      </c>
      <c r="J3257" s="58"/>
      <c r="K3257" s="50"/>
      <c r="L3257" s="50"/>
      <c r="M3257" s="50"/>
      <c r="N3257" s="50"/>
      <c r="O3257" s="50"/>
    </row>
    <row r="3258" spans="1:15">
      <c r="A3258" s="523" t="s">
        <v>4220</v>
      </c>
      <c r="B3258" s="524"/>
      <c r="C3258" s="524"/>
      <c r="D3258" s="524"/>
      <c r="E3258" s="525"/>
      <c r="F3258" s="524"/>
      <c r="G3258" s="524"/>
      <c r="H3258" s="526"/>
      <c r="J3258" s="58"/>
      <c r="K3258" s="50"/>
      <c r="L3258" s="50"/>
      <c r="M3258" s="50"/>
      <c r="N3258" s="50"/>
      <c r="O3258" s="50"/>
    </row>
    <row r="3259" spans="1:15">
      <c r="A3259" s="527" t="s">
        <v>7</v>
      </c>
      <c r="B3259" s="528"/>
      <c r="C3259" s="98" t="s">
        <v>4221</v>
      </c>
      <c r="D3259" s="97" t="s">
        <v>4222</v>
      </c>
      <c r="E3259" s="187" t="s">
        <v>4223</v>
      </c>
      <c r="F3259" s="529" t="s">
        <v>4207</v>
      </c>
      <c r="G3259" s="529"/>
      <c r="H3259" s="109"/>
      <c r="K3259" s="50"/>
      <c r="L3259" s="50"/>
      <c r="M3259" s="50"/>
      <c r="N3259" s="50"/>
      <c r="O3259" s="50"/>
    </row>
    <row r="3260" spans="1:15">
      <c r="A3260" s="506" t="s">
        <v>3928</v>
      </c>
      <c r="B3260" s="507"/>
      <c r="C3260" s="213">
        <v>1</v>
      </c>
      <c r="D3260" s="92">
        <v>0.03</v>
      </c>
      <c r="E3260" s="93" t="str">
        <f>VLOOKUP(A3260,'Equip, Herr y Transp'!$B$2:$E$217,3,0)</f>
        <v>TR</v>
      </c>
      <c r="F3260" s="530" t="e">
        <f>E3260*D3260*C3260</f>
        <v>#VALUE!</v>
      </c>
      <c r="G3260" s="531"/>
      <c r="H3260" s="107"/>
      <c r="M3260" s="50"/>
    </row>
    <row r="3261" spans="1:15">
      <c r="A3261" s="532" t="s">
        <v>4205</v>
      </c>
      <c r="B3261" s="533"/>
      <c r="C3261" s="533"/>
      <c r="D3261" s="533"/>
      <c r="E3261" s="533"/>
      <c r="F3261" s="533"/>
      <c r="G3261" s="533"/>
      <c r="H3261" s="95" t="e">
        <f>F3260</f>
        <v>#VALUE!</v>
      </c>
    </row>
    <row r="3262" spans="1:15">
      <c r="A3262" s="523" t="s">
        <v>4224</v>
      </c>
      <c r="B3262" s="524"/>
      <c r="C3262" s="524"/>
      <c r="D3262" s="524"/>
      <c r="E3262" s="524"/>
      <c r="F3262" s="524"/>
      <c r="G3262" s="524"/>
      <c r="H3262" s="526"/>
    </row>
    <row r="3263" spans="1:15">
      <c r="A3263" s="527" t="s">
        <v>7</v>
      </c>
      <c r="B3263" s="528"/>
      <c r="C3263" s="96" t="s">
        <v>1</v>
      </c>
      <c r="D3263" s="97" t="s">
        <v>4225</v>
      </c>
      <c r="E3263" s="98" t="s">
        <v>4204</v>
      </c>
      <c r="F3263" s="527" t="s">
        <v>5</v>
      </c>
      <c r="G3263" s="534"/>
      <c r="H3263" s="109"/>
    </row>
    <row r="3264" spans="1:15">
      <c r="A3264" s="506" t="s">
        <v>4191</v>
      </c>
      <c r="B3264" s="507"/>
      <c r="C3264" s="91">
        <v>1</v>
      </c>
      <c r="D3264" s="94">
        <f>VLOOKUP(A3264,'Mano Obra'!$B$2:$T$117,19,0)</f>
        <v>152456</v>
      </c>
      <c r="E3264" s="218">
        <f>H3227</f>
        <v>6.25E-2</v>
      </c>
      <c r="F3264" s="508">
        <f>E3264*D3264*C3264</f>
        <v>9528.5</v>
      </c>
      <c r="G3264" s="509"/>
      <c r="H3264" s="111"/>
      <c r="I3264" s="59"/>
      <c r="J3264" s="117">
        <f>((('Mano Obra'!$M$4/30)*F3264)/D3264)*G3234</f>
        <v>0</v>
      </c>
    </row>
    <row r="3265" spans="1:10">
      <c r="A3265" s="510" t="s">
        <v>4192</v>
      </c>
      <c r="B3265" s="511">
        <f>VLOOKUP(A3265,'Mano Obra'!$B$3:$D$290,2,0)</f>
        <v>1900000</v>
      </c>
      <c r="C3265" s="91">
        <v>1</v>
      </c>
      <c r="D3265" s="94">
        <f>VLOOKUP(A3265,'Mano Obra'!$B$2:$T$117,19,0)</f>
        <v>110488</v>
      </c>
      <c r="E3265" s="218">
        <f>H3227</f>
        <v>6.25E-2</v>
      </c>
      <c r="F3265" s="508">
        <f t="shared" ref="F3265:F3266" si="192">E3265*D3265*C3265</f>
        <v>6905.5</v>
      </c>
      <c r="G3265" s="509"/>
      <c r="H3265" s="111"/>
      <c r="J3265" s="117">
        <f>((('Mano Obra'!$M$5/30)*F3265)/D3265)*G3234</f>
        <v>0</v>
      </c>
    </row>
    <row r="3266" spans="1:10">
      <c r="A3266" s="510" t="s">
        <v>4181</v>
      </c>
      <c r="B3266" s="511">
        <f>VLOOKUP(A3266,'Mano Obra'!$B$3:$D$290,2,0)</f>
        <v>1000000</v>
      </c>
      <c r="C3266" s="91">
        <v>1</v>
      </c>
      <c r="D3266" s="94">
        <f>VLOOKUP(A3266,'Mano Obra'!$B$2:$T$117,19,0)</f>
        <v>67424</v>
      </c>
      <c r="E3266" s="218">
        <f>H3227</f>
        <v>6.25E-2</v>
      </c>
      <c r="F3266" s="508">
        <f t="shared" si="192"/>
        <v>4214</v>
      </c>
      <c r="G3266" s="509"/>
      <c r="H3266" s="110"/>
      <c r="J3266" s="117">
        <f>((('Mano Obra'!$M$6/30)*F3266)/D3266)*G3234</f>
        <v>0</v>
      </c>
    </row>
    <row r="3267" spans="1:10">
      <c r="A3267" s="512" t="s">
        <v>4100</v>
      </c>
      <c r="B3267" s="512"/>
      <c r="C3267" s="512"/>
      <c r="D3267" s="512"/>
      <c r="E3267" s="512"/>
      <c r="F3267" s="512"/>
      <c r="G3267" s="512"/>
      <c r="H3267" s="95">
        <f>SUM(F3264:F3266)</f>
        <v>20648</v>
      </c>
      <c r="J3267" s="117"/>
    </row>
    <row r="3268" spans="1:10">
      <c r="A3268" s="208" t="s">
        <v>4226</v>
      </c>
      <c r="B3268" s="186"/>
      <c r="C3268" s="186"/>
      <c r="D3268" s="183"/>
      <c r="E3268" s="184"/>
      <c r="F3268" s="185"/>
      <c r="G3268" s="184"/>
      <c r="H3268" s="193"/>
    </row>
    <row r="3269" spans="1:10">
      <c r="A3269" s="513" t="s">
        <v>4213</v>
      </c>
      <c r="B3269" s="514"/>
      <c r="C3269" s="514"/>
      <c r="D3269" s="514"/>
      <c r="E3269" s="181"/>
      <c r="F3269" s="182" t="s">
        <v>4227</v>
      </c>
      <c r="G3269" s="181" t="s">
        <v>4228</v>
      </c>
      <c r="H3269" s="194"/>
    </row>
    <row r="3270" spans="1:10">
      <c r="A3270" s="204" t="s">
        <v>4096</v>
      </c>
      <c r="B3270" s="62"/>
      <c r="C3270" s="62"/>
      <c r="D3270" s="63"/>
      <c r="E3270" s="68"/>
      <c r="F3270" s="69">
        <v>0</v>
      </c>
      <c r="G3270" s="70" t="e">
        <f>F3270*H3235</f>
        <v>#VALUE!</v>
      </c>
      <c r="H3270" s="193"/>
    </row>
    <row r="3271" spans="1:10">
      <c r="A3271" s="205" t="s">
        <v>4229</v>
      </c>
      <c r="B3271" s="71"/>
      <c r="C3271" s="71"/>
      <c r="D3271" s="72"/>
      <c r="E3271" s="68"/>
      <c r="F3271" s="69">
        <v>0</v>
      </c>
      <c r="G3271" s="70" t="e">
        <f>F3271*H3235</f>
        <v>#VALUE!</v>
      </c>
      <c r="H3271" s="193"/>
    </row>
    <row r="3272" spans="1:10">
      <c r="A3272" s="205" t="s">
        <v>4</v>
      </c>
      <c r="B3272" s="71"/>
      <c r="C3272" s="71"/>
      <c r="D3272" s="72"/>
      <c r="E3272" s="68"/>
      <c r="F3272" s="69">
        <v>0</v>
      </c>
      <c r="G3272" s="70" t="e">
        <f>F3272*H3235</f>
        <v>#VALUE!</v>
      </c>
      <c r="H3272" s="193"/>
    </row>
    <row r="3273" spans="1:10">
      <c r="A3273" s="206"/>
      <c r="B3273" s="73"/>
      <c r="C3273" s="65"/>
      <c r="D3273" s="74"/>
      <c r="E3273" s="75"/>
      <c r="F3273" s="76"/>
      <c r="G3273" s="77"/>
      <c r="H3273" s="195"/>
    </row>
    <row r="3274" spans="1:10">
      <c r="A3274" s="207"/>
      <c r="B3274" s="73"/>
      <c r="C3274" s="73"/>
      <c r="D3274" s="74"/>
      <c r="E3274" s="78"/>
      <c r="F3274" s="515" t="s">
        <v>4230</v>
      </c>
      <c r="G3274" s="516"/>
      <c r="H3274" s="214" t="e">
        <f>H3235+G3270+G3271+G3272</f>
        <v>#VALUE!</v>
      </c>
    </row>
    <row r="3275" spans="1:10">
      <c r="A3275" s="73"/>
      <c r="B3275" s="73"/>
      <c r="C3275" s="73"/>
      <c r="D3275" s="74"/>
      <c r="E3275" s="360"/>
      <c r="F3275" s="361"/>
      <c r="G3275" s="361"/>
      <c r="H3275" s="362"/>
    </row>
    <row r="3276" spans="1:10">
      <c r="A3276" s="80"/>
      <c r="B3276" s="80"/>
      <c r="C3276" s="80"/>
      <c r="D3276" s="80"/>
      <c r="E3276" s="80"/>
      <c r="F3276" s="80"/>
      <c r="G3276" s="80"/>
      <c r="H3276" s="353"/>
    </row>
    <row r="3277" spans="1:10">
      <c r="A3277" s="537" t="s">
        <v>4214</v>
      </c>
      <c r="B3277" s="538"/>
      <c r="C3277" s="538"/>
      <c r="D3277" s="538"/>
      <c r="E3277" s="538"/>
      <c r="F3277" s="538"/>
      <c r="G3277" s="538"/>
      <c r="H3277" s="539"/>
    </row>
    <row r="3278" spans="1:10">
      <c r="A3278" s="81"/>
      <c r="B3278" s="82"/>
      <c r="C3278" s="82"/>
      <c r="D3278" s="82"/>
      <c r="E3278" s="82"/>
      <c r="F3278" s="83"/>
      <c r="G3278" s="84"/>
      <c r="H3278" s="352">
        <f>ROUND((30/60)/8,4)</f>
        <v>6.25E-2</v>
      </c>
      <c r="I3278" s="105"/>
    </row>
    <row r="3279" spans="1:10">
      <c r="A3279" s="540" t="s">
        <v>4209</v>
      </c>
      <c r="B3279" s="542" t="str">
        <f>COSTOS!$C$14</f>
        <v>MODERNIZACION A TECNOLOGIA LED</v>
      </c>
      <c r="C3279" s="542"/>
      <c r="D3279" s="542"/>
      <c r="E3279" s="542"/>
      <c r="F3279" s="542"/>
      <c r="G3279" s="542"/>
      <c r="H3279" s="543" t="s">
        <v>4210</v>
      </c>
    </row>
    <row r="3280" spans="1:10">
      <c r="A3280" s="541"/>
      <c r="B3280" s="542"/>
      <c r="C3280" s="542"/>
      <c r="D3280" s="542"/>
      <c r="E3280" s="542"/>
      <c r="F3280" s="542"/>
      <c r="G3280" s="542"/>
      <c r="H3280" s="543"/>
    </row>
    <row r="3281" spans="1:15">
      <c r="A3281" s="541"/>
      <c r="B3281" s="542"/>
      <c r="C3281" s="542"/>
      <c r="D3281" s="542"/>
      <c r="E3281" s="542"/>
      <c r="F3281" s="542"/>
      <c r="G3281" s="542"/>
      <c r="H3281" s="543"/>
    </row>
    <row r="3282" spans="1:15" ht="15" customHeight="1">
      <c r="A3282" s="541"/>
      <c r="B3282" s="542"/>
      <c r="C3282" s="542"/>
      <c r="D3282" s="542"/>
      <c r="E3282" s="542"/>
      <c r="F3282" s="542"/>
      <c r="G3282" s="542"/>
      <c r="H3282" s="197">
        <f ca="1">TODAY()</f>
        <v>44889</v>
      </c>
      <c r="K3282" t="s">
        <v>4380</v>
      </c>
      <c r="L3282" t="s">
        <v>4381</v>
      </c>
      <c r="M3282" t="s">
        <v>4382</v>
      </c>
      <c r="N3282" t="s">
        <v>4383</v>
      </c>
    </row>
    <row r="3283" spans="1:15" ht="60.75" customHeight="1">
      <c r="A3283" s="209" t="s">
        <v>4211</v>
      </c>
      <c r="B3283" s="544" t="str">
        <f>COSTOS!$D$16</f>
        <v>Luminarias</v>
      </c>
      <c r="C3283" s="544"/>
      <c r="D3283" s="544"/>
      <c r="E3283" s="544"/>
      <c r="F3283" s="544"/>
      <c r="G3283" s="60" t="s">
        <v>4212</v>
      </c>
      <c r="H3283" s="363">
        <v>1.65</v>
      </c>
      <c r="K3283" s="55" t="e">
        <f>H3308</f>
        <v>#VALUE!</v>
      </c>
      <c r="L3283" s="55">
        <f>H3318</f>
        <v>20648</v>
      </c>
      <c r="M3283" s="55" t="e">
        <f>H3291</f>
        <v>#VALUE!</v>
      </c>
      <c r="N3283" s="55" t="e">
        <f>H3312</f>
        <v>#VALUE!</v>
      </c>
    </row>
    <row r="3284" spans="1:15" ht="43.2" customHeight="1">
      <c r="A3284" s="210" t="s">
        <v>4213</v>
      </c>
      <c r="B3284" s="545" t="str">
        <f>VLOOKUP(H3283,COSTOS!C:M,2,0)</f>
        <v>Farol Led 80w Monoff</v>
      </c>
      <c r="C3284" s="546"/>
      <c r="D3284" s="546"/>
      <c r="E3284" s="547"/>
      <c r="F3284" s="61" t="s">
        <v>0</v>
      </c>
      <c r="G3284" s="328" t="str">
        <f>VLOOKUP(H3283,COSTOS!C:M,8,0)</f>
        <v>Und</v>
      </c>
      <c r="H3284" s="248"/>
      <c r="I3284" s="278"/>
      <c r="J3284" s="280"/>
      <c r="K3284" s="280"/>
      <c r="L3284" s="280"/>
    </row>
    <row r="3285" spans="1:15">
      <c r="A3285" s="211"/>
      <c r="B3285" s="102"/>
      <c r="C3285" s="102"/>
      <c r="D3285" s="102"/>
      <c r="E3285" s="103"/>
      <c r="F3285" s="104" t="s">
        <v>1</v>
      </c>
      <c r="G3285" s="328">
        <f>VLOOKUP(H3283,COSTOS!C:M,9,0)</f>
        <v>0</v>
      </c>
      <c r="H3285" s="329"/>
      <c r="I3285" s="279"/>
    </row>
    <row r="3286" spans="1:15">
      <c r="A3286" s="212" t="s">
        <v>4215</v>
      </c>
      <c r="B3286" s="65"/>
      <c r="C3286" s="65"/>
      <c r="D3286" s="66"/>
      <c r="E3286" s="190"/>
      <c r="F3286" s="191"/>
      <c r="G3286" s="192" t="s">
        <v>4216</v>
      </c>
      <c r="H3286" s="198" t="e">
        <f>H3291+H3308+H3312+H3318</f>
        <v>#VALUE!</v>
      </c>
    </row>
    <row r="3287" spans="1:15" ht="41.4">
      <c r="A3287" s="548" t="s">
        <v>4213</v>
      </c>
      <c r="B3287" s="548"/>
      <c r="C3287" s="548"/>
      <c r="D3287" s="67" t="s">
        <v>0</v>
      </c>
      <c r="E3287" s="188" t="s">
        <v>4217</v>
      </c>
      <c r="F3287" s="189" t="s">
        <v>4204</v>
      </c>
      <c r="G3287" s="64" t="s">
        <v>2</v>
      </c>
      <c r="H3287" s="199" t="s">
        <v>4218</v>
      </c>
      <c r="K3287" s="281"/>
    </row>
    <row r="3288" spans="1:15">
      <c r="A3288" s="517" t="s">
        <v>3946</v>
      </c>
      <c r="B3288" s="549">
        <f>VLOOKUP(A3288,'Equip, Herr y Transp'!$B$2:$E$738,2,0)</f>
        <v>2</v>
      </c>
      <c r="C3288" s="549"/>
      <c r="D3288" s="85">
        <f>VLOOKUP(A3288,'Equip, Herr y Transp'!$B$2:$E$217,2,0)</f>
        <v>2</v>
      </c>
      <c r="E3288" s="85" t="str">
        <f>VLOOKUP(A3288,'Equip, Herr y Transp'!$B$2:$E$217,3,0)</f>
        <v>EQU</v>
      </c>
      <c r="F3288" s="86">
        <f>H3278</f>
        <v>6.25E-2</v>
      </c>
      <c r="G3288" s="112" t="e">
        <f>F3288*E3288</f>
        <v>#VALUE!</v>
      </c>
      <c r="H3288" s="108"/>
    </row>
    <row r="3289" spans="1:15">
      <c r="A3289" s="517" t="s">
        <v>3904</v>
      </c>
      <c r="B3289" s="549">
        <f>VLOOKUP(A3289,'Equip, Herr y Transp'!$B$2:$E$738,2,0)</f>
        <v>2</v>
      </c>
      <c r="C3289" s="549"/>
      <c r="D3289" s="85">
        <f>VLOOKUP(A3289,'Equip, Herr y Transp'!$B$2:$E$217,2,0)</f>
        <v>2</v>
      </c>
      <c r="E3289" s="85" t="str">
        <f>VLOOKUP(A3289,'Equip, Herr y Transp'!$B$2:$E$217,3,0)</f>
        <v>EQU</v>
      </c>
      <c r="F3289" s="86">
        <f>H3278</f>
        <v>6.25E-2</v>
      </c>
      <c r="G3289" s="112" t="e">
        <f>F3289*E3289</f>
        <v>#VALUE!</v>
      </c>
      <c r="H3289" s="107"/>
    </row>
    <row r="3290" spans="1:15">
      <c r="A3290" s="517" t="s">
        <v>3937</v>
      </c>
      <c r="B3290" s="549">
        <f>VLOOKUP(A3290,'Equip, Herr y Transp'!$B$2:$E$738,2,0)</f>
        <v>2</v>
      </c>
      <c r="C3290" s="549"/>
      <c r="D3290" s="85">
        <f>VLOOKUP(A3290,'Equip, Herr y Transp'!$B$2:$E$217,2,0)</f>
        <v>2</v>
      </c>
      <c r="E3290" s="85" t="str">
        <f>VLOOKUP(A3290,'Equip, Herr y Transp'!$B$2:$E$217,3,0)</f>
        <v>EQU</v>
      </c>
      <c r="F3290" s="86">
        <f>H3278</f>
        <v>6.25E-2</v>
      </c>
      <c r="G3290" s="112" t="e">
        <f>F3290*E3290</f>
        <v>#VALUE!</v>
      </c>
      <c r="H3290" s="107"/>
    </row>
    <row r="3291" spans="1:15">
      <c r="A3291" s="520" t="s">
        <v>4099</v>
      </c>
      <c r="B3291" s="521"/>
      <c r="C3291" s="521"/>
      <c r="D3291" s="521"/>
      <c r="E3291" s="521"/>
      <c r="F3291" s="521"/>
      <c r="G3291" s="521"/>
      <c r="H3291" s="87" t="e">
        <f>SUM(G3288:G3290)</f>
        <v>#VALUE!</v>
      </c>
    </row>
    <row r="3292" spans="1:15">
      <c r="A3292" s="550" t="s">
        <v>4219</v>
      </c>
      <c r="B3292" s="551"/>
      <c r="C3292" s="551"/>
      <c r="D3292" s="551"/>
      <c r="E3292" s="551"/>
      <c r="F3292" s="551"/>
      <c r="G3292" s="551"/>
      <c r="H3292" s="552"/>
      <c r="K3292" s="50"/>
      <c r="L3292" s="50"/>
      <c r="M3292" s="50"/>
      <c r="N3292" s="50"/>
      <c r="O3292" s="50"/>
    </row>
    <row r="3293" spans="1:15" ht="30" customHeight="1">
      <c r="A3293" s="553" t="s">
        <v>7</v>
      </c>
      <c r="B3293" s="554"/>
      <c r="C3293" s="99" t="s">
        <v>0</v>
      </c>
      <c r="D3293" s="100" t="s">
        <v>4097</v>
      </c>
      <c r="E3293" s="101" t="s">
        <v>1</v>
      </c>
      <c r="F3293" s="555" t="s">
        <v>4207</v>
      </c>
      <c r="G3293" s="555"/>
      <c r="H3293" s="196"/>
      <c r="K3293" s="50"/>
      <c r="L3293" s="50"/>
      <c r="M3293" s="50"/>
      <c r="N3293" s="50"/>
      <c r="O3293" s="50"/>
    </row>
    <row r="3294" spans="1:15">
      <c r="A3294" s="535" t="s">
        <v>4767</v>
      </c>
      <c r="B3294" s="536"/>
      <c r="C3294" s="88">
        <f>VLOOKUP(A3294,'Materiales '!$C$2:$G$396,3,0)</f>
        <v>4</v>
      </c>
      <c r="D3294" s="89" t="str">
        <f>VLOOKUP(A3294,'Materiales '!$C$2:$G$396,4,0)</f>
        <v>Und</v>
      </c>
      <c r="E3294" s="90">
        <v>1</v>
      </c>
      <c r="F3294" s="508" t="e">
        <f>E3294*D3294</f>
        <v>#VALUE!</v>
      </c>
      <c r="G3294" s="519"/>
      <c r="H3294" s="111"/>
      <c r="I3294">
        <f>E3294*G3285</f>
        <v>0</v>
      </c>
      <c r="J3294" s="57"/>
      <c r="K3294" s="50"/>
      <c r="L3294" s="50"/>
      <c r="M3294" s="50"/>
      <c r="N3294" s="50"/>
      <c r="O3294" s="50"/>
    </row>
    <row r="3295" spans="1:15">
      <c r="A3295" s="535" t="s">
        <v>4203</v>
      </c>
      <c r="B3295" s="536"/>
      <c r="C3295" s="88">
        <f>VLOOKUP(A3295,'Materiales '!$C$2:$G$396,3,0)</f>
        <v>4</v>
      </c>
      <c r="D3295" s="89" t="str">
        <f>VLOOKUP(A3295,'Materiales '!$C$2:$G$396,4,0)</f>
        <v>Und</v>
      </c>
      <c r="E3295" s="90">
        <v>1</v>
      </c>
      <c r="F3295" s="508" t="e">
        <f t="shared" ref="F3295:F3301" si="193">E3295*D3295</f>
        <v>#VALUE!</v>
      </c>
      <c r="G3295" s="519"/>
      <c r="H3295" s="111"/>
      <c r="I3295">
        <f>E3295*G3285</f>
        <v>0</v>
      </c>
      <c r="J3295" s="57"/>
      <c r="K3295" s="50"/>
      <c r="L3295" s="50"/>
      <c r="M3295" s="50"/>
      <c r="N3295" s="50"/>
      <c r="O3295" s="50"/>
    </row>
    <row r="3296" spans="1:15">
      <c r="A3296" s="517" t="s">
        <v>4473</v>
      </c>
      <c r="B3296" s="518">
        <f>VLOOKUP(A3296,'Materiales '!$C$2:$G$396,3,0)</f>
        <v>4</v>
      </c>
      <c r="C3296" s="88">
        <f>VLOOKUP(A3296,'Materiales '!$C$2:$G$396,3,0)</f>
        <v>4</v>
      </c>
      <c r="D3296" s="89" t="str">
        <f>VLOOKUP(A3296,'Materiales '!$C$2:$G$396,4,0)</f>
        <v>Und</v>
      </c>
      <c r="E3296" s="90">
        <v>2</v>
      </c>
      <c r="F3296" s="508" t="e">
        <f t="shared" si="193"/>
        <v>#VALUE!</v>
      </c>
      <c r="G3296" s="519"/>
      <c r="H3296" s="111"/>
      <c r="I3296">
        <f>E3296*G3285</f>
        <v>0</v>
      </c>
      <c r="J3296" s="58"/>
      <c r="K3296" s="50"/>
      <c r="L3296" s="50"/>
      <c r="M3296" s="50"/>
      <c r="N3296" s="50"/>
      <c r="O3296" s="50"/>
    </row>
    <row r="3297" spans="1:15">
      <c r="A3297" s="517" t="s">
        <v>4478</v>
      </c>
      <c r="B3297" s="518">
        <f>VLOOKUP(A3297,'Materiales '!$C$2:$G$396,3,0)</f>
        <v>4</v>
      </c>
      <c r="C3297" s="88">
        <f>VLOOKUP(A3297,'Materiales '!$C$2:$G$396,3,0)</f>
        <v>4</v>
      </c>
      <c r="D3297" s="89" t="str">
        <f>VLOOKUP(A3297,'Materiales '!$C$2:$G$396,4,0)</f>
        <v>Und</v>
      </c>
      <c r="E3297" s="90">
        <v>3</v>
      </c>
      <c r="F3297" s="508" t="e">
        <f t="shared" si="193"/>
        <v>#VALUE!</v>
      </c>
      <c r="G3297" s="519"/>
      <c r="H3297" s="111"/>
      <c r="I3297">
        <f>E3297*G3285</f>
        <v>0</v>
      </c>
      <c r="J3297" s="58"/>
      <c r="K3297" s="50"/>
      <c r="L3297" s="50"/>
      <c r="M3297" s="50"/>
      <c r="N3297" s="50"/>
      <c r="O3297" s="50"/>
    </row>
    <row r="3298" spans="1:15">
      <c r="A3298" s="517" t="s">
        <v>4543</v>
      </c>
      <c r="B3298" s="518">
        <f>VLOOKUP(A3298,'Materiales '!$C$2:$G$396,3,0)</f>
        <v>4</v>
      </c>
      <c r="C3298" s="88">
        <f>VLOOKUP(A3298,'Materiales '!$C$2:$G$396,3,0)</f>
        <v>4</v>
      </c>
      <c r="D3298" s="89" t="str">
        <f>VLOOKUP(A3298,'Materiales '!$C$2:$G$396,4,0)</f>
        <v>Und</v>
      </c>
      <c r="E3298" s="90">
        <v>2</v>
      </c>
      <c r="F3298" s="508" t="e">
        <f t="shared" si="193"/>
        <v>#VALUE!</v>
      </c>
      <c r="G3298" s="519"/>
      <c r="H3298" s="111"/>
      <c r="I3298">
        <f>E3298*G3285</f>
        <v>0</v>
      </c>
      <c r="J3298" s="58"/>
      <c r="K3298" s="50"/>
      <c r="L3298" s="50"/>
      <c r="M3298" s="50"/>
      <c r="N3298" s="50"/>
      <c r="O3298" s="50"/>
    </row>
    <row r="3299" spans="1:15">
      <c r="A3299" s="517" t="s">
        <v>4439</v>
      </c>
      <c r="B3299" s="518">
        <f>VLOOKUP(A3299,'Materiales '!$C$2:$G$396,3,0)</f>
        <v>2</v>
      </c>
      <c r="C3299" s="88">
        <f>VLOOKUP(A3299,'Materiales '!$C$2:$G$396,3,0)</f>
        <v>2</v>
      </c>
      <c r="D3299" s="89" t="str">
        <f>VLOOKUP(A3299,'Materiales '!$C$2:$G$396,4,0)</f>
        <v>Ml</v>
      </c>
      <c r="E3299" s="90">
        <v>1</v>
      </c>
      <c r="F3299" s="508" t="e">
        <f t="shared" si="193"/>
        <v>#VALUE!</v>
      </c>
      <c r="G3299" s="519"/>
      <c r="H3299" s="111"/>
      <c r="I3299">
        <f>E3299*G3285</f>
        <v>0</v>
      </c>
      <c r="J3299" s="58"/>
      <c r="K3299" s="50"/>
      <c r="L3299" s="50"/>
      <c r="M3299" s="50"/>
      <c r="N3299" s="50"/>
      <c r="O3299" s="50"/>
    </row>
    <row r="3300" spans="1:15">
      <c r="A3300" s="517" t="s">
        <v>4482</v>
      </c>
      <c r="B3300" s="518">
        <f>VLOOKUP(A3300,'Materiales '!$C$2:$G$396,3,0)</f>
        <v>4</v>
      </c>
      <c r="C3300" s="88">
        <f>VLOOKUP(A3300,'Materiales '!$C$2:$G$396,3,0)</f>
        <v>4</v>
      </c>
      <c r="D3300" s="89" t="str">
        <f>VLOOKUP(A3300,'Materiales '!$C$2:$G$396,4,0)</f>
        <v>Und</v>
      </c>
      <c r="E3300" s="90">
        <v>3</v>
      </c>
      <c r="F3300" s="508" t="e">
        <f t="shared" si="193"/>
        <v>#VALUE!</v>
      </c>
      <c r="G3300" s="519"/>
      <c r="H3300" s="111"/>
      <c r="I3300">
        <f>E3300*G3285</f>
        <v>0</v>
      </c>
      <c r="J3300" s="58"/>
      <c r="K3300" s="50"/>
      <c r="L3300" s="50"/>
      <c r="M3300" s="50"/>
      <c r="N3300" s="50"/>
      <c r="O3300" s="50"/>
    </row>
    <row r="3301" spans="1:15" ht="21.75" customHeight="1">
      <c r="A3301" s="517" t="s">
        <v>4628</v>
      </c>
      <c r="B3301" s="518">
        <f>VLOOKUP(A3301,'Materiales '!$C$2:$G$396,3,0)</f>
        <v>4</v>
      </c>
      <c r="C3301" s="88">
        <f>VLOOKUP(A3301,'Materiales '!$C$2:$G$396,3,0)</f>
        <v>4</v>
      </c>
      <c r="D3301" s="89" t="str">
        <f>VLOOKUP(A3301,'Materiales '!$C$2:$G$396,4,0)</f>
        <v>Und</v>
      </c>
      <c r="E3301" s="90">
        <v>1</v>
      </c>
      <c r="F3301" s="508" t="e">
        <f t="shared" si="193"/>
        <v>#VALUE!</v>
      </c>
      <c r="G3301" s="519"/>
      <c r="H3301" s="111"/>
      <c r="I3301">
        <f>E3301*G3285</f>
        <v>0</v>
      </c>
      <c r="J3301" s="58"/>
      <c r="K3301" s="50"/>
      <c r="L3301" s="50"/>
      <c r="M3301" s="50"/>
      <c r="N3301" s="50"/>
      <c r="O3301" s="50"/>
    </row>
    <row r="3302" spans="1:15">
      <c r="A3302" s="517" t="s">
        <v>8</v>
      </c>
      <c r="B3302" s="518">
        <f>VLOOKUP(A3302,'Materiales '!$C$2:$G$396,3,0)</f>
        <v>0</v>
      </c>
      <c r="C3302" s="88">
        <f>VLOOKUP(A3302,'Materiales '!$C$2:$G$396,3,0)</f>
        <v>0</v>
      </c>
      <c r="D3302" s="89" t="str">
        <f>VLOOKUP(A3302,'Materiales '!$C$2:$G$396,4,0)</f>
        <v>-</v>
      </c>
      <c r="E3302" s="90"/>
      <c r="F3302" s="508" t="e">
        <f>E3302*D3302</f>
        <v>#VALUE!</v>
      </c>
      <c r="G3302" s="519"/>
      <c r="H3302" s="110"/>
      <c r="I3302">
        <f>E3302*G3285</f>
        <v>0</v>
      </c>
      <c r="J3302" s="58"/>
      <c r="K3302" s="50"/>
      <c r="L3302" s="50"/>
      <c r="M3302" s="50"/>
      <c r="N3302" s="50"/>
      <c r="O3302" s="50"/>
    </row>
    <row r="3303" spans="1:15">
      <c r="A3303" s="517" t="s">
        <v>8</v>
      </c>
      <c r="B3303" s="518">
        <f>VLOOKUP(A3303,'Materiales '!$C$2:$G$396,3,0)</f>
        <v>0</v>
      </c>
      <c r="C3303" s="88">
        <f>VLOOKUP(A3303,'Materiales '!$C$2:$G$396,3,0)</f>
        <v>0</v>
      </c>
      <c r="D3303" s="89" t="str">
        <f>VLOOKUP(A3303,'Materiales '!$C$2:$G$396,4,0)</f>
        <v>-</v>
      </c>
      <c r="E3303" s="90"/>
      <c r="F3303" s="508" t="e">
        <f t="shared" ref="F3303:F3306" si="194">E3303*D3303</f>
        <v>#VALUE!</v>
      </c>
      <c r="G3303" s="519"/>
      <c r="H3303" s="111"/>
      <c r="I3303">
        <f>E3303*G3285</f>
        <v>0</v>
      </c>
      <c r="J3303" s="58"/>
      <c r="K3303" s="50"/>
      <c r="L3303" s="50"/>
      <c r="M3303" s="50"/>
      <c r="N3303" s="50"/>
      <c r="O3303" s="50"/>
    </row>
    <row r="3304" spans="1:15">
      <c r="A3304" s="517" t="s">
        <v>8</v>
      </c>
      <c r="B3304" s="518">
        <f>VLOOKUP(A3304,'Materiales '!$C$2:$G$396,3,0)</f>
        <v>0</v>
      </c>
      <c r="C3304" s="88">
        <f>VLOOKUP(A3304,'Materiales '!$C$2:$G$396,3,0)</f>
        <v>0</v>
      </c>
      <c r="D3304" s="89" t="str">
        <f>VLOOKUP(A3304,'Materiales '!$C$2:$G$396,4,0)</f>
        <v>-</v>
      </c>
      <c r="E3304" s="90"/>
      <c r="F3304" s="508" t="e">
        <f t="shared" si="194"/>
        <v>#VALUE!</v>
      </c>
      <c r="G3304" s="519"/>
      <c r="H3304" s="111"/>
      <c r="I3304">
        <f>E3304*G3285</f>
        <v>0</v>
      </c>
      <c r="J3304" s="58"/>
      <c r="K3304" s="50"/>
      <c r="L3304" s="50"/>
      <c r="M3304" s="50"/>
      <c r="N3304" s="50"/>
      <c r="O3304" s="50"/>
    </row>
    <row r="3305" spans="1:15">
      <c r="A3305" s="517" t="s">
        <v>8</v>
      </c>
      <c r="B3305" s="518">
        <f>VLOOKUP(A3305,'Materiales '!$C$2:$G$396,3,0)</f>
        <v>0</v>
      </c>
      <c r="C3305" s="88">
        <f>VLOOKUP(A3305,'Materiales '!$C$2:$G$396,3,0)</f>
        <v>0</v>
      </c>
      <c r="D3305" s="89" t="str">
        <f>VLOOKUP(A3305,'Materiales '!$C$2:$G$396,4,0)</f>
        <v>-</v>
      </c>
      <c r="E3305" s="90"/>
      <c r="F3305" s="508" t="e">
        <f t="shared" si="194"/>
        <v>#VALUE!</v>
      </c>
      <c r="G3305" s="519"/>
      <c r="H3305" s="111"/>
      <c r="I3305">
        <f>E3305*G3285</f>
        <v>0</v>
      </c>
      <c r="J3305" s="58"/>
      <c r="K3305" s="50"/>
      <c r="L3305" s="50"/>
      <c r="M3305" s="50"/>
      <c r="N3305" s="50"/>
      <c r="O3305" s="50"/>
    </row>
    <row r="3306" spans="1:15">
      <c r="A3306" s="517" t="s">
        <v>8</v>
      </c>
      <c r="B3306" s="518">
        <f>VLOOKUP(A3306,'Materiales '!$C$2:$G$396,3,0)</f>
        <v>0</v>
      </c>
      <c r="C3306" s="88">
        <f>VLOOKUP(A3306,'Materiales '!$C$2:$G$396,3,0)</f>
        <v>0</v>
      </c>
      <c r="D3306" s="89" t="str">
        <f>VLOOKUP(A3306,'Materiales '!$C$2:$G$396,4,0)</f>
        <v>-</v>
      </c>
      <c r="E3306" s="90"/>
      <c r="F3306" s="508" t="e">
        <f t="shared" si="194"/>
        <v>#VALUE!</v>
      </c>
      <c r="G3306" s="519"/>
      <c r="H3306" s="111"/>
      <c r="I3306">
        <f>E3306*G3285</f>
        <v>0</v>
      </c>
      <c r="J3306" s="58"/>
      <c r="K3306" s="50"/>
      <c r="L3306" s="50"/>
      <c r="M3306" s="50"/>
      <c r="N3306" s="50"/>
      <c r="O3306" s="50"/>
    </row>
    <row r="3307" spans="1:15">
      <c r="A3307" s="517" t="s">
        <v>8</v>
      </c>
      <c r="B3307" s="518">
        <f>VLOOKUP(A3307,'Materiales '!$C$2:$G$396,3,0)</f>
        <v>0</v>
      </c>
      <c r="C3307" s="88">
        <f>VLOOKUP(A3307,'Materiales '!$C$2:$G$396,3,0)</f>
        <v>0</v>
      </c>
      <c r="D3307" s="89" t="str">
        <f>VLOOKUP(A3307,'Materiales '!$C$2:$G$396,4,0)</f>
        <v>-</v>
      </c>
      <c r="E3307" s="90"/>
      <c r="F3307" s="508" t="e">
        <f>E3307*D3307</f>
        <v>#VALUE!</v>
      </c>
      <c r="G3307" s="519"/>
      <c r="H3307" s="110"/>
      <c r="I3307">
        <f>E3307*G3285</f>
        <v>0</v>
      </c>
      <c r="J3307" s="58"/>
      <c r="K3307" s="50"/>
      <c r="L3307" s="50"/>
      <c r="M3307" s="50"/>
      <c r="N3307" s="50"/>
      <c r="O3307" s="50"/>
    </row>
    <row r="3308" spans="1:15">
      <c r="A3308" s="520" t="s">
        <v>4098</v>
      </c>
      <c r="B3308" s="521"/>
      <c r="C3308" s="521"/>
      <c r="D3308" s="521"/>
      <c r="E3308" s="521"/>
      <c r="F3308" s="521"/>
      <c r="G3308" s="522"/>
      <c r="H3308" s="106" t="e">
        <f>SUM(F3294:F3307)</f>
        <v>#VALUE!</v>
      </c>
      <c r="J3308" s="58"/>
      <c r="K3308" s="50"/>
      <c r="L3308" s="50"/>
      <c r="M3308" s="50"/>
      <c r="N3308" s="50"/>
      <c r="O3308" s="50"/>
    </row>
    <row r="3309" spans="1:15">
      <c r="A3309" s="523" t="s">
        <v>4220</v>
      </c>
      <c r="B3309" s="524"/>
      <c r="C3309" s="524"/>
      <c r="D3309" s="524"/>
      <c r="E3309" s="525"/>
      <c r="F3309" s="524"/>
      <c r="G3309" s="524"/>
      <c r="H3309" s="526"/>
      <c r="J3309" s="58"/>
      <c r="K3309" s="50"/>
      <c r="L3309" s="50"/>
      <c r="M3309" s="50"/>
      <c r="N3309" s="50"/>
      <c r="O3309" s="50"/>
    </row>
    <row r="3310" spans="1:15">
      <c r="A3310" s="527" t="s">
        <v>7</v>
      </c>
      <c r="B3310" s="528"/>
      <c r="C3310" s="98" t="s">
        <v>4221</v>
      </c>
      <c r="D3310" s="97" t="s">
        <v>4222</v>
      </c>
      <c r="E3310" s="187" t="s">
        <v>4223</v>
      </c>
      <c r="F3310" s="529" t="s">
        <v>4207</v>
      </c>
      <c r="G3310" s="529"/>
      <c r="H3310" s="109"/>
      <c r="K3310" s="50"/>
      <c r="L3310" s="50"/>
      <c r="M3310" s="50"/>
      <c r="N3310" s="50"/>
      <c r="O3310" s="50"/>
    </row>
    <row r="3311" spans="1:15">
      <c r="A3311" s="506" t="s">
        <v>3928</v>
      </c>
      <c r="B3311" s="507"/>
      <c r="C3311" s="213">
        <v>1</v>
      </c>
      <c r="D3311" s="92">
        <v>0.03</v>
      </c>
      <c r="E3311" s="93" t="str">
        <f>VLOOKUP(A3311,'Equip, Herr y Transp'!$B$2:$E$217,3,0)</f>
        <v>TR</v>
      </c>
      <c r="F3311" s="530" t="e">
        <f>E3311*D3311*C3311</f>
        <v>#VALUE!</v>
      </c>
      <c r="G3311" s="531"/>
      <c r="H3311" s="107"/>
      <c r="M3311" s="50"/>
    </row>
    <row r="3312" spans="1:15">
      <c r="A3312" s="532" t="s">
        <v>4205</v>
      </c>
      <c r="B3312" s="533"/>
      <c r="C3312" s="533"/>
      <c r="D3312" s="533"/>
      <c r="E3312" s="533"/>
      <c r="F3312" s="533"/>
      <c r="G3312" s="533"/>
      <c r="H3312" s="95" t="e">
        <f>F3311</f>
        <v>#VALUE!</v>
      </c>
    </row>
    <row r="3313" spans="1:10">
      <c r="A3313" s="523" t="s">
        <v>4224</v>
      </c>
      <c r="B3313" s="524"/>
      <c r="C3313" s="524"/>
      <c r="D3313" s="524"/>
      <c r="E3313" s="524"/>
      <c r="F3313" s="524"/>
      <c r="G3313" s="524"/>
      <c r="H3313" s="526"/>
    </row>
    <row r="3314" spans="1:10">
      <c r="A3314" s="527" t="s">
        <v>7</v>
      </c>
      <c r="B3314" s="528"/>
      <c r="C3314" s="96" t="s">
        <v>1</v>
      </c>
      <c r="D3314" s="97" t="s">
        <v>4225</v>
      </c>
      <c r="E3314" s="98" t="s">
        <v>4204</v>
      </c>
      <c r="F3314" s="527" t="s">
        <v>5</v>
      </c>
      <c r="G3314" s="534"/>
      <c r="H3314" s="109"/>
    </row>
    <row r="3315" spans="1:10">
      <c r="A3315" s="506" t="s">
        <v>4191</v>
      </c>
      <c r="B3315" s="507"/>
      <c r="C3315" s="91">
        <v>1</v>
      </c>
      <c r="D3315" s="94">
        <f>VLOOKUP(A3315,'Mano Obra'!$B$2:$T$117,19,0)</f>
        <v>152456</v>
      </c>
      <c r="E3315" s="218">
        <f>H3278</f>
        <v>6.25E-2</v>
      </c>
      <c r="F3315" s="508">
        <f>E3315*D3315*C3315</f>
        <v>9528.5</v>
      </c>
      <c r="G3315" s="509"/>
      <c r="H3315" s="111"/>
      <c r="I3315" s="59"/>
      <c r="J3315" s="117">
        <f>((('Mano Obra'!$M$4/30)*F3315)/D3315)*G3285</f>
        <v>0</v>
      </c>
    </row>
    <row r="3316" spans="1:10">
      <c r="A3316" s="510" t="s">
        <v>4192</v>
      </c>
      <c r="B3316" s="511">
        <f>VLOOKUP(A3316,'Mano Obra'!$B$3:$D$290,2,0)</f>
        <v>1900000</v>
      </c>
      <c r="C3316" s="91">
        <v>1</v>
      </c>
      <c r="D3316" s="94">
        <f>VLOOKUP(A3316,'Mano Obra'!$B$2:$T$117,19,0)</f>
        <v>110488</v>
      </c>
      <c r="E3316" s="218">
        <f>H3278</f>
        <v>6.25E-2</v>
      </c>
      <c r="F3316" s="508">
        <f t="shared" ref="F3316:F3317" si="195">E3316*D3316*C3316</f>
        <v>6905.5</v>
      </c>
      <c r="G3316" s="509"/>
      <c r="H3316" s="111"/>
      <c r="J3316" s="117">
        <f>((('Mano Obra'!$M$5/30)*F3316)/D3316)*G3285</f>
        <v>0</v>
      </c>
    </row>
    <row r="3317" spans="1:10">
      <c r="A3317" s="510" t="s">
        <v>4181</v>
      </c>
      <c r="B3317" s="511">
        <f>VLOOKUP(A3317,'Mano Obra'!$B$3:$D$290,2,0)</f>
        <v>1000000</v>
      </c>
      <c r="C3317" s="91">
        <v>1</v>
      </c>
      <c r="D3317" s="94">
        <f>VLOOKUP(A3317,'Mano Obra'!$B$2:$T$117,19,0)</f>
        <v>67424</v>
      </c>
      <c r="E3317" s="218">
        <f>H3278</f>
        <v>6.25E-2</v>
      </c>
      <c r="F3317" s="508">
        <f t="shared" si="195"/>
        <v>4214</v>
      </c>
      <c r="G3317" s="509"/>
      <c r="H3317" s="110"/>
      <c r="J3317" s="117">
        <f>((('Mano Obra'!$M$6/30)*F3317)/D3317)*G3285</f>
        <v>0</v>
      </c>
    </row>
    <row r="3318" spans="1:10">
      <c r="A3318" s="512" t="s">
        <v>4100</v>
      </c>
      <c r="B3318" s="512"/>
      <c r="C3318" s="512"/>
      <c r="D3318" s="512"/>
      <c r="E3318" s="512"/>
      <c r="F3318" s="512"/>
      <c r="G3318" s="512"/>
      <c r="H3318" s="95">
        <f>SUM(F3315:F3317)</f>
        <v>20648</v>
      </c>
      <c r="J3318" s="117"/>
    </row>
    <row r="3319" spans="1:10">
      <c r="A3319" s="208" t="s">
        <v>4226</v>
      </c>
      <c r="B3319" s="186"/>
      <c r="C3319" s="186"/>
      <c r="D3319" s="183"/>
      <c r="E3319" s="184"/>
      <c r="F3319" s="185"/>
      <c r="G3319" s="184"/>
      <c r="H3319" s="193"/>
    </row>
    <row r="3320" spans="1:10">
      <c r="A3320" s="513" t="s">
        <v>4213</v>
      </c>
      <c r="B3320" s="514"/>
      <c r="C3320" s="514"/>
      <c r="D3320" s="514"/>
      <c r="E3320" s="181"/>
      <c r="F3320" s="182" t="s">
        <v>4227</v>
      </c>
      <c r="G3320" s="181" t="s">
        <v>4228</v>
      </c>
      <c r="H3320" s="194"/>
    </row>
    <row r="3321" spans="1:10">
      <c r="A3321" s="204" t="s">
        <v>4096</v>
      </c>
      <c r="B3321" s="62"/>
      <c r="C3321" s="62"/>
      <c r="D3321" s="63"/>
      <c r="E3321" s="68"/>
      <c r="F3321" s="69">
        <v>0</v>
      </c>
      <c r="G3321" s="70" t="e">
        <f>F3321*H3286</f>
        <v>#VALUE!</v>
      </c>
      <c r="H3321" s="193"/>
    </row>
    <row r="3322" spans="1:10">
      <c r="A3322" s="205" t="s">
        <v>4229</v>
      </c>
      <c r="B3322" s="71"/>
      <c r="C3322" s="71"/>
      <c r="D3322" s="72"/>
      <c r="E3322" s="68"/>
      <c r="F3322" s="69">
        <v>0</v>
      </c>
      <c r="G3322" s="70" t="e">
        <f>F3322*H3286</f>
        <v>#VALUE!</v>
      </c>
      <c r="H3322" s="193"/>
    </row>
    <row r="3323" spans="1:10">
      <c r="A3323" s="205" t="s">
        <v>4</v>
      </c>
      <c r="B3323" s="71"/>
      <c r="C3323" s="71"/>
      <c r="D3323" s="72"/>
      <c r="E3323" s="68"/>
      <c r="F3323" s="69">
        <v>0</v>
      </c>
      <c r="G3323" s="70" t="e">
        <f>F3323*H3286</f>
        <v>#VALUE!</v>
      </c>
      <c r="H3323" s="193"/>
    </row>
    <row r="3324" spans="1:10">
      <c r="A3324" s="206"/>
      <c r="B3324" s="73"/>
      <c r="C3324" s="65"/>
      <c r="D3324" s="74"/>
      <c r="E3324" s="75"/>
      <c r="F3324" s="76"/>
      <c r="G3324" s="77"/>
      <c r="H3324" s="195"/>
    </row>
    <row r="3325" spans="1:10">
      <c r="A3325" s="207"/>
      <c r="B3325" s="73"/>
      <c r="C3325" s="73"/>
      <c r="D3325" s="74"/>
      <c r="E3325" s="78"/>
      <c r="F3325" s="515" t="s">
        <v>4230</v>
      </c>
      <c r="G3325" s="516"/>
      <c r="H3325" s="214" t="e">
        <f>H3286+G3321+G3322+G3323</f>
        <v>#VALUE!</v>
      </c>
    </row>
    <row r="3326" spans="1:10">
      <c r="A3326" s="73"/>
      <c r="B3326" s="73"/>
      <c r="C3326" s="73"/>
      <c r="D3326" s="74"/>
      <c r="E3326" s="360"/>
      <c r="F3326" s="361"/>
      <c r="G3326" s="361"/>
      <c r="H3326" s="362"/>
    </row>
    <row r="3327" spans="1:10">
      <c r="A3327" s="80"/>
      <c r="B3327" s="80"/>
      <c r="C3327" s="80"/>
      <c r="D3327" s="80"/>
      <c r="E3327" s="80"/>
      <c r="F3327" s="80"/>
      <c r="G3327" s="80"/>
      <c r="H3327" s="353"/>
    </row>
    <row r="3328" spans="1:10">
      <c r="A3328" s="537" t="s">
        <v>4214</v>
      </c>
      <c r="B3328" s="538"/>
      <c r="C3328" s="538"/>
      <c r="D3328" s="538"/>
      <c r="E3328" s="538"/>
      <c r="F3328" s="538"/>
      <c r="G3328" s="538"/>
      <c r="H3328" s="539"/>
    </row>
    <row r="3329" spans="1:15">
      <c r="A3329" s="81"/>
      <c r="B3329" s="82"/>
      <c r="C3329" s="82"/>
      <c r="D3329" s="82"/>
      <c r="E3329" s="82"/>
      <c r="F3329" s="83"/>
      <c r="G3329" s="84"/>
      <c r="H3329" s="352">
        <f>ROUND((30/60)/8,4)</f>
        <v>6.25E-2</v>
      </c>
      <c r="I3329" s="105"/>
    </row>
    <row r="3330" spans="1:15">
      <c r="A3330" s="540" t="s">
        <v>4209</v>
      </c>
      <c r="B3330" s="542" t="str">
        <f>COSTOS!$C$14</f>
        <v>MODERNIZACION A TECNOLOGIA LED</v>
      </c>
      <c r="C3330" s="542"/>
      <c r="D3330" s="542"/>
      <c r="E3330" s="542"/>
      <c r="F3330" s="542"/>
      <c r="G3330" s="542"/>
      <c r="H3330" s="543" t="s">
        <v>4210</v>
      </c>
    </row>
    <row r="3331" spans="1:15">
      <c r="A3331" s="541"/>
      <c r="B3331" s="542"/>
      <c r="C3331" s="542"/>
      <c r="D3331" s="542"/>
      <c r="E3331" s="542"/>
      <c r="F3331" s="542"/>
      <c r="G3331" s="542"/>
      <c r="H3331" s="543"/>
    </row>
    <row r="3332" spans="1:15">
      <c r="A3332" s="541"/>
      <c r="B3332" s="542"/>
      <c r="C3332" s="542"/>
      <c r="D3332" s="542"/>
      <c r="E3332" s="542"/>
      <c r="F3332" s="542"/>
      <c r="G3332" s="542"/>
      <c r="H3332" s="543"/>
    </row>
    <row r="3333" spans="1:15" ht="15" customHeight="1">
      <c r="A3333" s="541"/>
      <c r="B3333" s="542"/>
      <c r="C3333" s="542"/>
      <c r="D3333" s="542"/>
      <c r="E3333" s="542"/>
      <c r="F3333" s="542"/>
      <c r="G3333" s="542"/>
      <c r="H3333" s="197">
        <f ca="1">TODAY()</f>
        <v>44889</v>
      </c>
      <c r="K3333" t="s">
        <v>4380</v>
      </c>
      <c r="L3333" t="s">
        <v>4381</v>
      </c>
      <c r="M3333" t="s">
        <v>4382</v>
      </c>
      <c r="N3333" t="s">
        <v>4383</v>
      </c>
    </row>
    <row r="3334" spans="1:15" ht="60.75" customHeight="1">
      <c r="A3334" s="209" t="s">
        <v>4211</v>
      </c>
      <c r="B3334" s="544" t="str">
        <f>COSTOS!$D$16</f>
        <v>Luminarias</v>
      </c>
      <c r="C3334" s="544"/>
      <c r="D3334" s="544"/>
      <c r="E3334" s="544"/>
      <c r="F3334" s="544"/>
      <c r="G3334" s="60" t="s">
        <v>4212</v>
      </c>
      <c r="H3334" s="363">
        <v>1.66</v>
      </c>
      <c r="K3334" s="55" t="e">
        <f>H3359</f>
        <v>#VALUE!</v>
      </c>
      <c r="L3334" s="55">
        <f>H3369</f>
        <v>20648</v>
      </c>
      <c r="M3334" s="55" t="e">
        <f>H3342</f>
        <v>#VALUE!</v>
      </c>
      <c r="N3334" s="55" t="e">
        <f>H3363</f>
        <v>#VALUE!</v>
      </c>
    </row>
    <row r="3335" spans="1:15" ht="43.2" customHeight="1">
      <c r="A3335" s="210" t="s">
        <v>4213</v>
      </c>
      <c r="B3335" s="545" t="str">
        <f>VLOOKUP(H3334,COSTOS!C:M,2,0)</f>
        <v>Luminaria Fluorescente de 100w</v>
      </c>
      <c r="C3335" s="546"/>
      <c r="D3335" s="546"/>
      <c r="E3335" s="547"/>
      <c r="F3335" s="61" t="s">
        <v>0</v>
      </c>
      <c r="G3335" s="328" t="str">
        <f>VLOOKUP(H3334,COSTOS!C:M,8,0)</f>
        <v>Und</v>
      </c>
      <c r="H3335" s="248"/>
      <c r="I3335" s="278"/>
      <c r="J3335" s="280"/>
      <c r="K3335" s="280"/>
      <c r="L3335" s="280"/>
    </row>
    <row r="3336" spans="1:15">
      <c r="A3336" s="211"/>
      <c r="B3336" s="102"/>
      <c r="C3336" s="102"/>
      <c r="D3336" s="102"/>
      <c r="E3336" s="103"/>
      <c r="F3336" s="104" t="s">
        <v>1</v>
      </c>
      <c r="G3336" s="328">
        <f>VLOOKUP(H3334,COSTOS!C:M,9,0)</f>
        <v>0</v>
      </c>
      <c r="H3336" s="329"/>
      <c r="I3336" s="279"/>
    </row>
    <row r="3337" spans="1:15">
      <c r="A3337" s="212" t="s">
        <v>4215</v>
      </c>
      <c r="B3337" s="65"/>
      <c r="C3337" s="65"/>
      <c r="D3337" s="66"/>
      <c r="E3337" s="190"/>
      <c r="F3337" s="191"/>
      <c r="G3337" s="192" t="s">
        <v>4216</v>
      </c>
      <c r="H3337" s="198" t="e">
        <f>H3342+H3359+H3363+H3369</f>
        <v>#VALUE!</v>
      </c>
    </row>
    <row r="3338" spans="1:15" ht="41.4">
      <c r="A3338" s="548" t="s">
        <v>4213</v>
      </c>
      <c r="B3338" s="548"/>
      <c r="C3338" s="548"/>
      <c r="D3338" s="67" t="s">
        <v>0</v>
      </c>
      <c r="E3338" s="188" t="s">
        <v>4217</v>
      </c>
      <c r="F3338" s="189" t="s">
        <v>4204</v>
      </c>
      <c r="G3338" s="64" t="s">
        <v>2</v>
      </c>
      <c r="H3338" s="199" t="s">
        <v>4218</v>
      </c>
      <c r="K3338" s="281"/>
    </row>
    <row r="3339" spans="1:15">
      <c r="A3339" s="517" t="s">
        <v>3946</v>
      </c>
      <c r="B3339" s="549">
        <f>VLOOKUP(A3339,'Equip, Herr y Transp'!$B$2:$E$738,2,0)</f>
        <v>2</v>
      </c>
      <c r="C3339" s="549"/>
      <c r="D3339" s="85">
        <f>VLOOKUP(A3339,'Equip, Herr y Transp'!$B$2:$E$217,2,0)</f>
        <v>2</v>
      </c>
      <c r="E3339" s="85" t="str">
        <f>VLOOKUP(A3339,'Equip, Herr y Transp'!$B$2:$E$217,3,0)</f>
        <v>EQU</v>
      </c>
      <c r="F3339" s="86">
        <f>H3329</f>
        <v>6.25E-2</v>
      </c>
      <c r="G3339" s="112" t="e">
        <f>F3339*E3339</f>
        <v>#VALUE!</v>
      </c>
      <c r="H3339" s="108"/>
    </row>
    <row r="3340" spans="1:15">
      <c r="A3340" s="517" t="s">
        <v>3904</v>
      </c>
      <c r="B3340" s="549">
        <f>VLOOKUP(A3340,'Equip, Herr y Transp'!$B$2:$E$738,2,0)</f>
        <v>2</v>
      </c>
      <c r="C3340" s="549"/>
      <c r="D3340" s="85">
        <f>VLOOKUP(A3340,'Equip, Herr y Transp'!$B$2:$E$217,2,0)</f>
        <v>2</v>
      </c>
      <c r="E3340" s="85" t="str">
        <f>VLOOKUP(A3340,'Equip, Herr y Transp'!$B$2:$E$217,3,0)</f>
        <v>EQU</v>
      </c>
      <c r="F3340" s="86">
        <f>H3329</f>
        <v>6.25E-2</v>
      </c>
      <c r="G3340" s="112" t="e">
        <f>F3340*E3340</f>
        <v>#VALUE!</v>
      </c>
      <c r="H3340" s="107"/>
    </row>
    <row r="3341" spans="1:15">
      <c r="A3341" s="517" t="s">
        <v>3937</v>
      </c>
      <c r="B3341" s="549">
        <f>VLOOKUP(A3341,'Equip, Herr y Transp'!$B$2:$E$738,2,0)</f>
        <v>2</v>
      </c>
      <c r="C3341" s="549"/>
      <c r="D3341" s="85">
        <f>VLOOKUP(A3341,'Equip, Herr y Transp'!$B$2:$E$217,2,0)</f>
        <v>2</v>
      </c>
      <c r="E3341" s="85" t="str">
        <f>VLOOKUP(A3341,'Equip, Herr y Transp'!$B$2:$E$217,3,0)</f>
        <v>EQU</v>
      </c>
      <c r="F3341" s="86">
        <f>H3329</f>
        <v>6.25E-2</v>
      </c>
      <c r="G3341" s="112" t="e">
        <f>F3341*E3341</f>
        <v>#VALUE!</v>
      </c>
      <c r="H3341" s="107"/>
    </row>
    <row r="3342" spans="1:15">
      <c r="A3342" s="520" t="s">
        <v>4099</v>
      </c>
      <c r="B3342" s="521"/>
      <c r="C3342" s="521"/>
      <c r="D3342" s="521"/>
      <c r="E3342" s="521"/>
      <c r="F3342" s="521"/>
      <c r="G3342" s="521"/>
      <c r="H3342" s="87" t="e">
        <f>SUM(G3339:G3341)</f>
        <v>#VALUE!</v>
      </c>
    </row>
    <row r="3343" spans="1:15">
      <c r="A3343" s="550" t="s">
        <v>4219</v>
      </c>
      <c r="B3343" s="551"/>
      <c r="C3343" s="551"/>
      <c r="D3343" s="551"/>
      <c r="E3343" s="551"/>
      <c r="F3343" s="551"/>
      <c r="G3343" s="551"/>
      <c r="H3343" s="552"/>
      <c r="K3343" s="50"/>
      <c r="L3343" s="50"/>
      <c r="M3343" s="50"/>
      <c r="N3343" s="50"/>
      <c r="O3343" s="50"/>
    </row>
    <row r="3344" spans="1:15" ht="30" customHeight="1">
      <c r="A3344" s="553" t="s">
        <v>7</v>
      </c>
      <c r="B3344" s="554"/>
      <c r="C3344" s="99" t="s">
        <v>0</v>
      </c>
      <c r="D3344" s="100" t="s">
        <v>4097</v>
      </c>
      <c r="E3344" s="101" t="s">
        <v>1</v>
      </c>
      <c r="F3344" s="555" t="s">
        <v>4207</v>
      </c>
      <c r="G3344" s="555"/>
      <c r="H3344" s="196"/>
      <c r="K3344" s="50"/>
      <c r="L3344" s="50"/>
      <c r="M3344" s="50"/>
      <c r="N3344" s="50"/>
      <c r="O3344" s="50"/>
    </row>
    <row r="3345" spans="1:15">
      <c r="A3345" s="535" t="s">
        <v>4774</v>
      </c>
      <c r="B3345" s="536"/>
      <c r="C3345" s="88">
        <f>VLOOKUP(A3345,'Materiales '!$C$2:$G$396,3,0)</f>
        <v>4</v>
      </c>
      <c r="D3345" s="89" t="str">
        <f>VLOOKUP(A3345,'Materiales '!$C$2:$G$396,4,0)</f>
        <v>Und</v>
      </c>
      <c r="E3345" s="90">
        <v>1</v>
      </c>
      <c r="F3345" s="508" t="e">
        <f>E3345*D3345</f>
        <v>#VALUE!</v>
      </c>
      <c r="G3345" s="519"/>
      <c r="H3345" s="111"/>
      <c r="I3345">
        <f>E3345*G3336</f>
        <v>0</v>
      </c>
      <c r="J3345" s="57"/>
      <c r="K3345" s="50"/>
      <c r="L3345" s="50"/>
      <c r="M3345" s="50"/>
      <c r="N3345" s="50"/>
      <c r="O3345" s="50"/>
    </row>
    <row r="3346" spans="1:15">
      <c r="A3346" s="535" t="s">
        <v>4203</v>
      </c>
      <c r="B3346" s="536"/>
      <c r="C3346" s="88">
        <f>VLOOKUP(A3346,'Materiales '!$C$2:$G$396,3,0)</f>
        <v>4</v>
      </c>
      <c r="D3346" s="89" t="str">
        <f>VLOOKUP(A3346,'Materiales '!$C$2:$G$396,4,0)</f>
        <v>Und</v>
      </c>
      <c r="E3346" s="90">
        <v>1</v>
      </c>
      <c r="F3346" s="508" t="e">
        <f t="shared" ref="F3346:F3352" si="196">E3346*D3346</f>
        <v>#VALUE!</v>
      </c>
      <c r="G3346" s="519"/>
      <c r="H3346" s="111"/>
      <c r="I3346">
        <f>E3346*G3336</f>
        <v>0</v>
      </c>
      <c r="J3346" s="57"/>
      <c r="K3346" s="50"/>
      <c r="L3346" s="50"/>
      <c r="M3346" s="50"/>
      <c r="N3346" s="50"/>
      <c r="O3346" s="50"/>
    </row>
    <row r="3347" spans="1:15">
      <c r="A3347" s="517" t="s">
        <v>4468</v>
      </c>
      <c r="B3347" s="518">
        <f>VLOOKUP(A3347,'Materiales '!$C$2:$G$396,3,0)</f>
        <v>4</v>
      </c>
      <c r="C3347" s="88">
        <f>VLOOKUP(A3347,'Materiales '!$C$2:$G$396,3,0)</f>
        <v>4</v>
      </c>
      <c r="D3347" s="89" t="str">
        <f>VLOOKUP(A3347,'Materiales '!$C$2:$G$396,4,0)</f>
        <v>Und</v>
      </c>
      <c r="E3347" s="90">
        <v>1.5</v>
      </c>
      <c r="F3347" s="508" t="e">
        <f t="shared" si="196"/>
        <v>#VALUE!</v>
      </c>
      <c r="G3347" s="519"/>
      <c r="H3347" s="111"/>
      <c r="I3347">
        <f>E3347*G3336</f>
        <v>0</v>
      </c>
      <c r="J3347" s="58"/>
      <c r="K3347" s="50"/>
      <c r="L3347" s="50"/>
      <c r="M3347" s="50"/>
      <c r="N3347" s="50"/>
      <c r="O3347" s="50"/>
    </row>
    <row r="3348" spans="1:15">
      <c r="A3348" s="517" t="s">
        <v>4478</v>
      </c>
      <c r="B3348" s="518">
        <f>VLOOKUP(A3348,'Materiales '!$C$2:$G$396,3,0)</f>
        <v>4</v>
      </c>
      <c r="C3348" s="88">
        <f>VLOOKUP(A3348,'Materiales '!$C$2:$G$396,3,0)</f>
        <v>4</v>
      </c>
      <c r="D3348" s="89" t="str">
        <f>VLOOKUP(A3348,'Materiales '!$C$2:$G$396,4,0)</f>
        <v>Und</v>
      </c>
      <c r="E3348" s="90">
        <v>3</v>
      </c>
      <c r="F3348" s="508" t="e">
        <f t="shared" si="196"/>
        <v>#VALUE!</v>
      </c>
      <c r="G3348" s="519"/>
      <c r="H3348" s="111"/>
      <c r="I3348">
        <f>E3348*G3336</f>
        <v>0</v>
      </c>
      <c r="J3348" s="58"/>
      <c r="K3348" s="50"/>
      <c r="L3348" s="50"/>
      <c r="M3348" s="50"/>
      <c r="N3348" s="50"/>
      <c r="O3348" s="50"/>
    </row>
    <row r="3349" spans="1:15">
      <c r="A3349" s="517" t="s">
        <v>4543</v>
      </c>
      <c r="B3349" s="518">
        <f>VLOOKUP(A3349,'Materiales '!$C$2:$G$396,3,0)</f>
        <v>4</v>
      </c>
      <c r="C3349" s="88">
        <f>VLOOKUP(A3349,'Materiales '!$C$2:$G$396,3,0)</f>
        <v>4</v>
      </c>
      <c r="D3349" s="89" t="str">
        <f>VLOOKUP(A3349,'Materiales '!$C$2:$G$396,4,0)</f>
        <v>Und</v>
      </c>
      <c r="E3349" s="90">
        <v>1</v>
      </c>
      <c r="F3349" s="508" t="e">
        <f t="shared" si="196"/>
        <v>#VALUE!</v>
      </c>
      <c r="G3349" s="519"/>
      <c r="H3349" s="111"/>
      <c r="I3349">
        <f>E3349*G3336</f>
        <v>0</v>
      </c>
      <c r="J3349" s="58"/>
      <c r="K3349" s="50"/>
      <c r="L3349" s="50"/>
      <c r="M3349" s="50"/>
      <c r="N3349" s="50"/>
      <c r="O3349" s="50"/>
    </row>
    <row r="3350" spans="1:15">
      <c r="A3350" s="517" t="s">
        <v>4439</v>
      </c>
      <c r="B3350" s="518">
        <f>VLOOKUP(A3350,'Materiales '!$C$2:$G$396,3,0)</f>
        <v>2</v>
      </c>
      <c r="C3350" s="88">
        <f>VLOOKUP(A3350,'Materiales '!$C$2:$G$396,3,0)</f>
        <v>2</v>
      </c>
      <c r="D3350" s="89" t="str">
        <f>VLOOKUP(A3350,'Materiales '!$C$2:$G$396,4,0)</f>
        <v>Ml</v>
      </c>
      <c r="E3350" s="90">
        <v>1</v>
      </c>
      <c r="F3350" s="508" t="e">
        <f t="shared" si="196"/>
        <v>#VALUE!</v>
      </c>
      <c r="G3350" s="519"/>
      <c r="H3350" s="111"/>
      <c r="I3350">
        <f>E3350*G3336</f>
        <v>0</v>
      </c>
      <c r="J3350" s="58"/>
      <c r="K3350" s="50"/>
      <c r="L3350" s="50"/>
      <c r="M3350" s="50"/>
      <c r="N3350" s="50"/>
      <c r="O3350" s="50"/>
    </row>
    <row r="3351" spans="1:15">
      <c r="A3351" s="517" t="s">
        <v>4425</v>
      </c>
      <c r="B3351" s="518">
        <f>VLOOKUP(A3351,'Materiales '!$C$2:$G$396,3,0)</f>
        <v>4</v>
      </c>
      <c r="C3351" s="88">
        <f>VLOOKUP(A3351,'Materiales '!$C$2:$G$396,3,0)</f>
        <v>4</v>
      </c>
      <c r="D3351" s="89" t="str">
        <f>VLOOKUP(A3351,'Materiales '!$C$2:$G$396,4,0)</f>
        <v>Und</v>
      </c>
      <c r="E3351" s="90">
        <v>1</v>
      </c>
      <c r="F3351" s="508" t="e">
        <f t="shared" si="196"/>
        <v>#VALUE!</v>
      </c>
      <c r="G3351" s="519"/>
      <c r="H3351" s="111"/>
      <c r="I3351">
        <f>E3351*G3336</f>
        <v>0</v>
      </c>
      <c r="J3351" s="58"/>
      <c r="K3351" s="50"/>
      <c r="L3351" s="50"/>
      <c r="M3351" s="50"/>
      <c r="N3351" s="50"/>
      <c r="O3351" s="50"/>
    </row>
    <row r="3352" spans="1:15" ht="21.75" customHeight="1">
      <c r="A3352" s="517" t="s">
        <v>4628</v>
      </c>
      <c r="B3352" s="518">
        <f>VLOOKUP(A3352,'Materiales '!$C$2:$G$396,3,0)</f>
        <v>4</v>
      </c>
      <c r="C3352" s="88">
        <f>VLOOKUP(A3352,'Materiales '!$C$2:$G$396,3,0)</f>
        <v>4</v>
      </c>
      <c r="D3352" s="89" t="str">
        <f>VLOOKUP(A3352,'Materiales '!$C$2:$G$396,4,0)</f>
        <v>Und</v>
      </c>
      <c r="E3352" s="90">
        <v>1</v>
      </c>
      <c r="F3352" s="508" t="e">
        <f t="shared" si="196"/>
        <v>#VALUE!</v>
      </c>
      <c r="G3352" s="519"/>
      <c r="H3352" s="111"/>
      <c r="I3352">
        <f>E3352*G3336</f>
        <v>0</v>
      </c>
      <c r="J3352" s="58"/>
      <c r="K3352" s="50"/>
      <c r="L3352" s="50"/>
      <c r="M3352" s="50"/>
      <c r="N3352" s="50"/>
      <c r="O3352" s="50"/>
    </row>
    <row r="3353" spans="1:15">
      <c r="A3353" s="517" t="s">
        <v>8</v>
      </c>
      <c r="B3353" s="518">
        <f>VLOOKUP(A3353,'Materiales '!$C$2:$G$396,3,0)</f>
        <v>0</v>
      </c>
      <c r="C3353" s="88">
        <f>VLOOKUP(A3353,'Materiales '!$C$2:$G$396,3,0)</f>
        <v>0</v>
      </c>
      <c r="D3353" s="89" t="str">
        <f>VLOOKUP(A3353,'Materiales '!$C$2:$G$396,4,0)</f>
        <v>-</v>
      </c>
      <c r="E3353" s="90"/>
      <c r="F3353" s="508" t="e">
        <f>E3353*D3353</f>
        <v>#VALUE!</v>
      </c>
      <c r="G3353" s="519"/>
      <c r="H3353" s="110"/>
      <c r="I3353">
        <f>E3353*G3336</f>
        <v>0</v>
      </c>
      <c r="J3353" s="58"/>
      <c r="K3353" s="50"/>
      <c r="L3353" s="50"/>
      <c r="M3353" s="50"/>
      <c r="N3353" s="50"/>
      <c r="O3353" s="50"/>
    </row>
    <row r="3354" spans="1:15">
      <c r="A3354" s="517" t="s">
        <v>8</v>
      </c>
      <c r="B3354" s="518">
        <f>VLOOKUP(A3354,'Materiales '!$C$2:$G$396,3,0)</f>
        <v>0</v>
      </c>
      <c r="C3354" s="88">
        <f>VLOOKUP(A3354,'Materiales '!$C$2:$G$396,3,0)</f>
        <v>0</v>
      </c>
      <c r="D3354" s="89" t="str">
        <f>VLOOKUP(A3354,'Materiales '!$C$2:$G$396,4,0)</f>
        <v>-</v>
      </c>
      <c r="E3354" s="90"/>
      <c r="F3354" s="508" t="e">
        <f t="shared" ref="F3354:F3357" si="197">E3354*D3354</f>
        <v>#VALUE!</v>
      </c>
      <c r="G3354" s="519"/>
      <c r="H3354" s="111"/>
      <c r="I3354">
        <f>E3354*G3336</f>
        <v>0</v>
      </c>
      <c r="J3354" s="58"/>
      <c r="K3354" s="50"/>
      <c r="L3354" s="50"/>
      <c r="M3354" s="50"/>
      <c r="N3354" s="50"/>
      <c r="O3354" s="50"/>
    </row>
    <row r="3355" spans="1:15">
      <c r="A3355" s="517" t="s">
        <v>8</v>
      </c>
      <c r="B3355" s="518">
        <f>VLOOKUP(A3355,'Materiales '!$C$2:$G$396,3,0)</f>
        <v>0</v>
      </c>
      <c r="C3355" s="88">
        <f>VLOOKUP(A3355,'Materiales '!$C$2:$G$396,3,0)</f>
        <v>0</v>
      </c>
      <c r="D3355" s="89" t="str">
        <f>VLOOKUP(A3355,'Materiales '!$C$2:$G$396,4,0)</f>
        <v>-</v>
      </c>
      <c r="E3355" s="90"/>
      <c r="F3355" s="508" t="e">
        <f t="shared" si="197"/>
        <v>#VALUE!</v>
      </c>
      <c r="G3355" s="519"/>
      <c r="H3355" s="111"/>
      <c r="I3355">
        <f>E3355*G3336</f>
        <v>0</v>
      </c>
      <c r="J3355" s="58"/>
      <c r="K3355" s="50"/>
      <c r="L3355" s="50"/>
      <c r="M3355" s="50"/>
      <c r="N3355" s="50"/>
      <c r="O3355" s="50"/>
    </row>
    <row r="3356" spans="1:15">
      <c r="A3356" s="517" t="s">
        <v>8</v>
      </c>
      <c r="B3356" s="518">
        <f>VLOOKUP(A3356,'Materiales '!$C$2:$G$396,3,0)</f>
        <v>0</v>
      </c>
      <c r="C3356" s="88">
        <f>VLOOKUP(A3356,'Materiales '!$C$2:$G$396,3,0)</f>
        <v>0</v>
      </c>
      <c r="D3356" s="89" t="str">
        <f>VLOOKUP(A3356,'Materiales '!$C$2:$G$396,4,0)</f>
        <v>-</v>
      </c>
      <c r="E3356" s="90"/>
      <c r="F3356" s="508" t="e">
        <f t="shared" si="197"/>
        <v>#VALUE!</v>
      </c>
      <c r="G3356" s="519"/>
      <c r="H3356" s="111"/>
      <c r="I3356">
        <f>E3356*G3336</f>
        <v>0</v>
      </c>
      <c r="J3356" s="58"/>
      <c r="K3356" s="50"/>
      <c r="L3356" s="50"/>
      <c r="M3356" s="50"/>
      <c r="N3356" s="50"/>
      <c r="O3356" s="50"/>
    </row>
    <row r="3357" spans="1:15">
      <c r="A3357" s="517" t="s">
        <v>8</v>
      </c>
      <c r="B3357" s="518">
        <f>VLOOKUP(A3357,'Materiales '!$C$2:$G$396,3,0)</f>
        <v>0</v>
      </c>
      <c r="C3357" s="88">
        <f>VLOOKUP(A3357,'Materiales '!$C$2:$G$396,3,0)</f>
        <v>0</v>
      </c>
      <c r="D3357" s="89" t="str">
        <f>VLOOKUP(A3357,'Materiales '!$C$2:$G$396,4,0)</f>
        <v>-</v>
      </c>
      <c r="E3357" s="90"/>
      <c r="F3357" s="508" t="e">
        <f t="shared" si="197"/>
        <v>#VALUE!</v>
      </c>
      <c r="G3357" s="519"/>
      <c r="H3357" s="111"/>
      <c r="I3357">
        <f>E3357*G3336</f>
        <v>0</v>
      </c>
      <c r="J3357" s="58"/>
      <c r="K3357" s="50"/>
      <c r="L3357" s="50"/>
      <c r="M3357" s="50"/>
      <c r="N3357" s="50"/>
      <c r="O3357" s="50"/>
    </row>
    <row r="3358" spans="1:15">
      <c r="A3358" s="517" t="s">
        <v>8</v>
      </c>
      <c r="B3358" s="518">
        <f>VLOOKUP(A3358,'Materiales '!$C$2:$G$396,3,0)</f>
        <v>0</v>
      </c>
      <c r="C3358" s="88">
        <f>VLOOKUP(A3358,'Materiales '!$C$2:$G$396,3,0)</f>
        <v>0</v>
      </c>
      <c r="D3358" s="89" t="str">
        <f>VLOOKUP(A3358,'Materiales '!$C$2:$G$396,4,0)</f>
        <v>-</v>
      </c>
      <c r="E3358" s="90"/>
      <c r="F3358" s="508" t="e">
        <f>E3358*D3358</f>
        <v>#VALUE!</v>
      </c>
      <c r="G3358" s="519"/>
      <c r="H3358" s="110"/>
      <c r="I3358">
        <f>E3358*G3336</f>
        <v>0</v>
      </c>
      <c r="J3358" s="58"/>
      <c r="K3358" s="50"/>
      <c r="L3358" s="50"/>
      <c r="M3358" s="50"/>
      <c r="N3358" s="50"/>
      <c r="O3358" s="50"/>
    </row>
    <row r="3359" spans="1:15">
      <c r="A3359" s="520" t="s">
        <v>4098</v>
      </c>
      <c r="B3359" s="521"/>
      <c r="C3359" s="521"/>
      <c r="D3359" s="521"/>
      <c r="E3359" s="521"/>
      <c r="F3359" s="521"/>
      <c r="G3359" s="522"/>
      <c r="H3359" s="106" t="e">
        <f>SUM(F3345:F3358)</f>
        <v>#VALUE!</v>
      </c>
      <c r="J3359" s="58"/>
      <c r="K3359" s="50"/>
      <c r="L3359" s="50"/>
      <c r="M3359" s="50"/>
      <c r="N3359" s="50"/>
      <c r="O3359" s="50"/>
    </row>
    <row r="3360" spans="1:15">
      <c r="A3360" s="523" t="s">
        <v>4220</v>
      </c>
      <c r="B3360" s="524"/>
      <c r="C3360" s="524"/>
      <c r="D3360" s="524"/>
      <c r="E3360" s="525"/>
      <c r="F3360" s="524"/>
      <c r="G3360" s="524"/>
      <c r="H3360" s="526"/>
      <c r="J3360" s="58"/>
      <c r="K3360" s="50"/>
      <c r="L3360" s="50"/>
      <c r="M3360" s="50"/>
      <c r="N3360" s="50"/>
      <c r="O3360" s="50"/>
    </row>
    <row r="3361" spans="1:15">
      <c r="A3361" s="527" t="s">
        <v>7</v>
      </c>
      <c r="B3361" s="528"/>
      <c r="C3361" s="98" t="s">
        <v>4221</v>
      </c>
      <c r="D3361" s="97" t="s">
        <v>4222</v>
      </c>
      <c r="E3361" s="187" t="s">
        <v>4223</v>
      </c>
      <c r="F3361" s="529" t="s">
        <v>4207</v>
      </c>
      <c r="G3361" s="529"/>
      <c r="H3361" s="109"/>
      <c r="K3361" s="50"/>
      <c r="L3361" s="50"/>
      <c r="M3361" s="50"/>
      <c r="N3361" s="50"/>
      <c r="O3361" s="50"/>
    </row>
    <row r="3362" spans="1:15">
      <c r="A3362" s="506" t="s">
        <v>3928</v>
      </c>
      <c r="B3362" s="507"/>
      <c r="C3362" s="213">
        <v>1</v>
      </c>
      <c r="D3362" s="92">
        <v>0.03</v>
      </c>
      <c r="E3362" s="93" t="str">
        <f>VLOOKUP(A3362,'Equip, Herr y Transp'!$B$2:$E$217,3,0)</f>
        <v>TR</v>
      </c>
      <c r="F3362" s="530" t="e">
        <f>E3362*D3362*C3362</f>
        <v>#VALUE!</v>
      </c>
      <c r="G3362" s="531"/>
      <c r="H3362" s="107"/>
      <c r="M3362" s="50"/>
    </row>
    <row r="3363" spans="1:15">
      <c r="A3363" s="532" t="s">
        <v>4205</v>
      </c>
      <c r="B3363" s="533"/>
      <c r="C3363" s="533"/>
      <c r="D3363" s="533"/>
      <c r="E3363" s="533"/>
      <c r="F3363" s="533"/>
      <c r="G3363" s="533"/>
      <c r="H3363" s="95" t="e">
        <f>F3362</f>
        <v>#VALUE!</v>
      </c>
    </row>
    <row r="3364" spans="1:15">
      <c r="A3364" s="523" t="s">
        <v>4224</v>
      </c>
      <c r="B3364" s="524"/>
      <c r="C3364" s="524"/>
      <c r="D3364" s="524"/>
      <c r="E3364" s="524"/>
      <c r="F3364" s="524"/>
      <c r="G3364" s="524"/>
      <c r="H3364" s="526"/>
    </row>
    <row r="3365" spans="1:15">
      <c r="A3365" s="527" t="s">
        <v>7</v>
      </c>
      <c r="B3365" s="528"/>
      <c r="C3365" s="96" t="s">
        <v>1</v>
      </c>
      <c r="D3365" s="97" t="s">
        <v>4225</v>
      </c>
      <c r="E3365" s="98" t="s">
        <v>4204</v>
      </c>
      <c r="F3365" s="527" t="s">
        <v>5</v>
      </c>
      <c r="G3365" s="534"/>
      <c r="H3365" s="109"/>
    </row>
    <row r="3366" spans="1:15">
      <c r="A3366" s="506" t="s">
        <v>4191</v>
      </c>
      <c r="B3366" s="507"/>
      <c r="C3366" s="91">
        <v>1</v>
      </c>
      <c r="D3366" s="94">
        <f>VLOOKUP(A3366,'Mano Obra'!$B$2:$T$117,19,0)</f>
        <v>152456</v>
      </c>
      <c r="E3366" s="218">
        <f>H3329</f>
        <v>6.25E-2</v>
      </c>
      <c r="F3366" s="508">
        <f>E3366*D3366*C3366</f>
        <v>9528.5</v>
      </c>
      <c r="G3366" s="509"/>
      <c r="H3366" s="111"/>
      <c r="I3366" s="59"/>
      <c r="J3366" s="117">
        <f>((('Mano Obra'!$M$4/30)*F3366)/D3366)*G3336</f>
        <v>0</v>
      </c>
    </row>
    <row r="3367" spans="1:15">
      <c r="A3367" s="510" t="s">
        <v>4192</v>
      </c>
      <c r="B3367" s="511">
        <f>VLOOKUP(A3367,'Mano Obra'!$B$3:$D$290,2,0)</f>
        <v>1900000</v>
      </c>
      <c r="C3367" s="91">
        <v>1</v>
      </c>
      <c r="D3367" s="94">
        <f>VLOOKUP(A3367,'Mano Obra'!$B$2:$T$117,19,0)</f>
        <v>110488</v>
      </c>
      <c r="E3367" s="218">
        <f>H3329</f>
        <v>6.25E-2</v>
      </c>
      <c r="F3367" s="508">
        <f t="shared" ref="F3367:F3368" si="198">E3367*D3367*C3367</f>
        <v>6905.5</v>
      </c>
      <c r="G3367" s="509"/>
      <c r="H3367" s="111"/>
      <c r="J3367" s="117">
        <f>((('Mano Obra'!$M$5/30)*F3367)/D3367)*G3336</f>
        <v>0</v>
      </c>
    </row>
    <row r="3368" spans="1:15">
      <c r="A3368" s="510" t="s">
        <v>4181</v>
      </c>
      <c r="B3368" s="511">
        <f>VLOOKUP(A3368,'Mano Obra'!$B$3:$D$290,2,0)</f>
        <v>1000000</v>
      </c>
      <c r="C3368" s="91">
        <v>1</v>
      </c>
      <c r="D3368" s="94">
        <f>VLOOKUP(A3368,'Mano Obra'!$B$2:$T$117,19,0)</f>
        <v>67424</v>
      </c>
      <c r="E3368" s="218">
        <f>H3329</f>
        <v>6.25E-2</v>
      </c>
      <c r="F3368" s="508">
        <f t="shared" si="198"/>
        <v>4214</v>
      </c>
      <c r="G3368" s="509"/>
      <c r="H3368" s="110"/>
      <c r="J3368" s="117">
        <f>((('Mano Obra'!$M$6/30)*F3368)/D3368)*G3336</f>
        <v>0</v>
      </c>
    </row>
    <row r="3369" spans="1:15">
      <c r="A3369" s="512" t="s">
        <v>4100</v>
      </c>
      <c r="B3369" s="512"/>
      <c r="C3369" s="512"/>
      <c r="D3369" s="512"/>
      <c r="E3369" s="512"/>
      <c r="F3369" s="512"/>
      <c r="G3369" s="512"/>
      <c r="H3369" s="95">
        <f>SUM(F3366:F3368)</f>
        <v>20648</v>
      </c>
      <c r="J3369" s="117"/>
    </row>
    <row r="3370" spans="1:15">
      <c r="A3370" s="208" t="s">
        <v>4226</v>
      </c>
      <c r="B3370" s="186"/>
      <c r="C3370" s="186"/>
      <c r="D3370" s="183"/>
      <c r="E3370" s="184"/>
      <c r="F3370" s="185"/>
      <c r="G3370" s="184"/>
      <c r="H3370" s="193"/>
    </row>
    <row r="3371" spans="1:15">
      <c r="A3371" s="513" t="s">
        <v>4213</v>
      </c>
      <c r="B3371" s="514"/>
      <c r="C3371" s="514"/>
      <c r="D3371" s="514"/>
      <c r="E3371" s="181"/>
      <c r="F3371" s="182" t="s">
        <v>4227</v>
      </c>
      <c r="G3371" s="181" t="s">
        <v>4228</v>
      </c>
      <c r="H3371" s="194"/>
    </row>
    <row r="3372" spans="1:15">
      <c r="A3372" s="204" t="s">
        <v>4096</v>
      </c>
      <c r="B3372" s="62"/>
      <c r="C3372" s="62"/>
      <c r="D3372" s="63"/>
      <c r="E3372" s="68"/>
      <c r="F3372" s="69">
        <v>0</v>
      </c>
      <c r="G3372" s="70" t="e">
        <f>F3372*H3337</f>
        <v>#VALUE!</v>
      </c>
      <c r="H3372" s="193"/>
    </row>
    <row r="3373" spans="1:15">
      <c r="A3373" s="205" t="s">
        <v>4229</v>
      </c>
      <c r="B3373" s="71"/>
      <c r="C3373" s="71"/>
      <c r="D3373" s="72"/>
      <c r="E3373" s="68"/>
      <c r="F3373" s="69">
        <v>0</v>
      </c>
      <c r="G3373" s="70" t="e">
        <f>F3373*H3337</f>
        <v>#VALUE!</v>
      </c>
      <c r="H3373" s="193"/>
    </row>
    <row r="3374" spans="1:15">
      <c r="A3374" s="205" t="s">
        <v>4</v>
      </c>
      <c r="B3374" s="71"/>
      <c r="C3374" s="71"/>
      <c r="D3374" s="72"/>
      <c r="E3374" s="68"/>
      <c r="F3374" s="69">
        <v>0</v>
      </c>
      <c r="G3374" s="70" t="e">
        <f>F3374*H3337</f>
        <v>#VALUE!</v>
      </c>
      <c r="H3374" s="193"/>
    </row>
    <row r="3375" spans="1:15">
      <c r="A3375" s="206"/>
      <c r="B3375" s="73"/>
      <c r="C3375" s="65"/>
      <c r="D3375" s="74"/>
      <c r="E3375" s="75"/>
      <c r="F3375" s="76"/>
      <c r="G3375" s="77"/>
      <c r="H3375" s="195"/>
    </row>
    <row r="3376" spans="1:15">
      <c r="A3376" s="207"/>
      <c r="B3376" s="73"/>
      <c r="C3376" s="73"/>
      <c r="D3376" s="74"/>
      <c r="E3376" s="78"/>
      <c r="F3376" s="515" t="s">
        <v>4230</v>
      </c>
      <c r="G3376" s="516"/>
      <c r="H3376" s="214" t="e">
        <f>H3337+G3372+G3373+G3374</f>
        <v>#VALUE!</v>
      </c>
    </row>
    <row r="3377" spans="1:14">
      <c r="A3377" s="73"/>
      <c r="B3377" s="73"/>
      <c r="C3377" s="73"/>
      <c r="D3377" s="74"/>
      <c r="E3377" s="360"/>
      <c r="F3377" s="361"/>
      <c r="G3377" s="361"/>
      <c r="H3377" s="362"/>
    </row>
    <row r="3378" spans="1:14">
      <c r="A3378" s="80"/>
      <c r="B3378" s="80"/>
      <c r="C3378" s="80"/>
      <c r="D3378" s="80"/>
      <c r="E3378" s="80"/>
      <c r="F3378" s="80"/>
      <c r="G3378" s="80"/>
      <c r="H3378" s="353"/>
    </row>
    <row r="3379" spans="1:14">
      <c r="A3379" s="537" t="s">
        <v>4214</v>
      </c>
      <c r="B3379" s="538"/>
      <c r="C3379" s="538"/>
      <c r="D3379" s="538"/>
      <c r="E3379" s="538"/>
      <c r="F3379" s="538"/>
      <c r="G3379" s="538"/>
      <c r="H3379" s="539"/>
    </row>
    <row r="3380" spans="1:14">
      <c r="A3380" s="81"/>
      <c r="B3380" s="82"/>
      <c r="C3380" s="82"/>
      <c r="D3380" s="82"/>
      <c r="E3380" s="82"/>
      <c r="F3380" s="83"/>
      <c r="G3380" s="84"/>
      <c r="H3380" s="352">
        <f>ROUND((30/60)/8,4)</f>
        <v>6.25E-2</v>
      </c>
      <c r="I3380" s="105"/>
    </row>
    <row r="3381" spans="1:14">
      <c r="A3381" s="540" t="s">
        <v>4209</v>
      </c>
      <c r="B3381" s="542" t="str">
        <f>COSTOS!$C$14</f>
        <v>MODERNIZACION A TECNOLOGIA LED</v>
      </c>
      <c r="C3381" s="542"/>
      <c r="D3381" s="542"/>
      <c r="E3381" s="542"/>
      <c r="F3381" s="542"/>
      <c r="G3381" s="542"/>
      <c r="H3381" s="543" t="s">
        <v>4210</v>
      </c>
    </row>
    <row r="3382" spans="1:14">
      <c r="A3382" s="541"/>
      <c r="B3382" s="542"/>
      <c r="C3382" s="542"/>
      <c r="D3382" s="542"/>
      <c r="E3382" s="542"/>
      <c r="F3382" s="542"/>
      <c r="G3382" s="542"/>
      <c r="H3382" s="543"/>
    </row>
    <row r="3383" spans="1:14">
      <c r="A3383" s="541"/>
      <c r="B3383" s="542"/>
      <c r="C3383" s="542"/>
      <c r="D3383" s="542"/>
      <c r="E3383" s="542"/>
      <c r="F3383" s="542"/>
      <c r="G3383" s="542"/>
      <c r="H3383" s="543"/>
    </row>
    <row r="3384" spans="1:14" ht="15" customHeight="1">
      <c r="A3384" s="541"/>
      <c r="B3384" s="542"/>
      <c r="C3384" s="542"/>
      <c r="D3384" s="542"/>
      <c r="E3384" s="542"/>
      <c r="F3384" s="542"/>
      <c r="G3384" s="542"/>
      <c r="H3384" s="197">
        <f ca="1">TODAY()</f>
        <v>44889</v>
      </c>
      <c r="K3384" t="s">
        <v>4380</v>
      </c>
      <c r="L3384" t="s">
        <v>4381</v>
      </c>
      <c r="M3384" t="s">
        <v>4382</v>
      </c>
      <c r="N3384" t="s">
        <v>4383</v>
      </c>
    </row>
    <row r="3385" spans="1:14" ht="60.75" customHeight="1">
      <c r="A3385" s="209" t="s">
        <v>4211</v>
      </c>
      <c r="B3385" s="544" t="str">
        <f>COSTOS!$D$16</f>
        <v>Luminarias</v>
      </c>
      <c r="C3385" s="544"/>
      <c r="D3385" s="544"/>
      <c r="E3385" s="544"/>
      <c r="F3385" s="544"/>
      <c r="G3385" s="60" t="s">
        <v>4212</v>
      </c>
      <c r="H3385" s="363">
        <v>1.67</v>
      </c>
      <c r="K3385" s="55" t="e">
        <f>H3410</f>
        <v>#VALUE!</v>
      </c>
      <c r="L3385" s="55">
        <f>H3420</f>
        <v>20648</v>
      </c>
      <c r="M3385" s="55" t="e">
        <f>H3393</f>
        <v>#VALUE!</v>
      </c>
      <c r="N3385" s="55" t="e">
        <f>H3414</f>
        <v>#VALUE!</v>
      </c>
    </row>
    <row r="3386" spans="1:14" ht="43.2" customHeight="1">
      <c r="A3386" s="210" t="s">
        <v>4213</v>
      </c>
      <c r="B3386" s="545" t="str">
        <f>VLOOKUP(H3385,COSTOS!C:M,2,0)</f>
        <v>Reflector de sodio de 200w</v>
      </c>
      <c r="C3386" s="546"/>
      <c r="D3386" s="546"/>
      <c r="E3386" s="547"/>
      <c r="F3386" s="61" t="s">
        <v>0</v>
      </c>
      <c r="G3386" s="328" t="str">
        <f>VLOOKUP(H3385,COSTOS!C:M,8,0)</f>
        <v>Und</v>
      </c>
      <c r="H3386" s="248"/>
      <c r="I3386" s="278"/>
      <c r="J3386" s="280"/>
      <c r="K3386" s="280"/>
      <c r="L3386" s="280"/>
    </row>
    <row r="3387" spans="1:14">
      <c r="A3387" s="211"/>
      <c r="B3387" s="102"/>
      <c r="C3387" s="102"/>
      <c r="D3387" s="102"/>
      <c r="E3387" s="103"/>
      <c r="F3387" s="104" t="s">
        <v>1</v>
      </c>
      <c r="G3387" s="328">
        <f>VLOOKUP(H3385,COSTOS!C:M,9,0)</f>
        <v>0</v>
      </c>
      <c r="H3387" s="329"/>
      <c r="I3387" s="279"/>
    </row>
    <row r="3388" spans="1:14">
      <c r="A3388" s="212" t="s">
        <v>4215</v>
      </c>
      <c r="B3388" s="65"/>
      <c r="C3388" s="65"/>
      <c r="D3388" s="66"/>
      <c r="E3388" s="190"/>
      <c r="F3388" s="191"/>
      <c r="G3388" s="192" t="s">
        <v>4216</v>
      </c>
      <c r="H3388" s="198" t="e">
        <f>H3393+H3410+H3414+H3420</f>
        <v>#VALUE!</v>
      </c>
    </row>
    <row r="3389" spans="1:14" ht="41.4">
      <c r="A3389" s="548" t="s">
        <v>4213</v>
      </c>
      <c r="B3389" s="548"/>
      <c r="C3389" s="548"/>
      <c r="D3389" s="67" t="s">
        <v>0</v>
      </c>
      <c r="E3389" s="188" t="s">
        <v>4217</v>
      </c>
      <c r="F3389" s="189" t="s">
        <v>4204</v>
      </c>
      <c r="G3389" s="64" t="s">
        <v>2</v>
      </c>
      <c r="H3389" s="199" t="s">
        <v>4218</v>
      </c>
      <c r="K3389" s="281"/>
    </row>
    <row r="3390" spans="1:14">
      <c r="A3390" s="517" t="s">
        <v>3946</v>
      </c>
      <c r="B3390" s="549">
        <f>VLOOKUP(A3390,'Equip, Herr y Transp'!$B$2:$E$738,2,0)</f>
        <v>2</v>
      </c>
      <c r="C3390" s="549"/>
      <c r="D3390" s="85">
        <f>VLOOKUP(A3390,'Equip, Herr y Transp'!$B$2:$E$217,2,0)</f>
        <v>2</v>
      </c>
      <c r="E3390" s="85" t="str">
        <f>VLOOKUP(A3390,'Equip, Herr y Transp'!$B$2:$E$217,3,0)</f>
        <v>EQU</v>
      </c>
      <c r="F3390" s="86">
        <f>H3380</f>
        <v>6.25E-2</v>
      </c>
      <c r="G3390" s="112" t="e">
        <f>F3390*E3390</f>
        <v>#VALUE!</v>
      </c>
      <c r="H3390" s="108"/>
    </row>
    <row r="3391" spans="1:14">
      <c r="A3391" s="517" t="s">
        <v>3904</v>
      </c>
      <c r="B3391" s="549">
        <f>VLOOKUP(A3391,'Equip, Herr y Transp'!$B$2:$E$738,2,0)</f>
        <v>2</v>
      </c>
      <c r="C3391" s="549"/>
      <c r="D3391" s="85">
        <f>VLOOKUP(A3391,'Equip, Herr y Transp'!$B$2:$E$217,2,0)</f>
        <v>2</v>
      </c>
      <c r="E3391" s="85" t="str">
        <f>VLOOKUP(A3391,'Equip, Herr y Transp'!$B$2:$E$217,3,0)</f>
        <v>EQU</v>
      </c>
      <c r="F3391" s="86">
        <f>H3380</f>
        <v>6.25E-2</v>
      </c>
      <c r="G3391" s="112" t="e">
        <f>F3391*E3391</f>
        <v>#VALUE!</v>
      </c>
      <c r="H3391" s="107"/>
    </row>
    <row r="3392" spans="1:14">
      <c r="A3392" s="517" t="s">
        <v>3937</v>
      </c>
      <c r="B3392" s="549">
        <f>VLOOKUP(A3392,'Equip, Herr y Transp'!$B$2:$E$738,2,0)</f>
        <v>2</v>
      </c>
      <c r="C3392" s="549"/>
      <c r="D3392" s="85">
        <f>VLOOKUP(A3392,'Equip, Herr y Transp'!$B$2:$E$217,2,0)</f>
        <v>2</v>
      </c>
      <c r="E3392" s="85" t="str">
        <f>VLOOKUP(A3392,'Equip, Herr y Transp'!$B$2:$E$217,3,0)</f>
        <v>EQU</v>
      </c>
      <c r="F3392" s="86">
        <f>H3380</f>
        <v>6.25E-2</v>
      </c>
      <c r="G3392" s="112" t="e">
        <f>F3392*E3392</f>
        <v>#VALUE!</v>
      </c>
      <c r="H3392" s="107"/>
    </row>
    <row r="3393" spans="1:15">
      <c r="A3393" s="520" t="s">
        <v>4099</v>
      </c>
      <c r="B3393" s="521"/>
      <c r="C3393" s="521"/>
      <c r="D3393" s="521"/>
      <c r="E3393" s="521"/>
      <c r="F3393" s="521"/>
      <c r="G3393" s="521"/>
      <c r="H3393" s="87" t="e">
        <f>SUM(G3390:G3392)</f>
        <v>#VALUE!</v>
      </c>
    </row>
    <row r="3394" spans="1:15">
      <c r="A3394" s="550" t="s">
        <v>4219</v>
      </c>
      <c r="B3394" s="551"/>
      <c r="C3394" s="551"/>
      <c r="D3394" s="551"/>
      <c r="E3394" s="551"/>
      <c r="F3394" s="551"/>
      <c r="G3394" s="551"/>
      <c r="H3394" s="552"/>
      <c r="K3394" s="50"/>
      <c r="L3394" s="50"/>
      <c r="M3394" s="50"/>
      <c r="N3394" s="50"/>
      <c r="O3394" s="50"/>
    </row>
    <row r="3395" spans="1:15" ht="30" customHeight="1">
      <c r="A3395" s="553" t="s">
        <v>7</v>
      </c>
      <c r="B3395" s="554"/>
      <c r="C3395" s="99" t="s">
        <v>0</v>
      </c>
      <c r="D3395" s="100" t="s">
        <v>4097</v>
      </c>
      <c r="E3395" s="101" t="s">
        <v>1</v>
      </c>
      <c r="F3395" s="555" t="s">
        <v>4207</v>
      </c>
      <c r="G3395" s="555"/>
      <c r="H3395" s="196"/>
      <c r="K3395" s="50"/>
      <c r="L3395" s="50"/>
      <c r="M3395" s="50"/>
      <c r="N3395" s="50"/>
      <c r="O3395" s="50"/>
    </row>
    <row r="3396" spans="1:15">
      <c r="A3396" s="535" t="s">
        <v>4776</v>
      </c>
      <c r="B3396" s="536"/>
      <c r="C3396" s="88">
        <f>VLOOKUP(A3396,'Materiales '!$C$2:$G$396,3,0)</f>
        <v>4</v>
      </c>
      <c r="D3396" s="89" t="str">
        <f>VLOOKUP(A3396,'Materiales '!$C$2:$G$396,4,0)</f>
        <v>Und</v>
      </c>
      <c r="E3396" s="90">
        <v>1</v>
      </c>
      <c r="F3396" s="508" t="e">
        <f>E3396*D3396</f>
        <v>#VALUE!</v>
      </c>
      <c r="G3396" s="519"/>
      <c r="H3396" s="111"/>
      <c r="I3396">
        <f>E3396*G3387</f>
        <v>0</v>
      </c>
      <c r="J3396" s="57"/>
      <c r="K3396" s="50"/>
      <c r="L3396" s="50"/>
      <c r="M3396" s="50"/>
      <c r="N3396" s="50"/>
      <c r="O3396" s="50"/>
    </row>
    <row r="3397" spans="1:15">
      <c r="A3397" s="535" t="s">
        <v>4203</v>
      </c>
      <c r="B3397" s="536"/>
      <c r="C3397" s="88">
        <f>VLOOKUP(A3397,'Materiales '!$C$2:$G$396,3,0)</f>
        <v>4</v>
      </c>
      <c r="D3397" s="89" t="str">
        <f>VLOOKUP(A3397,'Materiales '!$C$2:$G$396,4,0)</f>
        <v>Und</v>
      </c>
      <c r="E3397" s="90">
        <v>1</v>
      </c>
      <c r="F3397" s="508" t="e">
        <f t="shared" ref="F3397:F3403" si="199">E3397*D3397</f>
        <v>#VALUE!</v>
      </c>
      <c r="G3397" s="519"/>
      <c r="H3397" s="111"/>
      <c r="I3397">
        <f>E3397*G3387</f>
        <v>0</v>
      </c>
      <c r="J3397" s="57"/>
      <c r="K3397" s="50"/>
      <c r="L3397" s="50"/>
      <c r="M3397" s="50"/>
      <c r="N3397" s="50"/>
      <c r="O3397" s="50"/>
    </row>
    <row r="3398" spans="1:15">
      <c r="A3398" s="517" t="s">
        <v>4473</v>
      </c>
      <c r="B3398" s="518">
        <f>VLOOKUP(A3398,'Materiales '!$C$2:$G$396,3,0)</f>
        <v>4</v>
      </c>
      <c r="C3398" s="88">
        <f>VLOOKUP(A3398,'Materiales '!$C$2:$G$396,3,0)</f>
        <v>4</v>
      </c>
      <c r="D3398" s="89" t="str">
        <f>VLOOKUP(A3398,'Materiales '!$C$2:$G$396,4,0)</f>
        <v>Und</v>
      </c>
      <c r="E3398" s="90">
        <v>2</v>
      </c>
      <c r="F3398" s="508" t="e">
        <f t="shared" si="199"/>
        <v>#VALUE!</v>
      </c>
      <c r="G3398" s="519"/>
      <c r="H3398" s="111"/>
      <c r="I3398">
        <f>E3398*G3387</f>
        <v>0</v>
      </c>
      <c r="J3398" s="58"/>
      <c r="K3398" s="50"/>
      <c r="L3398" s="50"/>
      <c r="M3398" s="50"/>
      <c r="N3398" s="50"/>
      <c r="O3398" s="50"/>
    </row>
    <row r="3399" spans="1:15">
      <c r="A3399" s="517" t="s">
        <v>4478</v>
      </c>
      <c r="B3399" s="518">
        <f>VLOOKUP(A3399,'Materiales '!$C$2:$G$396,3,0)</f>
        <v>4</v>
      </c>
      <c r="C3399" s="88">
        <f>VLOOKUP(A3399,'Materiales '!$C$2:$G$396,3,0)</f>
        <v>4</v>
      </c>
      <c r="D3399" s="89" t="str">
        <f>VLOOKUP(A3399,'Materiales '!$C$2:$G$396,4,0)</f>
        <v>Und</v>
      </c>
      <c r="E3399" s="90">
        <v>3</v>
      </c>
      <c r="F3399" s="508" t="e">
        <f t="shared" si="199"/>
        <v>#VALUE!</v>
      </c>
      <c r="G3399" s="519"/>
      <c r="H3399" s="111"/>
      <c r="I3399">
        <f>E3399*G3387</f>
        <v>0</v>
      </c>
      <c r="J3399" s="58"/>
      <c r="K3399" s="50"/>
      <c r="L3399" s="50"/>
      <c r="M3399" s="50"/>
      <c r="N3399" s="50"/>
      <c r="O3399" s="50"/>
    </row>
    <row r="3400" spans="1:15">
      <c r="A3400" s="517" t="s">
        <v>4543</v>
      </c>
      <c r="B3400" s="518">
        <f>VLOOKUP(A3400,'Materiales '!$C$2:$G$396,3,0)</f>
        <v>4</v>
      </c>
      <c r="C3400" s="88">
        <f>VLOOKUP(A3400,'Materiales '!$C$2:$G$396,3,0)</f>
        <v>4</v>
      </c>
      <c r="D3400" s="89" t="str">
        <f>VLOOKUP(A3400,'Materiales '!$C$2:$G$396,4,0)</f>
        <v>Und</v>
      </c>
      <c r="E3400" s="90">
        <v>2</v>
      </c>
      <c r="F3400" s="508" t="e">
        <f t="shared" si="199"/>
        <v>#VALUE!</v>
      </c>
      <c r="G3400" s="519"/>
      <c r="H3400" s="111"/>
      <c r="I3400">
        <f>E3400*G3387</f>
        <v>0</v>
      </c>
      <c r="J3400" s="58"/>
      <c r="K3400" s="50"/>
      <c r="L3400" s="50"/>
      <c r="M3400" s="50"/>
      <c r="N3400" s="50"/>
      <c r="O3400" s="50"/>
    </row>
    <row r="3401" spans="1:15">
      <c r="A3401" s="517" t="s">
        <v>4439</v>
      </c>
      <c r="B3401" s="518">
        <f>VLOOKUP(A3401,'Materiales '!$C$2:$G$396,3,0)</f>
        <v>2</v>
      </c>
      <c r="C3401" s="88">
        <f>VLOOKUP(A3401,'Materiales '!$C$2:$G$396,3,0)</f>
        <v>2</v>
      </c>
      <c r="D3401" s="89" t="str">
        <f>VLOOKUP(A3401,'Materiales '!$C$2:$G$396,4,0)</f>
        <v>Ml</v>
      </c>
      <c r="E3401" s="90">
        <v>1</v>
      </c>
      <c r="F3401" s="508" t="e">
        <f t="shared" si="199"/>
        <v>#VALUE!</v>
      </c>
      <c r="G3401" s="519"/>
      <c r="H3401" s="111"/>
      <c r="I3401">
        <f>E3401*G3387</f>
        <v>0</v>
      </c>
      <c r="J3401" s="58"/>
      <c r="K3401" s="50"/>
      <c r="L3401" s="50"/>
      <c r="M3401" s="50"/>
      <c r="N3401" s="50"/>
      <c r="O3401" s="50"/>
    </row>
    <row r="3402" spans="1:15">
      <c r="A3402" s="517" t="s">
        <v>4482</v>
      </c>
      <c r="B3402" s="518">
        <f>VLOOKUP(A3402,'Materiales '!$C$2:$G$396,3,0)</f>
        <v>4</v>
      </c>
      <c r="C3402" s="88">
        <f>VLOOKUP(A3402,'Materiales '!$C$2:$G$396,3,0)</f>
        <v>4</v>
      </c>
      <c r="D3402" s="89" t="str">
        <f>VLOOKUP(A3402,'Materiales '!$C$2:$G$396,4,0)</f>
        <v>Und</v>
      </c>
      <c r="E3402" s="90">
        <v>3</v>
      </c>
      <c r="F3402" s="508" t="e">
        <f t="shared" si="199"/>
        <v>#VALUE!</v>
      </c>
      <c r="G3402" s="519"/>
      <c r="H3402" s="111"/>
      <c r="I3402">
        <f>E3402*G3387</f>
        <v>0</v>
      </c>
      <c r="J3402" s="58"/>
      <c r="K3402" s="50"/>
      <c r="L3402" s="50"/>
      <c r="M3402" s="50"/>
      <c r="N3402" s="50"/>
      <c r="O3402" s="50"/>
    </row>
    <row r="3403" spans="1:15" ht="21.75" customHeight="1">
      <c r="A3403" s="517" t="s">
        <v>4487</v>
      </c>
      <c r="B3403" s="518">
        <f>VLOOKUP(A3403,'Materiales '!$C$2:$G$396,3,0)</f>
        <v>4</v>
      </c>
      <c r="C3403" s="88">
        <f>VLOOKUP(A3403,'Materiales '!$C$2:$G$396,3,0)</f>
        <v>4</v>
      </c>
      <c r="D3403" s="89" t="str">
        <f>VLOOKUP(A3403,'Materiales '!$C$2:$G$396,4,0)</f>
        <v>Und</v>
      </c>
      <c r="E3403" s="90">
        <v>0.5</v>
      </c>
      <c r="F3403" s="508" t="e">
        <f t="shared" si="199"/>
        <v>#VALUE!</v>
      </c>
      <c r="G3403" s="519"/>
      <c r="H3403" s="111"/>
      <c r="I3403">
        <f>E3403*G3387</f>
        <v>0</v>
      </c>
      <c r="J3403" s="58"/>
      <c r="K3403" s="50"/>
      <c r="L3403" s="50"/>
      <c r="M3403" s="50"/>
      <c r="N3403" s="50"/>
      <c r="O3403" s="50"/>
    </row>
    <row r="3404" spans="1:15">
      <c r="A3404" s="517" t="s">
        <v>8</v>
      </c>
      <c r="B3404" s="518">
        <f>VLOOKUP(A3404,'Materiales '!$C$2:$G$396,3,0)</f>
        <v>0</v>
      </c>
      <c r="C3404" s="88">
        <f>VLOOKUP(A3404,'Materiales '!$C$2:$G$396,3,0)</f>
        <v>0</v>
      </c>
      <c r="D3404" s="89" t="str">
        <f>VLOOKUP(A3404,'Materiales '!$C$2:$G$396,4,0)</f>
        <v>-</v>
      </c>
      <c r="E3404" s="90"/>
      <c r="F3404" s="508" t="e">
        <f>E3404*D3404</f>
        <v>#VALUE!</v>
      </c>
      <c r="G3404" s="519"/>
      <c r="H3404" s="110"/>
      <c r="I3404">
        <f>E3404*G3387</f>
        <v>0</v>
      </c>
      <c r="J3404" s="58"/>
      <c r="K3404" s="50"/>
      <c r="L3404" s="50"/>
      <c r="M3404" s="50"/>
      <c r="N3404" s="50"/>
      <c r="O3404" s="50"/>
    </row>
    <row r="3405" spans="1:15">
      <c r="A3405" s="517" t="s">
        <v>8</v>
      </c>
      <c r="B3405" s="518">
        <f>VLOOKUP(A3405,'Materiales '!$C$2:$G$396,3,0)</f>
        <v>0</v>
      </c>
      <c r="C3405" s="88">
        <f>VLOOKUP(A3405,'Materiales '!$C$2:$G$396,3,0)</f>
        <v>0</v>
      </c>
      <c r="D3405" s="89" t="str">
        <f>VLOOKUP(A3405,'Materiales '!$C$2:$G$396,4,0)</f>
        <v>-</v>
      </c>
      <c r="E3405" s="90"/>
      <c r="F3405" s="508" t="e">
        <f t="shared" ref="F3405:F3408" si="200">E3405*D3405</f>
        <v>#VALUE!</v>
      </c>
      <c r="G3405" s="519"/>
      <c r="H3405" s="111"/>
      <c r="I3405">
        <f>E3405*G3387</f>
        <v>0</v>
      </c>
      <c r="J3405" s="58"/>
      <c r="K3405" s="50"/>
      <c r="L3405" s="50"/>
      <c r="M3405" s="50"/>
      <c r="N3405" s="50"/>
      <c r="O3405" s="50"/>
    </row>
    <row r="3406" spans="1:15">
      <c r="A3406" s="517" t="s">
        <v>8</v>
      </c>
      <c r="B3406" s="518">
        <f>VLOOKUP(A3406,'Materiales '!$C$2:$G$396,3,0)</f>
        <v>0</v>
      </c>
      <c r="C3406" s="88">
        <f>VLOOKUP(A3406,'Materiales '!$C$2:$G$396,3,0)</f>
        <v>0</v>
      </c>
      <c r="D3406" s="89" t="str">
        <f>VLOOKUP(A3406,'Materiales '!$C$2:$G$396,4,0)</f>
        <v>-</v>
      </c>
      <c r="E3406" s="90"/>
      <c r="F3406" s="508" t="e">
        <f t="shared" si="200"/>
        <v>#VALUE!</v>
      </c>
      <c r="G3406" s="519"/>
      <c r="H3406" s="111"/>
      <c r="I3406">
        <f>E3406*G3387</f>
        <v>0</v>
      </c>
      <c r="J3406" s="58"/>
      <c r="K3406" s="50"/>
      <c r="L3406" s="50"/>
      <c r="M3406" s="50"/>
      <c r="N3406" s="50"/>
      <c r="O3406" s="50"/>
    </row>
    <row r="3407" spans="1:15">
      <c r="A3407" s="517" t="s">
        <v>8</v>
      </c>
      <c r="B3407" s="518">
        <f>VLOOKUP(A3407,'Materiales '!$C$2:$G$396,3,0)</f>
        <v>0</v>
      </c>
      <c r="C3407" s="88">
        <f>VLOOKUP(A3407,'Materiales '!$C$2:$G$396,3,0)</f>
        <v>0</v>
      </c>
      <c r="D3407" s="89" t="str">
        <f>VLOOKUP(A3407,'Materiales '!$C$2:$G$396,4,0)</f>
        <v>-</v>
      </c>
      <c r="E3407" s="90"/>
      <c r="F3407" s="508" t="e">
        <f t="shared" si="200"/>
        <v>#VALUE!</v>
      </c>
      <c r="G3407" s="519"/>
      <c r="H3407" s="111"/>
      <c r="I3407">
        <f>E3407*G3387</f>
        <v>0</v>
      </c>
      <c r="J3407" s="58"/>
      <c r="K3407" s="50"/>
      <c r="L3407" s="50"/>
      <c r="M3407" s="50"/>
      <c r="N3407" s="50"/>
      <c r="O3407" s="50"/>
    </row>
    <row r="3408" spans="1:15">
      <c r="A3408" s="517" t="s">
        <v>8</v>
      </c>
      <c r="B3408" s="518">
        <f>VLOOKUP(A3408,'Materiales '!$C$2:$G$396,3,0)</f>
        <v>0</v>
      </c>
      <c r="C3408" s="88">
        <f>VLOOKUP(A3408,'Materiales '!$C$2:$G$396,3,0)</f>
        <v>0</v>
      </c>
      <c r="D3408" s="89" t="str">
        <f>VLOOKUP(A3408,'Materiales '!$C$2:$G$396,4,0)</f>
        <v>-</v>
      </c>
      <c r="E3408" s="90"/>
      <c r="F3408" s="508" t="e">
        <f t="shared" si="200"/>
        <v>#VALUE!</v>
      </c>
      <c r="G3408" s="519"/>
      <c r="H3408" s="111"/>
      <c r="I3408">
        <f>E3408*G3387</f>
        <v>0</v>
      </c>
      <c r="J3408" s="58"/>
      <c r="K3408" s="50"/>
      <c r="L3408" s="50"/>
      <c r="M3408" s="50"/>
      <c r="N3408" s="50"/>
      <c r="O3408" s="50"/>
    </row>
    <row r="3409" spans="1:15">
      <c r="A3409" s="517" t="s">
        <v>8</v>
      </c>
      <c r="B3409" s="518">
        <f>VLOOKUP(A3409,'Materiales '!$C$2:$G$396,3,0)</f>
        <v>0</v>
      </c>
      <c r="C3409" s="88">
        <f>VLOOKUP(A3409,'Materiales '!$C$2:$G$396,3,0)</f>
        <v>0</v>
      </c>
      <c r="D3409" s="89" t="str">
        <f>VLOOKUP(A3409,'Materiales '!$C$2:$G$396,4,0)</f>
        <v>-</v>
      </c>
      <c r="E3409" s="90"/>
      <c r="F3409" s="508" t="e">
        <f>E3409*D3409</f>
        <v>#VALUE!</v>
      </c>
      <c r="G3409" s="519"/>
      <c r="H3409" s="110"/>
      <c r="I3409">
        <f>E3409*G3387</f>
        <v>0</v>
      </c>
      <c r="J3409" s="58"/>
      <c r="K3409" s="50"/>
      <c r="L3409" s="50"/>
      <c r="M3409" s="50"/>
      <c r="N3409" s="50"/>
      <c r="O3409" s="50"/>
    </row>
    <row r="3410" spans="1:15">
      <c r="A3410" s="520" t="s">
        <v>4098</v>
      </c>
      <c r="B3410" s="521"/>
      <c r="C3410" s="521"/>
      <c r="D3410" s="521"/>
      <c r="E3410" s="521"/>
      <c r="F3410" s="521"/>
      <c r="G3410" s="522"/>
      <c r="H3410" s="106" t="e">
        <f>SUM(F3396:F3409)</f>
        <v>#VALUE!</v>
      </c>
      <c r="J3410" s="58"/>
      <c r="K3410" s="50"/>
      <c r="L3410" s="50"/>
      <c r="M3410" s="50"/>
      <c r="N3410" s="50"/>
      <c r="O3410" s="50"/>
    </row>
    <row r="3411" spans="1:15">
      <c r="A3411" s="523" t="s">
        <v>4220</v>
      </c>
      <c r="B3411" s="524"/>
      <c r="C3411" s="524"/>
      <c r="D3411" s="524"/>
      <c r="E3411" s="525"/>
      <c r="F3411" s="524"/>
      <c r="G3411" s="524"/>
      <c r="H3411" s="526"/>
      <c r="J3411" s="58"/>
      <c r="K3411" s="50"/>
      <c r="L3411" s="50"/>
      <c r="M3411" s="50"/>
      <c r="N3411" s="50"/>
      <c r="O3411" s="50"/>
    </row>
    <row r="3412" spans="1:15">
      <c r="A3412" s="527" t="s">
        <v>7</v>
      </c>
      <c r="B3412" s="528"/>
      <c r="C3412" s="98" t="s">
        <v>4221</v>
      </c>
      <c r="D3412" s="97" t="s">
        <v>4222</v>
      </c>
      <c r="E3412" s="187" t="s">
        <v>4223</v>
      </c>
      <c r="F3412" s="529" t="s">
        <v>4207</v>
      </c>
      <c r="G3412" s="529"/>
      <c r="H3412" s="109"/>
      <c r="K3412" s="50"/>
      <c r="L3412" s="50"/>
      <c r="M3412" s="50"/>
      <c r="N3412" s="50"/>
      <c r="O3412" s="50"/>
    </row>
    <row r="3413" spans="1:15">
      <c r="A3413" s="506" t="s">
        <v>3928</v>
      </c>
      <c r="B3413" s="507"/>
      <c r="C3413" s="213">
        <v>1</v>
      </c>
      <c r="D3413" s="92">
        <v>0.03</v>
      </c>
      <c r="E3413" s="93" t="str">
        <f>VLOOKUP(A3413,'Equip, Herr y Transp'!$B$2:$E$217,3,0)</f>
        <v>TR</v>
      </c>
      <c r="F3413" s="530" t="e">
        <f>E3413*D3413*C3413</f>
        <v>#VALUE!</v>
      </c>
      <c r="G3413" s="531"/>
      <c r="H3413" s="107"/>
      <c r="M3413" s="50"/>
    </row>
    <row r="3414" spans="1:15">
      <c r="A3414" s="532" t="s">
        <v>4205</v>
      </c>
      <c r="B3414" s="533"/>
      <c r="C3414" s="533"/>
      <c r="D3414" s="533"/>
      <c r="E3414" s="533"/>
      <c r="F3414" s="533"/>
      <c r="G3414" s="533"/>
      <c r="H3414" s="95" t="e">
        <f>F3413</f>
        <v>#VALUE!</v>
      </c>
    </row>
    <row r="3415" spans="1:15">
      <c r="A3415" s="523" t="s">
        <v>4224</v>
      </c>
      <c r="B3415" s="524"/>
      <c r="C3415" s="524"/>
      <c r="D3415" s="524"/>
      <c r="E3415" s="524"/>
      <c r="F3415" s="524"/>
      <c r="G3415" s="524"/>
      <c r="H3415" s="526"/>
    </row>
    <row r="3416" spans="1:15">
      <c r="A3416" s="527" t="s">
        <v>7</v>
      </c>
      <c r="B3416" s="528"/>
      <c r="C3416" s="96" t="s">
        <v>1</v>
      </c>
      <c r="D3416" s="97" t="s">
        <v>4225</v>
      </c>
      <c r="E3416" s="98" t="s">
        <v>4204</v>
      </c>
      <c r="F3416" s="527" t="s">
        <v>5</v>
      </c>
      <c r="G3416" s="534"/>
      <c r="H3416" s="109"/>
    </row>
    <row r="3417" spans="1:15">
      <c r="A3417" s="506" t="s">
        <v>4191</v>
      </c>
      <c r="B3417" s="507"/>
      <c r="C3417" s="91">
        <v>1</v>
      </c>
      <c r="D3417" s="94">
        <f>VLOOKUP(A3417,'Mano Obra'!$B$2:$T$117,19,0)</f>
        <v>152456</v>
      </c>
      <c r="E3417" s="218">
        <f>H3380</f>
        <v>6.25E-2</v>
      </c>
      <c r="F3417" s="508">
        <f>E3417*D3417*C3417</f>
        <v>9528.5</v>
      </c>
      <c r="G3417" s="509"/>
      <c r="H3417" s="111"/>
      <c r="I3417" s="59"/>
      <c r="J3417" s="117">
        <f>((('Mano Obra'!$M$4/30)*F3417)/D3417)*G3387</f>
        <v>0</v>
      </c>
    </row>
    <row r="3418" spans="1:15">
      <c r="A3418" s="510" t="s">
        <v>4192</v>
      </c>
      <c r="B3418" s="511">
        <f>VLOOKUP(A3418,'Mano Obra'!$B$3:$D$290,2,0)</f>
        <v>1900000</v>
      </c>
      <c r="C3418" s="91">
        <v>1</v>
      </c>
      <c r="D3418" s="94">
        <f>VLOOKUP(A3418,'Mano Obra'!$B$2:$T$117,19,0)</f>
        <v>110488</v>
      </c>
      <c r="E3418" s="218">
        <f>H3380</f>
        <v>6.25E-2</v>
      </c>
      <c r="F3418" s="508">
        <f t="shared" ref="F3418:F3419" si="201">E3418*D3418*C3418</f>
        <v>6905.5</v>
      </c>
      <c r="G3418" s="509"/>
      <c r="H3418" s="111"/>
      <c r="J3418" s="117">
        <f>((('Mano Obra'!$M$5/30)*F3418)/D3418)*G3387</f>
        <v>0</v>
      </c>
    </row>
    <row r="3419" spans="1:15">
      <c r="A3419" s="510" t="s">
        <v>4181</v>
      </c>
      <c r="B3419" s="511">
        <f>VLOOKUP(A3419,'Mano Obra'!$B$3:$D$290,2,0)</f>
        <v>1000000</v>
      </c>
      <c r="C3419" s="91">
        <v>1</v>
      </c>
      <c r="D3419" s="94">
        <f>VLOOKUP(A3419,'Mano Obra'!$B$2:$T$117,19,0)</f>
        <v>67424</v>
      </c>
      <c r="E3419" s="218">
        <f>H3380</f>
        <v>6.25E-2</v>
      </c>
      <c r="F3419" s="508">
        <f t="shared" si="201"/>
        <v>4214</v>
      </c>
      <c r="G3419" s="509"/>
      <c r="H3419" s="110"/>
      <c r="J3419" s="117">
        <f>((('Mano Obra'!$M$6/30)*F3419)/D3419)*G3387</f>
        <v>0</v>
      </c>
    </row>
    <row r="3420" spans="1:15">
      <c r="A3420" s="512" t="s">
        <v>4100</v>
      </c>
      <c r="B3420" s="512"/>
      <c r="C3420" s="512"/>
      <c r="D3420" s="512"/>
      <c r="E3420" s="512"/>
      <c r="F3420" s="512"/>
      <c r="G3420" s="512"/>
      <c r="H3420" s="95">
        <f>SUM(F3417:F3419)</f>
        <v>20648</v>
      </c>
      <c r="J3420" s="117"/>
    </row>
    <row r="3421" spans="1:15">
      <c r="A3421" s="208" t="s">
        <v>4226</v>
      </c>
      <c r="B3421" s="186"/>
      <c r="C3421" s="186"/>
      <c r="D3421" s="183"/>
      <c r="E3421" s="184"/>
      <c r="F3421" s="185"/>
      <c r="G3421" s="184"/>
      <c r="H3421" s="193"/>
    </row>
    <row r="3422" spans="1:15">
      <c r="A3422" s="513" t="s">
        <v>4213</v>
      </c>
      <c r="B3422" s="514"/>
      <c r="C3422" s="514"/>
      <c r="D3422" s="514"/>
      <c r="E3422" s="181"/>
      <c r="F3422" s="182" t="s">
        <v>4227</v>
      </c>
      <c r="G3422" s="181" t="s">
        <v>4228</v>
      </c>
      <c r="H3422" s="194"/>
    </row>
    <row r="3423" spans="1:15">
      <c r="A3423" s="204" t="s">
        <v>4096</v>
      </c>
      <c r="B3423" s="62"/>
      <c r="C3423" s="62"/>
      <c r="D3423" s="63"/>
      <c r="E3423" s="68"/>
      <c r="F3423" s="69">
        <v>0</v>
      </c>
      <c r="G3423" s="70" t="e">
        <f>F3423*H3388</f>
        <v>#VALUE!</v>
      </c>
      <c r="H3423" s="193"/>
    </row>
    <row r="3424" spans="1:15">
      <c r="A3424" s="205" t="s">
        <v>4229</v>
      </c>
      <c r="B3424" s="71"/>
      <c r="C3424" s="71"/>
      <c r="D3424" s="72"/>
      <c r="E3424" s="68"/>
      <c r="F3424" s="69">
        <v>0</v>
      </c>
      <c r="G3424" s="70" t="e">
        <f>F3424*H3388</f>
        <v>#VALUE!</v>
      </c>
      <c r="H3424" s="193"/>
    </row>
    <row r="3425" spans="1:14">
      <c r="A3425" s="205" t="s">
        <v>4</v>
      </c>
      <c r="B3425" s="71"/>
      <c r="C3425" s="71"/>
      <c r="D3425" s="72"/>
      <c r="E3425" s="68"/>
      <c r="F3425" s="69">
        <v>0</v>
      </c>
      <c r="G3425" s="70" t="e">
        <f>F3425*H3388</f>
        <v>#VALUE!</v>
      </c>
      <c r="H3425" s="193"/>
    </row>
    <row r="3426" spans="1:14">
      <c r="A3426" s="206"/>
      <c r="B3426" s="73"/>
      <c r="C3426" s="65"/>
      <c r="D3426" s="74"/>
      <c r="E3426" s="75"/>
      <c r="F3426" s="76"/>
      <c r="G3426" s="77"/>
      <c r="H3426" s="195"/>
    </row>
    <row r="3427" spans="1:14">
      <c r="A3427" s="207"/>
      <c r="B3427" s="73"/>
      <c r="C3427" s="73"/>
      <c r="D3427" s="74"/>
      <c r="E3427" s="78"/>
      <c r="F3427" s="515" t="s">
        <v>4230</v>
      </c>
      <c r="G3427" s="516"/>
      <c r="H3427" s="214" t="e">
        <f>H3388+G3423+G3424+G3425</f>
        <v>#VALUE!</v>
      </c>
    </row>
    <row r="3428" spans="1:14">
      <c r="A3428" s="73"/>
      <c r="B3428" s="73"/>
      <c r="C3428" s="73"/>
      <c r="D3428" s="74"/>
      <c r="E3428" s="360"/>
      <c r="F3428" s="361"/>
      <c r="G3428" s="361"/>
      <c r="H3428" s="362"/>
    </row>
    <row r="3429" spans="1:14">
      <c r="A3429" s="80"/>
      <c r="B3429" s="80"/>
      <c r="C3429" s="80"/>
      <c r="D3429" s="80"/>
      <c r="E3429" s="80"/>
      <c r="F3429" s="80"/>
      <c r="G3429" s="80"/>
      <c r="H3429" s="353"/>
    </row>
    <row r="3430" spans="1:14">
      <c r="A3430" s="537" t="s">
        <v>4214</v>
      </c>
      <c r="B3430" s="538"/>
      <c r="C3430" s="538"/>
      <c r="D3430" s="538"/>
      <c r="E3430" s="538"/>
      <c r="F3430" s="538"/>
      <c r="G3430" s="538"/>
      <c r="H3430" s="539"/>
    </row>
    <row r="3431" spans="1:14">
      <c r="A3431" s="81"/>
      <c r="B3431" s="82"/>
      <c r="C3431" s="82"/>
      <c r="D3431" s="82"/>
      <c r="E3431" s="82"/>
      <c r="F3431" s="83"/>
      <c r="G3431" s="84"/>
      <c r="H3431" s="352">
        <f>ROUND((30/60)/8,4)</f>
        <v>6.25E-2</v>
      </c>
      <c r="I3431" s="105"/>
    </row>
    <row r="3432" spans="1:14">
      <c r="A3432" s="540" t="s">
        <v>4209</v>
      </c>
      <c r="B3432" s="542" t="str">
        <f>COSTOS!$C$14</f>
        <v>MODERNIZACION A TECNOLOGIA LED</v>
      </c>
      <c r="C3432" s="542"/>
      <c r="D3432" s="542"/>
      <c r="E3432" s="542"/>
      <c r="F3432" s="542"/>
      <c r="G3432" s="542"/>
      <c r="H3432" s="543" t="s">
        <v>4210</v>
      </c>
    </row>
    <row r="3433" spans="1:14">
      <c r="A3433" s="541"/>
      <c r="B3433" s="542"/>
      <c r="C3433" s="542"/>
      <c r="D3433" s="542"/>
      <c r="E3433" s="542"/>
      <c r="F3433" s="542"/>
      <c r="G3433" s="542"/>
      <c r="H3433" s="543"/>
    </row>
    <row r="3434" spans="1:14">
      <c r="A3434" s="541"/>
      <c r="B3434" s="542"/>
      <c r="C3434" s="542"/>
      <c r="D3434" s="542"/>
      <c r="E3434" s="542"/>
      <c r="F3434" s="542"/>
      <c r="G3434" s="542"/>
      <c r="H3434" s="543"/>
    </row>
    <row r="3435" spans="1:14" ht="15" customHeight="1">
      <c r="A3435" s="541"/>
      <c r="B3435" s="542"/>
      <c r="C3435" s="542"/>
      <c r="D3435" s="542"/>
      <c r="E3435" s="542"/>
      <c r="F3435" s="542"/>
      <c r="G3435" s="542"/>
      <c r="H3435" s="197">
        <f ca="1">TODAY()</f>
        <v>44889</v>
      </c>
      <c r="K3435" t="s">
        <v>4380</v>
      </c>
      <c r="L3435" t="s">
        <v>4381</v>
      </c>
      <c r="M3435" t="s">
        <v>4382</v>
      </c>
      <c r="N3435" t="s">
        <v>4383</v>
      </c>
    </row>
    <row r="3436" spans="1:14" ht="60.75" customHeight="1">
      <c r="A3436" s="209" t="s">
        <v>4211</v>
      </c>
      <c r="B3436" s="544" t="str">
        <f>COSTOS!$D$16</f>
        <v>Luminarias</v>
      </c>
      <c r="C3436" s="544"/>
      <c r="D3436" s="544"/>
      <c r="E3436" s="544"/>
      <c r="F3436" s="544"/>
      <c r="G3436" s="60" t="s">
        <v>4212</v>
      </c>
      <c r="H3436" s="363">
        <v>1.68</v>
      </c>
      <c r="K3436" s="55" t="e">
        <f>H3461</f>
        <v>#VALUE!</v>
      </c>
      <c r="L3436" s="55">
        <f>H3471</f>
        <v>20648</v>
      </c>
      <c r="M3436" s="55" t="e">
        <f>H3444</f>
        <v>#VALUE!</v>
      </c>
      <c r="N3436" s="55" t="e">
        <f>H3465</f>
        <v>#VALUE!</v>
      </c>
    </row>
    <row r="3437" spans="1:14" ht="43.2" customHeight="1">
      <c r="A3437" s="210" t="s">
        <v>4213</v>
      </c>
      <c r="B3437" s="545" t="str">
        <f>VLOOKUP(H3436,COSTOS!C:M,2,0)</f>
        <v>Reflector de baja eficia led de 400w</v>
      </c>
      <c r="C3437" s="546"/>
      <c r="D3437" s="546"/>
      <c r="E3437" s="547"/>
      <c r="F3437" s="61" t="s">
        <v>0</v>
      </c>
      <c r="G3437" s="328" t="str">
        <f>VLOOKUP(H3436,COSTOS!C:M,8,0)</f>
        <v>Und</v>
      </c>
      <c r="H3437" s="248"/>
      <c r="I3437" s="278"/>
      <c r="J3437" s="280"/>
      <c r="K3437" s="280"/>
      <c r="L3437" s="280"/>
    </row>
    <row r="3438" spans="1:14">
      <c r="A3438" s="211"/>
      <c r="B3438" s="102"/>
      <c r="C3438" s="102"/>
      <c r="D3438" s="102"/>
      <c r="E3438" s="103"/>
      <c r="F3438" s="104" t="s">
        <v>1</v>
      </c>
      <c r="G3438" s="328">
        <f>VLOOKUP(H3436,COSTOS!C:M,9,0)</f>
        <v>0</v>
      </c>
      <c r="H3438" s="329"/>
      <c r="I3438" s="279"/>
    </row>
    <row r="3439" spans="1:14">
      <c r="A3439" s="212" t="s">
        <v>4215</v>
      </c>
      <c r="B3439" s="65"/>
      <c r="C3439" s="65"/>
      <c r="D3439" s="66"/>
      <c r="E3439" s="190"/>
      <c r="F3439" s="191"/>
      <c r="G3439" s="192" t="s">
        <v>4216</v>
      </c>
      <c r="H3439" s="198" t="e">
        <f>H3444+H3461+H3465+H3471</f>
        <v>#VALUE!</v>
      </c>
    </row>
    <row r="3440" spans="1:14" ht="41.4">
      <c r="A3440" s="548" t="s">
        <v>4213</v>
      </c>
      <c r="B3440" s="548"/>
      <c r="C3440" s="548"/>
      <c r="D3440" s="67" t="s">
        <v>0</v>
      </c>
      <c r="E3440" s="188" t="s">
        <v>4217</v>
      </c>
      <c r="F3440" s="189" t="s">
        <v>4204</v>
      </c>
      <c r="G3440" s="64" t="s">
        <v>2</v>
      </c>
      <c r="H3440" s="199" t="s">
        <v>4218</v>
      </c>
      <c r="K3440" s="281"/>
    </row>
    <row r="3441" spans="1:15">
      <c r="A3441" s="517" t="s">
        <v>3946</v>
      </c>
      <c r="B3441" s="549">
        <f>VLOOKUP(A3441,'Equip, Herr y Transp'!$B$2:$E$738,2,0)</f>
        <v>2</v>
      </c>
      <c r="C3441" s="549"/>
      <c r="D3441" s="85">
        <f>VLOOKUP(A3441,'Equip, Herr y Transp'!$B$2:$E$217,2,0)</f>
        <v>2</v>
      </c>
      <c r="E3441" s="85" t="str">
        <f>VLOOKUP(A3441,'Equip, Herr y Transp'!$B$2:$E$217,3,0)</f>
        <v>EQU</v>
      </c>
      <c r="F3441" s="86">
        <f>H3431</f>
        <v>6.25E-2</v>
      </c>
      <c r="G3441" s="112" t="e">
        <f>F3441*E3441</f>
        <v>#VALUE!</v>
      </c>
      <c r="H3441" s="108"/>
    </row>
    <row r="3442" spans="1:15">
      <c r="A3442" s="517" t="s">
        <v>3904</v>
      </c>
      <c r="B3442" s="549">
        <f>VLOOKUP(A3442,'Equip, Herr y Transp'!$B$2:$E$738,2,0)</f>
        <v>2</v>
      </c>
      <c r="C3442" s="549"/>
      <c r="D3442" s="85">
        <f>VLOOKUP(A3442,'Equip, Herr y Transp'!$B$2:$E$217,2,0)</f>
        <v>2</v>
      </c>
      <c r="E3442" s="85" t="str">
        <f>VLOOKUP(A3442,'Equip, Herr y Transp'!$B$2:$E$217,3,0)</f>
        <v>EQU</v>
      </c>
      <c r="F3442" s="86">
        <f>H3431</f>
        <v>6.25E-2</v>
      </c>
      <c r="G3442" s="112" t="e">
        <f>F3442*E3442</f>
        <v>#VALUE!</v>
      </c>
      <c r="H3442" s="107"/>
    </row>
    <row r="3443" spans="1:15">
      <c r="A3443" s="517" t="s">
        <v>3937</v>
      </c>
      <c r="B3443" s="549">
        <f>VLOOKUP(A3443,'Equip, Herr y Transp'!$B$2:$E$738,2,0)</f>
        <v>2</v>
      </c>
      <c r="C3443" s="549"/>
      <c r="D3443" s="85">
        <f>VLOOKUP(A3443,'Equip, Herr y Transp'!$B$2:$E$217,2,0)</f>
        <v>2</v>
      </c>
      <c r="E3443" s="85" t="str">
        <f>VLOOKUP(A3443,'Equip, Herr y Transp'!$B$2:$E$217,3,0)</f>
        <v>EQU</v>
      </c>
      <c r="F3443" s="86">
        <f>H3431</f>
        <v>6.25E-2</v>
      </c>
      <c r="G3443" s="112" t="e">
        <f>F3443*E3443</f>
        <v>#VALUE!</v>
      </c>
      <c r="H3443" s="107"/>
    </row>
    <row r="3444" spans="1:15">
      <c r="A3444" s="520" t="s">
        <v>4099</v>
      </c>
      <c r="B3444" s="521"/>
      <c r="C3444" s="521"/>
      <c r="D3444" s="521"/>
      <c r="E3444" s="521"/>
      <c r="F3444" s="521"/>
      <c r="G3444" s="521"/>
      <c r="H3444" s="87" t="e">
        <f>SUM(G3441:G3443)</f>
        <v>#VALUE!</v>
      </c>
    </row>
    <row r="3445" spans="1:15">
      <c r="A3445" s="550" t="s">
        <v>4219</v>
      </c>
      <c r="B3445" s="551"/>
      <c r="C3445" s="551"/>
      <c r="D3445" s="551"/>
      <c r="E3445" s="551"/>
      <c r="F3445" s="551"/>
      <c r="G3445" s="551"/>
      <c r="H3445" s="552"/>
      <c r="K3445" s="50"/>
      <c r="L3445" s="50"/>
      <c r="M3445" s="50"/>
      <c r="N3445" s="50"/>
      <c r="O3445" s="50"/>
    </row>
    <row r="3446" spans="1:15" ht="30" customHeight="1">
      <c r="A3446" s="553" t="s">
        <v>7</v>
      </c>
      <c r="B3446" s="554"/>
      <c r="C3446" s="99" t="s">
        <v>0</v>
      </c>
      <c r="D3446" s="100" t="s">
        <v>4097</v>
      </c>
      <c r="E3446" s="101" t="s">
        <v>1</v>
      </c>
      <c r="F3446" s="555" t="s">
        <v>4207</v>
      </c>
      <c r="G3446" s="555"/>
      <c r="H3446" s="196"/>
      <c r="K3446" s="50"/>
      <c r="L3446" s="50"/>
      <c r="M3446" s="50"/>
      <c r="N3446" s="50"/>
      <c r="O3446" s="50"/>
    </row>
    <row r="3447" spans="1:15">
      <c r="A3447" s="535" t="s">
        <v>4778</v>
      </c>
      <c r="B3447" s="536"/>
      <c r="C3447" s="88">
        <f>VLOOKUP(A3447,'Materiales '!$C$2:$G$396,3,0)</f>
        <v>4</v>
      </c>
      <c r="D3447" s="89" t="str">
        <f>VLOOKUP(A3447,'Materiales '!$C$2:$G$396,4,0)</f>
        <v>Und</v>
      </c>
      <c r="E3447" s="90">
        <v>1</v>
      </c>
      <c r="F3447" s="508" t="e">
        <f>E3447*D3447</f>
        <v>#VALUE!</v>
      </c>
      <c r="G3447" s="519"/>
      <c r="H3447" s="111"/>
      <c r="I3447">
        <f>E3447*G3438</f>
        <v>0</v>
      </c>
      <c r="J3447" s="57"/>
      <c r="K3447" s="50"/>
      <c r="L3447" s="50"/>
      <c r="M3447" s="50"/>
      <c r="N3447" s="50"/>
      <c r="O3447" s="50"/>
    </row>
    <row r="3448" spans="1:15">
      <c r="A3448" s="535" t="s">
        <v>4203</v>
      </c>
      <c r="B3448" s="536"/>
      <c r="C3448" s="88">
        <f>VLOOKUP(A3448,'Materiales '!$C$2:$G$396,3,0)</f>
        <v>4</v>
      </c>
      <c r="D3448" s="89" t="str">
        <f>VLOOKUP(A3448,'Materiales '!$C$2:$G$396,4,0)</f>
        <v>Und</v>
      </c>
      <c r="E3448" s="90">
        <v>1</v>
      </c>
      <c r="F3448" s="508" t="e">
        <f t="shared" ref="F3448:F3454" si="202">E3448*D3448</f>
        <v>#VALUE!</v>
      </c>
      <c r="G3448" s="519"/>
      <c r="H3448" s="111"/>
      <c r="I3448">
        <f>E3448*G3438</f>
        <v>0</v>
      </c>
      <c r="J3448" s="57"/>
      <c r="K3448" s="50"/>
      <c r="L3448" s="50"/>
      <c r="M3448" s="50"/>
      <c r="N3448" s="50"/>
      <c r="O3448" s="50"/>
    </row>
    <row r="3449" spans="1:15">
      <c r="A3449" s="517" t="s">
        <v>4473</v>
      </c>
      <c r="B3449" s="518">
        <f>VLOOKUP(A3449,'Materiales '!$C$2:$G$396,3,0)</f>
        <v>4</v>
      </c>
      <c r="C3449" s="88">
        <f>VLOOKUP(A3449,'Materiales '!$C$2:$G$396,3,0)</f>
        <v>4</v>
      </c>
      <c r="D3449" s="89" t="str">
        <f>VLOOKUP(A3449,'Materiales '!$C$2:$G$396,4,0)</f>
        <v>Und</v>
      </c>
      <c r="E3449" s="90">
        <v>2</v>
      </c>
      <c r="F3449" s="508" t="e">
        <f t="shared" si="202"/>
        <v>#VALUE!</v>
      </c>
      <c r="G3449" s="519"/>
      <c r="H3449" s="111"/>
      <c r="I3449">
        <f>E3449*G3438</f>
        <v>0</v>
      </c>
      <c r="J3449" s="58"/>
      <c r="K3449" s="50"/>
      <c r="L3449" s="50"/>
      <c r="M3449" s="50"/>
      <c r="N3449" s="50"/>
      <c r="O3449" s="50"/>
    </row>
    <row r="3450" spans="1:15">
      <c r="A3450" s="517" t="s">
        <v>4478</v>
      </c>
      <c r="B3450" s="518">
        <f>VLOOKUP(A3450,'Materiales '!$C$2:$G$396,3,0)</f>
        <v>4</v>
      </c>
      <c r="C3450" s="88">
        <f>VLOOKUP(A3450,'Materiales '!$C$2:$G$396,3,0)</f>
        <v>4</v>
      </c>
      <c r="D3450" s="89" t="str">
        <f>VLOOKUP(A3450,'Materiales '!$C$2:$G$396,4,0)</f>
        <v>Und</v>
      </c>
      <c r="E3450" s="90">
        <v>3</v>
      </c>
      <c r="F3450" s="508" t="e">
        <f t="shared" si="202"/>
        <v>#VALUE!</v>
      </c>
      <c r="G3450" s="519"/>
      <c r="H3450" s="111"/>
      <c r="I3450">
        <f>E3450*G3438</f>
        <v>0</v>
      </c>
      <c r="J3450" s="58"/>
      <c r="K3450" s="50"/>
      <c r="L3450" s="50"/>
      <c r="M3450" s="50"/>
      <c r="N3450" s="50"/>
      <c r="O3450" s="50"/>
    </row>
    <row r="3451" spans="1:15">
      <c r="A3451" s="517" t="s">
        <v>4543</v>
      </c>
      <c r="B3451" s="518">
        <f>VLOOKUP(A3451,'Materiales '!$C$2:$G$396,3,0)</f>
        <v>4</v>
      </c>
      <c r="C3451" s="88">
        <f>VLOOKUP(A3451,'Materiales '!$C$2:$G$396,3,0)</f>
        <v>4</v>
      </c>
      <c r="D3451" s="89" t="str">
        <f>VLOOKUP(A3451,'Materiales '!$C$2:$G$396,4,0)</f>
        <v>Und</v>
      </c>
      <c r="E3451" s="90">
        <v>2</v>
      </c>
      <c r="F3451" s="508" t="e">
        <f t="shared" si="202"/>
        <v>#VALUE!</v>
      </c>
      <c r="G3451" s="519"/>
      <c r="H3451" s="111"/>
      <c r="I3451">
        <f>E3451*G3438</f>
        <v>0</v>
      </c>
      <c r="J3451" s="58"/>
      <c r="K3451" s="50"/>
      <c r="L3451" s="50"/>
      <c r="M3451" s="50"/>
      <c r="N3451" s="50"/>
      <c r="O3451" s="50"/>
    </row>
    <row r="3452" spans="1:15">
      <c r="A3452" s="517" t="s">
        <v>4439</v>
      </c>
      <c r="B3452" s="518">
        <f>VLOOKUP(A3452,'Materiales '!$C$2:$G$396,3,0)</f>
        <v>2</v>
      </c>
      <c r="C3452" s="88">
        <f>VLOOKUP(A3452,'Materiales '!$C$2:$G$396,3,0)</f>
        <v>2</v>
      </c>
      <c r="D3452" s="89" t="str">
        <f>VLOOKUP(A3452,'Materiales '!$C$2:$G$396,4,0)</f>
        <v>Ml</v>
      </c>
      <c r="E3452" s="90">
        <v>1</v>
      </c>
      <c r="F3452" s="508" t="e">
        <f t="shared" si="202"/>
        <v>#VALUE!</v>
      </c>
      <c r="G3452" s="519"/>
      <c r="H3452" s="111"/>
      <c r="I3452">
        <f>E3452*G3438</f>
        <v>0</v>
      </c>
      <c r="J3452" s="58"/>
      <c r="K3452" s="50"/>
      <c r="L3452" s="50"/>
      <c r="M3452" s="50"/>
      <c r="N3452" s="50"/>
      <c r="O3452" s="50"/>
    </row>
    <row r="3453" spans="1:15">
      <c r="A3453" s="517" t="s">
        <v>4482</v>
      </c>
      <c r="B3453" s="518">
        <f>VLOOKUP(A3453,'Materiales '!$C$2:$G$396,3,0)</f>
        <v>4</v>
      </c>
      <c r="C3453" s="88">
        <f>VLOOKUP(A3453,'Materiales '!$C$2:$G$396,3,0)</f>
        <v>4</v>
      </c>
      <c r="D3453" s="89" t="str">
        <f>VLOOKUP(A3453,'Materiales '!$C$2:$G$396,4,0)</f>
        <v>Und</v>
      </c>
      <c r="E3453" s="90">
        <v>3</v>
      </c>
      <c r="F3453" s="508" t="e">
        <f t="shared" si="202"/>
        <v>#VALUE!</v>
      </c>
      <c r="G3453" s="519"/>
      <c r="H3453" s="111"/>
      <c r="I3453">
        <f>E3453*G3438</f>
        <v>0</v>
      </c>
      <c r="J3453" s="58"/>
      <c r="K3453" s="50"/>
      <c r="L3453" s="50"/>
      <c r="M3453" s="50"/>
      <c r="N3453" s="50"/>
      <c r="O3453" s="50"/>
    </row>
    <row r="3454" spans="1:15" ht="21.75" customHeight="1">
      <c r="A3454" s="517" t="s">
        <v>4487</v>
      </c>
      <c r="B3454" s="518">
        <f>VLOOKUP(A3454,'Materiales '!$C$2:$G$396,3,0)</f>
        <v>4</v>
      </c>
      <c r="C3454" s="88">
        <f>VLOOKUP(A3454,'Materiales '!$C$2:$G$396,3,0)</f>
        <v>4</v>
      </c>
      <c r="D3454" s="89" t="str">
        <f>VLOOKUP(A3454,'Materiales '!$C$2:$G$396,4,0)</f>
        <v>Und</v>
      </c>
      <c r="E3454" s="90">
        <v>0.5</v>
      </c>
      <c r="F3454" s="508" t="e">
        <f t="shared" si="202"/>
        <v>#VALUE!</v>
      </c>
      <c r="G3454" s="519"/>
      <c r="H3454" s="111"/>
      <c r="I3454">
        <f>E3454*G3438</f>
        <v>0</v>
      </c>
      <c r="J3454" s="58"/>
      <c r="K3454" s="50"/>
      <c r="L3454" s="50"/>
      <c r="M3454" s="50"/>
      <c r="N3454" s="50"/>
      <c r="O3454" s="50"/>
    </row>
    <row r="3455" spans="1:15">
      <c r="A3455" s="517" t="s">
        <v>8</v>
      </c>
      <c r="B3455" s="518">
        <f>VLOOKUP(A3455,'Materiales '!$C$2:$G$396,3,0)</f>
        <v>0</v>
      </c>
      <c r="C3455" s="88">
        <f>VLOOKUP(A3455,'Materiales '!$C$2:$G$396,3,0)</f>
        <v>0</v>
      </c>
      <c r="D3455" s="89" t="str">
        <f>VLOOKUP(A3455,'Materiales '!$C$2:$G$396,4,0)</f>
        <v>-</v>
      </c>
      <c r="E3455" s="90"/>
      <c r="F3455" s="508" t="e">
        <f>E3455*D3455</f>
        <v>#VALUE!</v>
      </c>
      <c r="G3455" s="519"/>
      <c r="H3455" s="110"/>
      <c r="I3455">
        <f>E3455*G3438</f>
        <v>0</v>
      </c>
      <c r="J3455" s="58"/>
      <c r="K3455" s="50"/>
      <c r="L3455" s="50"/>
      <c r="M3455" s="50"/>
      <c r="N3455" s="50"/>
      <c r="O3455" s="50"/>
    </row>
    <row r="3456" spans="1:15">
      <c r="A3456" s="517" t="s">
        <v>8</v>
      </c>
      <c r="B3456" s="518">
        <f>VLOOKUP(A3456,'Materiales '!$C$2:$G$396,3,0)</f>
        <v>0</v>
      </c>
      <c r="C3456" s="88">
        <f>VLOOKUP(A3456,'Materiales '!$C$2:$G$396,3,0)</f>
        <v>0</v>
      </c>
      <c r="D3456" s="89" t="str">
        <f>VLOOKUP(A3456,'Materiales '!$C$2:$G$396,4,0)</f>
        <v>-</v>
      </c>
      <c r="E3456" s="90"/>
      <c r="F3456" s="508" t="e">
        <f t="shared" ref="F3456:F3459" si="203">E3456*D3456</f>
        <v>#VALUE!</v>
      </c>
      <c r="G3456" s="519"/>
      <c r="H3456" s="111"/>
      <c r="I3456">
        <f>E3456*G3438</f>
        <v>0</v>
      </c>
      <c r="J3456" s="58"/>
      <c r="K3456" s="50"/>
      <c r="L3456" s="50"/>
      <c r="M3456" s="50"/>
      <c r="N3456" s="50"/>
      <c r="O3456" s="50"/>
    </row>
    <row r="3457" spans="1:15">
      <c r="A3457" s="517" t="s">
        <v>8</v>
      </c>
      <c r="B3457" s="518">
        <f>VLOOKUP(A3457,'Materiales '!$C$2:$G$396,3,0)</f>
        <v>0</v>
      </c>
      <c r="C3457" s="88">
        <f>VLOOKUP(A3457,'Materiales '!$C$2:$G$396,3,0)</f>
        <v>0</v>
      </c>
      <c r="D3457" s="89" t="str">
        <f>VLOOKUP(A3457,'Materiales '!$C$2:$G$396,4,0)</f>
        <v>-</v>
      </c>
      <c r="E3457" s="90"/>
      <c r="F3457" s="508" t="e">
        <f t="shared" si="203"/>
        <v>#VALUE!</v>
      </c>
      <c r="G3457" s="519"/>
      <c r="H3457" s="111"/>
      <c r="I3457">
        <f>E3457*G3438</f>
        <v>0</v>
      </c>
      <c r="J3457" s="58"/>
      <c r="K3457" s="50"/>
      <c r="L3457" s="50"/>
      <c r="M3457" s="50"/>
      <c r="N3457" s="50"/>
      <c r="O3457" s="50"/>
    </row>
    <row r="3458" spans="1:15">
      <c r="A3458" s="517" t="s">
        <v>8</v>
      </c>
      <c r="B3458" s="518">
        <f>VLOOKUP(A3458,'Materiales '!$C$2:$G$396,3,0)</f>
        <v>0</v>
      </c>
      <c r="C3458" s="88">
        <f>VLOOKUP(A3458,'Materiales '!$C$2:$G$396,3,0)</f>
        <v>0</v>
      </c>
      <c r="D3458" s="89" t="str">
        <f>VLOOKUP(A3458,'Materiales '!$C$2:$G$396,4,0)</f>
        <v>-</v>
      </c>
      <c r="E3458" s="90"/>
      <c r="F3458" s="508" t="e">
        <f t="shared" si="203"/>
        <v>#VALUE!</v>
      </c>
      <c r="G3458" s="519"/>
      <c r="H3458" s="111"/>
      <c r="I3458">
        <f>E3458*G3438</f>
        <v>0</v>
      </c>
      <c r="J3458" s="58"/>
      <c r="K3458" s="50"/>
      <c r="L3458" s="50"/>
      <c r="M3458" s="50"/>
      <c r="N3458" s="50"/>
      <c r="O3458" s="50"/>
    </row>
    <row r="3459" spans="1:15">
      <c r="A3459" s="517" t="s">
        <v>8</v>
      </c>
      <c r="B3459" s="518">
        <f>VLOOKUP(A3459,'Materiales '!$C$2:$G$396,3,0)</f>
        <v>0</v>
      </c>
      <c r="C3459" s="88">
        <f>VLOOKUP(A3459,'Materiales '!$C$2:$G$396,3,0)</f>
        <v>0</v>
      </c>
      <c r="D3459" s="89" t="str">
        <f>VLOOKUP(A3459,'Materiales '!$C$2:$G$396,4,0)</f>
        <v>-</v>
      </c>
      <c r="E3459" s="90"/>
      <c r="F3459" s="508" t="e">
        <f t="shared" si="203"/>
        <v>#VALUE!</v>
      </c>
      <c r="G3459" s="519"/>
      <c r="H3459" s="111"/>
      <c r="I3459">
        <f>E3459*G3438</f>
        <v>0</v>
      </c>
      <c r="J3459" s="58"/>
      <c r="K3459" s="50"/>
      <c r="L3459" s="50"/>
      <c r="M3459" s="50"/>
      <c r="N3459" s="50"/>
      <c r="O3459" s="50"/>
    </row>
    <row r="3460" spans="1:15">
      <c r="A3460" s="517" t="s">
        <v>8</v>
      </c>
      <c r="B3460" s="518">
        <f>VLOOKUP(A3460,'Materiales '!$C$2:$G$396,3,0)</f>
        <v>0</v>
      </c>
      <c r="C3460" s="88">
        <f>VLOOKUP(A3460,'Materiales '!$C$2:$G$396,3,0)</f>
        <v>0</v>
      </c>
      <c r="D3460" s="89" t="str">
        <f>VLOOKUP(A3460,'Materiales '!$C$2:$G$396,4,0)</f>
        <v>-</v>
      </c>
      <c r="E3460" s="90"/>
      <c r="F3460" s="508" t="e">
        <f>E3460*D3460</f>
        <v>#VALUE!</v>
      </c>
      <c r="G3460" s="519"/>
      <c r="H3460" s="110"/>
      <c r="I3460">
        <f>E3460*G3438</f>
        <v>0</v>
      </c>
      <c r="J3460" s="58"/>
      <c r="K3460" s="50"/>
      <c r="L3460" s="50"/>
      <c r="M3460" s="50"/>
      <c r="N3460" s="50"/>
      <c r="O3460" s="50"/>
    </row>
    <row r="3461" spans="1:15">
      <c r="A3461" s="520" t="s">
        <v>4098</v>
      </c>
      <c r="B3461" s="521"/>
      <c r="C3461" s="521"/>
      <c r="D3461" s="521"/>
      <c r="E3461" s="521"/>
      <c r="F3461" s="521"/>
      <c r="G3461" s="522"/>
      <c r="H3461" s="106" t="e">
        <f>SUM(F3447:F3460)</f>
        <v>#VALUE!</v>
      </c>
      <c r="J3461" s="58"/>
      <c r="K3461" s="50"/>
      <c r="L3461" s="50"/>
      <c r="M3461" s="50"/>
      <c r="N3461" s="50"/>
      <c r="O3461" s="50"/>
    </row>
    <row r="3462" spans="1:15">
      <c r="A3462" s="523" t="s">
        <v>4220</v>
      </c>
      <c r="B3462" s="524"/>
      <c r="C3462" s="524"/>
      <c r="D3462" s="524"/>
      <c r="E3462" s="525"/>
      <c r="F3462" s="524"/>
      <c r="G3462" s="524"/>
      <c r="H3462" s="526"/>
      <c r="J3462" s="58"/>
      <c r="K3462" s="50"/>
      <c r="L3462" s="50"/>
      <c r="M3462" s="50"/>
      <c r="N3462" s="50"/>
      <c r="O3462" s="50"/>
    </row>
    <row r="3463" spans="1:15">
      <c r="A3463" s="527" t="s">
        <v>7</v>
      </c>
      <c r="B3463" s="528"/>
      <c r="C3463" s="98" t="s">
        <v>4221</v>
      </c>
      <c r="D3463" s="97" t="s">
        <v>4222</v>
      </c>
      <c r="E3463" s="187" t="s">
        <v>4223</v>
      </c>
      <c r="F3463" s="529" t="s">
        <v>4207</v>
      </c>
      <c r="G3463" s="529"/>
      <c r="H3463" s="109"/>
      <c r="K3463" s="50"/>
      <c r="L3463" s="50"/>
      <c r="M3463" s="50"/>
      <c r="N3463" s="50"/>
      <c r="O3463" s="50"/>
    </row>
    <row r="3464" spans="1:15">
      <c r="A3464" s="506" t="s">
        <v>3928</v>
      </c>
      <c r="B3464" s="507"/>
      <c r="C3464" s="213">
        <v>1</v>
      </c>
      <c r="D3464" s="92">
        <v>0.03</v>
      </c>
      <c r="E3464" s="93" t="str">
        <f>VLOOKUP(A3464,'Equip, Herr y Transp'!$B$2:$E$217,3,0)</f>
        <v>TR</v>
      </c>
      <c r="F3464" s="530" t="e">
        <f>E3464*D3464*C3464</f>
        <v>#VALUE!</v>
      </c>
      <c r="G3464" s="531"/>
      <c r="H3464" s="107"/>
      <c r="M3464" s="50"/>
    </row>
    <row r="3465" spans="1:15">
      <c r="A3465" s="532" t="s">
        <v>4205</v>
      </c>
      <c r="B3465" s="533"/>
      <c r="C3465" s="533"/>
      <c r="D3465" s="533"/>
      <c r="E3465" s="533"/>
      <c r="F3465" s="533"/>
      <c r="G3465" s="533"/>
      <c r="H3465" s="95" t="e">
        <f>F3464</f>
        <v>#VALUE!</v>
      </c>
    </row>
    <row r="3466" spans="1:15">
      <c r="A3466" s="523" t="s">
        <v>4224</v>
      </c>
      <c r="B3466" s="524"/>
      <c r="C3466" s="524"/>
      <c r="D3466" s="524"/>
      <c r="E3466" s="524"/>
      <c r="F3466" s="524"/>
      <c r="G3466" s="524"/>
      <c r="H3466" s="526"/>
    </row>
    <row r="3467" spans="1:15">
      <c r="A3467" s="527" t="s">
        <v>7</v>
      </c>
      <c r="B3467" s="528"/>
      <c r="C3467" s="96" t="s">
        <v>1</v>
      </c>
      <c r="D3467" s="97" t="s">
        <v>4225</v>
      </c>
      <c r="E3467" s="98" t="s">
        <v>4204</v>
      </c>
      <c r="F3467" s="527" t="s">
        <v>5</v>
      </c>
      <c r="G3467" s="534"/>
      <c r="H3467" s="109"/>
    </row>
    <row r="3468" spans="1:15">
      <c r="A3468" s="506" t="s">
        <v>4191</v>
      </c>
      <c r="B3468" s="507"/>
      <c r="C3468" s="91">
        <v>1</v>
      </c>
      <c r="D3468" s="94">
        <f>VLOOKUP(A3468,'Mano Obra'!$B$2:$T$117,19,0)</f>
        <v>152456</v>
      </c>
      <c r="E3468" s="218">
        <f>H3431</f>
        <v>6.25E-2</v>
      </c>
      <c r="F3468" s="508">
        <f>E3468*D3468*C3468</f>
        <v>9528.5</v>
      </c>
      <c r="G3468" s="509"/>
      <c r="H3468" s="111"/>
      <c r="I3468" s="59"/>
      <c r="J3468" s="117">
        <f>((('Mano Obra'!$M$4/30)*F3468)/D3468)*G3438</f>
        <v>0</v>
      </c>
    </row>
    <row r="3469" spans="1:15">
      <c r="A3469" s="510" t="s">
        <v>4192</v>
      </c>
      <c r="B3469" s="511">
        <f>VLOOKUP(A3469,'Mano Obra'!$B$3:$D$290,2,0)</f>
        <v>1900000</v>
      </c>
      <c r="C3469" s="91">
        <v>1</v>
      </c>
      <c r="D3469" s="94">
        <f>VLOOKUP(A3469,'Mano Obra'!$B$2:$T$117,19,0)</f>
        <v>110488</v>
      </c>
      <c r="E3469" s="218">
        <f>H3431</f>
        <v>6.25E-2</v>
      </c>
      <c r="F3469" s="508">
        <f t="shared" ref="F3469:F3470" si="204">E3469*D3469*C3469</f>
        <v>6905.5</v>
      </c>
      <c r="G3469" s="509"/>
      <c r="H3469" s="111"/>
      <c r="J3469" s="117">
        <f>((('Mano Obra'!$M$5/30)*F3469)/D3469)*G3438</f>
        <v>0</v>
      </c>
    </row>
    <row r="3470" spans="1:15">
      <c r="A3470" s="510" t="s">
        <v>4181</v>
      </c>
      <c r="B3470" s="511">
        <f>VLOOKUP(A3470,'Mano Obra'!$B$3:$D$290,2,0)</f>
        <v>1000000</v>
      </c>
      <c r="C3470" s="91">
        <v>1</v>
      </c>
      <c r="D3470" s="94">
        <f>VLOOKUP(A3470,'Mano Obra'!$B$2:$T$117,19,0)</f>
        <v>67424</v>
      </c>
      <c r="E3470" s="218">
        <f>H3431</f>
        <v>6.25E-2</v>
      </c>
      <c r="F3470" s="508">
        <f t="shared" si="204"/>
        <v>4214</v>
      </c>
      <c r="G3470" s="509"/>
      <c r="H3470" s="110"/>
      <c r="J3470" s="117">
        <f>((('Mano Obra'!$M$6/30)*F3470)/D3470)*G3438</f>
        <v>0</v>
      </c>
    </row>
    <row r="3471" spans="1:15">
      <c r="A3471" s="512" t="s">
        <v>4100</v>
      </c>
      <c r="B3471" s="512"/>
      <c r="C3471" s="512"/>
      <c r="D3471" s="512"/>
      <c r="E3471" s="512"/>
      <c r="F3471" s="512"/>
      <c r="G3471" s="512"/>
      <c r="H3471" s="95">
        <f>SUM(F3468:F3470)</f>
        <v>20648</v>
      </c>
      <c r="J3471" s="117"/>
    </row>
    <row r="3472" spans="1:15">
      <c r="A3472" s="208" t="s">
        <v>4226</v>
      </c>
      <c r="B3472" s="186"/>
      <c r="C3472" s="186"/>
      <c r="D3472" s="183"/>
      <c r="E3472" s="184"/>
      <c r="F3472" s="185"/>
      <c r="G3472" s="184"/>
      <c r="H3472" s="193"/>
    </row>
    <row r="3473" spans="1:14">
      <c r="A3473" s="513" t="s">
        <v>4213</v>
      </c>
      <c r="B3473" s="514"/>
      <c r="C3473" s="514"/>
      <c r="D3473" s="514"/>
      <c r="E3473" s="181"/>
      <c r="F3473" s="182" t="s">
        <v>4227</v>
      </c>
      <c r="G3473" s="181" t="s">
        <v>4228</v>
      </c>
      <c r="H3473" s="194"/>
    </row>
    <row r="3474" spans="1:14">
      <c r="A3474" s="204" t="s">
        <v>4096</v>
      </c>
      <c r="B3474" s="62"/>
      <c r="C3474" s="62"/>
      <c r="D3474" s="63"/>
      <c r="E3474" s="68"/>
      <c r="F3474" s="69">
        <v>0</v>
      </c>
      <c r="G3474" s="70" t="e">
        <f>F3474*H3439</f>
        <v>#VALUE!</v>
      </c>
      <c r="H3474" s="193"/>
    </row>
    <row r="3475" spans="1:14">
      <c r="A3475" s="205" t="s">
        <v>4229</v>
      </c>
      <c r="B3475" s="71"/>
      <c r="C3475" s="71"/>
      <c r="D3475" s="72"/>
      <c r="E3475" s="68"/>
      <c r="F3475" s="69">
        <v>0</v>
      </c>
      <c r="G3475" s="70" t="e">
        <f>F3475*H3439</f>
        <v>#VALUE!</v>
      </c>
      <c r="H3475" s="193"/>
    </row>
    <row r="3476" spans="1:14">
      <c r="A3476" s="205" t="s">
        <v>4</v>
      </c>
      <c r="B3476" s="71"/>
      <c r="C3476" s="71"/>
      <c r="D3476" s="72"/>
      <c r="E3476" s="68"/>
      <c r="F3476" s="69">
        <v>0</v>
      </c>
      <c r="G3476" s="70" t="e">
        <f>F3476*H3439</f>
        <v>#VALUE!</v>
      </c>
      <c r="H3476" s="193"/>
    </row>
    <row r="3477" spans="1:14">
      <c r="A3477" s="206"/>
      <c r="B3477" s="73"/>
      <c r="C3477" s="65"/>
      <c r="D3477" s="74"/>
      <c r="E3477" s="75"/>
      <c r="F3477" s="76"/>
      <c r="G3477" s="77"/>
      <c r="H3477" s="195"/>
    </row>
    <row r="3478" spans="1:14">
      <c r="A3478" s="207"/>
      <c r="B3478" s="73"/>
      <c r="C3478" s="73"/>
      <c r="D3478" s="74"/>
      <c r="E3478" s="78"/>
      <c r="F3478" s="515" t="s">
        <v>4230</v>
      </c>
      <c r="G3478" s="516"/>
      <c r="H3478" s="214" t="e">
        <f>H3439+G3474+G3475+G3476</f>
        <v>#VALUE!</v>
      </c>
    </row>
    <row r="3479" spans="1:14">
      <c r="A3479" s="73"/>
      <c r="B3479" s="73"/>
      <c r="C3479" s="73"/>
      <c r="D3479" s="74"/>
      <c r="E3479" s="360"/>
      <c r="F3479" s="361"/>
      <c r="G3479" s="361"/>
      <c r="H3479" s="362"/>
    </row>
    <row r="3480" spans="1:14">
      <c r="A3480" s="80"/>
      <c r="B3480" s="80"/>
      <c r="C3480" s="80"/>
      <c r="D3480" s="80"/>
      <c r="E3480" s="80"/>
      <c r="F3480" s="80"/>
      <c r="G3480" s="80"/>
      <c r="H3480" s="353"/>
    </row>
    <row r="3481" spans="1:14">
      <c r="A3481" s="537" t="s">
        <v>4214</v>
      </c>
      <c r="B3481" s="538"/>
      <c r="C3481" s="538"/>
      <c r="D3481" s="538"/>
      <c r="E3481" s="538"/>
      <c r="F3481" s="538"/>
      <c r="G3481" s="538"/>
      <c r="H3481" s="539"/>
    </row>
    <row r="3482" spans="1:14">
      <c r="A3482" s="81"/>
      <c r="B3482" s="82"/>
      <c r="C3482" s="82"/>
      <c r="D3482" s="82"/>
      <c r="E3482" s="82"/>
      <c r="F3482" s="83"/>
      <c r="G3482" s="84"/>
      <c r="H3482" s="352">
        <f>ROUND((30/60)/8,4)</f>
        <v>6.25E-2</v>
      </c>
      <c r="I3482" s="105"/>
    </row>
    <row r="3483" spans="1:14">
      <c r="A3483" s="540" t="s">
        <v>4209</v>
      </c>
      <c r="B3483" s="542" t="str">
        <f>COSTOS!$C$14</f>
        <v>MODERNIZACION A TECNOLOGIA LED</v>
      </c>
      <c r="C3483" s="542"/>
      <c r="D3483" s="542"/>
      <c r="E3483" s="542"/>
      <c r="F3483" s="542"/>
      <c r="G3483" s="542"/>
      <c r="H3483" s="543" t="s">
        <v>4210</v>
      </c>
    </row>
    <row r="3484" spans="1:14">
      <c r="A3484" s="541"/>
      <c r="B3484" s="542"/>
      <c r="C3484" s="542"/>
      <c r="D3484" s="542"/>
      <c r="E3484" s="542"/>
      <c r="F3484" s="542"/>
      <c r="G3484" s="542"/>
      <c r="H3484" s="543"/>
    </row>
    <row r="3485" spans="1:14">
      <c r="A3485" s="541"/>
      <c r="B3485" s="542"/>
      <c r="C3485" s="542"/>
      <c r="D3485" s="542"/>
      <c r="E3485" s="542"/>
      <c r="F3485" s="542"/>
      <c r="G3485" s="542"/>
      <c r="H3485" s="543"/>
    </row>
    <row r="3486" spans="1:14" ht="15" customHeight="1">
      <c r="A3486" s="541"/>
      <c r="B3486" s="542"/>
      <c r="C3486" s="542"/>
      <c r="D3486" s="542"/>
      <c r="E3486" s="542"/>
      <c r="F3486" s="542"/>
      <c r="G3486" s="542"/>
      <c r="H3486" s="197">
        <f ca="1">TODAY()</f>
        <v>44889</v>
      </c>
      <c r="K3486" t="s">
        <v>4380</v>
      </c>
      <c r="L3486" t="s">
        <v>4381</v>
      </c>
      <c r="M3486" t="s">
        <v>4382</v>
      </c>
      <c r="N3486" t="s">
        <v>4383</v>
      </c>
    </row>
    <row r="3487" spans="1:14" ht="60.75" customHeight="1">
      <c r="A3487" s="209" t="s">
        <v>4211</v>
      </c>
      <c r="B3487" s="544" t="str">
        <f>COSTOS!$D$16</f>
        <v>Luminarias</v>
      </c>
      <c r="C3487" s="544"/>
      <c r="D3487" s="544"/>
      <c r="E3487" s="544"/>
      <c r="F3487" s="544"/>
      <c r="G3487" s="60" t="s">
        <v>4212</v>
      </c>
      <c r="H3487" s="363">
        <v>1.69</v>
      </c>
      <c r="K3487" s="55" t="e">
        <f>H3512</f>
        <v>#VALUE!</v>
      </c>
      <c r="L3487" s="55">
        <f>H3522</f>
        <v>20648</v>
      </c>
      <c r="M3487" s="55" t="e">
        <f>H3495</f>
        <v>#VALUE!</v>
      </c>
      <c r="N3487" s="55" t="e">
        <f>H3516</f>
        <v>#VALUE!</v>
      </c>
    </row>
    <row r="3488" spans="1:14" ht="43.2" customHeight="1">
      <c r="A3488" s="210" t="s">
        <v>4213</v>
      </c>
      <c r="B3488" s="545" t="str">
        <f>VLOOKUP(H3487,COSTOS!C:M,2,0)</f>
        <v>Luminaria Metal Halide 250w</v>
      </c>
      <c r="C3488" s="546"/>
      <c r="D3488" s="546"/>
      <c r="E3488" s="547"/>
      <c r="F3488" s="61" t="s">
        <v>0</v>
      </c>
      <c r="G3488" s="328" t="str">
        <f>VLOOKUP(H3487,COSTOS!C:M,8,0)</f>
        <v>Und</v>
      </c>
      <c r="H3488" s="248"/>
      <c r="I3488" s="278"/>
      <c r="J3488" s="280"/>
      <c r="K3488" s="280"/>
      <c r="L3488" s="280"/>
    </row>
    <row r="3489" spans="1:15">
      <c r="A3489" s="211"/>
      <c r="B3489" s="102"/>
      <c r="C3489" s="102"/>
      <c r="D3489" s="102"/>
      <c r="E3489" s="103"/>
      <c r="F3489" s="104" t="s">
        <v>1</v>
      </c>
      <c r="G3489" s="328">
        <f>VLOOKUP(H3487,COSTOS!C:M,9,0)</f>
        <v>0</v>
      </c>
      <c r="H3489" s="329"/>
      <c r="I3489" s="279"/>
    </row>
    <row r="3490" spans="1:15">
      <c r="A3490" s="212" t="s">
        <v>4215</v>
      </c>
      <c r="B3490" s="65"/>
      <c r="C3490" s="65"/>
      <c r="D3490" s="66"/>
      <c r="E3490" s="190"/>
      <c r="F3490" s="191"/>
      <c r="G3490" s="192" t="s">
        <v>4216</v>
      </c>
      <c r="H3490" s="198" t="e">
        <f>H3495+H3512+H3516+H3522</f>
        <v>#VALUE!</v>
      </c>
    </row>
    <row r="3491" spans="1:15" ht="41.4">
      <c r="A3491" s="548" t="s">
        <v>4213</v>
      </c>
      <c r="B3491" s="548"/>
      <c r="C3491" s="548"/>
      <c r="D3491" s="67" t="s">
        <v>0</v>
      </c>
      <c r="E3491" s="188" t="s">
        <v>4217</v>
      </c>
      <c r="F3491" s="189" t="s">
        <v>4204</v>
      </c>
      <c r="G3491" s="64" t="s">
        <v>2</v>
      </c>
      <c r="H3491" s="199" t="s">
        <v>4218</v>
      </c>
      <c r="K3491" s="281"/>
    </row>
    <row r="3492" spans="1:15">
      <c r="A3492" s="517" t="s">
        <v>3946</v>
      </c>
      <c r="B3492" s="549">
        <f>VLOOKUP(A3492,'Equip, Herr y Transp'!$B$2:$E$738,2,0)</f>
        <v>2</v>
      </c>
      <c r="C3492" s="549"/>
      <c r="D3492" s="85">
        <f>VLOOKUP(A3492,'Equip, Herr y Transp'!$B$2:$E$217,2,0)</f>
        <v>2</v>
      </c>
      <c r="E3492" s="85" t="str">
        <f>VLOOKUP(A3492,'Equip, Herr y Transp'!$B$2:$E$217,3,0)</f>
        <v>EQU</v>
      </c>
      <c r="F3492" s="86">
        <f>H3482</f>
        <v>6.25E-2</v>
      </c>
      <c r="G3492" s="112" t="e">
        <f>F3492*E3492</f>
        <v>#VALUE!</v>
      </c>
      <c r="H3492" s="108"/>
    </row>
    <row r="3493" spans="1:15">
      <c r="A3493" s="517" t="s">
        <v>3904</v>
      </c>
      <c r="B3493" s="549">
        <f>VLOOKUP(A3493,'Equip, Herr y Transp'!$B$2:$E$738,2,0)</f>
        <v>2</v>
      </c>
      <c r="C3493" s="549"/>
      <c r="D3493" s="85">
        <f>VLOOKUP(A3493,'Equip, Herr y Transp'!$B$2:$E$217,2,0)</f>
        <v>2</v>
      </c>
      <c r="E3493" s="85" t="str">
        <f>VLOOKUP(A3493,'Equip, Herr y Transp'!$B$2:$E$217,3,0)</f>
        <v>EQU</v>
      </c>
      <c r="F3493" s="86">
        <f>H3482</f>
        <v>6.25E-2</v>
      </c>
      <c r="G3493" s="112" t="e">
        <f>F3493*E3493</f>
        <v>#VALUE!</v>
      </c>
      <c r="H3493" s="107"/>
    </row>
    <row r="3494" spans="1:15">
      <c r="A3494" s="517" t="s">
        <v>3937</v>
      </c>
      <c r="B3494" s="549">
        <f>VLOOKUP(A3494,'Equip, Herr y Transp'!$B$2:$E$738,2,0)</f>
        <v>2</v>
      </c>
      <c r="C3494" s="549"/>
      <c r="D3494" s="85">
        <f>VLOOKUP(A3494,'Equip, Herr y Transp'!$B$2:$E$217,2,0)</f>
        <v>2</v>
      </c>
      <c r="E3494" s="85" t="str">
        <f>VLOOKUP(A3494,'Equip, Herr y Transp'!$B$2:$E$217,3,0)</f>
        <v>EQU</v>
      </c>
      <c r="F3494" s="86">
        <f>H3482</f>
        <v>6.25E-2</v>
      </c>
      <c r="G3494" s="112" t="e">
        <f>F3494*E3494</f>
        <v>#VALUE!</v>
      </c>
      <c r="H3494" s="107"/>
    </row>
    <row r="3495" spans="1:15">
      <c r="A3495" s="520" t="s">
        <v>4099</v>
      </c>
      <c r="B3495" s="521"/>
      <c r="C3495" s="521"/>
      <c r="D3495" s="521"/>
      <c r="E3495" s="521"/>
      <c r="F3495" s="521"/>
      <c r="G3495" s="521"/>
      <c r="H3495" s="87" t="e">
        <f>SUM(G3492:G3494)</f>
        <v>#VALUE!</v>
      </c>
    </row>
    <row r="3496" spans="1:15">
      <c r="A3496" s="550" t="s">
        <v>4219</v>
      </c>
      <c r="B3496" s="551"/>
      <c r="C3496" s="551"/>
      <c r="D3496" s="551"/>
      <c r="E3496" s="551"/>
      <c r="F3496" s="551"/>
      <c r="G3496" s="551"/>
      <c r="H3496" s="552"/>
      <c r="K3496" s="50"/>
      <c r="L3496" s="50"/>
      <c r="M3496" s="50"/>
      <c r="N3496" s="50"/>
      <c r="O3496" s="50"/>
    </row>
    <row r="3497" spans="1:15" ht="30" customHeight="1">
      <c r="A3497" s="553" t="s">
        <v>7</v>
      </c>
      <c r="B3497" s="554"/>
      <c r="C3497" s="99" t="s">
        <v>0</v>
      </c>
      <c r="D3497" s="100" t="s">
        <v>4097</v>
      </c>
      <c r="E3497" s="101" t="s">
        <v>1</v>
      </c>
      <c r="F3497" s="555" t="s">
        <v>4207</v>
      </c>
      <c r="G3497" s="555"/>
      <c r="H3497" s="196"/>
      <c r="K3497" s="50"/>
      <c r="L3497" s="50"/>
      <c r="M3497" s="50"/>
      <c r="N3497" s="50"/>
      <c r="O3497" s="50"/>
    </row>
    <row r="3498" spans="1:15">
      <c r="A3498" s="535" t="s">
        <v>4785</v>
      </c>
      <c r="B3498" s="536"/>
      <c r="C3498" s="88">
        <f>VLOOKUP(A3498,'Materiales '!$C$2:$G$396,3,0)</f>
        <v>4</v>
      </c>
      <c r="D3498" s="89" t="str">
        <f>VLOOKUP(A3498,'Materiales '!$C$2:$G$396,4,0)</f>
        <v>Und</v>
      </c>
      <c r="E3498" s="90">
        <v>1</v>
      </c>
      <c r="F3498" s="508" t="e">
        <f>E3498*D3498</f>
        <v>#VALUE!</v>
      </c>
      <c r="G3498" s="519"/>
      <c r="H3498" s="111"/>
      <c r="I3498">
        <f>E3498*G3489</f>
        <v>0</v>
      </c>
      <c r="J3498" s="57"/>
      <c r="K3498" s="50"/>
      <c r="L3498" s="50"/>
      <c r="M3498" s="50"/>
      <c r="N3498" s="50"/>
      <c r="O3498" s="50"/>
    </row>
    <row r="3499" spans="1:15">
      <c r="A3499" s="535" t="s">
        <v>4203</v>
      </c>
      <c r="B3499" s="536"/>
      <c r="C3499" s="88">
        <f>VLOOKUP(A3499,'Materiales '!$C$2:$G$396,3,0)</f>
        <v>4</v>
      </c>
      <c r="D3499" s="89" t="str">
        <f>VLOOKUP(A3499,'Materiales '!$C$2:$G$396,4,0)</f>
        <v>Und</v>
      </c>
      <c r="E3499" s="90">
        <v>1</v>
      </c>
      <c r="F3499" s="508" t="e">
        <f t="shared" ref="F3499:F3505" si="205">E3499*D3499</f>
        <v>#VALUE!</v>
      </c>
      <c r="G3499" s="519"/>
      <c r="H3499" s="111"/>
      <c r="I3499">
        <f>E3499*G3489</f>
        <v>0</v>
      </c>
      <c r="J3499" s="57"/>
      <c r="K3499" s="50"/>
      <c r="L3499" s="50"/>
      <c r="M3499" s="50"/>
      <c r="N3499" s="50"/>
      <c r="O3499" s="50"/>
    </row>
    <row r="3500" spans="1:15">
      <c r="A3500" s="517" t="s">
        <v>4468</v>
      </c>
      <c r="B3500" s="518">
        <f>VLOOKUP(A3500,'Materiales '!$C$2:$G$396,3,0)</f>
        <v>4</v>
      </c>
      <c r="C3500" s="88">
        <f>VLOOKUP(A3500,'Materiales '!$C$2:$G$396,3,0)</f>
        <v>4</v>
      </c>
      <c r="D3500" s="89" t="str">
        <f>VLOOKUP(A3500,'Materiales '!$C$2:$G$396,4,0)</f>
        <v>Und</v>
      </c>
      <c r="E3500" s="90">
        <v>1.5</v>
      </c>
      <c r="F3500" s="508" t="e">
        <f t="shared" si="205"/>
        <v>#VALUE!</v>
      </c>
      <c r="G3500" s="519"/>
      <c r="H3500" s="111"/>
      <c r="I3500">
        <f>E3500*G3489</f>
        <v>0</v>
      </c>
      <c r="J3500" s="58"/>
      <c r="K3500" s="50"/>
      <c r="L3500" s="50"/>
      <c r="M3500" s="50"/>
      <c r="N3500" s="50"/>
      <c r="O3500" s="50"/>
    </row>
    <row r="3501" spans="1:15">
      <c r="A3501" s="517" t="s">
        <v>4478</v>
      </c>
      <c r="B3501" s="518">
        <f>VLOOKUP(A3501,'Materiales '!$C$2:$G$396,3,0)</f>
        <v>4</v>
      </c>
      <c r="C3501" s="88">
        <f>VLOOKUP(A3501,'Materiales '!$C$2:$G$396,3,0)</f>
        <v>4</v>
      </c>
      <c r="D3501" s="89" t="str">
        <f>VLOOKUP(A3501,'Materiales '!$C$2:$G$396,4,0)</f>
        <v>Und</v>
      </c>
      <c r="E3501" s="90">
        <v>3</v>
      </c>
      <c r="F3501" s="508" t="e">
        <f t="shared" si="205"/>
        <v>#VALUE!</v>
      </c>
      <c r="G3501" s="519"/>
      <c r="H3501" s="111"/>
      <c r="I3501">
        <f>E3501*G3489</f>
        <v>0</v>
      </c>
      <c r="J3501" s="58"/>
      <c r="K3501" s="50"/>
      <c r="L3501" s="50"/>
      <c r="M3501" s="50"/>
      <c r="N3501" s="50"/>
      <c r="O3501" s="50"/>
    </row>
    <row r="3502" spans="1:15">
      <c r="A3502" s="517" t="s">
        <v>4543</v>
      </c>
      <c r="B3502" s="518">
        <f>VLOOKUP(A3502,'Materiales '!$C$2:$G$396,3,0)</f>
        <v>4</v>
      </c>
      <c r="C3502" s="88">
        <f>VLOOKUP(A3502,'Materiales '!$C$2:$G$396,3,0)</f>
        <v>4</v>
      </c>
      <c r="D3502" s="89" t="str">
        <f>VLOOKUP(A3502,'Materiales '!$C$2:$G$396,4,0)</f>
        <v>Und</v>
      </c>
      <c r="E3502" s="90">
        <v>1</v>
      </c>
      <c r="F3502" s="508" t="e">
        <f t="shared" si="205"/>
        <v>#VALUE!</v>
      </c>
      <c r="G3502" s="519"/>
      <c r="H3502" s="111"/>
      <c r="I3502">
        <f>E3502*G3489</f>
        <v>0</v>
      </c>
      <c r="J3502" s="58"/>
      <c r="K3502" s="50"/>
      <c r="L3502" s="50"/>
      <c r="M3502" s="50"/>
      <c r="N3502" s="50"/>
      <c r="O3502" s="50"/>
    </row>
    <row r="3503" spans="1:15">
      <c r="A3503" s="517" t="s">
        <v>4439</v>
      </c>
      <c r="B3503" s="518">
        <f>VLOOKUP(A3503,'Materiales '!$C$2:$G$396,3,0)</f>
        <v>2</v>
      </c>
      <c r="C3503" s="88">
        <f>VLOOKUP(A3503,'Materiales '!$C$2:$G$396,3,0)</f>
        <v>2</v>
      </c>
      <c r="D3503" s="89" t="str">
        <f>VLOOKUP(A3503,'Materiales '!$C$2:$G$396,4,0)</f>
        <v>Ml</v>
      </c>
      <c r="E3503" s="90">
        <v>1</v>
      </c>
      <c r="F3503" s="508" t="e">
        <f t="shared" si="205"/>
        <v>#VALUE!</v>
      </c>
      <c r="G3503" s="519"/>
      <c r="H3503" s="111"/>
      <c r="I3503">
        <f>E3503*G3489</f>
        <v>0</v>
      </c>
      <c r="J3503" s="58"/>
      <c r="K3503" s="50"/>
      <c r="L3503" s="50"/>
      <c r="M3503" s="50"/>
      <c r="N3503" s="50"/>
      <c r="O3503" s="50"/>
    </row>
    <row r="3504" spans="1:15">
      <c r="A3504" s="517" t="s">
        <v>4425</v>
      </c>
      <c r="B3504" s="518">
        <f>VLOOKUP(A3504,'Materiales '!$C$2:$G$396,3,0)</f>
        <v>4</v>
      </c>
      <c r="C3504" s="88">
        <f>VLOOKUP(A3504,'Materiales '!$C$2:$G$396,3,0)</f>
        <v>4</v>
      </c>
      <c r="D3504" s="89" t="str">
        <f>VLOOKUP(A3504,'Materiales '!$C$2:$G$396,4,0)</f>
        <v>Und</v>
      </c>
      <c r="E3504" s="90">
        <v>1</v>
      </c>
      <c r="F3504" s="508" t="e">
        <f t="shared" si="205"/>
        <v>#VALUE!</v>
      </c>
      <c r="G3504" s="519"/>
      <c r="H3504" s="111"/>
      <c r="I3504">
        <f>E3504*G3489</f>
        <v>0</v>
      </c>
      <c r="J3504" s="58"/>
      <c r="K3504" s="50"/>
      <c r="L3504" s="50"/>
      <c r="M3504" s="50"/>
      <c r="N3504" s="50"/>
      <c r="O3504" s="50"/>
    </row>
    <row r="3505" spans="1:15" ht="21.75" customHeight="1">
      <c r="A3505" s="517" t="s">
        <v>4628</v>
      </c>
      <c r="B3505" s="518">
        <f>VLOOKUP(A3505,'Materiales '!$C$2:$G$396,3,0)</f>
        <v>4</v>
      </c>
      <c r="C3505" s="88">
        <f>VLOOKUP(A3505,'Materiales '!$C$2:$G$396,3,0)</f>
        <v>4</v>
      </c>
      <c r="D3505" s="89" t="str">
        <f>VLOOKUP(A3505,'Materiales '!$C$2:$G$396,4,0)</f>
        <v>Und</v>
      </c>
      <c r="E3505" s="90">
        <v>1</v>
      </c>
      <c r="F3505" s="508" t="e">
        <f t="shared" si="205"/>
        <v>#VALUE!</v>
      </c>
      <c r="G3505" s="519"/>
      <c r="H3505" s="111"/>
      <c r="I3505">
        <f>E3505*G3489</f>
        <v>0</v>
      </c>
      <c r="J3505" s="58"/>
      <c r="K3505" s="50"/>
      <c r="L3505" s="50"/>
      <c r="M3505" s="50"/>
      <c r="N3505" s="50"/>
      <c r="O3505" s="50"/>
    </row>
    <row r="3506" spans="1:15">
      <c r="A3506" s="517" t="s">
        <v>8</v>
      </c>
      <c r="B3506" s="518">
        <f>VLOOKUP(A3506,'Materiales '!$C$2:$G$396,3,0)</f>
        <v>0</v>
      </c>
      <c r="C3506" s="88">
        <f>VLOOKUP(A3506,'Materiales '!$C$2:$G$396,3,0)</f>
        <v>0</v>
      </c>
      <c r="D3506" s="89" t="str">
        <f>VLOOKUP(A3506,'Materiales '!$C$2:$G$396,4,0)</f>
        <v>-</v>
      </c>
      <c r="E3506" s="90"/>
      <c r="F3506" s="508" t="e">
        <f>E3506*D3506</f>
        <v>#VALUE!</v>
      </c>
      <c r="G3506" s="519"/>
      <c r="H3506" s="110"/>
      <c r="I3506">
        <f>E3506*G3489</f>
        <v>0</v>
      </c>
      <c r="J3506" s="58"/>
      <c r="K3506" s="50"/>
      <c r="L3506" s="50"/>
      <c r="M3506" s="50"/>
      <c r="N3506" s="50"/>
      <c r="O3506" s="50"/>
    </row>
    <row r="3507" spans="1:15">
      <c r="A3507" s="517" t="s">
        <v>8</v>
      </c>
      <c r="B3507" s="518">
        <f>VLOOKUP(A3507,'Materiales '!$C$2:$G$396,3,0)</f>
        <v>0</v>
      </c>
      <c r="C3507" s="88">
        <f>VLOOKUP(A3507,'Materiales '!$C$2:$G$396,3,0)</f>
        <v>0</v>
      </c>
      <c r="D3507" s="89" t="str">
        <f>VLOOKUP(A3507,'Materiales '!$C$2:$G$396,4,0)</f>
        <v>-</v>
      </c>
      <c r="E3507" s="90"/>
      <c r="F3507" s="508" t="e">
        <f t="shared" ref="F3507:F3510" si="206">E3507*D3507</f>
        <v>#VALUE!</v>
      </c>
      <c r="G3507" s="519"/>
      <c r="H3507" s="111"/>
      <c r="I3507">
        <f>E3507*G3489</f>
        <v>0</v>
      </c>
      <c r="J3507" s="58"/>
      <c r="K3507" s="50"/>
      <c r="L3507" s="50"/>
      <c r="M3507" s="50"/>
      <c r="N3507" s="50"/>
      <c r="O3507" s="50"/>
    </row>
    <row r="3508" spans="1:15">
      <c r="A3508" s="517" t="s">
        <v>8</v>
      </c>
      <c r="B3508" s="518">
        <f>VLOOKUP(A3508,'Materiales '!$C$2:$G$396,3,0)</f>
        <v>0</v>
      </c>
      <c r="C3508" s="88">
        <f>VLOOKUP(A3508,'Materiales '!$C$2:$G$396,3,0)</f>
        <v>0</v>
      </c>
      <c r="D3508" s="89" t="str">
        <f>VLOOKUP(A3508,'Materiales '!$C$2:$G$396,4,0)</f>
        <v>-</v>
      </c>
      <c r="E3508" s="90"/>
      <c r="F3508" s="508" t="e">
        <f t="shared" si="206"/>
        <v>#VALUE!</v>
      </c>
      <c r="G3508" s="519"/>
      <c r="H3508" s="111"/>
      <c r="I3508">
        <f>E3508*G3489</f>
        <v>0</v>
      </c>
      <c r="J3508" s="58"/>
      <c r="K3508" s="50"/>
      <c r="L3508" s="50"/>
      <c r="M3508" s="50"/>
      <c r="N3508" s="50"/>
      <c r="O3508" s="50"/>
    </row>
    <row r="3509" spans="1:15">
      <c r="A3509" s="517" t="s">
        <v>8</v>
      </c>
      <c r="B3509" s="518">
        <f>VLOOKUP(A3509,'Materiales '!$C$2:$G$396,3,0)</f>
        <v>0</v>
      </c>
      <c r="C3509" s="88">
        <f>VLOOKUP(A3509,'Materiales '!$C$2:$G$396,3,0)</f>
        <v>0</v>
      </c>
      <c r="D3509" s="89" t="str">
        <f>VLOOKUP(A3509,'Materiales '!$C$2:$G$396,4,0)</f>
        <v>-</v>
      </c>
      <c r="E3509" s="90"/>
      <c r="F3509" s="508" t="e">
        <f t="shared" si="206"/>
        <v>#VALUE!</v>
      </c>
      <c r="G3509" s="519"/>
      <c r="H3509" s="111"/>
      <c r="I3509">
        <f>E3509*G3489</f>
        <v>0</v>
      </c>
      <c r="J3509" s="58"/>
      <c r="K3509" s="50"/>
      <c r="L3509" s="50"/>
      <c r="M3509" s="50"/>
      <c r="N3509" s="50"/>
      <c r="O3509" s="50"/>
    </row>
    <row r="3510" spans="1:15">
      <c r="A3510" s="517" t="s">
        <v>8</v>
      </c>
      <c r="B3510" s="518">
        <f>VLOOKUP(A3510,'Materiales '!$C$2:$G$396,3,0)</f>
        <v>0</v>
      </c>
      <c r="C3510" s="88">
        <f>VLOOKUP(A3510,'Materiales '!$C$2:$G$396,3,0)</f>
        <v>0</v>
      </c>
      <c r="D3510" s="89" t="str">
        <f>VLOOKUP(A3510,'Materiales '!$C$2:$G$396,4,0)</f>
        <v>-</v>
      </c>
      <c r="E3510" s="90"/>
      <c r="F3510" s="508" t="e">
        <f t="shared" si="206"/>
        <v>#VALUE!</v>
      </c>
      <c r="G3510" s="519"/>
      <c r="H3510" s="111"/>
      <c r="I3510">
        <f>E3510*G3489</f>
        <v>0</v>
      </c>
      <c r="J3510" s="58"/>
      <c r="K3510" s="50"/>
      <c r="L3510" s="50"/>
      <c r="M3510" s="50"/>
      <c r="N3510" s="50"/>
      <c r="O3510" s="50"/>
    </row>
    <row r="3511" spans="1:15">
      <c r="A3511" s="517" t="s">
        <v>8</v>
      </c>
      <c r="B3511" s="518">
        <f>VLOOKUP(A3511,'Materiales '!$C$2:$G$396,3,0)</f>
        <v>0</v>
      </c>
      <c r="C3511" s="88">
        <f>VLOOKUP(A3511,'Materiales '!$C$2:$G$396,3,0)</f>
        <v>0</v>
      </c>
      <c r="D3511" s="89" t="str">
        <f>VLOOKUP(A3511,'Materiales '!$C$2:$G$396,4,0)</f>
        <v>-</v>
      </c>
      <c r="E3511" s="90"/>
      <c r="F3511" s="508" t="e">
        <f>E3511*D3511</f>
        <v>#VALUE!</v>
      </c>
      <c r="G3511" s="519"/>
      <c r="H3511" s="110"/>
      <c r="I3511">
        <f>E3511*G3489</f>
        <v>0</v>
      </c>
      <c r="J3511" s="58"/>
      <c r="K3511" s="50"/>
      <c r="L3511" s="50"/>
      <c r="M3511" s="50"/>
      <c r="N3511" s="50"/>
      <c r="O3511" s="50"/>
    </row>
    <row r="3512" spans="1:15">
      <c r="A3512" s="520" t="s">
        <v>4098</v>
      </c>
      <c r="B3512" s="521"/>
      <c r="C3512" s="521"/>
      <c r="D3512" s="521"/>
      <c r="E3512" s="521"/>
      <c r="F3512" s="521"/>
      <c r="G3512" s="522"/>
      <c r="H3512" s="106" t="e">
        <f>SUM(F3498:F3511)</f>
        <v>#VALUE!</v>
      </c>
      <c r="J3512" s="58"/>
      <c r="K3512" s="50"/>
      <c r="L3512" s="50"/>
      <c r="M3512" s="50"/>
      <c r="N3512" s="50"/>
      <c r="O3512" s="50"/>
    </row>
    <row r="3513" spans="1:15">
      <c r="A3513" s="523" t="s">
        <v>4220</v>
      </c>
      <c r="B3513" s="524"/>
      <c r="C3513" s="524"/>
      <c r="D3513" s="524"/>
      <c r="E3513" s="525"/>
      <c r="F3513" s="524"/>
      <c r="G3513" s="524"/>
      <c r="H3513" s="526"/>
      <c r="J3513" s="58"/>
      <c r="K3513" s="50"/>
      <c r="L3513" s="50"/>
      <c r="M3513" s="50"/>
      <c r="N3513" s="50"/>
      <c r="O3513" s="50"/>
    </row>
    <row r="3514" spans="1:15">
      <c r="A3514" s="527" t="s">
        <v>7</v>
      </c>
      <c r="B3514" s="528"/>
      <c r="C3514" s="98" t="s">
        <v>4221</v>
      </c>
      <c r="D3514" s="97" t="s">
        <v>4222</v>
      </c>
      <c r="E3514" s="187" t="s">
        <v>4223</v>
      </c>
      <c r="F3514" s="529" t="s">
        <v>4207</v>
      </c>
      <c r="G3514" s="529"/>
      <c r="H3514" s="109"/>
      <c r="K3514" s="50"/>
      <c r="L3514" s="50"/>
      <c r="M3514" s="50"/>
      <c r="N3514" s="50"/>
      <c r="O3514" s="50"/>
    </row>
    <row r="3515" spans="1:15">
      <c r="A3515" s="506" t="s">
        <v>3928</v>
      </c>
      <c r="B3515" s="507"/>
      <c r="C3515" s="213">
        <v>1</v>
      </c>
      <c r="D3515" s="92">
        <v>0.03</v>
      </c>
      <c r="E3515" s="93" t="str">
        <f>VLOOKUP(A3515,'Equip, Herr y Transp'!$B$2:$E$217,3,0)</f>
        <v>TR</v>
      </c>
      <c r="F3515" s="530" t="e">
        <f>E3515*D3515*C3515</f>
        <v>#VALUE!</v>
      </c>
      <c r="G3515" s="531"/>
      <c r="H3515" s="107"/>
      <c r="M3515" s="50"/>
    </row>
    <row r="3516" spans="1:15">
      <c r="A3516" s="532" t="s">
        <v>4205</v>
      </c>
      <c r="B3516" s="533"/>
      <c r="C3516" s="533"/>
      <c r="D3516" s="533"/>
      <c r="E3516" s="533"/>
      <c r="F3516" s="533"/>
      <c r="G3516" s="533"/>
      <c r="H3516" s="95" t="e">
        <f>F3515</f>
        <v>#VALUE!</v>
      </c>
    </row>
    <row r="3517" spans="1:15">
      <c r="A3517" s="523" t="s">
        <v>4224</v>
      </c>
      <c r="B3517" s="524"/>
      <c r="C3517" s="524"/>
      <c r="D3517" s="524"/>
      <c r="E3517" s="524"/>
      <c r="F3517" s="524"/>
      <c r="G3517" s="524"/>
      <c r="H3517" s="526"/>
    </row>
    <row r="3518" spans="1:15">
      <c r="A3518" s="527" t="s">
        <v>7</v>
      </c>
      <c r="B3518" s="528"/>
      <c r="C3518" s="96" t="s">
        <v>1</v>
      </c>
      <c r="D3518" s="97" t="s">
        <v>4225</v>
      </c>
      <c r="E3518" s="98" t="s">
        <v>4204</v>
      </c>
      <c r="F3518" s="527" t="s">
        <v>5</v>
      </c>
      <c r="G3518" s="534"/>
      <c r="H3518" s="109"/>
    </row>
    <row r="3519" spans="1:15">
      <c r="A3519" s="506" t="s">
        <v>4191</v>
      </c>
      <c r="B3519" s="507"/>
      <c r="C3519" s="91">
        <v>1</v>
      </c>
      <c r="D3519" s="94">
        <f>VLOOKUP(A3519,'Mano Obra'!$B$2:$T$117,19,0)</f>
        <v>152456</v>
      </c>
      <c r="E3519" s="218">
        <f>H3482</f>
        <v>6.25E-2</v>
      </c>
      <c r="F3519" s="508">
        <f>E3519*D3519*C3519</f>
        <v>9528.5</v>
      </c>
      <c r="G3519" s="509"/>
      <c r="H3519" s="111"/>
      <c r="I3519" s="59"/>
      <c r="J3519" s="117">
        <f>((('Mano Obra'!$M$4/30)*F3519)/D3519)*G3489</f>
        <v>0</v>
      </c>
    </row>
    <row r="3520" spans="1:15">
      <c r="A3520" s="510" t="s">
        <v>4192</v>
      </c>
      <c r="B3520" s="511">
        <f>VLOOKUP(A3520,'Mano Obra'!$B$3:$D$290,2,0)</f>
        <v>1900000</v>
      </c>
      <c r="C3520" s="91">
        <v>1</v>
      </c>
      <c r="D3520" s="94">
        <f>VLOOKUP(A3520,'Mano Obra'!$B$2:$T$117,19,0)</f>
        <v>110488</v>
      </c>
      <c r="E3520" s="218">
        <f>H3482</f>
        <v>6.25E-2</v>
      </c>
      <c r="F3520" s="508">
        <f t="shared" ref="F3520:F3521" si="207">E3520*D3520*C3520</f>
        <v>6905.5</v>
      </c>
      <c r="G3520" s="509"/>
      <c r="H3520" s="111"/>
      <c r="J3520" s="117">
        <f>((('Mano Obra'!$M$5/30)*F3520)/D3520)*G3489</f>
        <v>0</v>
      </c>
    </row>
    <row r="3521" spans="1:10">
      <c r="A3521" s="510" t="s">
        <v>4181</v>
      </c>
      <c r="B3521" s="511">
        <f>VLOOKUP(A3521,'Mano Obra'!$B$3:$D$290,2,0)</f>
        <v>1000000</v>
      </c>
      <c r="C3521" s="91">
        <v>1</v>
      </c>
      <c r="D3521" s="94">
        <f>VLOOKUP(A3521,'Mano Obra'!$B$2:$T$117,19,0)</f>
        <v>67424</v>
      </c>
      <c r="E3521" s="218">
        <f>H3482</f>
        <v>6.25E-2</v>
      </c>
      <c r="F3521" s="508">
        <f t="shared" si="207"/>
        <v>4214</v>
      </c>
      <c r="G3521" s="509"/>
      <c r="H3521" s="110"/>
      <c r="J3521" s="117">
        <f>((('Mano Obra'!$M$6/30)*F3521)/D3521)*G3489</f>
        <v>0</v>
      </c>
    </row>
    <row r="3522" spans="1:10">
      <c r="A3522" s="512" t="s">
        <v>4100</v>
      </c>
      <c r="B3522" s="512"/>
      <c r="C3522" s="512"/>
      <c r="D3522" s="512"/>
      <c r="E3522" s="512"/>
      <c r="F3522" s="512"/>
      <c r="G3522" s="512"/>
      <c r="H3522" s="95">
        <f>SUM(F3519:F3521)</f>
        <v>20648</v>
      </c>
      <c r="J3522" s="117"/>
    </row>
    <row r="3523" spans="1:10">
      <c r="A3523" s="208" t="s">
        <v>4226</v>
      </c>
      <c r="B3523" s="186"/>
      <c r="C3523" s="186"/>
      <c r="D3523" s="183"/>
      <c r="E3523" s="184"/>
      <c r="F3523" s="185"/>
      <c r="G3523" s="184"/>
      <c r="H3523" s="193"/>
    </row>
    <row r="3524" spans="1:10">
      <c r="A3524" s="513" t="s">
        <v>4213</v>
      </c>
      <c r="B3524" s="514"/>
      <c r="C3524" s="514"/>
      <c r="D3524" s="514"/>
      <c r="E3524" s="181"/>
      <c r="F3524" s="182" t="s">
        <v>4227</v>
      </c>
      <c r="G3524" s="181" t="s">
        <v>4228</v>
      </c>
      <c r="H3524" s="194"/>
    </row>
    <row r="3525" spans="1:10">
      <c r="A3525" s="204" t="s">
        <v>4096</v>
      </c>
      <c r="B3525" s="62"/>
      <c r="C3525" s="62"/>
      <c r="D3525" s="63"/>
      <c r="E3525" s="68"/>
      <c r="F3525" s="69">
        <v>0</v>
      </c>
      <c r="G3525" s="70" t="e">
        <f>F3525*H3490</f>
        <v>#VALUE!</v>
      </c>
      <c r="H3525" s="193"/>
    </row>
    <row r="3526" spans="1:10">
      <c r="A3526" s="205" t="s">
        <v>4229</v>
      </c>
      <c r="B3526" s="71"/>
      <c r="C3526" s="71"/>
      <c r="D3526" s="72"/>
      <c r="E3526" s="68"/>
      <c r="F3526" s="69">
        <v>0</v>
      </c>
      <c r="G3526" s="70" t="e">
        <f>F3526*H3490</f>
        <v>#VALUE!</v>
      </c>
      <c r="H3526" s="193"/>
    </row>
    <row r="3527" spans="1:10">
      <c r="A3527" s="205" t="s">
        <v>4</v>
      </c>
      <c r="B3527" s="71"/>
      <c r="C3527" s="71"/>
      <c r="D3527" s="72"/>
      <c r="E3527" s="68"/>
      <c r="F3527" s="69">
        <v>0</v>
      </c>
      <c r="G3527" s="70" t="e">
        <f>F3527*H3490</f>
        <v>#VALUE!</v>
      </c>
      <c r="H3527" s="193"/>
    </row>
    <row r="3528" spans="1:10">
      <c r="A3528" s="206"/>
      <c r="B3528" s="73"/>
      <c r="C3528" s="65"/>
      <c r="D3528" s="74"/>
      <c r="E3528" s="75"/>
      <c r="F3528" s="76"/>
      <c r="G3528" s="77"/>
      <c r="H3528" s="195"/>
    </row>
    <row r="3529" spans="1:10">
      <c r="A3529" s="207"/>
      <c r="B3529" s="73"/>
      <c r="C3529" s="73"/>
      <c r="D3529" s="74"/>
      <c r="E3529" s="78"/>
      <c r="F3529" s="515" t="s">
        <v>4230</v>
      </c>
      <c r="G3529" s="516"/>
      <c r="H3529" s="214" t="e">
        <f>H3490+G3525+G3526+G3527</f>
        <v>#VALUE!</v>
      </c>
    </row>
    <row r="3530" spans="1:10">
      <c r="A3530" s="73"/>
      <c r="B3530" s="73"/>
      <c r="C3530" s="73"/>
      <c r="D3530" s="74"/>
      <c r="E3530" s="360"/>
      <c r="F3530" s="361"/>
      <c r="G3530" s="361"/>
      <c r="H3530" s="362"/>
    </row>
    <row r="3531" spans="1:10">
      <c r="A3531" s="80"/>
      <c r="B3531" s="80"/>
      <c r="C3531" s="80"/>
      <c r="D3531" s="80"/>
      <c r="E3531" s="80"/>
      <c r="F3531" s="80"/>
      <c r="G3531" s="80"/>
      <c r="H3531" s="353"/>
    </row>
    <row r="3532" spans="1:10">
      <c r="A3532" s="537" t="s">
        <v>4214</v>
      </c>
      <c r="B3532" s="538"/>
      <c r="C3532" s="538"/>
      <c r="D3532" s="538"/>
      <c r="E3532" s="538"/>
      <c r="F3532" s="538"/>
      <c r="G3532" s="538"/>
      <c r="H3532" s="539"/>
    </row>
    <row r="3533" spans="1:10">
      <c r="A3533" s="81"/>
      <c r="B3533" s="82"/>
      <c r="C3533" s="82"/>
      <c r="D3533" s="82"/>
      <c r="E3533" s="82"/>
      <c r="F3533" s="83"/>
      <c r="G3533" s="84"/>
      <c r="H3533" s="352">
        <f>ROUND((30/60)/8,4)</f>
        <v>6.25E-2</v>
      </c>
      <c r="I3533" s="105"/>
    </row>
    <row r="3534" spans="1:10">
      <c r="A3534" s="540" t="s">
        <v>4209</v>
      </c>
      <c r="B3534" s="542" t="str">
        <f>COSTOS!$C$14</f>
        <v>MODERNIZACION A TECNOLOGIA LED</v>
      </c>
      <c r="C3534" s="542"/>
      <c r="D3534" s="542"/>
      <c r="E3534" s="542"/>
      <c r="F3534" s="542"/>
      <c r="G3534" s="542"/>
      <c r="H3534" s="543" t="s">
        <v>4210</v>
      </c>
    </row>
    <row r="3535" spans="1:10">
      <c r="A3535" s="541"/>
      <c r="B3535" s="542"/>
      <c r="C3535" s="542"/>
      <c r="D3535" s="542"/>
      <c r="E3535" s="542"/>
      <c r="F3535" s="542"/>
      <c r="G3535" s="542"/>
      <c r="H3535" s="543"/>
    </row>
    <row r="3536" spans="1:10">
      <c r="A3536" s="541"/>
      <c r="B3536" s="542"/>
      <c r="C3536" s="542"/>
      <c r="D3536" s="542"/>
      <c r="E3536" s="542"/>
      <c r="F3536" s="542"/>
      <c r="G3536" s="542"/>
      <c r="H3536" s="543"/>
    </row>
    <row r="3537" spans="1:15" ht="15" customHeight="1">
      <c r="A3537" s="541"/>
      <c r="B3537" s="542"/>
      <c r="C3537" s="542"/>
      <c r="D3537" s="542"/>
      <c r="E3537" s="542"/>
      <c r="F3537" s="542"/>
      <c r="G3537" s="542"/>
      <c r="H3537" s="197">
        <f ca="1">TODAY()</f>
        <v>44889</v>
      </c>
      <c r="K3537" t="s">
        <v>4380</v>
      </c>
      <c r="L3537" t="s">
        <v>4381</v>
      </c>
      <c r="M3537" t="s">
        <v>4382</v>
      </c>
      <c r="N3537" t="s">
        <v>4383</v>
      </c>
    </row>
    <row r="3538" spans="1:15" ht="60.75" customHeight="1">
      <c r="A3538" s="209" t="s">
        <v>4211</v>
      </c>
      <c r="B3538" s="544" t="str">
        <f>COSTOS!$D$16</f>
        <v>Luminarias</v>
      </c>
      <c r="C3538" s="544"/>
      <c r="D3538" s="544"/>
      <c r="E3538" s="544"/>
      <c r="F3538" s="544"/>
      <c r="G3538" s="60" t="s">
        <v>4212</v>
      </c>
      <c r="H3538" s="363" t="s">
        <v>4784</v>
      </c>
      <c r="K3538" s="55" t="e">
        <f>H3563</f>
        <v>#VALUE!</v>
      </c>
      <c r="L3538" s="55">
        <f>H3573</f>
        <v>20648</v>
      </c>
      <c r="M3538" s="55" t="e">
        <f>H3546</f>
        <v>#VALUE!</v>
      </c>
      <c r="N3538" s="55" t="e">
        <f>H3567</f>
        <v>#VALUE!</v>
      </c>
    </row>
    <row r="3539" spans="1:15" ht="43.2" customHeight="1">
      <c r="A3539" s="210" t="s">
        <v>4213</v>
      </c>
      <c r="B3539" s="545" t="str">
        <f>VLOOKUP(H3538,COSTOS!C:M,2,0)</f>
        <v>Luminaria Sodio 50w</v>
      </c>
      <c r="C3539" s="546"/>
      <c r="D3539" s="546"/>
      <c r="E3539" s="547"/>
      <c r="F3539" s="61" t="s">
        <v>0</v>
      </c>
      <c r="G3539" s="328" t="str">
        <f>VLOOKUP(H3538,COSTOS!C:M,8,0)</f>
        <v>Und</v>
      </c>
      <c r="H3539" s="248"/>
      <c r="I3539" s="278"/>
      <c r="J3539" s="280"/>
      <c r="K3539" s="280"/>
      <c r="L3539" s="280"/>
    </row>
    <row r="3540" spans="1:15">
      <c r="A3540" s="211"/>
      <c r="B3540" s="102"/>
      <c r="C3540" s="102"/>
      <c r="D3540" s="102"/>
      <c r="E3540" s="103"/>
      <c r="F3540" s="104" t="s">
        <v>1</v>
      </c>
      <c r="G3540" s="328">
        <f>VLOOKUP(H3538,COSTOS!C:M,9,0)</f>
        <v>0</v>
      </c>
      <c r="H3540" s="329"/>
      <c r="I3540" s="279"/>
    </row>
    <row r="3541" spans="1:15">
      <c r="A3541" s="212" t="s">
        <v>4215</v>
      </c>
      <c r="B3541" s="65"/>
      <c r="C3541" s="65"/>
      <c r="D3541" s="66"/>
      <c r="E3541" s="190"/>
      <c r="F3541" s="191"/>
      <c r="G3541" s="192" t="s">
        <v>4216</v>
      </c>
      <c r="H3541" s="198" t="e">
        <f>H3546+H3563+H3567+H3573</f>
        <v>#VALUE!</v>
      </c>
    </row>
    <row r="3542" spans="1:15" ht="41.4">
      <c r="A3542" s="548" t="s">
        <v>4213</v>
      </c>
      <c r="B3542" s="548"/>
      <c r="C3542" s="548"/>
      <c r="D3542" s="67" t="s">
        <v>0</v>
      </c>
      <c r="E3542" s="188" t="s">
        <v>4217</v>
      </c>
      <c r="F3542" s="189" t="s">
        <v>4204</v>
      </c>
      <c r="G3542" s="64" t="s">
        <v>2</v>
      </c>
      <c r="H3542" s="199" t="s">
        <v>4218</v>
      </c>
      <c r="K3542" s="281"/>
    </row>
    <row r="3543" spans="1:15">
      <c r="A3543" s="517" t="s">
        <v>3946</v>
      </c>
      <c r="B3543" s="549">
        <f>VLOOKUP(A3543,'Equip, Herr y Transp'!$B$2:$E$738,2,0)</f>
        <v>2</v>
      </c>
      <c r="C3543" s="549"/>
      <c r="D3543" s="85">
        <f>VLOOKUP(A3543,'Equip, Herr y Transp'!$B$2:$E$217,2,0)</f>
        <v>2</v>
      </c>
      <c r="E3543" s="85" t="str">
        <f>VLOOKUP(A3543,'Equip, Herr y Transp'!$B$2:$E$217,3,0)</f>
        <v>EQU</v>
      </c>
      <c r="F3543" s="86">
        <f>H3533</f>
        <v>6.25E-2</v>
      </c>
      <c r="G3543" s="112" t="e">
        <f>F3543*E3543</f>
        <v>#VALUE!</v>
      </c>
      <c r="H3543" s="108"/>
    </row>
    <row r="3544" spans="1:15">
      <c r="A3544" s="517" t="s">
        <v>3904</v>
      </c>
      <c r="B3544" s="549">
        <f>VLOOKUP(A3544,'Equip, Herr y Transp'!$B$2:$E$738,2,0)</f>
        <v>2</v>
      </c>
      <c r="C3544" s="549"/>
      <c r="D3544" s="85">
        <f>VLOOKUP(A3544,'Equip, Herr y Transp'!$B$2:$E$217,2,0)</f>
        <v>2</v>
      </c>
      <c r="E3544" s="85" t="str">
        <f>VLOOKUP(A3544,'Equip, Herr y Transp'!$B$2:$E$217,3,0)</f>
        <v>EQU</v>
      </c>
      <c r="F3544" s="86">
        <f>H3533</f>
        <v>6.25E-2</v>
      </c>
      <c r="G3544" s="112" t="e">
        <f>F3544*E3544</f>
        <v>#VALUE!</v>
      </c>
      <c r="H3544" s="107"/>
    </row>
    <row r="3545" spans="1:15">
      <c r="A3545" s="517" t="s">
        <v>3937</v>
      </c>
      <c r="B3545" s="549">
        <f>VLOOKUP(A3545,'Equip, Herr y Transp'!$B$2:$E$738,2,0)</f>
        <v>2</v>
      </c>
      <c r="C3545" s="549"/>
      <c r="D3545" s="85">
        <f>VLOOKUP(A3545,'Equip, Herr y Transp'!$B$2:$E$217,2,0)</f>
        <v>2</v>
      </c>
      <c r="E3545" s="85" t="str">
        <f>VLOOKUP(A3545,'Equip, Herr y Transp'!$B$2:$E$217,3,0)</f>
        <v>EQU</v>
      </c>
      <c r="F3545" s="86">
        <f>H3533</f>
        <v>6.25E-2</v>
      </c>
      <c r="G3545" s="112" t="e">
        <f>F3545*E3545</f>
        <v>#VALUE!</v>
      </c>
      <c r="H3545" s="107"/>
    </row>
    <row r="3546" spans="1:15">
      <c r="A3546" s="520" t="s">
        <v>4099</v>
      </c>
      <c r="B3546" s="521"/>
      <c r="C3546" s="521"/>
      <c r="D3546" s="521"/>
      <c r="E3546" s="521"/>
      <c r="F3546" s="521"/>
      <c r="G3546" s="521"/>
      <c r="H3546" s="87" t="e">
        <f>SUM(G3543:G3545)</f>
        <v>#VALUE!</v>
      </c>
    </row>
    <row r="3547" spans="1:15">
      <c r="A3547" s="550" t="s">
        <v>4219</v>
      </c>
      <c r="B3547" s="551"/>
      <c r="C3547" s="551"/>
      <c r="D3547" s="551"/>
      <c r="E3547" s="551"/>
      <c r="F3547" s="551"/>
      <c r="G3547" s="551"/>
      <c r="H3547" s="552"/>
      <c r="K3547" s="50"/>
      <c r="L3547" s="50"/>
      <c r="M3547" s="50"/>
      <c r="N3547" s="50"/>
      <c r="O3547" s="50"/>
    </row>
    <row r="3548" spans="1:15" ht="30" customHeight="1">
      <c r="A3548" s="553" t="s">
        <v>7</v>
      </c>
      <c r="B3548" s="554"/>
      <c r="C3548" s="99" t="s">
        <v>0</v>
      </c>
      <c r="D3548" s="100" t="s">
        <v>4097</v>
      </c>
      <c r="E3548" s="101" t="s">
        <v>1</v>
      </c>
      <c r="F3548" s="555" t="s">
        <v>4207</v>
      </c>
      <c r="G3548" s="555"/>
      <c r="H3548" s="196"/>
      <c r="K3548" s="50"/>
      <c r="L3548" s="50"/>
      <c r="M3548" s="50"/>
      <c r="N3548" s="50"/>
      <c r="O3548" s="50"/>
    </row>
    <row r="3549" spans="1:15">
      <c r="A3549" s="535" t="s">
        <v>4783</v>
      </c>
      <c r="B3549" s="536"/>
      <c r="C3549" s="88">
        <f>VLOOKUP(A3549,'Materiales '!$C$2:$G$396,3,0)</f>
        <v>4</v>
      </c>
      <c r="D3549" s="89" t="str">
        <f>VLOOKUP(A3549,'Materiales '!$C$2:$G$396,4,0)</f>
        <v>Und</v>
      </c>
      <c r="E3549" s="90">
        <v>1</v>
      </c>
      <c r="F3549" s="508" t="e">
        <f>E3549*D3549</f>
        <v>#VALUE!</v>
      </c>
      <c r="G3549" s="519"/>
      <c r="H3549" s="111"/>
      <c r="I3549">
        <f>E3549*G3540</f>
        <v>0</v>
      </c>
      <c r="J3549" s="57"/>
      <c r="K3549" s="50"/>
      <c r="L3549" s="50"/>
      <c r="M3549" s="50"/>
      <c r="N3549" s="50"/>
      <c r="O3549" s="50"/>
    </row>
    <row r="3550" spans="1:15">
      <c r="A3550" s="535" t="s">
        <v>4203</v>
      </c>
      <c r="B3550" s="536"/>
      <c r="C3550" s="88">
        <f>VLOOKUP(A3550,'Materiales '!$C$2:$G$396,3,0)</f>
        <v>4</v>
      </c>
      <c r="D3550" s="89" t="str">
        <f>VLOOKUP(A3550,'Materiales '!$C$2:$G$396,4,0)</f>
        <v>Und</v>
      </c>
      <c r="E3550" s="90">
        <v>1</v>
      </c>
      <c r="F3550" s="508" t="e">
        <f t="shared" ref="F3550:F3556" si="208">E3550*D3550</f>
        <v>#VALUE!</v>
      </c>
      <c r="G3550" s="519"/>
      <c r="H3550" s="111"/>
      <c r="I3550">
        <f>E3550*G3540</f>
        <v>0</v>
      </c>
      <c r="J3550" s="57"/>
      <c r="K3550" s="50"/>
      <c r="L3550" s="50"/>
      <c r="M3550" s="50"/>
      <c r="N3550" s="50"/>
      <c r="O3550" s="50"/>
    </row>
    <row r="3551" spans="1:15">
      <c r="A3551" s="517" t="s">
        <v>4468</v>
      </c>
      <c r="B3551" s="518">
        <f>VLOOKUP(A3551,'Materiales '!$C$2:$G$396,3,0)</f>
        <v>4</v>
      </c>
      <c r="C3551" s="88">
        <f>VLOOKUP(A3551,'Materiales '!$C$2:$G$396,3,0)</f>
        <v>4</v>
      </c>
      <c r="D3551" s="89" t="str">
        <f>VLOOKUP(A3551,'Materiales '!$C$2:$G$396,4,0)</f>
        <v>Und</v>
      </c>
      <c r="E3551" s="90">
        <v>1.5</v>
      </c>
      <c r="F3551" s="508" t="e">
        <f t="shared" si="208"/>
        <v>#VALUE!</v>
      </c>
      <c r="G3551" s="519"/>
      <c r="H3551" s="111"/>
      <c r="I3551">
        <f>E3551*G3540</f>
        <v>0</v>
      </c>
      <c r="J3551" s="58"/>
      <c r="K3551" s="50"/>
      <c r="L3551" s="50"/>
      <c r="M3551" s="50"/>
      <c r="N3551" s="50"/>
      <c r="O3551" s="50"/>
    </row>
    <row r="3552" spans="1:15">
      <c r="A3552" s="517" t="s">
        <v>4478</v>
      </c>
      <c r="B3552" s="518">
        <f>VLOOKUP(A3552,'Materiales '!$C$2:$G$396,3,0)</f>
        <v>4</v>
      </c>
      <c r="C3552" s="88">
        <f>VLOOKUP(A3552,'Materiales '!$C$2:$G$396,3,0)</f>
        <v>4</v>
      </c>
      <c r="D3552" s="89" t="str">
        <f>VLOOKUP(A3552,'Materiales '!$C$2:$G$396,4,0)</f>
        <v>Und</v>
      </c>
      <c r="E3552" s="90">
        <v>3</v>
      </c>
      <c r="F3552" s="508" t="e">
        <f t="shared" si="208"/>
        <v>#VALUE!</v>
      </c>
      <c r="G3552" s="519"/>
      <c r="H3552" s="111"/>
      <c r="I3552">
        <f>E3552*G3540</f>
        <v>0</v>
      </c>
      <c r="J3552" s="58"/>
      <c r="K3552" s="50"/>
      <c r="L3552" s="50"/>
      <c r="M3552" s="50"/>
      <c r="N3552" s="50"/>
      <c r="O3552" s="50"/>
    </row>
    <row r="3553" spans="1:15">
      <c r="A3553" s="517" t="s">
        <v>4543</v>
      </c>
      <c r="B3553" s="518">
        <f>VLOOKUP(A3553,'Materiales '!$C$2:$G$396,3,0)</f>
        <v>4</v>
      </c>
      <c r="C3553" s="88">
        <f>VLOOKUP(A3553,'Materiales '!$C$2:$G$396,3,0)</f>
        <v>4</v>
      </c>
      <c r="D3553" s="89" t="str">
        <f>VLOOKUP(A3553,'Materiales '!$C$2:$G$396,4,0)</f>
        <v>Und</v>
      </c>
      <c r="E3553" s="90">
        <v>1</v>
      </c>
      <c r="F3553" s="508" t="e">
        <f t="shared" si="208"/>
        <v>#VALUE!</v>
      </c>
      <c r="G3553" s="519"/>
      <c r="H3553" s="111"/>
      <c r="I3553">
        <f>E3553*G3540</f>
        <v>0</v>
      </c>
      <c r="J3553" s="58"/>
      <c r="K3553" s="50"/>
      <c r="L3553" s="50"/>
      <c r="M3553" s="50"/>
      <c r="N3553" s="50"/>
      <c r="O3553" s="50"/>
    </row>
    <row r="3554" spans="1:15">
      <c r="A3554" s="517" t="s">
        <v>4439</v>
      </c>
      <c r="B3554" s="518">
        <f>VLOOKUP(A3554,'Materiales '!$C$2:$G$396,3,0)</f>
        <v>2</v>
      </c>
      <c r="C3554" s="88">
        <f>VLOOKUP(A3554,'Materiales '!$C$2:$G$396,3,0)</f>
        <v>2</v>
      </c>
      <c r="D3554" s="89" t="str">
        <f>VLOOKUP(A3554,'Materiales '!$C$2:$G$396,4,0)</f>
        <v>Ml</v>
      </c>
      <c r="E3554" s="90">
        <v>1</v>
      </c>
      <c r="F3554" s="508" t="e">
        <f t="shared" si="208"/>
        <v>#VALUE!</v>
      </c>
      <c r="G3554" s="519"/>
      <c r="H3554" s="111"/>
      <c r="I3554">
        <f>E3554*G3540</f>
        <v>0</v>
      </c>
      <c r="J3554" s="58"/>
      <c r="K3554" s="50"/>
      <c r="L3554" s="50"/>
      <c r="M3554" s="50"/>
      <c r="N3554" s="50"/>
      <c r="O3554" s="50"/>
    </row>
    <row r="3555" spans="1:15">
      <c r="A3555" s="517" t="s">
        <v>4425</v>
      </c>
      <c r="B3555" s="518">
        <f>VLOOKUP(A3555,'Materiales '!$C$2:$G$396,3,0)</f>
        <v>4</v>
      </c>
      <c r="C3555" s="88">
        <f>VLOOKUP(A3555,'Materiales '!$C$2:$G$396,3,0)</f>
        <v>4</v>
      </c>
      <c r="D3555" s="89" t="str">
        <f>VLOOKUP(A3555,'Materiales '!$C$2:$G$396,4,0)</f>
        <v>Und</v>
      </c>
      <c r="E3555" s="90">
        <v>1</v>
      </c>
      <c r="F3555" s="508" t="e">
        <f t="shared" si="208"/>
        <v>#VALUE!</v>
      </c>
      <c r="G3555" s="519"/>
      <c r="H3555" s="111"/>
      <c r="I3555">
        <f>E3555*G3540</f>
        <v>0</v>
      </c>
      <c r="J3555" s="58"/>
      <c r="K3555" s="50"/>
      <c r="L3555" s="50"/>
      <c r="M3555" s="50"/>
      <c r="N3555" s="50"/>
      <c r="O3555" s="50"/>
    </row>
    <row r="3556" spans="1:15" ht="21.75" customHeight="1">
      <c r="A3556" s="517" t="s">
        <v>4628</v>
      </c>
      <c r="B3556" s="518">
        <f>VLOOKUP(A3556,'Materiales '!$C$2:$G$396,3,0)</f>
        <v>4</v>
      </c>
      <c r="C3556" s="88">
        <f>VLOOKUP(A3556,'Materiales '!$C$2:$G$396,3,0)</f>
        <v>4</v>
      </c>
      <c r="D3556" s="89" t="str">
        <f>VLOOKUP(A3556,'Materiales '!$C$2:$G$396,4,0)</f>
        <v>Und</v>
      </c>
      <c r="E3556" s="90">
        <v>1</v>
      </c>
      <c r="F3556" s="508" t="e">
        <f t="shared" si="208"/>
        <v>#VALUE!</v>
      </c>
      <c r="G3556" s="519"/>
      <c r="H3556" s="111"/>
      <c r="I3556">
        <f>E3556*G3540</f>
        <v>0</v>
      </c>
      <c r="J3556" s="58"/>
      <c r="K3556" s="50"/>
      <c r="L3556" s="50"/>
      <c r="M3556" s="50"/>
      <c r="N3556" s="50"/>
      <c r="O3556" s="50"/>
    </row>
    <row r="3557" spans="1:15">
      <c r="A3557" s="517" t="s">
        <v>8</v>
      </c>
      <c r="B3557" s="518">
        <f>VLOOKUP(A3557,'Materiales '!$C$2:$G$396,3,0)</f>
        <v>0</v>
      </c>
      <c r="C3557" s="88">
        <f>VLOOKUP(A3557,'Materiales '!$C$2:$G$396,3,0)</f>
        <v>0</v>
      </c>
      <c r="D3557" s="89" t="str">
        <f>VLOOKUP(A3557,'Materiales '!$C$2:$G$396,4,0)</f>
        <v>-</v>
      </c>
      <c r="E3557" s="90"/>
      <c r="F3557" s="508" t="e">
        <f>E3557*D3557</f>
        <v>#VALUE!</v>
      </c>
      <c r="G3557" s="519"/>
      <c r="H3557" s="110"/>
      <c r="I3557">
        <f>E3557*G3540</f>
        <v>0</v>
      </c>
      <c r="J3557" s="58"/>
      <c r="K3557" s="50"/>
      <c r="L3557" s="50"/>
      <c r="M3557" s="50"/>
      <c r="N3557" s="50"/>
      <c r="O3557" s="50"/>
    </row>
    <row r="3558" spans="1:15">
      <c r="A3558" s="517" t="s">
        <v>8</v>
      </c>
      <c r="B3558" s="518">
        <f>VLOOKUP(A3558,'Materiales '!$C$2:$G$396,3,0)</f>
        <v>0</v>
      </c>
      <c r="C3558" s="88">
        <f>VLOOKUP(A3558,'Materiales '!$C$2:$G$396,3,0)</f>
        <v>0</v>
      </c>
      <c r="D3558" s="89" t="str">
        <f>VLOOKUP(A3558,'Materiales '!$C$2:$G$396,4,0)</f>
        <v>-</v>
      </c>
      <c r="E3558" s="90"/>
      <c r="F3558" s="508" t="e">
        <f t="shared" ref="F3558:F3561" si="209">E3558*D3558</f>
        <v>#VALUE!</v>
      </c>
      <c r="G3558" s="519"/>
      <c r="H3558" s="111"/>
      <c r="I3558">
        <f>E3558*G3540</f>
        <v>0</v>
      </c>
      <c r="J3558" s="58"/>
      <c r="K3558" s="50"/>
      <c r="L3558" s="50"/>
      <c r="M3558" s="50"/>
      <c r="N3558" s="50"/>
      <c r="O3558" s="50"/>
    </row>
    <row r="3559" spans="1:15">
      <c r="A3559" s="517" t="s">
        <v>8</v>
      </c>
      <c r="B3559" s="518">
        <f>VLOOKUP(A3559,'Materiales '!$C$2:$G$396,3,0)</f>
        <v>0</v>
      </c>
      <c r="C3559" s="88">
        <f>VLOOKUP(A3559,'Materiales '!$C$2:$G$396,3,0)</f>
        <v>0</v>
      </c>
      <c r="D3559" s="89" t="str">
        <f>VLOOKUP(A3559,'Materiales '!$C$2:$G$396,4,0)</f>
        <v>-</v>
      </c>
      <c r="E3559" s="90"/>
      <c r="F3559" s="508" t="e">
        <f t="shared" si="209"/>
        <v>#VALUE!</v>
      </c>
      <c r="G3559" s="519"/>
      <c r="H3559" s="111"/>
      <c r="I3559">
        <f>E3559*G3540</f>
        <v>0</v>
      </c>
      <c r="J3559" s="58"/>
      <c r="K3559" s="50"/>
      <c r="L3559" s="50"/>
      <c r="M3559" s="50"/>
      <c r="N3559" s="50"/>
      <c r="O3559" s="50"/>
    </row>
    <row r="3560" spans="1:15">
      <c r="A3560" s="517" t="s">
        <v>8</v>
      </c>
      <c r="B3560" s="518">
        <f>VLOOKUP(A3560,'Materiales '!$C$2:$G$396,3,0)</f>
        <v>0</v>
      </c>
      <c r="C3560" s="88">
        <f>VLOOKUP(A3560,'Materiales '!$C$2:$G$396,3,0)</f>
        <v>0</v>
      </c>
      <c r="D3560" s="89" t="str">
        <f>VLOOKUP(A3560,'Materiales '!$C$2:$G$396,4,0)</f>
        <v>-</v>
      </c>
      <c r="E3560" s="90"/>
      <c r="F3560" s="508" t="e">
        <f t="shared" si="209"/>
        <v>#VALUE!</v>
      </c>
      <c r="G3560" s="519"/>
      <c r="H3560" s="111"/>
      <c r="I3560">
        <f>E3560*G3540</f>
        <v>0</v>
      </c>
      <c r="J3560" s="58"/>
      <c r="K3560" s="50"/>
      <c r="L3560" s="50"/>
      <c r="M3560" s="50"/>
      <c r="N3560" s="50"/>
      <c r="O3560" s="50"/>
    </row>
    <row r="3561" spans="1:15">
      <c r="A3561" s="517" t="s">
        <v>8</v>
      </c>
      <c r="B3561" s="518">
        <f>VLOOKUP(A3561,'Materiales '!$C$2:$G$396,3,0)</f>
        <v>0</v>
      </c>
      <c r="C3561" s="88">
        <f>VLOOKUP(A3561,'Materiales '!$C$2:$G$396,3,0)</f>
        <v>0</v>
      </c>
      <c r="D3561" s="89" t="str">
        <f>VLOOKUP(A3561,'Materiales '!$C$2:$G$396,4,0)</f>
        <v>-</v>
      </c>
      <c r="E3561" s="90"/>
      <c r="F3561" s="508" t="e">
        <f t="shared" si="209"/>
        <v>#VALUE!</v>
      </c>
      <c r="G3561" s="519"/>
      <c r="H3561" s="111"/>
      <c r="I3561">
        <f>E3561*G3540</f>
        <v>0</v>
      </c>
      <c r="J3561" s="58"/>
      <c r="K3561" s="50"/>
      <c r="L3561" s="50"/>
      <c r="M3561" s="50"/>
      <c r="N3561" s="50"/>
      <c r="O3561" s="50"/>
    </row>
    <row r="3562" spans="1:15">
      <c r="A3562" s="517" t="s">
        <v>8</v>
      </c>
      <c r="B3562" s="518">
        <f>VLOOKUP(A3562,'Materiales '!$C$2:$G$396,3,0)</f>
        <v>0</v>
      </c>
      <c r="C3562" s="88">
        <f>VLOOKUP(A3562,'Materiales '!$C$2:$G$396,3,0)</f>
        <v>0</v>
      </c>
      <c r="D3562" s="89" t="str">
        <f>VLOOKUP(A3562,'Materiales '!$C$2:$G$396,4,0)</f>
        <v>-</v>
      </c>
      <c r="E3562" s="90"/>
      <c r="F3562" s="508" t="e">
        <f>E3562*D3562</f>
        <v>#VALUE!</v>
      </c>
      <c r="G3562" s="519"/>
      <c r="H3562" s="110"/>
      <c r="I3562">
        <f>E3562*G3540</f>
        <v>0</v>
      </c>
      <c r="J3562" s="58"/>
      <c r="K3562" s="50"/>
      <c r="L3562" s="50"/>
      <c r="M3562" s="50"/>
      <c r="N3562" s="50"/>
      <c r="O3562" s="50"/>
    </row>
    <row r="3563" spans="1:15">
      <c r="A3563" s="520" t="s">
        <v>4098</v>
      </c>
      <c r="B3563" s="521"/>
      <c r="C3563" s="521"/>
      <c r="D3563" s="521"/>
      <c r="E3563" s="521"/>
      <c r="F3563" s="521"/>
      <c r="G3563" s="522"/>
      <c r="H3563" s="106" t="e">
        <f>SUM(F3549:F3562)</f>
        <v>#VALUE!</v>
      </c>
      <c r="J3563" s="58"/>
      <c r="K3563" s="50"/>
      <c r="L3563" s="50"/>
      <c r="M3563" s="50"/>
      <c r="N3563" s="50"/>
      <c r="O3563" s="50"/>
    </row>
    <row r="3564" spans="1:15">
      <c r="A3564" s="523" t="s">
        <v>4220</v>
      </c>
      <c r="B3564" s="524"/>
      <c r="C3564" s="524"/>
      <c r="D3564" s="524"/>
      <c r="E3564" s="525"/>
      <c r="F3564" s="524"/>
      <c r="G3564" s="524"/>
      <c r="H3564" s="526"/>
      <c r="J3564" s="58"/>
      <c r="K3564" s="50"/>
      <c r="L3564" s="50"/>
      <c r="M3564" s="50"/>
      <c r="N3564" s="50"/>
      <c r="O3564" s="50"/>
    </row>
    <row r="3565" spans="1:15">
      <c r="A3565" s="527" t="s">
        <v>7</v>
      </c>
      <c r="B3565" s="528"/>
      <c r="C3565" s="98" t="s">
        <v>4221</v>
      </c>
      <c r="D3565" s="97" t="s">
        <v>4222</v>
      </c>
      <c r="E3565" s="187" t="s">
        <v>4223</v>
      </c>
      <c r="F3565" s="529" t="s">
        <v>4207</v>
      </c>
      <c r="G3565" s="529"/>
      <c r="H3565" s="109"/>
      <c r="K3565" s="50"/>
      <c r="L3565" s="50"/>
      <c r="M3565" s="50"/>
      <c r="N3565" s="50"/>
      <c r="O3565" s="50"/>
    </row>
    <row r="3566" spans="1:15">
      <c r="A3566" s="506" t="s">
        <v>3928</v>
      </c>
      <c r="B3566" s="507"/>
      <c r="C3566" s="213">
        <v>1</v>
      </c>
      <c r="D3566" s="92">
        <v>0.03</v>
      </c>
      <c r="E3566" s="93" t="str">
        <f>VLOOKUP(A3566,'Equip, Herr y Transp'!$B$2:$E$217,3,0)</f>
        <v>TR</v>
      </c>
      <c r="F3566" s="530" t="e">
        <f>E3566*D3566*C3566</f>
        <v>#VALUE!</v>
      </c>
      <c r="G3566" s="531"/>
      <c r="H3566" s="107"/>
      <c r="M3566" s="50"/>
    </row>
    <row r="3567" spans="1:15">
      <c r="A3567" s="532" t="s">
        <v>4205</v>
      </c>
      <c r="B3567" s="533"/>
      <c r="C3567" s="533"/>
      <c r="D3567" s="533"/>
      <c r="E3567" s="533"/>
      <c r="F3567" s="533"/>
      <c r="G3567" s="533"/>
      <c r="H3567" s="95" t="e">
        <f>F3566</f>
        <v>#VALUE!</v>
      </c>
    </row>
    <row r="3568" spans="1:15">
      <c r="A3568" s="523" t="s">
        <v>4224</v>
      </c>
      <c r="B3568" s="524"/>
      <c r="C3568" s="524"/>
      <c r="D3568" s="524"/>
      <c r="E3568" s="524"/>
      <c r="F3568" s="524"/>
      <c r="G3568" s="524"/>
      <c r="H3568" s="526"/>
    </row>
    <row r="3569" spans="1:10">
      <c r="A3569" s="527" t="s">
        <v>7</v>
      </c>
      <c r="B3569" s="528"/>
      <c r="C3569" s="96" t="s">
        <v>1</v>
      </c>
      <c r="D3569" s="97" t="s">
        <v>4225</v>
      </c>
      <c r="E3569" s="98" t="s">
        <v>4204</v>
      </c>
      <c r="F3569" s="527" t="s">
        <v>5</v>
      </c>
      <c r="G3569" s="534"/>
      <c r="H3569" s="109"/>
    </row>
    <row r="3570" spans="1:10">
      <c r="A3570" s="506" t="s">
        <v>4191</v>
      </c>
      <c r="B3570" s="507"/>
      <c r="C3570" s="91">
        <v>1</v>
      </c>
      <c r="D3570" s="94">
        <f>VLOOKUP(A3570,'Mano Obra'!$B$2:$T$117,19,0)</f>
        <v>152456</v>
      </c>
      <c r="E3570" s="218">
        <f>H3533</f>
        <v>6.25E-2</v>
      </c>
      <c r="F3570" s="508">
        <f>E3570*D3570*C3570</f>
        <v>9528.5</v>
      </c>
      <c r="G3570" s="509"/>
      <c r="H3570" s="111"/>
      <c r="I3570" s="59"/>
      <c r="J3570" s="117">
        <f>((('Mano Obra'!$M$4/30)*F3570)/D3570)*G3540</f>
        <v>0</v>
      </c>
    </row>
    <row r="3571" spans="1:10">
      <c r="A3571" s="510" t="s">
        <v>4192</v>
      </c>
      <c r="B3571" s="511">
        <f>VLOOKUP(A3571,'Mano Obra'!$B$3:$D$290,2,0)</f>
        <v>1900000</v>
      </c>
      <c r="C3571" s="91">
        <v>1</v>
      </c>
      <c r="D3571" s="94">
        <f>VLOOKUP(A3571,'Mano Obra'!$B$2:$T$117,19,0)</f>
        <v>110488</v>
      </c>
      <c r="E3571" s="218">
        <f>H3533</f>
        <v>6.25E-2</v>
      </c>
      <c r="F3571" s="508">
        <f t="shared" ref="F3571:F3572" si="210">E3571*D3571*C3571</f>
        <v>6905.5</v>
      </c>
      <c r="G3571" s="509"/>
      <c r="H3571" s="111"/>
      <c r="J3571" s="117">
        <f>((('Mano Obra'!$M$5/30)*F3571)/D3571)*G3540</f>
        <v>0</v>
      </c>
    </row>
    <row r="3572" spans="1:10">
      <c r="A3572" s="510" t="s">
        <v>4181</v>
      </c>
      <c r="B3572" s="511">
        <f>VLOOKUP(A3572,'Mano Obra'!$B$3:$D$290,2,0)</f>
        <v>1000000</v>
      </c>
      <c r="C3572" s="91">
        <v>1</v>
      </c>
      <c r="D3572" s="94">
        <f>VLOOKUP(A3572,'Mano Obra'!$B$2:$T$117,19,0)</f>
        <v>67424</v>
      </c>
      <c r="E3572" s="218">
        <f>H3533</f>
        <v>6.25E-2</v>
      </c>
      <c r="F3572" s="508">
        <f t="shared" si="210"/>
        <v>4214</v>
      </c>
      <c r="G3572" s="509"/>
      <c r="H3572" s="110"/>
      <c r="J3572" s="117">
        <f>((('Mano Obra'!$M$6/30)*F3572)/D3572)*G3540</f>
        <v>0</v>
      </c>
    </row>
    <row r="3573" spans="1:10">
      <c r="A3573" s="512" t="s">
        <v>4100</v>
      </c>
      <c r="B3573" s="512"/>
      <c r="C3573" s="512"/>
      <c r="D3573" s="512"/>
      <c r="E3573" s="512"/>
      <c r="F3573" s="512"/>
      <c r="G3573" s="512"/>
      <c r="H3573" s="95">
        <f>SUM(F3570:F3572)</f>
        <v>20648</v>
      </c>
      <c r="J3573" s="117"/>
    </row>
    <row r="3574" spans="1:10">
      <c r="A3574" s="208" t="s">
        <v>4226</v>
      </c>
      <c r="B3574" s="186"/>
      <c r="C3574" s="186"/>
      <c r="D3574" s="183"/>
      <c r="E3574" s="184"/>
      <c r="F3574" s="185"/>
      <c r="G3574" s="184"/>
      <c r="H3574" s="193"/>
    </row>
    <row r="3575" spans="1:10">
      <c r="A3575" s="513" t="s">
        <v>4213</v>
      </c>
      <c r="B3575" s="514"/>
      <c r="C3575" s="514"/>
      <c r="D3575" s="514"/>
      <c r="E3575" s="181"/>
      <c r="F3575" s="182" t="s">
        <v>4227</v>
      </c>
      <c r="G3575" s="181" t="s">
        <v>4228</v>
      </c>
      <c r="H3575" s="194"/>
    </row>
    <row r="3576" spans="1:10">
      <c r="A3576" s="204" t="s">
        <v>4096</v>
      </c>
      <c r="B3576" s="62"/>
      <c r="C3576" s="62"/>
      <c r="D3576" s="63"/>
      <c r="E3576" s="68"/>
      <c r="F3576" s="69">
        <v>0</v>
      </c>
      <c r="G3576" s="70" t="e">
        <f>F3576*H3541</f>
        <v>#VALUE!</v>
      </c>
      <c r="H3576" s="193"/>
    </row>
    <row r="3577" spans="1:10">
      <c r="A3577" s="205" t="s">
        <v>4229</v>
      </c>
      <c r="B3577" s="71"/>
      <c r="C3577" s="71"/>
      <c r="D3577" s="72"/>
      <c r="E3577" s="68"/>
      <c r="F3577" s="69">
        <v>0</v>
      </c>
      <c r="G3577" s="70" t="e">
        <f>F3577*H3541</f>
        <v>#VALUE!</v>
      </c>
      <c r="H3577" s="193"/>
    </row>
    <row r="3578" spans="1:10">
      <c r="A3578" s="205" t="s">
        <v>4</v>
      </c>
      <c r="B3578" s="71"/>
      <c r="C3578" s="71"/>
      <c r="D3578" s="72"/>
      <c r="E3578" s="68"/>
      <c r="F3578" s="69">
        <v>0</v>
      </c>
      <c r="G3578" s="70" t="e">
        <f>F3578*H3541</f>
        <v>#VALUE!</v>
      </c>
      <c r="H3578" s="193"/>
    </row>
    <row r="3579" spans="1:10">
      <c r="A3579" s="206"/>
      <c r="B3579" s="73"/>
      <c r="C3579" s="65"/>
      <c r="D3579" s="74"/>
      <c r="E3579" s="75"/>
      <c r="F3579" s="76"/>
      <c r="G3579" s="77"/>
      <c r="H3579" s="195"/>
    </row>
    <row r="3580" spans="1:10">
      <c r="A3580" s="207"/>
      <c r="B3580" s="73"/>
      <c r="C3580" s="73"/>
      <c r="D3580" s="74"/>
      <c r="E3580" s="78"/>
      <c r="F3580" s="515" t="s">
        <v>4230</v>
      </c>
      <c r="G3580" s="516"/>
      <c r="H3580" s="214" t="e">
        <f>H3541+G3576+G3577+G3578</f>
        <v>#VALUE!</v>
      </c>
    </row>
    <row r="3581" spans="1:10">
      <c r="A3581" s="73"/>
      <c r="B3581" s="73"/>
      <c r="C3581" s="73"/>
      <c r="D3581" s="74"/>
      <c r="E3581" s="360"/>
      <c r="F3581" s="361"/>
      <c r="G3581" s="361"/>
      <c r="H3581" s="362"/>
    </row>
    <row r="3582" spans="1:10">
      <c r="A3582" s="80"/>
      <c r="B3582" s="80"/>
      <c r="C3582" s="80"/>
      <c r="D3582" s="80"/>
      <c r="E3582" s="80"/>
      <c r="F3582" s="80"/>
      <c r="G3582" s="80"/>
      <c r="H3582" s="353"/>
    </row>
    <row r="3583" spans="1:10">
      <c r="A3583" s="537" t="s">
        <v>4214</v>
      </c>
      <c r="B3583" s="538"/>
      <c r="C3583" s="538"/>
      <c r="D3583" s="538"/>
      <c r="E3583" s="538"/>
      <c r="F3583" s="538"/>
      <c r="G3583" s="538"/>
      <c r="H3583" s="539"/>
    </row>
    <row r="3584" spans="1:10">
      <c r="A3584" s="81"/>
      <c r="B3584" s="82"/>
      <c r="C3584" s="82"/>
      <c r="D3584" s="82"/>
      <c r="E3584" s="82"/>
      <c r="F3584" s="83"/>
      <c r="G3584" s="84"/>
      <c r="H3584" s="352">
        <f>ROUND((30/60)/8,4)</f>
        <v>6.25E-2</v>
      </c>
      <c r="I3584" s="105"/>
    </row>
    <row r="3585" spans="1:15">
      <c r="A3585" s="540" t="s">
        <v>4209</v>
      </c>
      <c r="B3585" s="542" t="str">
        <f>COSTOS!$C$14</f>
        <v>MODERNIZACION A TECNOLOGIA LED</v>
      </c>
      <c r="C3585" s="542"/>
      <c r="D3585" s="542"/>
      <c r="E3585" s="542"/>
      <c r="F3585" s="542"/>
      <c r="G3585" s="542"/>
      <c r="H3585" s="543" t="s">
        <v>4210</v>
      </c>
    </row>
    <row r="3586" spans="1:15">
      <c r="A3586" s="541"/>
      <c r="B3586" s="542"/>
      <c r="C3586" s="542"/>
      <c r="D3586" s="542"/>
      <c r="E3586" s="542"/>
      <c r="F3586" s="542"/>
      <c r="G3586" s="542"/>
      <c r="H3586" s="543"/>
    </row>
    <row r="3587" spans="1:15">
      <c r="A3587" s="541"/>
      <c r="B3587" s="542"/>
      <c r="C3587" s="542"/>
      <c r="D3587" s="542"/>
      <c r="E3587" s="542"/>
      <c r="F3587" s="542"/>
      <c r="G3587" s="542"/>
      <c r="H3587" s="543"/>
    </row>
    <row r="3588" spans="1:15" ht="15" customHeight="1">
      <c r="A3588" s="541"/>
      <c r="B3588" s="542"/>
      <c r="C3588" s="542"/>
      <c r="D3588" s="542"/>
      <c r="E3588" s="542"/>
      <c r="F3588" s="542"/>
      <c r="G3588" s="542"/>
      <c r="H3588" s="197">
        <f ca="1">TODAY()</f>
        <v>44889</v>
      </c>
      <c r="K3588" t="s">
        <v>4380</v>
      </c>
      <c r="L3588" t="s">
        <v>4381</v>
      </c>
      <c r="M3588" t="s">
        <v>4382</v>
      </c>
      <c r="N3588" t="s">
        <v>4383</v>
      </c>
    </row>
    <row r="3589" spans="1:15" ht="60.75" customHeight="1">
      <c r="A3589" s="209" t="s">
        <v>4211</v>
      </c>
      <c r="B3589" s="544" t="str">
        <f>COSTOS!$D$16</f>
        <v>Luminarias</v>
      </c>
      <c r="C3589" s="544"/>
      <c r="D3589" s="544"/>
      <c r="E3589" s="544"/>
      <c r="F3589" s="544"/>
      <c r="G3589" s="60" t="s">
        <v>4212</v>
      </c>
      <c r="H3589" s="363">
        <v>1.71</v>
      </c>
      <c r="K3589" s="55" t="e">
        <f>H3614</f>
        <v>#VALUE!</v>
      </c>
      <c r="L3589" s="55">
        <f>H3624</f>
        <v>20648</v>
      </c>
      <c r="M3589" s="55" t="e">
        <f>H3597</f>
        <v>#VALUE!</v>
      </c>
      <c r="N3589" s="55" t="e">
        <f>H3618</f>
        <v>#VALUE!</v>
      </c>
    </row>
    <row r="3590" spans="1:15" ht="43.2" customHeight="1">
      <c r="A3590" s="210" t="s">
        <v>4213</v>
      </c>
      <c r="B3590" s="545" t="str">
        <f>VLOOKUP(H3589,COSTOS!C:M,2,0)</f>
        <v>Wallpack led de 50w</v>
      </c>
      <c r="C3590" s="546"/>
      <c r="D3590" s="546"/>
      <c r="E3590" s="547"/>
      <c r="F3590" s="61" t="s">
        <v>0</v>
      </c>
      <c r="G3590" s="328" t="str">
        <f>VLOOKUP(H3589,COSTOS!C:M,8,0)</f>
        <v>Und</v>
      </c>
      <c r="H3590" s="248"/>
      <c r="I3590" s="278"/>
      <c r="J3590" s="280"/>
      <c r="K3590" s="280"/>
      <c r="L3590" s="280"/>
    </row>
    <row r="3591" spans="1:15">
      <c r="A3591" s="211"/>
      <c r="B3591" s="102"/>
      <c r="C3591" s="102"/>
      <c r="D3591" s="102"/>
      <c r="E3591" s="103"/>
      <c r="F3591" s="104" t="s">
        <v>1</v>
      </c>
      <c r="G3591" s="328">
        <f>VLOOKUP(H3589,COSTOS!C:M,9,0)</f>
        <v>0</v>
      </c>
      <c r="H3591" s="329"/>
      <c r="I3591" s="279"/>
    </row>
    <row r="3592" spans="1:15">
      <c r="A3592" s="212" t="s">
        <v>4215</v>
      </c>
      <c r="B3592" s="65"/>
      <c r="C3592" s="65"/>
      <c r="D3592" s="66"/>
      <c r="E3592" s="190"/>
      <c r="F3592" s="191"/>
      <c r="G3592" s="192" t="s">
        <v>4216</v>
      </c>
      <c r="H3592" s="198" t="e">
        <f>H3597+H3614+H3618+H3624</f>
        <v>#VALUE!</v>
      </c>
    </row>
    <row r="3593" spans="1:15" ht="41.4">
      <c r="A3593" s="548" t="s">
        <v>4213</v>
      </c>
      <c r="B3593" s="548"/>
      <c r="C3593" s="548"/>
      <c r="D3593" s="67" t="s">
        <v>0</v>
      </c>
      <c r="E3593" s="188" t="s">
        <v>4217</v>
      </c>
      <c r="F3593" s="189" t="s">
        <v>4204</v>
      </c>
      <c r="G3593" s="64" t="s">
        <v>2</v>
      </c>
      <c r="H3593" s="199" t="s">
        <v>4218</v>
      </c>
      <c r="K3593" s="281"/>
    </row>
    <row r="3594" spans="1:15">
      <c r="A3594" s="517" t="s">
        <v>3946</v>
      </c>
      <c r="B3594" s="549">
        <f>VLOOKUP(A3594,'Equip, Herr y Transp'!$B$2:$E$738,2,0)</f>
        <v>2</v>
      </c>
      <c r="C3594" s="549"/>
      <c r="D3594" s="85">
        <f>VLOOKUP(A3594,'Equip, Herr y Transp'!$B$2:$E$217,2,0)</f>
        <v>2</v>
      </c>
      <c r="E3594" s="85" t="str">
        <f>VLOOKUP(A3594,'Equip, Herr y Transp'!$B$2:$E$217,3,0)</f>
        <v>EQU</v>
      </c>
      <c r="F3594" s="86">
        <f>H3584</f>
        <v>6.25E-2</v>
      </c>
      <c r="G3594" s="112" t="e">
        <f>F3594*E3594</f>
        <v>#VALUE!</v>
      </c>
      <c r="H3594" s="108"/>
    </row>
    <row r="3595" spans="1:15">
      <c r="A3595" s="517" t="s">
        <v>3904</v>
      </c>
      <c r="B3595" s="549">
        <f>VLOOKUP(A3595,'Equip, Herr y Transp'!$B$2:$E$738,2,0)</f>
        <v>2</v>
      </c>
      <c r="C3595" s="549"/>
      <c r="D3595" s="85">
        <f>VLOOKUP(A3595,'Equip, Herr y Transp'!$B$2:$E$217,2,0)</f>
        <v>2</v>
      </c>
      <c r="E3595" s="85" t="str">
        <f>VLOOKUP(A3595,'Equip, Herr y Transp'!$B$2:$E$217,3,0)</f>
        <v>EQU</v>
      </c>
      <c r="F3595" s="86">
        <f>H3584</f>
        <v>6.25E-2</v>
      </c>
      <c r="G3595" s="112" t="e">
        <f>F3595*E3595</f>
        <v>#VALUE!</v>
      </c>
      <c r="H3595" s="107"/>
    </row>
    <row r="3596" spans="1:15">
      <c r="A3596" s="517" t="s">
        <v>3937</v>
      </c>
      <c r="B3596" s="549">
        <f>VLOOKUP(A3596,'Equip, Herr y Transp'!$B$2:$E$738,2,0)</f>
        <v>2</v>
      </c>
      <c r="C3596" s="549"/>
      <c r="D3596" s="85">
        <f>VLOOKUP(A3596,'Equip, Herr y Transp'!$B$2:$E$217,2,0)</f>
        <v>2</v>
      </c>
      <c r="E3596" s="85" t="str">
        <f>VLOOKUP(A3596,'Equip, Herr y Transp'!$B$2:$E$217,3,0)</f>
        <v>EQU</v>
      </c>
      <c r="F3596" s="86">
        <f>H3584</f>
        <v>6.25E-2</v>
      </c>
      <c r="G3596" s="112" t="e">
        <f>F3596*E3596</f>
        <v>#VALUE!</v>
      </c>
      <c r="H3596" s="107"/>
    </row>
    <row r="3597" spans="1:15">
      <c r="A3597" s="520" t="s">
        <v>4099</v>
      </c>
      <c r="B3597" s="521"/>
      <c r="C3597" s="521"/>
      <c r="D3597" s="521"/>
      <c r="E3597" s="521"/>
      <c r="F3597" s="521"/>
      <c r="G3597" s="521"/>
      <c r="H3597" s="87" t="e">
        <f>SUM(G3594:G3596)</f>
        <v>#VALUE!</v>
      </c>
    </row>
    <row r="3598" spans="1:15">
      <c r="A3598" s="550" t="s">
        <v>4219</v>
      </c>
      <c r="B3598" s="551"/>
      <c r="C3598" s="551"/>
      <c r="D3598" s="551"/>
      <c r="E3598" s="551"/>
      <c r="F3598" s="551"/>
      <c r="G3598" s="551"/>
      <c r="H3598" s="552"/>
      <c r="K3598" s="50"/>
      <c r="L3598" s="50"/>
      <c r="M3598" s="50"/>
      <c r="N3598" s="50"/>
      <c r="O3598" s="50"/>
    </row>
    <row r="3599" spans="1:15" ht="30" customHeight="1">
      <c r="A3599" s="553" t="s">
        <v>7</v>
      </c>
      <c r="B3599" s="554"/>
      <c r="C3599" s="99" t="s">
        <v>0</v>
      </c>
      <c r="D3599" s="100" t="s">
        <v>4097</v>
      </c>
      <c r="E3599" s="101" t="s">
        <v>1</v>
      </c>
      <c r="F3599" s="555" t="s">
        <v>4207</v>
      </c>
      <c r="G3599" s="555"/>
      <c r="H3599" s="196"/>
      <c r="K3599" s="50"/>
      <c r="L3599" s="50"/>
      <c r="M3599" s="50"/>
      <c r="N3599" s="50"/>
      <c r="O3599" s="50"/>
    </row>
    <row r="3600" spans="1:15">
      <c r="A3600" s="535" t="s">
        <v>4800</v>
      </c>
      <c r="B3600" s="536"/>
      <c r="C3600" s="88">
        <f>VLOOKUP(A3600,'Materiales '!$C$2:$G$396,3,0)</f>
        <v>4</v>
      </c>
      <c r="D3600" s="89" t="str">
        <f>VLOOKUP(A3600,'Materiales '!$C$2:$G$396,4,0)</f>
        <v>Und</v>
      </c>
      <c r="E3600" s="90">
        <v>1</v>
      </c>
      <c r="F3600" s="508" t="e">
        <f>E3600*D3600</f>
        <v>#VALUE!</v>
      </c>
      <c r="G3600" s="519"/>
      <c r="H3600" s="111"/>
      <c r="I3600">
        <f>E3600*G3591</f>
        <v>0</v>
      </c>
      <c r="J3600" s="57"/>
      <c r="K3600" s="50"/>
      <c r="L3600" s="50"/>
      <c r="M3600" s="50"/>
      <c r="N3600" s="50"/>
      <c r="O3600" s="50"/>
    </row>
    <row r="3601" spans="1:15">
      <c r="A3601" s="535" t="s">
        <v>4203</v>
      </c>
      <c r="B3601" s="536"/>
      <c r="C3601" s="88">
        <f>VLOOKUP(A3601,'Materiales '!$C$2:$G$396,3,0)</f>
        <v>4</v>
      </c>
      <c r="D3601" s="89" t="str">
        <f>VLOOKUP(A3601,'Materiales '!$C$2:$G$396,4,0)</f>
        <v>Und</v>
      </c>
      <c r="E3601" s="90">
        <v>1</v>
      </c>
      <c r="F3601" s="508" t="e">
        <f t="shared" ref="F3601:F3607" si="211">E3601*D3601</f>
        <v>#VALUE!</v>
      </c>
      <c r="G3601" s="519"/>
      <c r="H3601" s="111"/>
      <c r="I3601">
        <f>E3601*G3591</f>
        <v>0</v>
      </c>
      <c r="J3601" s="57"/>
      <c r="K3601" s="50"/>
      <c r="L3601" s="50"/>
      <c r="M3601" s="50"/>
      <c r="N3601" s="50"/>
      <c r="O3601" s="50"/>
    </row>
    <row r="3602" spans="1:15">
      <c r="A3602" s="517" t="s">
        <v>4628</v>
      </c>
      <c r="B3602" s="518">
        <f>VLOOKUP(A3602,'Materiales '!$C$2:$G$396,3,0)</f>
        <v>4</v>
      </c>
      <c r="C3602" s="88">
        <f>VLOOKUP(A3602,'Materiales '!$C$2:$G$396,3,0)</f>
        <v>4</v>
      </c>
      <c r="D3602" s="89" t="str">
        <f>VLOOKUP(A3602,'Materiales '!$C$2:$G$396,4,0)</f>
        <v>Und</v>
      </c>
      <c r="E3602" s="90">
        <v>0.5</v>
      </c>
      <c r="F3602" s="508" t="e">
        <f t="shared" si="211"/>
        <v>#VALUE!</v>
      </c>
      <c r="G3602" s="519"/>
      <c r="H3602" s="111"/>
      <c r="I3602">
        <f>E3602*G3591</f>
        <v>0</v>
      </c>
      <c r="J3602" s="58"/>
      <c r="K3602" s="50"/>
      <c r="L3602" s="50"/>
      <c r="M3602" s="50"/>
      <c r="N3602" s="50"/>
      <c r="O3602" s="50"/>
    </row>
    <row r="3603" spans="1:15">
      <c r="A3603" s="517" t="s">
        <v>4439</v>
      </c>
      <c r="B3603" s="518">
        <f>VLOOKUP(A3603,'Materiales '!$C$2:$G$396,3,0)</f>
        <v>2</v>
      </c>
      <c r="C3603" s="88">
        <f>VLOOKUP(A3603,'Materiales '!$C$2:$G$396,3,0)</f>
        <v>2</v>
      </c>
      <c r="D3603" s="89" t="str">
        <f>VLOOKUP(A3603,'Materiales '!$C$2:$G$396,4,0)</f>
        <v>Ml</v>
      </c>
      <c r="E3603" s="90">
        <v>2</v>
      </c>
      <c r="F3603" s="508" t="e">
        <f t="shared" si="211"/>
        <v>#VALUE!</v>
      </c>
      <c r="G3603" s="519"/>
      <c r="H3603" s="111"/>
      <c r="I3603">
        <f>E3603*G3591</f>
        <v>0</v>
      </c>
      <c r="J3603" s="58"/>
      <c r="K3603" s="50"/>
      <c r="L3603" s="50"/>
      <c r="M3603" s="50"/>
      <c r="N3603" s="50"/>
      <c r="O3603" s="50"/>
    </row>
    <row r="3604" spans="1:15">
      <c r="A3604" s="517" t="s">
        <v>8</v>
      </c>
      <c r="B3604" s="518">
        <f>VLOOKUP(A3604,'Materiales '!$C$2:$G$396,3,0)</f>
        <v>0</v>
      </c>
      <c r="C3604" s="88">
        <f>VLOOKUP(A3604,'Materiales '!$C$2:$G$396,3,0)</f>
        <v>0</v>
      </c>
      <c r="D3604" s="89" t="str">
        <f>VLOOKUP(A3604,'Materiales '!$C$2:$G$396,4,0)</f>
        <v>-</v>
      </c>
      <c r="E3604" s="90">
        <v>1</v>
      </c>
      <c r="F3604" s="508" t="e">
        <f t="shared" si="211"/>
        <v>#VALUE!</v>
      </c>
      <c r="G3604" s="519"/>
      <c r="H3604" s="111"/>
      <c r="I3604">
        <f>E3604*G3591</f>
        <v>0</v>
      </c>
      <c r="J3604" s="58"/>
      <c r="K3604" s="50"/>
      <c r="L3604" s="50"/>
      <c r="M3604" s="50"/>
      <c r="N3604" s="50"/>
      <c r="O3604" s="50"/>
    </row>
    <row r="3605" spans="1:15">
      <c r="A3605" s="517" t="s">
        <v>8</v>
      </c>
      <c r="B3605" s="518">
        <f>VLOOKUP(A3605,'Materiales '!$C$2:$G$396,3,0)</f>
        <v>0</v>
      </c>
      <c r="C3605" s="88">
        <f>VLOOKUP(A3605,'Materiales '!$C$2:$G$396,3,0)</f>
        <v>0</v>
      </c>
      <c r="D3605" s="89" t="str">
        <f>VLOOKUP(A3605,'Materiales '!$C$2:$G$396,4,0)</f>
        <v>-</v>
      </c>
      <c r="E3605" s="90">
        <v>1</v>
      </c>
      <c r="F3605" s="508" t="e">
        <f t="shared" si="211"/>
        <v>#VALUE!</v>
      </c>
      <c r="G3605" s="519"/>
      <c r="H3605" s="111"/>
      <c r="I3605">
        <f>E3605*G3591</f>
        <v>0</v>
      </c>
      <c r="J3605" s="58"/>
      <c r="K3605" s="50"/>
      <c r="L3605" s="50"/>
      <c r="M3605" s="50"/>
      <c r="N3605" s="50"/>
      <c r="O3605" s="50"/>
    </row>
    <row r="3606" spans="1:15">
      <c r="A3606" s="517" t="s">
        <v>8</v>
      </c>
      <c r="B3606" s="518">
        <f>VLOOKUP(A3606,'Materiales '!$C$2:$G$396,3,0)</f>
        <v>0</v>
      </c>
      <c r="C3606" s="88">
        <f>VLOOKUP(A3606,'Materiales '!$C$2:$G$396,3,0)</f>
        <v>0</v>
      </c>
      <c r="D3606" s="89" t="str">
        <f>VLOOKUP(A3606,'Materiales '!$C$2:$G$396,4,0)</f>
        <v>-</v>
      </c>
      <c r="E3606" s="90">
        <v>1</v>
      </c>
      <c r="F3606" s="508" t="e">
        <f t="shared" si="211"/>
        <v>#VALUE!</v>
      </c>
      <c r="G3606" s="519"/>
      <c r="H3606" s="111"/>
      <c r="I3606">
        <f>E3606*G3591</f>
        <v>0</v>
      </c>
      <c r="J3606" s="58"/>
      <c r="K3606" s="50"/>
      <c r="L3606" s="50"/>
      <c r="M3606" s="50"/>
      <c r="N3606" s="50"/>
      <c r="O3606" s="50"/>
    </row>
    <row r="3607" spans="1:15" ht="21.75" customHeight="1">
      <c r="A3607" s="517" t="s">
        <v>8</v>
      </c>
      <c r="B3607" s="518">
        <f>VLOOKUP(A3607,'Materiales '!$C$2:$G$396,3,0)</f>
        <v>0</v>
      </c>
      <c r="C3607" s="88">
        <f>VLOOKUP(A3607,'Materiales '!$C$2:$G$396,3,0)</f>
        <v>0</v>
      </c>
      <c r="D3607" s="89" t="str">
        <f>VLOOKUP(A3607,'Materiales '!$C$2:$G$396,4,0)</f>
        <v>-</v>
      </c>
      <c r="E3607" s="90">
        <v>1</v>
      </c>
      <c r="F3607" s="508" t="e">
        <f t="shared" si="211"/>
        <v>#VALUE!</v>
      </c>
      <c r="G3607" s="519"/>
      <c r="H3607" s="111"/>
      <c r="I3607">
        <f>E3607*G3591</f>
        <v>0</v>
      </c>
      <c r="J3607" s="58"/>
      <c r="K3607" s="50"/>
      <c r="L3607" s="50"/>
      <c r="M3607" s="50"/>
      <c r="N3607" s="50"/>
      <c r="O3607" s="50"/>
    </row>
    <row r="3608" spans="1:15">
      <c r="A3608" s="517" t="s">
        <v>8</v>
      </c>
      <c r="B3608" s="518">
        <f>VLOOKUP(A3608,'Materiales '!$C$2:$G$396,3,0)</f>
        <v>0</v>
      </c>
      <c r="C3608" s="88">
        <f>VLOOKUP(A3608,'Materiales '!$C$2:$G$396,3,0)</f>
        <v>0</v>
      </c>
      <c r="D3608" s="89" t="str">
        <f>VLOOKUP(A3608,'Materiales '!$C$2:$G$396,4,0)</f>
        <v>-</v>
      </c>
      <c r="E3608" s="90"/>
      <c r="F3608" s="508" t="e">
        <f>E3608*D3608</f>
        <v>#VALUE!</v>
      </c>
      <c r="G3608" s="519"/>
      <c r="H3608" s="110"/>
      <c r="I3608">
        <f>E3608*G3591</f>
        <v>0</v>
      </c>
      <c r="J3608" s="58"/>
      <c r="K3608" s="50"/>
      <c r="L3608" s="50"/>
      <c r="M3608" s="50"/>
      <c r="N3608" s="50"/>
      <c r="O3608" s="50"/>
    </row>
    <row r="3609" spans="1:15">
      <c r="A3609" s="517" t="s">
        <v>8</v>
      </c>
      <c r="B3609" s="518">
        <f>VLOOKUP(A3609,'Materiales '!$C$2:$G$396,3,0)</f>
        <v>0</v>
      </c>
      <c r="C3609" s="88">
        <f>VLOOKUP(A3609,'Materiales '!$C$2:$G$396,3,0)</f>
        <v>0</v>
      </c>
      <c r="D3609" s="89" t="str">
        <f>VLOOKUP(A3609,'Materiales '!$C$2:$G$396,4,0)</f>
        <v>-</v>
      </c>
      <c r="E3609" s="90"/>
      <c r="F3609" s="508" t="e">
        <f t="shared" ref="F3609:F3612" si="212">E3609*D3609</f>
        <v>#VALUE!</v>
      </c>
      <c r="G3609" s="519"/>
      <c r="H3609" s="111"/>
      <c r="I3609">
        <f>E3609*G3591</f>
        <v>0</v>
      </c>
      <c r="J3609" s="58"/>
      <c r="K3609" s="50"/>
      <c r="L3609" s="50"/>
      <c r="M3609" s="50"/>
      <c r="N3609" s="50"/>
      <c r="O3609" s="50"/>
    </row>
    <row r="3610" spans="1:15">
      <c r="A3610" s="517" t="s">
        <v>8</v>
      </c>
      <c r="B3610" s="518">
        <f>VLOOKUP(A3610,'Materiales '!$C$2:$G$396,3,0)</f>
        <v>0</v>
      </c>
      <c r="C3610" s="88">
        <f>VLOOKUP(A3610,'Materiales '!$C$2:$G$396,3,0)</f>
        <v>0</v>
      </c>
      <c r="D3610" s="89" t="str">
        <f>VLOOKUP(A3610,'Materiales '!$C$2:$G$396,4,0)</f>
        <v>-</v>
      </c>
      <c r="E3610" s="90"/>
      <c r="F3610" s="508" t="e">
        <f t="shared" si="212"/>
        <v>#VALUE!</v>
      </c>
      <c r="G3610" s="519"/>
      <c r="H3610" s="111"/>
      <c r="I3610">
        <f>E3610*G3591</f>
        <v>0</v>
      </c>
      <c r="J3610" s="58"/>
      <c r="K3610" s="50"/>
      <c r="L3610" s="50"/>
      <c r="M3610" s="50"/>
      <c r="N3610" s="50"/>
      <c r="O3610" s="50"/>
    </row>
    <row r="3611" spans="1:15">
      <c r="A3611" s="517" t="s">
        <v>8</v>
      </c>
      <c r="B3611" s="518">
        <f>VLOOKUP(A3611,'Materiales '!$C$2:$G$396,3,0)</f>
        <v>0</v>
      </c>
      <c r="C3611" s="88">
        <f>VLOOKUP(A3611,'Materiales '!$C$2:$G$396,3,0)</f>
        <v>0</v>
      </c>
      <c r="D3611" s="89" t="str">
        <f>VLOOKUP(A3611,'Materiales '!$C$2:$G$396,4,0)</f>
        <v>-</v>
      </c>
      <c r="E3611" s="90"/>
      <c r="F3611" s="508" t="e">
        <f t="shared" si="212"/>
        <v>#VALUE!</v>
      </c>
      <c r="G3611" s="519"/>
      <c r="H3611" s="111"/>
      <c r="I3611">
        <f>E3611*G3591</f>
        <v>0</v>
      </c>
      <c r="J3611" s="58"/>
      <c r="K3611" s="50"/>
      <c r="L3611" s="50"/>
      <c r="M3611" s="50"/>
      <c r="N3611" s="50"/>
      <c r="O3611" s="50"/>
    </row>
    <row r="3612" spans="1:15">
      <c r="A3612" s="517" t="s">
        <v>8</v>
      </c>
      <c r="B3612" s="518">
        <f>VLOOKUP(A3612,'Materiales '!$C$2:$G$396,3,0)</f>
        <v>0</v>
      </c>
      <c r="C3612" s="88">
        <f>VLOOKUP(A3612,'Materiales '!$C$2:$G$396,3,0)</f>
        <v>0</v>
      </c>
      <c r="D3612" s="89" t="str">
        <f>VLOOKUP(A3612,'Materiales '!$C$2:$G$396,4,0)</f>
        <v>-</v>
      </c>
      <c r="E3612" s="90"/>
      <c r="F3612" s="508" t="e">
        <f t="shared" si="212"/>
        <v>#VALUE!</v>
      </c>
      <c r="G3612" s="519"/>
      <c r="H3612" s="111"/>
      <c r="I3612">
        <f>E3612*G3591</f>
        <v>0</v>
      </c>
      <c r="J3612" s="58"/>
      <c r="K3612" s="50"/>
      <c r="L3612" s="50"/>
      <c r="M3612" s="50"/>
      <c r="N3612" s="50"/>
      <c r="O3612" s="50"/>
    </row>
    <row r="3613" spans="1:15">
      <c r="A3613" s="517" t="s">
        <v>8</v>
      </c>
      <c r="B3613" s="518">
        <f>VLOOKUP(A3613,'Materiales '!$C$2:$G$396,3,0)</f>
        <v>0</v>
      </c>
      <c r="C3613" s="88">
        <f>VLOOKUP(A3613,'Materiales '!$C$2:$G$396,3,0)</f>
        <v>0</v>
      </c>
      <c r="D3613" s="89" t="str">
        <f>VLOOKUP(A3613,'Materiales '!$C$2:$G$396,4,0)</f>
        <v>-</v>
      </c>
      <c r="E3613" s="90"/>
      <c r="F3613" s="508" t="e">
        <f>E3613*D3613</f>
        <v>#VALUE!</v>
      </c>
      <c r="G3613" s="519"/>
      <c r="H3613" s="110"/>
      <c r="I3613">
        <f>E3613*G3591</f>
        <v>0</v>
      </c>
      <c r="J3613" s="58"/>
      <c r="K3613" s="50"/>
      <c r="L3613" s="50"/>
      <c r="M3613" s="50"/>
      <c r="N3613" s="50"/>
      <c r="O3613" s="50"/>
    </row>
    <row r="3614" spans="1:15">
      <c r="A3614" s="520" t="s">
        <v>4098</v>
      </c>
      <c r="B3614" s="521"/>
      <c r="C3614" s="521"/>
      <c r="D3614" s="521"/>
      <c r="E3614" s="521"/>
      <c r="F3614" s="521"/>
      <c r="G3614" s="522"/>
      <c r="H3614" s="106" t="e">
        <f>SUM(F3600:F3613)</f>
        <v>#VALUE!</v>
      </c>
      <c r="J3614" s="58"/>
      <c r="K3614" s="50"/>
      <c r="L3614" s="50"/>
      <c r="M3614" s="50"/>
      <c r="N3614" s="50"/>
      <c r="O3614" s="50"/>
    </row>
    <row r="3615" spans="1:15">
      <c r="A3615" s="523" t="s">
        <v>4220</v>
      </c>
      <c r="B3615" s="524"/>
      <c r="C3615" s="524"/>
      <c r="D3615" s="524"/>
      <c r="E3615" s="525"/>
      <c r="F3615" s="524"/>
      <c r="G3615" s="524"/>
      <c r="H3615" s="526"/>
      <c r="J3615" s="58"/>
      <c r="K3615" s="50"/>
      <c r="L3615" s="50"/>
      <c r="M3615" s="50"/>
      <c r="N3615" s="50"/>
      <c r="O3615" s="50"/>
    </row>
    <row r="3616" spans="1:15">
      <c r="A3616" s="527" t="s">
        <v>7</v>
      </c>
      <c r="B3616" s="528"/>
      <c r="C3616" s="98" t="s">
        <v>4221</v>
      </c>
      <c r="D3616" s="97" t="s">
        <v>4222</v>
      </c>
      <c r="E3616" s="187" t="s">
        <v>4223</v>
      </c>
      <c r="F3616" s="529" t="s">
        <v>4207</v>
      </c>
      <c r="G3616" s="529"/>
      <c r="H3616" s="109"/>
      <c r="K3616" s="50"/>
      <c r="L3616" s="50"/>
      <c r="M3616" s="50"/>
      <c r="N3616" s="50"/>
      <c r="O3616" s="50"/>
    </row>
    <row r="3617" spans="1:13">
      <c r="A3617" s="506" t="s">
        <v>3928</v>
      </c>
      <c r="B3617" s="507"/>
      <c r="C3617" s="213">
        <v>1</v>
      </c>
      <c r="D3617" s="92">
        <v>0.03</v>
      </c>
      <c r="E3617" s="93" t="str">
        <f>VLOOKUP(A3617,'Equip, Herr y Transp'!$B$2:$E$217,3,0)</f>
        <v>TR</v>
      </c>
      <c r="F3617" s="530" t="e">
        <f>E3617*D3617*C3617</f>
        <v>#VALUE!</v>
      </c>
      <c r="G3617" s="531"/>
      <c r="H3617" s="107"/>
      <c r="M3617" s="50"/>
    </row>
    <row r="3618" spans="1:13">
      <c r="A3618" s="532" t="s">
        <v>4205</v>
      </c>
      <c r="B3618" s="533"/>
      <c r="C3618" s="533"/>
      <c r="D3618" s="533"/>
      <c r="E3618" s="533"/>
      <c r="F3618" s="533"/>
      <c r="G3618" s="533"/>
      <c r="H3618" s="95" t="e">
        <f>F3617</f>
        <v>#VALUE!</v>
      </c>
    </row>
    <row r="3619" spans="1:13">
      <c r="A3619" s="523" t="s">
        <v>4224</v>
      </c>
      <c r="B3619" s="524"/>
      <c r="C3619" s="524"/>
      <c r="D3619" s="524"/>
      <c r="E3619" s="524"/>
      <c r="F3619" s="524"/>
      <c r="G3619" s="524"/>
      <c r="H3619" s="526"/>
    </row>
    <row r="3620" spans="1:13">
      <c r="A3620" s="527" t="s">
        <v>7</v>
      </c>
      <c r="B3620" s="528"/>
      <c r="C3620" s="96" t="s">
        <v>1</v>
      </c>
      <c r="D3620" s="97" t="s">
        <v>4225</v>
      </c>
      <c r="E3620" s="98" t="s">
        <v>4204</v>
      </c>
      <c r="F3620" s="527" t="s">
        <v>5</v>
      </c>
      <c r="G3620" s="534"/>
      <c r="H3620" s="109"/>
    </row>
    <row r="3621" spans="1:13">
      <c r="A3621" s="506" t="s">
        <v>4191</v>
      </c>
      <c r="B3621" s="507"/>
      <c r="C3621" s="91">
        <v>1</v>
      </c>
      <c r="D3621" s="94">
        <f>VLOOKUP(A3621,'Mano Obra'!$B$2:$T$117,19,0)</f>
        <v>152456</v>
      </c>
      <c r="E3621" s="218">
        <f>H3584</f>
        <v>6.25E-2</v>
      </c>
      <c r="F3621" s="508">
        <f>E3621*D3621*C3621</f>
        <v>9528.5</v>
      </c>
      <c r="G3621" s="509"/>
      <c r="H3621" s="111"/>
      <c r="I3621" s="59"/>
      <c r="J3621" s="117">
        <f>((('Mano Obra'!$M$4/30)*F3621)/D3621)*G3591</f>
        <v>0</v>
      </c>
    </row>
    <row r="3622" spans="1:13">
      <c r="A3622" s="510" t="s">
        <v>4192</v>
      </c>
      <c r="B3622" s="511">
        <f>VLOOKUP(A3622,'Mano Obra'!$B$3:$D$290,2,0)</f>
        <v>1900000</v>
      </c>
      <c r="C3622" s="91">
        <v>1</v>
      </c>
      <c r="D3622" s="94">
        <f>VLOOKUP(A3622,'Mano Obra'!$B$2:$T$117,19,0)</f>
        <v>110488</v>
      </c>
      <c r="E3622" s="218">
        <f>H3584</f>
        <v>6.25E-2</v>
      </c>
      <c r="F3622" s="508">
        <f t="shared" ref="F3622:F3623" si="213">E3622*D3622*C3622</f>
        <v>6905.5</v>
      </c>
      <c r="G3622" s="509"/>
      <c r="H3622" s="111"/>
      <c r="J3622" s="117">
        <f>((('Mano Obra'!$M$5/30)*F3622)/D3622)*G3591</f>
        <v>0</v>
      </c>
    </row>
    <row r="3623" spans="1:13">
      <c r="A3623" s="510" t="s">
        <v>4181</v>
      </c>
      <c r="B3623" s="511">
        <f>VLOOKUP(A3623,'Mano Obra'!$B$3:$D$290,2,0)</f>
        <v>1000000</v>
      </c>
      <c r="C3623" s="91">
        <v>1</v>
      </c>
      <c r="D3623" s="94">
        <f>VLOOKUP(A3623,'Mano Obra'!$B$2:$T$117,19,0)</f>
        <v>67424</v>
      </c>
      <c r="E3623" s="218">
        <f>H3584</f>
        <v>6.25E-2</v>
      </c>
      <c r="F3623" s="508">
        <f t="shared" si="213"/>
        <v>4214</v>
      </c>
      <c r="G3623" s="509"/>
      <c r="H3623" s="110"/>
      <c r="J3623" s="117">
        <f>((('Mano Obra'!$M$6/30)*F3623)/D3623)*G3591</f>
        <v>0</v>
      </c>
    </row>
    <row r="3624" spans="1:13">
      <c r="A3624" s="512" t="s">
        <v>4100</v>
      </c>
      <c r="B3624" s="512"/>
      <c r="C3624" s="512"/>
      <c r="D3624" s="512"/>
      <c r="E3624" s="512"/>
      <c r="F3624" s="512"/>
      <c r="G3624" s="512"/>
      <c r="H3624" s="95">
        <f>SUM(F3621:F3623)</f>
        <v>20648</v>
      </c>
      <c r="J3624" s="117"/>
    </row>
    <row r="3625" spans="1:13">
      <c r="A3625" s="208" t="s">
        <v>4226</v>
      </c>
      <c r="B3625" s="186"/>
      <c r="C3625" s="186"/>
      <c r="D3625" s="183"/>
      <c r="E3625" s="184"/>
      <c r="F3625" s="185"/>
      <c r="G3625" s="184"/>
      <c r="H3625" s="193"/>
    </row>
    <row r="3626" spans="1:13">
      <c r="A3626" s="513" t="s">
        <v>4213</v>
      </c>
      <c r="B3626" s="514"/>
      <c r="C3626" s="514"/>
      <c r="D3626" s="514"/>
      <c r="E3626" s="181"/>
      <c r="F3626" s="182" t="s">
        <v>4227</v>
      </c>
      <c r="G3626" s="181" t="s">
        <v>4228</v>
      </c>
      <c r="H3626" s="194"/>
    </row>
    <row r="3627" spans="1:13">
      <c r="A3627" s="204" t="s">
        <v>4096</v>
      </c>
      <c r="B3627" s="62"/>
      <c r="C3627" s="62"/>
      <c r="D3627" s="63"/>
      <c r="E3627" s="68"/>
      <c r="F3627" s="69">
        <v>0</v>
      </c>
      <c r="G3627" s="70" t="e">
        <f>F3627*H3592</f>
        <v>#VALUE!</v>
      </c>
      <c r="H3627" s="193"/>
    </row>
    <row r="3628" spans="1:13">
      <c r="A3628" s="205" t="s">
        <v>4229</v>
      </c>
      <c r="B3628" s="71"/>
      <c r="C3628" s="71"/>
      <c r="D3628" s="72"/>
      <c r="E3628" s="68"/>
      <c r="F3628" s="69">
        <v>0</v>
      </c>
      <c r="G3628" s="70" t="e">
        <f>F3628*H3592</f>
        <v>#VALUE!</v>
      </c>
      <c r="H3628" s="193"/>
    </row>
    <row r="3629" spans="1:13">
      <c r="A3629" s="205" t="s">
        <v>4</v>
      </c>
      <c r="B3629" s="71"/>
      <c r="C3629" s="71"/>
      <c r="D3629" s="72"/>
      <c r="E3629" s="68"/>
      <c r="F3629" s="69">
        <v>0</v>
      </c>
      <c r="G3629" s="70" t="e">
        <f>F3629*H3592</f>
        <v>#VALUE!</v>
      </c>
      <c r="H3629" s="193"/>
    </row>
    <row r="3630" spans="1:13">
      <c r="A3630" s="206"/>
      <c r="B3630" s="73"/>
      <c r="C3630" s="65"/>
      <c r="D3630" s="74"/>
      <c r="E3630" s="75"/>
      <c r="F3630" s="76"/>
      <c r="G3630" s="77"/>
      <c r="H3630" s="195"/>
    </row>
    <row r="3631" spans="1:13">
      <c r="A3631" s="207"/>
      <c r="B3631" s="73"/>
      <c r="C3631" s="73"/>
      <c r="D3631" s="74"/>
      <c r="E3631" s="78"/>
      <c r="F3631" s="515" t="s">
        <v>4230</v>
      </c>
      <c r="G3631" s="516"/>
      <c r="H3631" s="214" t="e">
        <f>H3592+G3627+G3628+G3629</f>
        <v>#VALUE!</v>
      </c>
    </row>
    <row r="3632" spans="1:13">
      <c r="A3632" s="73"/>
      <c r="B3632" s="73"/>
      <c r="C3632" s="73"/>
      <c r="D3632" s="74"/>
      <c r="E3632" s="360"/>
      <c r="F3632" s="361"/>
      <c r="G3632" s="361"/>
      <c r="H3632" s="362"/>
    </row>
    <row r="3633" spans="1:14">
      <c r="A3633" s="80"/>
      <c r="B3633" s="80"/>
      <c r="C3633" s="80"/>
      <c r="D3633" s="80"/>
      <c r="E3633" s="80"/>
      <c r="F3633" s="80"/>
      <c r="G3633" s="80"/>
      <c r="H3633" s="353"/>
    </row>
    <row r="3634" spans="1:14">
      <c r="A3634" s="537" t="s">
        <v>4214</v>
      </c>
      <c r="B3634" s="538"/>
      <c r="C3634" s="538"/>
      <c r="D3634" s="538"/>
      <c r="E3634" s="538"/>
      <c r="F3634" s="538"/>
      <c r="G3634" s="538"/>
      <c r="H3634" s="539"/>
    </row>
    <row r="3635" spans="1:14">
      <c r="A3635" s="81"/>
      <c r="B3635" s="82"/>
      <c r="C3635" s="82"/>
      <c r="D3635" s="82"/>
      <c r="E3635" s="82"/>
      <c r="F3635" s="83"/>
      <c r="G3635" s="84"/>
      <c r="H3635" s="352">
        <f>ROUND((30/60)/8,4)</f>
        <v>6.25E-2</v>
      </c>
      <c r="I3635" s="105"/>
    </row>
    <row r="3636" spans="1:14">
      <c r="A3636" s="540" t="s">
        <v>4209</v>
      </c>
      <c r="B3636" s="542" t="str">
        <f>COSTOS!$C$14</f>
        <v>MODERNIZACION A TECNOLOGIA LED</v>
      </c>
      <c r="C3636" s="542"/>
      <c r="D3636" s="542"/>
      <c r="E3636" s="542"/>
      <c r="F3636" s="542"/>
      <c r="G3636" s="542"/>
      <c r="H3636" s="543" t="s">
        <v>4210</v>
      </c>
    </row>
    <row r="3637" spans="1:14">
      <c r="A3637" s="541"/>
      <c r="B3637" s="542"/>
      <c r="C3637" s="542"/>
      <c r="D3637" s="542"/>
      <c r="E3637" s="542"/>
      <c r="F3637" s="542"/>
      <c r="G3637" s="542"/>
      <c r="H3637" s="543"/>
    </row>
    <row r="3638" spans="1:14">
      <c r="A3638" s="541"/>
      <c r="B3638" s="542"/>
      <c r="C3638" s="542"/>
      <c r="D3638" s="542"/>
      <c r="E3638" s="542"/>
      <c r="F3638" s="542"/>
      <c r="G3638" s="542"/>
      <c r="H3638" s="543"/>
    </row>
    <row r="3639" spans="1:14" ht="15" customHeight="1">
      <c r="A3639" s="541"/>
      <c r="B3639" s="542"/>
      <c r="C3639" s="542"/>
      <c r="D3639" s="542"/>
      <c r="E3639" s="542"/>
      <c r="F3639" s="542"/>
      <c r="G3639" s="542"/>
      <c r="H3639" s="197">
        <f ca="1">TODAY()</f>
        <v>44889</v>
      </c>
      <c r="K3639" t="s">
        <v>4380</v>
      </c>
      <c r="L3639" t="s">
        <v>4381</v>
      </c>
      <c r="M3639" t="s">
        <v>4382</v>
      </c>
      <c r="N3639" t="s">
        <v>4383</v>
      </c>
    </row>
    <row r="3640" spans="1:14" ht="60.75" customHeight="1">
      <c r="A3640" s="209" t="s">
        <v>4211</v>
      </c>
      <c r="B3640" s="544" t="str">
        <f>COSTOS!$D$16</f>
        <v>Luminarias</v>
      </c>
      <c r="C3640" s="544"/>
      <c r="D3640" s="544"/>
      <c r="E3640" s="544"/>
      <c r="F3640" s="544"/>
      <c r="G3640" s="60" t="s">
        <v>4212</v>
      </c>
      <c r="H3640" s="363">
        <v>1.72</v>
      </c>
      <c r="K3640" s="55" t="e">
        <f>H3665</f>
        <v>#VALUE!</v>
      </c>
      <c r="L3640" s="55">
        <f>H3675</f>
        <v>20648</v>
      </c>
      <c r="M3640" s="55" t="e">
        <f>H3648</f>
        <v>#VALUE!</v>
      </c>
      <c r="N3640" s="55" t="e">
        <f>H3669</f>
        <v>#VALUE!</v>
      </c>
    </row>
    <row r="3641" spans="1:14" ht="43.2" customHeight="1">
      <c r="A3641" s="210" t="s">
        <v>4213</v>
      </c>
      <c r="B3641" s="545" t="str">
        <f>VLOOKUP(H3640,COSTOS!C:M,2,0)</f>
        <v>Bala led piso 30w</v>
      </c>
      <c r="C3641" s="546"/>
      <c r="D3641" s="546"/>
      <c r="E3641" s="547"/>
      <c r="F3641" s="61" t="s">
        <v>0</v>
      </c>
      <c r="G3641" s="328" t="str">
        <f>VLOOKUP(H3640,COSTOS!C:M,8,0)</f>
        <v>Und</v>
      </c>
      <c r="H3641" s="248"/>
      <c r="I3641" s="278"/>
      <c r="J3641" s="280"/>
      <c r="K3641" s="280"/>
      <c r="L3641" s="280"/>
    </row>
    <row r="3642" spans="1:14">
      <c r="A3642" s="211"/>
      <c r="B3642" s="102"/>
      <c r="C3642" s="102"/>
      <c r="D3642" s="102"/>
      <c r="E3642" s="103"/>
      <c r="F3642" s="104" t="s">
        <v>1</v>
      </c>
      <c r="G3642" s="328">
        <f>VLOOKUP(H3640,COSTOS!C:M,9,0)</f>
        <v>0</v>
      </c>
      <c r="H3642" s="329"/>
      <c r="I3642" s="279"/>
    </row>
    <row r="3643" spans="1:14">
      <c r="A3643" s="212" t="s">
        <v>4215</v>
      </c>
      <c r="B3643" s="65"/>
      <c r="C3643" s="65"/>
      <c r="D3643" s="66"/>
      <c r="E3643" s="190"/>
      <c r="F3643" s="191"/>
      <c r="G3643" s="192" t="s">
        <v>4216</v>
      </c>
      <c r="H3643" s="198" t="e">
        <f>H3648+H3665+H3669+H3675</f>
        <v>#VALUE!</v>
      </c>
    </row>
    <row r="3644" spans="1:14" ht="41.4">
      <c r="A3644" s="548" t="s">
        <v>4213</v>
      </c>
      <c r="B3644" s="548"/>
      <c r="C3644" s="548"/>
      <c r="D3644" s="67" t="s">
        <v>0</v>
      </c>
      <c r="E3644" s="188" t="s">
        <v>4217</v>
      </c>
      <c r="F3644" s="189" t="s">
        <v>4204</v>
      </c>
      <c r="G3644" s="64" t="s">
        <v>2</v>
      </c>
      <c r="H3644" s="199" t="s">
        <v>4218</v>
      </c>
      <c r="K3644" s="281"/>
    </row>
    <row r="3645" spans="1:14">
      <c r="A3645" s="517" t="s">
        <v>3946</v>
      </c>
      <c r="B3645" s="549">
        <f>VLOOKUP(A3645,'Equip, Herr y Transp'!$B$2:$E$738,2,0)</f>
        <v>2</v>
      </c>
      <c r="C3645" s="549"/>
      <c r="D3645" s="85">
        <f>VLOOKUP(A3645,'Equip, Herr y Transp'!$B$2:$E$217,2,0)</f>
        <v>2</v>
      </c>
      <c r="E3645" s="85" t="str">
        <f>VLOOKUP(A3645,'Equip, Herr y Transp'!$B$2:$E$217,3,0)</f>
        <v>EQU</v>
      </c>
      <c r="F3645" s="86">
        <f>H3635</f>
        <v>6.25E-2</v>
      </c>
      <c r="G3645" s="112" t="e">
        <f>F3645*E3645</f>
        <v>#VALUE!</v>
      </c>
      <c r="H3645" s="108"/>
    </row>
    <row r="3646" spans="1:14">
      <c r="A3646" s="517" t="s">
        <v>3904</v>
      </c>
      <c r="B3646" s="549">
        <f>VLOOKUP(A3646,'Equip, Herr y Transp'!$B$2:$E$738,2,0)</f>
        <v>2</v>
      </c>
      <c r="C3646" s="549"/>
      <c r="D3646" s="85">
        <f>VLOOKUP(A3646,'Equip, Herr y Transp'!$B$2:$E$217,2,0)</f>
        <v>2</v>
      </c>
      <c r="E3646" s="85" t="str">
        <f>VLOOKUP(A3646,'Equip, Herr y Transp'!$B$2:$E$217,3,0)</f>
        <v>EQU</v>
      </c>
      <c r="F3646" s="86">
        <f>H3635</f>
        <v>6.25E-2</v>
      </c>
      <c r="G3646" s="112" t="e">
        <f>F3646*E3646</f>
        <v>#VALUE!</v>
      </c>
      <c r="H3646" s="107"/>
    </row>
    <row r="3647" spans="1:14">
      <c r="A3647" s="517" t="s">
        <v>3937</v>
      </c>
      <c r="B3647" s="549">
        <f>VLOOKUP(A3647,'Equip, Herr y Transp'!$B$2:$E$738,2,0)</f>
        <v>2</v>
      </c>
      <c r="C3647" s="549"/>
      <c r="D3647" s="85">
        <f>VLOOKUP(A3647,'Equip, Herr y Transp'!$B$2:$E$217,2,0)</f>
        <v>2</v>
      </c>
      <c r="E3647" s="85" t="str">
        <f>VLOOKUP(A3647,'Equip, Herr y Transp'!$B$2:$E$217,3,0)</f>
        <v>EQU</v>
      </c>
      <c r="F3647" s="86">
        <f>H3635</f>
        <v>6.25E-2</v>
      </c>
      <c r="G3647" s="112" t="e">
        <f>F3647*E3647</f>
        <v>#VALUE!</v>
      </c>
      <c r="H3647" s="107"/>
    </row>
    <row r="3648" spans="1:14">
      <c r="A3648" s="520" t="s">
        <v>4099</v>
      </c>
      <c r="B3648" s="521"/>
      <c r="C3648" s="521"/>
      <c r="D3648" s="521"/>
      <c r="E3648" s="521"/>
      <c r="F3648" s="521"/>
      <c r="G3648" s="521"/>
      <c r="H3648" s="87" t="e">
        <f>SUM(G3645:G3647)</f>
        <v>#VALUE!</v>
      </c>
    </row>
    <row r="3649" spans="1:15">
      <c r="A3649" s="550" t="s">
        <v>4219</v>
      </c>
      <c r="B3649" s="551"/>
      <c r="C3649" s="551"/>
      <c r="D3649" s="551"/>
      <c r="E3649" s="551"/>
      <c r="F3649" s="551"/>
      <c r="G3649" s="551"/>
      <c r="H3649" s="552"/>
      <c r="K3649" s="50"/>
      <c r="L3649" s="50"/>
      <c r="M3649" s="50"/>
      <c r="N3649" s="50"/>
      <c r="O3649" s="50"/>
    </row>
    <row r="3650" spans="1:15" ht="30" customHeight="1">
      <c r="A3650" s="553" t="s">
        <v>7</v>
      </c>
      <c r="B3650" s="554"/>
      <c r="C3650" s="99" t="s">
        <v>0</v>
      </c>
      <c r="D3650" s="100" t="s">
        <v>4097</v>
      </c>
      <c r="E3650" s="101" t="s">
        <v>1</v>
      </c>
      <c r="F3650" s="555" t="s">
        <v>4207</v>
      </c>
      <c r="G3650" s="555"/>
      <c r="H3650" s="196"/>
      <c r="K3650" s="50"/>
      <c r="L3650" s="50"/>
      <c r="M3650" s="50"/>
      <c r="N3650" s="50"/>
      <c r="O3650" s="50"/>
    </row>
    <row r="3651" spans="1:15">
      <c r="A3651" s="535" t="s">
        <v>4802</v>
      </c>
      <c r="B3651" s="536"/>
      <c r="C3651" s="88">
        <f>VLOOKUP(A3651,'Materiales '!$C$2:$G$396,3,0)</f>
        <v>4</v>
      </c>
      <c r="D3651" s="89" t="str">
        <f>VLOOKUP(A3651,'Materiales '!$C$2:$G$396,4,0)</f>
        <v>Und</v>
      </c>
      <c r="E3651" s="90">
        <v>1</v>
      </c>
      <c r="F3651" s="508" t="e">
        <f>E3651*D3651</f>
        <v>#VALUE!</v>
      </c>
      <c r="G3651" s="519"/>
      <c r="H3651" s="111"/>
      <c r="I3651">
        <f>E3651*G3642</f>
        <v>0</v>
      </c>
      <c r="J3651" s="57"/>
      <c r="K3651" s="50"/>
      <c r="L3651" s="50"/>
      <c r="M3651" s="50"/>
      <c r="N3651" s="50"/>
      <c r="O3651" s="50"/>
    </row>
    <row r="3652" spans="1:15">
      <c r="A3652" s="535" t="s">
        <v>4203</v>
      </c>
      <c r="B3652" s="536"/>
      <c r="C3652" s="88">
        <f>VLOOKUP(A3652,'Materiales '!$C$2:$G$396,3,0)</f>
        <v>4</v>
      </c>
      <c r="D3652" s="89" t="str">
        <f>VLOOKUP(A3652,'Materiales '!$C$2:$G$396,4,0)</f>
        <v>Und</v>
      </c>
      <c r="E3652" s="90">
        <v>1</v>
      </c>
      <c r="F3652" s="508" t="e">
        <f t="shared" ref="F3652:F3658" si="214">E3652*D3652</f>
        <v>#VALUE!</v>
      </c>
      <c r="G3652" s="519"/>
      <c r="H3652" s="111"/>
      <c r="I3652">
        <f>E3652*G3642</f>
        <v>0</v>
      </c>
      <c r="J3652" s="57"/>
      <c r="K3652" s="50"/>
      <c r="L3652" s="50"/>
      <c r="M3652" s="50"/>
      <c r="N3652" s="50"/>
      <c r="O3652" s="50"/>
    </row>
    <row r="3653" spans="1:15">
      <c r="A3653" s="517" t="s">
        <v>4628</v>
      </c>
      <c r="B3653" s="518">
        <f>VLOOKUP(A3653,'Materiales '!$C$2:$G$396,3,0)</f>
        <v>4</v>
      </c>
      <c r="C3653" s="88">
        <f>VLOOKUP(A3653,'Materiales '!$C$2:$G$396,3,0)</f>
        <v>4</v>
      </c>
      <c r="D3653" s="89" t="str">
        <f>VLOOKUP(A3653,'Materiales '!$C$2:$G$396,4,0)</f>
        <v>Und</v>
      </c>
      <c r="E3653" s="90">
        <v>0.5</v>
      </c>
      <c r="F3653" s="508" t="e">
        <f t="shared" si="214"/>
        <v>#VALUE!</v>
      </c>
      <c r="G3653" s="519"/>
      <c r="H3653" s="111"/>
      <c r="I3653">
        <f>E3653*G3642</f>
        <v>0</v>
      </c>
      <c r="J3653" s="58"/>
      <c r="K3653" s="50"/>
      <c r="L3653" s="50"/>
      <c r="M3653" s="50"/>
      <c r="N3653" s="50"/>
      <c r="O3653" s="50"/>
    </row>
    <row r="3654" spans="1:15">
      <c r="A3654" s="517" t="s">
        <v>4439</v>
      </c>
      <c r="B3654" s="518">
        <f>VLOOKUP(A3654,'Materiales '!$C$2:$G$396,3,0)</f>
        <v>2</v>
      </c>
      <c r="C3654" s="88">
        <f>VLOOKUP(A3654,'Materiales '!$C$2:$G$396,3,0)</f>
        <v>2</v>
      </c>
      <c r="D3654" s="89" t="str">
        <f>VLOOKUP(A3654,'Materiales '!$C$2:$G$396,4,0)</f>
        <v>Ml</v>
      </c>
      <c r="E3654" s="90">
        <v>2</v>
      </c>
      <c r="F3654" s="508" t="e">
        <f t="shared" si="214"/>
        <v>#VALUE!</v>
      </c>
      <c r="G3654" s="519"/>
      <c r="H3654" s="111"/>
      <c r="I3654">
        <f>E3654*G3642</f>
        <v>0</v>
      </c>
      <c r="J3654" s="58"/>
      <c r="K3654" s="50"/>
      <c r="L3654" s="50"/>
      <c r="M3654" s="50"/>
      <c r="N3654" s="50"/>
      <c r="O3654" s="50"/>
    </row>
    <row r="3655" spans="1:15">
      <c r="A3655" s="517" t="s">
        <v>8</v>
      </c>
      <c r="B3655" s="518">
        <f>VLOOKUP(A3655,'Materiales '!$C$2:$G$396,3,0)</f>
        <v>0</v>
      </c>
      <c r="C3655" s="88">
        <f>VLOOKUP(A3655,'Materiales '!$C$2:$G$396,3,0)</f>
        <v>0</v>
      </c>
      <c r="D3655" s="89" t="str">
        <f>VLOOKUP(A3655,'Materiales '!$C$2:$G$396,4,0)</f>
        <v>-</v>
      </c>
      <c r="E3655" s="90">
        <v>1</v>
      </c>
      <c r="F3655" s="508" t="e">
        <f t="shared" si="214"/>
        <v>#VALUE!</v>
      </c>
      <c r="G3655" s="519"/>
      <c r="H3655" s="111"/>
      <c r="I3655">
        <f>E3655*G3642</f>
        <v>0</v>
      </c>
      <c r="J3655" s="58"/>
      <c r="K3655" s="50"/>
      <c r="L3655" s="50"/>
      <c r="M3655" s="50"/>
      <c r="N3655" s="50"/>
      <c r="O3655" s="50"/>
    </row>
    <row r="3656" spans="1:15">
      <c r="A3656" s="517" t="s">
        <v>8</v>
      </c>
      <c r="B3656" s="518">
        <f>VLOOKUP(A3656,'Materiales '!$C$2:$G$396,3,0)</f>
        <v>0</v>
      </c>
      <c r="C3656" s="88">
        <f>VLOOKUP(A3656,'Materiales '!$C$2:$G$396,3,0)</f>
        <v>0</v>
      </c>
      <c r="D3656" s="89" t="str">
        <f>VLOOKUP(A3656,'Materiales '!$C$2:$G$396,4,0)</f>
        <v>-</v>
      </c>
      <c r="E3656" s="90">
        <v>1</v>
      </c>
      <c r="F3656" s="508" t="e">
        <f t="shared" si="214"/>
        <v>#VALUE!</v>
      </c>
      <c r="G3656" s="519"/>
      <c r="H3656" s="111"/>
      <c r="I3656">
        <f>E3656*G3642</f>
        <v>0</v>
      </c>
      <c r="J3656" s="58"/>
      <c r="K3656" s="50"/>
      <c r="L3656" s="50"/>
      <c r="M3656" s="50"/>
      <c r="N3656" s="50"/>
      <c r="O3656" s="50"/>
    </row>
    <row r="3657" spans="1:15">
      <c r="A3657" s="517" t="s">
        <v>8</v>
      </c>
      <c r="B3657" s="518">
        <f>VLOOKUP(A3657,'Materiales '!$C$2:$G$396,3,0)</f>
        <v>0</v>
      </c>
      <c r="C3657" s="88">
        <f>VLOOKUP(A3657,'Materiales '!$C$2:$G$396,3,0)</f>
        <v>0</v>
      </c>
      <c r="D3657" s="89" t="str">
        <f>VLOOKUP(A3657,'Materiales '!$C$2:$G$396,4,0)</f>
        <v>-</v>
      </c>
      <c r="E3657" s="90">
        <v>1</v>
      </c>
      <c r="F3657" s="508" t="e">
        <f t="shared" si="214"/>
        <v>#VALUE!</v>
      </c>
      <c r="G3657" s="519"/>
      <c r="H3657" s="111"/>
      <c r="I3657">
        <f>E3657*G3642</f>
        <v>0</v>
      </c>
      <c r="J3657" s="58"/>
      <c r="K3657" s="50"/>
      <c r="L3657" s="50"/>
      <c r="M3657" s="50"/>
      <c r="N3657" s="50"/>
      <c r="O3657" s="50"/>
    </row>
    <row r="3658" spans="1:15" ht="21.75" customHeight="1">
      <c r="A3658" s="517" t="s">
        <v>8</v>
      </c>
      <c r="B3658" s="518">
        <f>VLOOKUP(A3658,'Materiales '!$C$2:$G$396,3,0)</f>
        <v>0</v>
      </c>
      <c r="C3658" s="88">
        <f>VLOOKUP(A3658,'Materiales '!$C$2:$G$396,3,0)</f>
        <v>0</v>
      </c>
      <c r="D3658" s="89" t="str">
        <f>VLOOKUP(A3658,'Materiales '!$C$2:$G$396,4,0)</f>
        <v>-</v>
      </c>
      <c r="E3658" s="90">
        <v>1</v>
      </c>
      <c r="F3658" s="508" t="e">
        <f t="shared" si="214"/>
        <v>#VALUE!</v>
      </c>
      <c r="G3658" s="519"/>
      <c r="H3658" s="111"/>
      <c r="I3658">
        <f>E3658*G3642</f>
        <v>0</v>
      </c>
      <c r="J3658" s="58"/>
      <c r="K3658" s="50"/>
      <c r="L3658" s="50"/>
      <c r="M3658" s="50"/>
      <c r="N3658" s="50"/>
      <c r="O3658" s="50"/>
    </row>
    <row r="3659" spans="1:15">
      <c r="A3659" s="517" t="s">
        <v>8</v>
      </c>
      <c r="B3659" s="518">
        <f>VLOOKUP(A3659,'Materiales '!$C$2:$G$396,3,0)</f>
        <v>0</v>
      </c>
      <c r="C3659" s="88">
        <f>VLOOKUP(A3659,'Materiales '!$C$2:$G$396,3,0)</f>
        <v>0</v>
      </c>
      <c r="D3659" s="89" t="str">
        <f>VLOOKUP(A3659,'Materiales '!$C$2:$G$396,4,0)</f>
        <v>-</v>
      </c>
      <c r="E3659" s="90"/>
      <c r="F3659" s="508" t="e">
        <f>E3659*D3659</f>
        <v>#VALUE!</v>
      </c>
      <c r="G3659" s="519"/>
      <c r="H3659" s="110"/>
      <c r="I3659">
        <f>E3659*G3642</f>
        <v>0</v>
      </c>
      <c r="J3659" s="58"/>
      <c r="K3659" s="50"/>
      <c r="L3659" s="50"/>
      <c r="M3659" s="50"/>
      <c r="N3659" s="50"/>
      <c r="O3659" s="50"/>
    </row>
    <row r="3660" spans="1:15">
      <c r="A3660" s="517" t="s">
        <v>8</v>
      </c>
      <c r="B3660" s="518">
        <f>VLOOKUP(A3660,'Materiales '!$C$2:$G$396,3,0)</f>
        <v>0</v>
      </c>
      <c r="C3660" s="88">
        <f>VLOOKUP(A3660,'Materiales '!$C$2:$G$396,3,0)</f>
        <v>0</v>
      </c>
      <c r="D3660" s="89" t="str">
        <f>VLOOKUP(A3660,'Materiales '!$C$2:$G$396,4,0)</f>
        <v>-</v>
      </c>
      <c r="E3660" s="90"/>
      <c r="F3660" s="508" t="e">
        <f t="shared" ref="F3660:F3663" si="215">E3660*D3660</f>
        <v>#VALUE!</v>
      </c>
      <c r="G3660" s="519"/>
      <c r="H3660" s="111"/>
      <c r="I3660">
        <f>E3660*G3642</f>
        <v>0</v>
      </c>
      <c r="J3660" s="58"/>
      <c r="K3660" s="50"/>
      <c r="L3660" s="50"/>
      <c r="M3660" s="50"/>
      <c r="N3660" s="50"/>
      <c r="O3660" s="50"/>
    </row>
    <row r="3661" spans="1:15">
      <c r="A3661" s="517" t="s">
        <v>8</v>
      </c>
      <c r="B3661" s="518">
        <f>VLOOKUP(A3661,'Materiales '!$C$2:$G$396,3,0)</f>
        <v>0</v>
      </c>
      <c r="C3661" s="88">
        <f>VLOOKUP(A3661,'Materiales '!$C$2:$G$396,3,0)</f>
        <v>0</v>
      </c>
      <c r="D3661" s="89" t="str">
        <f>VLOOKUP(A3661,'Materiales '!$C$2:$G$396,4,0)</f>
        <v>-</v>
      </c>
      <c r="E3661" s="90"/>
      <c r="F3661" s="508" t="e">
        <f t="shared" si="215"/>
        <v>#VALUE!</v>
      </c>
      <c r="G3661" s="519"/>
      <c r="H3661" s="111"/>
      <c r="I3661">
        <f>E3661*G3642</f>
        <v>0</v>
      </c>
      <c r="J3661" s="58"/>
      <c r="K3661" s="50"/>
      <c r="L3661" s="50"/>
      <c r="M3661" s="50"/>
      <c r="N3661" s="50"/>
      <c r="O3661" s="50"/>
    </row>
    <row r="3662" spans="1:15">
      <c r="A3662" s="517" t="s">
        <v>8</v>
      </c>
      <c r="B3662" s="518">
        <f>VLOOKUP(A3662,'Materiales '!$C$2:$G$396,3,0)</f>
        <v>0</v>
      </c>
      <c r="C3662" s="88">
        <f>VLOOKUP(A3662,'Materiales '!$C$2:$G$396,3,0)</f>
        <v>0</v>
      </c>
      <c r="D3662" s="89" t="str">
        <f>VLOOKUP(A3662,'Materiales '!$C$2:$G$396,4,0)</f>
        <v>-</v>
      </c>
      <c r="E3662" s="90"/>
      <c r="F3662" s="508" t="e">
        <f t="shared" si="215"/>
        <v>#VALUE!</v>
      </c>
      <c r="G3662" s="519"/>
      <c r="H3662" s="111"/>
      <c r="I3662">
        <f>E3662*G3642</f>
        <v>0</v>
      </c>
      <c r="J3662" s="58"/>
      <c r="K3662" s="50"/>
      <c r="L3662" s="50"/>
      <c r="M3662" s="50"/>
      <c r="N3662" s="50"/>
      <c r="O3662" s="50"/>
    </row>
    <row r="3663" spans="1:15">
      <c r="A3663" s="517" t="s">
        <v>8</v>
      </c>
      <c r="B3663" s="518">
        <f>VLOOKUP(A3663,'Materiales '!$C$2:$G$396,3,0)</f>
        <v>0</v>
      </c>
      <c r="C3663" s="88">
        <f>VLOOKUP(A3663,'Materiales '!$C$2:$G$396,3,0)</f>
        <v>0</v>
      </c>
      <c r="D3663" s="89" t="str">
        <f>VLOOKUP(A3663,'Materiales '!$C$2:$G$396,4,0)</f>
        <v>-</v>
      </c>
      <c r="E3663" s="90"/>
      <c r="F3663" s="508" t="e">
        <f t="shared" si="215"/>
        <v>#VALUE!</v>
      </c>
      <c r="G3663" s="519"/>
      <c r="H3663" s="111"/>
      <c r="I3663">
        <f>E3663*G3642</f>
        <v>0</v>
      </c>
      <c r="J3663" s="58"/>
      <c r="K3663" s="50"/>
      <c r="L3663" s="50"/>
      <c r="M3663" s="50"/>
      <c r="N3663" s="50"/>
      <c r="O3663" s="50"/>
    </row>
    <row r="3664" spans="1:15">
      <c r="A3664" s="517" t="s">
        <v>8</v>
      </c>
      <c r="B3664" s="518">
        <f>VLOOKUP(A3664,'Materiales '!$C$2:$G$396,3,0)</f>
        <v>0</v>
      </c>
      <c r="C3664" s="88">
        <f>VLOOKUP(A3664,'Materiales '!$C$2:$G$396,3,0)</f>
        <v>0</v>
      </c>
      <c r="D3664" s="89" t="str">
        <f>VLOOKUP(A3664,'Materiales '!$C$2:$G$396,4,0)</f>
        <v>-</v>
      </c>
      <c r="E3664" s="90"/>
      <c r="F3664" s="508" t="e">
        <f>E3664*D3664</f>
        <v>#VALUE!</v>
      </c>
      <c r="G3664" s="519"/>
      <c r="H3664" s="110"/>
      <c r="I3664">
        <f>E3664*G3642</f>
        <v>0</v>
      </c>
      <c r="J3664" s="58"/>
      <c r="K3664" s="50"/>
      <c r="L3664" s="50"/>
      <c r="M3664" s="50"/>
      <c r="N3664" s="50"/>
      <c r="O3664" s="50"/>
    </row>
    <row r="3665" spans="1:15">
      <c r="A3665" s="520" t="s">
        <v>4098</v>
      </c>
      <c r="B3665" s="521"/>
      <c r="C3665" s="521"/>
      <c r="D3665" s="521"/>
      <c r="E3665" s="521"/>
      <c r="F3665" s="521"/>
      <c r="G3665" s="522"/>
      <c r="H3665" s="106" t="e">
        <f>SUM(F3651:F3664)</f>
        <v>#VALUE!</v>
      </c>
      <c r="J3665" s="58"/>
      <c r="K3665" s="50"/>
      <c r="L3665" s="50"/>
      <c r="M3665" s="50"/>
      <c r="N3665" s="50"/>
      <c r="O3665" s="50"/>
    </row>
    <row r="3666" spans="1:15">
      <c r="A3666" s="523" t="s">
        <v>4220</v>
      </c>
      <c r="B3666" s="524"/>
      <c r="C3666" s="524"/>
      <c r="D3666" s="524"/>
      <c r="E3666" s="525"/>
      <c r="F3666" s="524"/>
      <c r="G3666" s="524"/>
      <c r="H3666" s="526"/>
      <c r="J3666" s="58"/>
      <c r="K3666" s="50"/>
      <c r="L3666" s="50"/>
      <c r="M3666" s="50"/>
      <c r="N3666" s="50"/>
      <c r="O3666" s="50"/>
    </row>
    <row r="3667" spans="1:15">
      <c r="A3667" s="527" t="s">
        <v>7</v>
      </c>
      <c r="B3667" s="528"/>
      <c r="C3667" s="98" t="s">
        <v>4221</v>
      </c>
      <c r="D3667" s="97" t="s">
        <v>4222</v>
      </c>
      <c r="E3667" s="187" t="s">
        <v>4223</v>
      </c>
      <c r="F3667" s="529" t="s">
        <v>4207</v>
      </c>
      <c r="G3667" s="529"/>
      <c r="H3667" s="109"/>
      <c r="K3667" s="50"/>
      <c r="L3667" s="50"/>
      <c r="M3667" s="50"/>
      <c r="N3667" s="50"/>
      <c r="O3667" s="50"/>
    </row>
    <row r="3668" spans="1:15">
      <c r="A3668" s="506" t="s">
        <v>3928</v>
      </c>
      <c r="B3668" s="507"/>
      <c r="C3668" s="213">
        <v>1</v>
      </c>
      <c r="D3668" s="92">
        <v>0.03</v>
      </c>
      <c r="E3668" s="93" t="str">
        <f>VLOOKUP(A3668,'Equip, Herr y Transp'!$B$2:$E$217,3,0)</f>
        <v>TR</v>
      </c>
      <c r="F3668" s="530" t="e">
        <f>E3668*D3668*C3668</f>
        <v>#VALUE!</v>
      </c>
      <c r="G3668" s="531"/>
      <c r="H3668" s="107"/>
      <c r="M3668" s="50"/>
    </row>
    <row r="3669" spans="1:15">
      <c r="A3669" s="532" t="s">
        <v>4205</v>
      </c>
      <c r="B3669" s="533"/>
      <c r="C3669" s="533"/>
      <c r="D3669" s="533"/>
      <c r="E3669" s="533"/>
      <c r="F3669" s="533"/>
      <c r="G3669" s="533"/>
      <c r="H3669" s="95" t="e">
        <f>F3668</f>
        <v>#VALUE!</v>
      </c>
    </row>
    <row r="3670" spans="1:15">
      <c r="A3670" s="523" t="s">
        <v>4224</v>
      </c>
      <c r="B3670" s="524"/>
      <c r="C3670" s="524"/>
      <c r="D3670" s="524"/>
      <c r="E3670" s="524"/>
      <c r="F3670" s="524"/>
      <c r="G3670" s="524"/>
      <c r="H3670" s="526"/>
    </row>
    <row r="3671" spans="1:15">
      <c r="A3671" s="527" t="s">
        <v>7</v>
      </c>
      <c r="B3671" s="528"/>
      <c r="C3671" s="96" t="s">
        <v>1</v>
      </c>
      <c r="D3671" s="97" t="s">
        <v>4225</v>
      </c>
      <c r="E3671" s="98" t="s">
        <v>4204</v>
      </c>
      <c r="F3671" s="527" t="s">
        <v>5</v>
      </c>
      <c r="G3671" s="534"/>
      <c r="H3671" s="109"/>
    </row>
    <row r="3672" spans="1:15">
      <c r="A3672" s="506" t="s">
        <v>4191</v>
      </c>
      <c r="B3672" s="507"/>
      <c r="C3672" s="91">
        <v>1</v>
      </c>
      <c r="D3672" s="94">
        <f>VLOOKUP(A3672,'Mano Obra'!$B$2:$T$117,19,0)</f>
        <v>152456</v>
      </c>
      <c r="E3672" s="218">
        <f>H3635</f>
        <v>6.25E-2</v>
      </c>
      <c r="F3672" s="508">
        <f>E3672*D3672*C3672</f>
        <v>9528.5</v>
      </c>
      <c r="G3672" s="509"/>
      <c r="H3672" s="111"/>
      <c r="I3672" s="59"/>
      <c r="J3672" s="117">
        <f>((('Mano Obra'!$M$4/30)*F3672)/D3672)*G3642</f>
        <v>0</v>
      </c>
    </row>
    <row r="3673" spans="1:15">
      <c r="A3673" s="510" t="s">
        <v>4192</v>
      </c>
      <c r="B3673" s="511">
        <f>VLOOKUP(A3673,'Mano Obra'!$B$3:$D$290,2,0)</f>
        <v>1900000</v>
      </c>
      <c r="C3673" s="91">
        <v>1</v>
      </c>
      <c r="D3673" s="94">
        <f>VLOOKUP(A3673,'Mano Obra'!$B$2:$T$117,19,0)</f>
        <v>110488</v>
      </c>
      <c r="E3673" s="218">
        <f>H3635</f>
        <v>6.25E-2</v>
      </c>
      <c r="F3673" s="508">
        <f t="shared" ref="F3673:F3674" si="216">E3673*D3673*C3673</f>
        <v>6905.5</v>
      </c>
      <c r="G3673" s="509"/>
      <c r="H3673" s="111"/>
      <c r="J3673" s="117">
        <f>((('Mano Obra'!$M$5/30)*F3673)/D3673)*G3642</f>
        <v>0</v>
      </c>
    </row>
    <row r="3674" spans="1:15">
      <c r="A3674" s="510" t="s">
        <v>4181</v>
      </c>
      <c r="B3674" s="511">
        <f>VLOOKUP(A3674,'Mano Obra'!$B$3:$D$290,2,0)</f>
        <v>1000000</v>
      </c>
      <c r="C3674" s="91">
        <v>1</v>
      </c>
      <c r="D3674" s="94">
        <f>VLOOKUP(A3674,'Mano Obra'!$B$2:$T$117,19,0)</f>
        <v>67424</v>
      </c>
      <c r="E3674" s="218">
        <f>H3635</f>
        <v>6.25E-2</v>
      </c>
      <c r="F3674" s="508">
        <f t="shared" si="216"/>
        <v>4214</v>
      </c>
      <c r="G3674" s="509"/>
      <c r="H3674" s="110"/>
      <c r="J3674" s="117">
        <f>((('Mano Obra'!$M$6/30)*F3674)/D3674)*G3642</f>
        <v>0</v>
      </c>
    </row>
    <row r="3675" spans="1:15">
      <c r="A3675" s="512" t="s">
        <v>4100</v>
      </c>
      <c r="B3675" s="512"/>
      <c r="C3675" s="512"/>
      <c r="D3675" s="512"/>
      <c r="E3675" s="512"/>
      <c r="F3675" s="512"/>
      <c r="G3675" s="512"/>
      <c r="H3675" s="95">
        <f>SUM(F3672:F3674)</f>
        <v>20648</v>
      </c>
      <c r="J3675" s="117"/>
    </row>
    <row r="3676" spans="1:15">
      <c r="A3676" s="208" t="s">
        <v>4226</v>
      </c>
      <c r="B3676" s="186"/>
      <c r="C3676" s="186"/>
      <c r="D3676" s="183"/>
      <c r="E3676" s="184"/>
      <c r="F3676" s="185"/>
      <c r="G3676" s="184"/>
      <c r="H3676" s="193"/>
    </row>
    <row r="3677" spans="1:15">
      <c r="A3677" s="513" t="s">
        <v>4213</v>
      </c>
      <c r="B3677" s="514"/>
      <c r="C3677" s="514"/>
      <c r="D3677" s="514"/>
      <c r="E3677" s="181"/>
      <c r="F3677" s="182" t="s">
        <v>4227</v>
      </c>
      <c r="G3677" s="181" t="s">
        <v>4228</v>
      </c>
      <c r="H3677" s="194"/>
    </row>
    <row r="3678" spans="1:15">
      <c r="A3678" s="204" t="s">
        <v>4096</v>
      </c>
      <c r="B3678" s="62"/>
      <c r="C3678" s="62"/>
      <c r="D3678" s="63"/>
      <c r="E3678" s="68"/>
      <c r="F3678" s="69">
        <v>0</v>
      </c>
      <c r="G3678" s="70" t="e">
        <f>F3678*H3643</f>
        <v>#VALUE!</v>
      </c>
      <c r="H3678" s="193"/>
    </row>
    <row r="3679" spans="1:15">
      <c r="A3679" s="205" t="s">
        <v>4229</v>
      </c>
      <c r="B3679" s="71"/>
      <c r="C3679" s="71"/>
      <c r="D3679" s="72"/>
      <c r="E3679" s="68"/>
      <c r="F3679" s="69">
        <v>0</v>
      </c>
      <c r="G3679" s="70" t="e">
        <f>F3679*H3643</f>
        <v>#VALUE!</v>
      </c>
      <c r="H3679" s="193"/>
    </row>
    <row r="3680" spans="1:15">
      <c r="A3680" s="205" t="s">
        <v>4</v>
      </c>
      <c r="B3680" s="71"/>
      <c r="C3680" s="71"/>
      <c r="D3680" s="72"/>
      <c r="E3680" s="68"/>
      <c r="F3680" s="69">
        <v>0</v>
      </c>
      <c r="G3680" s="70" t="e">
        <f>F3680*H3643</f>
        <v>#VALUE!</v>
      </c>
      <c r="H3680" s="193"/>
    </row>
    <row r="3681" spans="1:14">
      <c r="A3681" s="206"/>
      <c r="B3681" s="73"/>
      <c r="C3681" s="65"/>
      <c r="D3681" s="74"/>
      <c r="E3681" s="75"/>
      <c r="F3681" s="76"/>
      <c r="G3681" s="77"/>
      <c r="H3681" s="195"/>
    </row>
    <row r="3682" spans="1:14">
      <c r="A3682" s="207"/>
      <c r="B3682" s="73"/>
      <c r="C3682" s="73"/>
      <c r="D3682" s="74"/>
      <c r="E3682" s="78"/>
      <c r="F3682" s="515" t="s">
        <v>4230</v>
      </c>
      <c r="G3682" s="516"/>
      <c r="H3682" s="214" t="e">
        <f>H3643+G3678+G3679+G3680</f>
        <v>#VALUE!</v>
      </c>
    </row>
    <row r="3683" spans="1:14">
      <c r="A3683" s="73"/>
      <c r="B3683" s="73"/>
      <c r="C3683" s="73"/>
      <c r="D3683" s="74"/>
      <c r="E3683" s="360"/>
      <c r="F3683" s="361"/>
      <c r="G3683" s="361"/>
      <c r="H3683" s="362"/>
    </row>
    <row r="3684" spans="1:14">
      <c r="A3684" s="80"/>
      <c r="B3684" s="80"/>
      <c r="C3684" s="80"/>
      <c r="D3684" s="80"/>
      <c r="E3684" s="80"/>
      <c r="F3684" s="80"/>
      <c r="G3684" s="80"/>
      <c r="H3684" s="353"/>
    </row>
    <row r="3685" spans="1:14">
      <c r="A3685" s="537" t="s">
        <v>4214</v>
      </c>
      <c r="B3685" s="538"/>
      <c r="C3685" s="538"/>
      <c r="D3685" s="538"/>
      <c r="E3685" s="538"/>
      <c r="F3685" s="538"/>
      <c r="G3685" s="538"/>
      <c r="H3685" s="539"/>
    </row>
    <row r="3686" spans="1:14">
      <c r="A3686" s="81"/>
      <c r="B3686" s="82"/>
      <c r="C3686" s="82"/>
      <c r="D3686" s="82"/>
      <c r="E3686" s="82"/>
      <c r="F3686" s="83"/>
      <c r="G3686" s="84"/>
      <c r="H3686" s="352">
        <f>ROUND((30/60)/8,4)</f>
        <v>6.25E-2</v>
      </c>
      <c r="I3686" s="105"/>
    </row>
    <row r="3687" spans="1:14">
      <c r="A3687" s="540" t="s">
        <v>4209</v>
      </c>
      <c r="B3687" s="542" t="str">
        <f>COSTOS!$C$14</f>
        <v>MODERNIZACION A TECNOLOGIA LED</v>
      </c>
      <c r="C3687" s="542"/>
      <c r="D3687" s="542"/>
      <c r="E3687" s="542"/>
      <c r="F3687" s="542"/>
      <c r="G3687" s="542"/>
      <c r="H3687" s="543" t="s">
        <v>4210</v>
      </c>
    </row>
    <row r="3688" spans="1:14">
      <c r="A3688" s="541"/>
      <c r="B3688" s="542"/>
      <c r="C3688" s="542"/>
      <c r="D3688" s="542"/>
      <c r="E3688" s="542"/>
      <c r="F3688" s="542"/>
      <c r="G3688" s="542"/>
      <c r="H3688" s="543"/>
    </row>
    <row r="3689" spans="1:14">
      <c r="A3689" s="541"/>
      <c r="B3689" s="542"/>
      <c r="C3689" s="542"/>
      <c r="D3689" s="542"/>
      <c r="E3689" s="542"/>
      <c r="F3689" s="542"/>
      <c r="G3689" s="542"/>
      <c r="H3689" s="543"/>
    </row>
    <row r="3690" spans="1:14" ht="15" customHeight="1">
      <c r="A3690" s="541"/>
      <c r="B3690" s="542"/>
      <c r="C3690" s="542"/>
      <c r="D3690" s="542"/>
      <c r="E3690" s="542"/>
      <c r="F3690" s="542"/>
      <c r="G3690" s="542"/>
      <c r="H3690" s="197">
        <f ca="1">TODAY()</f>
        <v>44889</v>
      </c>
      <c r="K3690" t="s">
        <v>4380</v>
      </c>
      <c r="L3690" t="s">
        <v>4381</v>
      </c>
      <c r="M3690" t="s">
        <v>4382</v>
      </c>
      <c r="N3690" t="s">
        <v>4383</v>
      </c>
    </row>
    <row r="3691" spans="1:14" ht="60.75" customHeight="1">
      <c r="A3691" s="209" t="s">
        <v>4211</v>
      </c>
      <c r="B3691" s="544" t="str">
        <f>COSTOS!$D$16</f>
        <v>Luminarias</v>
      </c>
      <c r="C3691" s="544"/>
      <c r="D3691" s="544"/>
      <c r="E3691" s="544"/>
      <c r="F3691" s="544"/>
      <c r="G3691" s="60" t="s">
        <v>4212</v>
      </c>
      <c r="H3691" s="363">
        <v>1.73</v>
      </c>
      <c r="K3691" s="55" t="e">
        <f>H3716</f>
        <v>#VALUE!</v>
      </c>
      <c r="L3691" s="55">
        <f>H3726</f>
        <v>20648</v>
      </c>
      <c r="M3691" s="55" t="e">
        <f>H3699</f>
        <v>#VALUE!</v>
      </c>
      <c r="N3691" s="55" t="e">
        <f>H3720</f>
        <v>#VALUE!</v>
      </c>
    </row>
    <row r="3692" spans="1:14" ht="43.2" customHeight="1">
      <c r="A3692" s="210" t="s">
        <v>4213</v>
      </c>
      <c r="B3692" s="545" t="str">
        <f>VLOOKUP(H3691,COSTOS!C:M,2,0)</f>
        <v>Farol con bombillo led de 30-40W</v>
      </c>
      <c r="C3692" s="546"/>
      <c r="D3692" s="546"/>
      <c r="E3692" s="547"/>
      <c r="F3692" s="61" t="s">
        <v>0</v>
      </c>
      <c r="G3692" s="328" t="str">
        <f>VLOOKUP(H3691,COSTOS!C:M,8,0)</f>
        <v>Und</v>
      </c>
      <c r="H3692" s="248"/>
      <c r="I3692" s="278"/>
      <c r="J3692" s="280"/>
      <c r="K3692" s="280"/>
      <c r="L3692" s="280"/>
    </row>
    <row r="3693" spans="1:14">
      <c r="A3693" s="211"/>
      <c r="B3693" s="102"/>
      <c r="C3693" s="102"/>
      <c r="D3693" s="102"/>
      <c r="E3693" s="103"/>
      <c r="F3693" s="104" t="s">
        <v>1</v>
      </c>
      <c r="G3693" s="328">
        <f>VLOOKUP(H3691,COSTOS!C:M,9,0)</f>
        <v>0</v>
      </c>
      <c r="H3693" s="329"/>
      <c r="I3693" s="279"/>
    </row>
    <row r="3694" spans="1:14">
      <c r="A3694" s="212" t="s">
        <v>4215</v>
      </c>
      <c r="B3694" s="65"/>
      <c r="C3694" s="65"/>
      <c r="D3694" s="66"/>
      <c r="E3694" s="190"/>
      <c r="F3694" s="191"/>
      <c r="G3694" s="192" t="s">
        <v>4216</v>
      </c>
      <c r="H3694" s="198" t="e">
        <f>H3699+H3716+H3720+H3726</f>
        <v>#VALUE!</v>
      </c>
    </row>
    <row r="3695" spans="1:14" ht="41.4">
      <c r="A3695" s="548" t="s">
        <v>4213</v>
      </c>
      <c r="B3695" s="548"/>
      <c r="C3695" s="548"/>
      <c r="D3695" s="67" t="s">
        <v>0</v>
      </c>
      <c r="E3695" s="188" t="s">
        <v>4217</v>
      </c>
      <c r="F3695" s="189" t="s">
        <v>4204</v>
      </c>
      <c r="G3695" s="64" t="s">
        <v>2</v>
      </c>
      <c r="H3695" s="199" t="s">
        <v>4218</v>
      </c>
      <c r="K3695" s="281"/>
    </row>
    <row r="3696" spans="1:14">
      <c r="A3696" s="517" t="s">
        <v>3946</v>
      </c>
      <c r="B3696" s="549">
        <f>VLOOKUP(A3696,'Equip, Herr y Transp'!$B$2:$E$738,2,0)</f>
        <v>2</v>
      </c>
      <c r="C3696" s="549"/>
      <c r="D3696" s="85">
        <f>VLOOKUP(A3696,'Equip, Herr y Transp'!$B$2:$E$217,2,0)</f>
        <v>2</v>
      </c>
      <c r="E3696" s="85" t="str">
        <f>VLOOKUP(A3696,'Equip, Herr y Transp'!$B$2:$E$217,3,0)</f>
        <v>EQU</v>
      </c>
      <c r="F3696" s="86">
        <f>H3686</f>
        <v>6.25E-2</v>
      </c>
      <c r="G3696" s="112" t="e">
        <f>F3696*E3696</f>
        <v>#VALUE!</v>
      </c>
      <c r="H3696" s="108"/>
    </row>
    <row r="3697" spans="1:15">
      <c r="A3697" s="517" t="s">
        <v>3904</v>
      </c>
      <c r="B3697" s="549">
        <f>VLOOKUP(A3697,'Equip, Herr y Transp'!$B$2:$E$738,2,0)</f>
        <v>2</v>
      </c>
      <c r="C3697" s="549"/>
      <c r="D3697" s="85">
        <f>VLOOKUP(A3697,'Equip, Herr y Transp'!$B$2:$E$217,2,0)</f>
        <v>2</v>
      </c>
      <c r="E3697" s="85" t="str">
        <f>VLOOKUP(A3697,'Equip, Herr y Transp'!$B$2:$E$217,3,0)</f>
        <v>EQU</v>
      </c>
      <c r="F3697" s="86">
        <f>H3686</f>
        <v>6.25E-2</v>
      </c>
      <c r="G3697" s="112" t="e">
        <f>F3697*E3697</f>
        <v>#VALUE!</v>
      </c>
      <c r="H3697" s="107"/>
    </row>
    <row r="3698" spans="1:15">
      <c r="A3698" s="517" t="s">
        <v>3937</v>
      </c>
      <c r="B3698" s="549">
        <f>VLOOKUP(A3698,'Equip, Herr y Transp'!$B$2:$E$738,2,0)</f>
        <v>2</v>
      </c>
      <c r="C3698" s="549"/>
      <c r="D3698" s="85">
        <f>VLOOKUP(A3698,'Equip, Herr y Transp'!$B$2:$E$217,2,0)</f>
        <v>2</v>
      </c>
      <c r="E3698" s="85" t="str">
        <f>VLOOKUP(A3698,'Equip, Herr y Transp'!$B$2:$E$217,3,0)</f>
        <v>EQU</v>
      </c>
      <c r="F3698" s="86">
        <f>H3686</f>
        <v>6.25E-2</v>
      </c>
      <c r="G3698" s="112" t="e">
        <f>F3698*E3698</f>
        <v>#VALUE!</v>
      </c>
      <c r="H3698" s="107"/>
    </row>
    <row r="3699" spans="1:15">
      <c r="A3699" s="520" t="s">
        <v>4099</v>
      </c>
      <c r="B3699" s="521"/>
      <c r="C3699" s="521"/>
      <c r="D3699" s="521"/>
      <c r="E3699" s="521"/>
      <c r="F3699" s="521"/>
      <c r="G3699" s="521"/>
      <c r="H3699" s="87" t="e">
        <f>SUM(G3696:G3698)</f>
        <v>#VALUE!</v>
      </c>
    </row>
    <row r="3700" spans="1:15">
      <c r="A3700" s="550" t="s">
        <v>4219</v>
      </c>
      <c r="B3700" s="551"/>
      <c r="C3700" s="551"/>
      <c r="D3700" s="551"/>
      <c r="E3700" s="551"/>
      <c r="F3700" s="551"/>
      <c r="G3700" s="551"/>
      <c r="H3700" s="552"/>
      <c r="K3700" s="50"/>
      <c r="L3700" s="50"/>
      <c r="M3700" s="50"/>
      <c r="N3700" s="50"/>
      <c r="O3700" s="50"/>
    </row>
    <row r="3701" spans="1:15" ht="30" customHeight="1">
      <c r="A3701" s="553" t="s">
        <v>7</v>
      </c>
      <c r="B3701" s="554"/>
      <c r="C3701" s="99" t="s">
        <v>0</v>
      </c>
      <c r="D3701" s="100" t="s">
        <v>4097</v>
      </c>
      <c r="E3701" s="101" t="s">
        <v>1</v>
      </c>
      <c r="F3701" s="555" t="s">
        <v>4207</v>
      </c>
      <c r="G3701" s="555"/>
      <c r="H3701" s="196"/>
      <c r="K3701" s="50"/>
      <c r="L3701" s="50"/>
      <c r="M3701" s="50"/>
      <c r="N3701" s="50"/>
      <c r="O3701" s="50"/>
    </row>
    <row r="3702" spans="1:15">
      <c r="A3702" s="535" t="s">
        <v>4667</v>
      </c>
      <c r="B3702" s="536"/>
      <c r="C3702" s="88">
        <f>VLOOKUP(A3702,'Materiales '!$C$2:$G$396,3,0)</f>
        <v>4</v>
      </c>
      <c r="D3702" s="89" t="str">
        <f>VLOOKUP(A3702,'Materiales '!$C$2:$G$396,4,0)</f>
        <v>Und</v>
      </c>
      <c r="E3702" s="90">
        <v>1</v>
      </c>
      <c r="F3702" s="508" t="e">
        <f>E3702*D3702</f>
        <v>#VALUE!</v>
      </c>
      <c r="G3702" s="519"/>
      <c r="H3702" s="111"/>
      <c r="I3702">
        <f>E3702*G3693</f>
        <v>0</v>
      </c>
      <c r="J3702" s="57"/>
      <c r="K3702" s="50"/>
      <c r="L3702" s="50"/>
      <c r="M3702" s="50"/>
      <c r="N3702" s="50"/>
      <c r="O3702" s="50"/>
    </row>
    <row r="3703" spans="1:15">
      <c r="A3703" s="535" t="s">
        <v>4203</v>
      </c>
      <c r="B3703" s="536"/>
      <c r="C3703" s="88">
        <f>VLOOKUP(A3703,'Materiales '!$C$2:$G$396,3,0)</f>
        <v>4</v>
      </c>
      <c r="D3703" s="89" t="str">
        <f>VLOOKUP(A3703,'Materiales '!$C$2:$G$396,4,0)</f>
        <v>Und</v>
      </c>
      <c r="E3703" s="90">
        <v>1</v>
      </c>
      <c r="F3703" s="508" t="e">
        <f t="shared" ref="F3703:F3709" si="217">E3703*D3703</f>
        <v>#VALUE!</v>
      </c>
      <c r="G3703" s="519"/>
      <c r="H3703" s="111"/>
      <c r="I3703">
        <f>E3703*G3693</f>
        <v>0</v>
      </c>
      <c r="J3703" s="57"/>
      <c r="K3703" s="50"/>
      <c r="L3703" s="50"/>
      <c r="M3703" s="50"/>
      <c r="N3703" s="50"/>
      <c r="O3703" s="50"/>
    </row>
    <row r="3704" spans="1:15">
      <c r="A3704" s="517" t="s">
        <v>4628</v>
      </c>
      <c r="B3704" s="518">
        <f>VLOOKUP(A3704,'Materiales '!$C$2:$G$396,3,0)</f>
        <v>4</v>
      </c>
      <c r="C3704" s="88">
        <f>VLOOKUP(A3704,'Materiales '!$C$2:$G$396,3,0)</f>
        <v>4</v>
      </c>
      <c r="D3704" s="89" t="str">
        <f>VLOOKUP(A3704,'Materiales '!$C$2:$G$396,4,0)</f>
        <v>Und</v>
      </c>
      <c r="E3704" s="90">
        <v>0.5</v>
      </c>
      <c r="F3704" s="508" t="e">
        <f t="shared" si="217"/>
        <v>#VALUE!</v>
      </c>
      <c r="G3704" s="519"/>
      <c r="H3704" s="111"/>
      <c r="I3704">
        <f>E3704*G3693</f>
        <v>0</v>
      </c>
      <c r="J3704" s="58"/>
      <c r="K3704" s="50"/>
      <c r="L3704" s="50"/>
      <c r="M3704" s="50"/>
      <c r="N3704" s="50"/>
      <c r="O3704" s="50"/>
    </row>
    <row r="3705" spans="1:15">
      <c r="A3705" s="517" t="s">
        <v>4439</v>
      </c>
      <c r="B3705" s="518">
        <f>VLOOKUP(A3705,'Materiales '!$C$2:$G$396,3,0)</f>
        <v>2</v>
      </c>
      <c r="C3705" s="88">
        <f>VLOOKUP(A3705,'Materiales '!$C$2:$G$396,3,0)</f>
        <v>2</v>
      </c>
      <c r="D3705" s="89" t="str">
        <f>VLOOKUP(A3705,'Materiales '!$C$2:$G$396,4,0)</f>
        <v>Ml</v>
      </c>
      <c r="E3705" s="90">
        <v>2</v>
      </c>
      <c r="F3705" s="508" t="e">
        <f t="shared" si="217"/>
        <v>#VALUE!</v>
      </c>
      <c r="G3705" s="519"/>
      <c r="H3705" s="111"/>
      <c r="I3705">
        <f>E3705*G3693</f>
        <v>0</v>
      </c>
      <c r="J3705" s="58"/>
      <c r="K3705" s="50"/>
      <c r="L3705" s="50"/>
      <c r="M3705" s="50"/>
      <c r="N3705" s="50"/>
      <c r="O3705" s="50"/>
    </row>
    <row r="3706" spans="1:15">
      <c r="A3706" s="517" t="s">
        <v>8</v>
      </c>
      <c r="B3706" s="518">
        <f>VLOOKUP(A3706,'Materiales '!$C$2:$G$396,3,0)</f>
        <v>0</v>
      </c>
      <c r="C3706" s="88">
        <f>VLOOKUP(A3706,'Materiales '!$C$2:$G$396,3,0)</f>
        <v>0</v>
      </c>
      <c r="D3706" s="89" t="str">
        <f>VLOOKUP(A3706,'Materiales '!$C$2:$G$396,4,0)</f>
        <v>-</v>
      </c>
      <c r="E3706" s="90">
        <v>1</v>
      </c>
      <c r="F3706" s="508" t="e">
        <f t="shared" si="217"/>
        <v>#VALUE!</v>
      </c>
      <c r="G3706" s="519"/>
      <c r="H3706" s="111"/>
      <c r="I3706">
        <f>E3706*G3693</f>
        <v>0</v>
      </c>
      <c r="J3706" s="58"/>
      <c r="K3706" s="50"/>
      <c r="L3706" s="50"/>
      <c r="M3706" s="50"/>
      <c r="N3706" s="50"/>
      <c r="O3706" s="50"/>
    </row>
    <row r="3707" spans="1:15">
      <c r="A3707" s="517" t="s">
        <v>8</v>
      </c>
      <c r="B3707" s="518">
        <f>VLOOKUP(A3707,'Materiales '!$C$2:$G$396,3,0)</f>
        <v>0</v>
      </c>
      <c r="C3707" s="88">
        <f>VLOOKUP(A3707,'Materiales '!$C$2:$G$396,3,0)</f>
        <v>0</v>
      </c>
      <c r="D3707" s="89" t="str">
        <f>VLOOKUP(A3707,'Materiales '!$C$2:$G$396,4,0)</f>
        <v>-</v>
      </c>
      <c r="E3707" s="90">
        <v>1</v>
      </c>
      <c r="F3707" s="508" t="e">
        <f t="shared" si="217"/>
        <v>#VALUE!</v>
      </c>
      <c r="G3707" s="519"/>
      <c r="H3707" s="111"/>
      <c r="I3707">
        <f>E3707*G3693</f>
        <v>0</v>
      </c>
      <c r="J3707" s="58"/>
      <c r="K3707" s="50"/>
      <c r="L3707" s="50"/>
      <c r="M3707" s="50"/>
      <c r="N3707" s="50"/>
      <c r="O3707" s="50"/>
    </row>
    <row r="3708" spans="1:15">
      <c r="A3708" s="517" t="s">
        <v>8</v>
      </c>
      <c r="B3708" s="518">
        <f>VLOOKUP(A3708,'Materiales '!$C$2:$G$396,3,0)</f>
        <v>0</v>
      </c>
      <c r="C3708" s="88">
        <f>VLOOKUP(A3708,'Materiales '!$C$2:$G$396,3,0)</f>
        <v>0</v>
      </c>
      <c r="D3708" s="89" t="str">
        <f>VLOOKUP(A3708,'Materiales '!$C$2:$G$396,4,0)</f>
        <v>-</v>
      </c>
      <c r="E3708" s="90">
        <v>1</v>
      </c>
      <c r="F3708" s="508" t="e">
        <f t="shared" si="217"/>
        <v>#VALUE!</v>
      </c>
      <c r="G3708" s="519"/>
      <c r="H3708" s="111"/>
      <c r="I3708">
        <f>E3708*G3693</f>
        <v>0</v>
      </c>
      <c r="J3708" s="58"/>
      <c r="K3708" s="50"/>
      <c r="L3708" s="50"/>
      <c r="M3708" s="50"/>
      <c r="N3708" s="50"/>
      <c r="O3708" s="50"/>
    </row>
    <row r="3709" spans="1:15" ht="21.75" customHeight="1">
      <c r="A3709" s="517" t="s">
        <v>8</v>
      </c>
      <c r="B3709" s="518">
        <f>VLOOKUP(A3709,'Materiales '!$C$2:$G$396,3,0)</f>
        <v>0</v>
      </c>
      <c r="C3709" s="88">
        <f>VLOOKUP(A3709,'Materiales '!$C$2:$G$396,3,0)</f>
        <v>0</v>
      </c>
      <c r="D3709" s="89" t="str">
        <f>VLOOKUP(A3709,'Materiales '!$C$2:$G$396,4,0)</f>
        <v>-</v>
      </c>
      <c r="E3709" s="90">
        <v>1</v>
      </c>
      <c r="F3709" s="508" t="e">
        <f t="shared" si="217"/>
        <v>#VALUE!</v>
      </c>
      <c r="G3709" s="519"/>
      <c r="H3709" s="111"/>
      <c r="I3709">
        <f>E3709*G3693</f>
        <v>0</v>
      </c>
      <c r="J3709" s="58"/>
      <c r="K3709" s="50"/>
      <c r="L3709" s="50"/>
      <c r="M3709" s="50"/>
      <c r="N3709" s="50"/>
      <c r="O3709" s="50"/>
    </row>
    <row r="3710" spans="1:15">
      <c r="A3710" s="517" t="s">
        <v>8</v>
      </c>
      <c r="B3710" s="518">
        <f>VLOOKUP(A3710,'Materiales '!$C$2:$G$396,3,0)</f>
        <v>0</v>
      </c>
      <c r="C3710" s="88">
        <f>VLOOKUP(A3710,'Materiales '!$C$2:$G$396,3,0)</f>
        <v>0</v>
      </c>
      <c r="D3710" s="89" t="str">
        <f>VLOOKUP(A3710,'Materiales '!$C$2:$G$396,4,0)</f>
        <v>-</v>
      </c>
      <c r="E3710" s="90"/>
      <c r="F3710" s="508" t="e">
        <f>E3710*D3710</f>
        <v>#VALUE!</v>
      </c>
      <c r="G3710" s="519"/>
      <c r="H3710" s="110"/>
      <c r="I3710">
        <f>E3710*G3693</f>
        <v>0</v>
      </c>
      <c r="J3710" s="58"/>
      <c r="K3710" s="50"/>
      <c r="L3710" s="50"/>
      <c r="M3710" s="50"/>
      <c r="N3710" s="50"/>
      <c r="O3710" s="50"/>
    </row>
    <row r="3711" spans="1:15">
      <c r="A3711" s="517" t="s">
        <v>8</v>
      </c>
      <c r="B3711" s="518">
        <f>VLOOKUP(A3711,'Materiales '!$C$2:$G$396,3,0)</f>
        <v>0</v>
      </c>
      <c r="C3711" s="88">
        <f>VLOOKUP(A3711,'Materiales '!$C$2:$G$396,3,0)</f>
        <v>0</v>
      </c>
      <c r="D3711" s="89" t="str">
        <f>VLOOKUP(A3711,'Materiales '!$C$2:$G$396,4,0)</f>
        <v>-</v>
      </c>
      <c r="E3711" s="90"/>
      <c r="F3711" s="508" t="e">
        <f t="shared" ref="F3711:F3714" si="218">E3711*D3711</f>
        <v>#VALUE!</v>
      </c>
      <c r="G3711" s="519"/>
      <c r="H3711" s="111"/>
      <c r="I3711">
        <f>E3711*G3693</f>
        <v>0</v>
      </c>
      <c r="J3711" s="58"/>
      <c r="K3711" s="50"/>
      <c r="L3711" s="50"/>
      <c r="M3711" s="50"/>
      <c r="N3711" s="50"/>
      <c r="O3711" s="50"/>
    </row>
    <row r="3712" spans="1:15">
      <c r="A3712" s="517" t="s">
        <v>8</v>
      </c>
      <c r="B3712" s="518">
        <f>VLOOKUP(A3712,'Materiales '!$C$2:$G$396,3,0)</f>
        <v>0</v>
      </c>
      <c r="C3712" s="88">
        <f>VLOOKUP(A3712,'Materiales '!$C$2:$G$396,3,0)</f>
        <v>0</v>
      </c>
      <c r="D3712" s="89" t="str">
        <f>VLOOKUP(A3712,'Materiales '!$C$2:$G$396,4,0)</f>
        <v>-</v>
      </c>
      <c r="E3712" s="90"/>
      <c r="F3712" s="508" t="e">
        <f t="shared" si="218"/>
        <v>#VALUE!</v>
      </c>
      <c r="G3712" s="519"/>
      <c r="H3712" s="111"/>
      <c r="I3712">
        <f>E3712*G3693</f>
        <v>0</v>
      </c>
      <c r="J3712" s="58"/>
      <c r="K3712" s="50"/>
      <c r="L3712" s="50"/>
      <c r="M3712" s="50"/>
      <c r="N3712" s="50"/>
      <c r="O3712" s="50"/>
    </row>
    <row r="3713" spans="1:15">
      <c r="A3713" s="517" t="s">
        <v>8</v>
      </c>
      <c r="B3713" s="518">
        <f>VLOOKUP(A3713,'Materiales '!$C$2:$G$396,3,0)</f>
        <v>0</v>
      </c>
      <c r="C3713" s="88">
        <f>VLOOKUP(A3713,'Materiales '!$C$2:$G$396,3,0)</f>
        <v>0</v>
      </c>
      <c r="D3713" s="89" t="str">
        <f>VLOOKUP(A3713,'Materiales '!$C$2:$G$396,4,0)</f>
        <v>-</v>
      </c>
      <c r="E3713" s="90"/>
      <c r="F3713" s="508" t="e">
        <f t="shared" si="218"/>
        <v>#VALUE!</v>
      </c>
      <c r="G3713" s="519"/>
      <c r="H3713" s="111"/>
      <c r="I3713">
        <f>E3713*G3693</f>
        <v>0</v>
      </c>
      <c r="J3713" s="58"/>
      <c r="K3713" s="50"/>
      <c r="L3713" s="50"/>
      <c r="M3713" s="50"/>
      <c r="N3713" s="50"/>
      <c r="O3713" s="50"/>
    </row>
    <row r="3714" spans="1:15">
      <c r="A3714" s="517" t="s">
        <v>8</v>
      </c>
      <c r="B3714" s="518">
        <f>VLOOKUP(A3714,'Materiales '!$C$2:$G$396,3,0)</f>
        <v>0</v>
      </c>
      <c r="C3714" s="88">
        <f>VLOOKUP(A3714,'Materiales '!$C$2:$G$396,3,0)</f>
        <v>0</v>
      </c>
      <c r="D3714" s="89" t="str">
        <f>VLOOKUP(A3714,'Materiales '!$C$2:$G$396,4,0)</f>
        <v>-</v>
      </c>
      <c r="E3714" s="90"/>
      <c r="F3714" s="508" t="e">
        <f t="shared" si="218"/>
        <v>#VALUE!</v>
      </c>
      <c r="G3714" s="519"/>
      <c r="H3714" s="111"/>
      <c r="I3714">
        <f>E3714*G3693</f>
        <v>0</v>
      </c>
      <c r="J3714" s="58"/>
      <c r="K3714" s="50"/>
      <c r="L3714" s="50"/>
      <c r="M3714" s="50"/>
      <c r="N3714" s="50"/>
      <c r="O3714" s="50"/>
    </row>
    <row r="3715" spans="1:15">
      <c r="A3715" s="517" t="s">
        <v>8</v>
      </c>
      <c r="B3715" s="518">
        <f>VLOOKUP(A3715,'Materiales '!$C$2:$G$396,3,0)</f>
        <v>0</v>
      </c>
      <c r="C3715" s="88">
        <f>VLOOKUP(A3715,'Materiales '!$C$2:$G$396,3,0)</f>
        <v>0</v>
      </c>
      <c r="D3715" s="89" t="str">
        <f>VLOOKUP(A3715,'Materiales '!$C$2:$G$396,4,0)</f>
        <v>-</v>
      </c>
      <c r="E3715" s="90"/>
      <c r="F3715" s="508" t="e">
        <f>E3715*D3715</f>
        <v>#VALUE!</v>
      </c>
      <c r="G3715" s="519"/>
      <c r="H3715" s="110"/>
      <c r="I3715">
        <f>E3715*G3693</f>
        <v>0</v>
      </c>
      <c r="J3715" s="58"/>
      <c r="K3715" s="50"/>
      <c r="L3715" s="50"/>
      <c r="M3715" s="50"/>
      <c r="N3715" s="50"/>
      <c r="O3715" s="50"/>
    </row>
    <row r="3716" spans="1:15">
      <c r="A3716" s="520" t="s">
        <v>4098</v>
      </c>
      <c r="B3716" s="521"/>
      <c r="C3716" s="521"/>
      <c r="D3716" s="521"/>
      <c r="E3716" s="521"/>
      <c r="F3716" s="521"/>
      <c r="G3716" s="522"/>
      <c r="H3716" s="106" t="e">
        <f>SUM(F3702:F3715)</f>
        <v>#VALUE!</v>
      </c>
      <c r="J3716" s="58"/>
      <c r="K3716" s="50"/>
      <c r="L3716" s="50"/>
      <c r="M3716" s="50"/>
      <c r="N3716" s="50"/>
      <c r="O3716" s="50"/>
    </row>
    <row r="3717" spans="1:15">
      <c r="A3717" s="523" t="s">
        <v>4220</v>
      </c>
      <c r="B3717" s="524"/>
      <c r="C3717" s="524"/>
      <c r="D3717" s="524"/>
      <c r="E3717" s="525"/>
      <c r="F3717" s="524"/>
      <c r="G3717" s="524"/>
      <c r="H3717" s="526"/>
      <c r="J3717" s="58"/>
      <c r="K3717" s="50"/>
      <c r="L3717" s="50"/>
      <c r="M3717" s="50"/>
      <c r="N3717" s="50"/>
      <c r="O3717" s="50"/>
    </row>
    <row r="3718" spans="1:15">
      <c r="A3718" s="527" t="s">
        <v>7</v>
      </c>
      <c r="B3718" s="528"/>
      <c r="C3718" s="98" t="s">
        <v>4221</v>
      </c>
      <c r="D3718" s="97" t="s">
        <v>4222</v>
      </c>
      <c r="E3718" s="187" t="s">
        <v>4223</v>
      </c>
      <c r="F3718" s="529" t="s">
        <v>4207</v>
      </c>
      <c r="G3718" s="529"/>
      <c r="H3718" s="109"/>
      <c r="K3718" s="50"/>
      <c r="L3718" s="50"/>
      <c r="M3718" s="50"/>
      <c r="N3718" s="50"/>
      <c r="O3718" s="50"/>
    </row>
    <row r="3719" spans="1:15">
      <c r="A3719" s="506" t="s">
        <v>3928</v>
      </c>
      <c r="B3719" s="507"/>
      <c r="C3719" s="213">
        <v>1</v>
      </c>
      <c r="D3719" s="92">
        <v>0.03</v>
      </c>
      <c r="E3719" s="93" t="str">
        <f>VLOOKUP(A3719,'Equip, Herr y Transp'!$B$2:$E$217,3,0)</f>
        <v>TR</v>
      </c>
      <c r="F3719" s="530" t="e">
        <f>E3719*D3719*C3719</f>
        <v>#VALUE!</v>
      </c>
      <c r="G3719" s="531"/>
      <c r="H3719" s="107"/>
      <c r="M3719" s="50"/>
    </row>
    <row r="3720" spans="1:15">
      <c r="A3720" s="532" t="s">
        <v>4205</v>
      </c>
      <c r="B3720" s="533"/>
      <c r="C3720" s="533"/>
      <c r="D3720" s="533"/>
      <c r="E3720" s="533"/>
      <c r="F3720" s="533"/>
      <c r="G3720" s="533"/>
      <c r="H3720" s="95" t="e">
        <f>F3719</f>
        <v>#VALUE!</v>
      </c>
    </row>
    <row r="3721" spans="1:15">
      <c r="A3721" s="523" t="s">
        <v>4224</v>
      </c>
      <c r="B3721" s="524"/>
      <c r="C3721" s="524"/>
      <c r="D3721" s="524"/>
      <c r="E3721" s="524"/>
      <c r="F3721" s="524"/>
      <c r="G3721" s="524"/>
      <c r="H3721" s="526"/>
    </row>
    <row r="3722" spans="1:15">
      <c r="A3722" s="527" t="s">
        <v>7</v>
      </c>
      <c r="B3722" s="528"/>
      <c r="C3722" s="96" t="s">
        <v>1</v>
      </c>
      <c r="D3722" s="97" t="s">
        <v>4225</v>
      </c>
      <c r="E3722" s="98" t="s">
        <v>4204</v>
      </c>
      <c r="F3722" s="527" t="s">
        <v>5</v>
      </c>
      <c r="G3722" s="534"/>
      <c r="H3722" s="109"/>
    </row>
    <row r="3723" spans="1:15">
      <c r="A3723" s="506" t="s">
        <v>4191</v>
      </c>
      <c r="B3723" s="507"/>
      <c r="C3723" s="91">
        <v>1</v>
      </c>
      <c r="D3723" s="94">
        <f>VLOOKUP(A3723,'Mano Obra'!$B$2:$T$117,19,0)</f>
        <v>152456</v>
      </c>
      <c r="E3723" s="218">
        <f>H3686</f>
        <v>6.25E-2</v>
      </c>
      <c r="F3723" s="508">
        <f>E3723*D3723*C3723</f>
        <v>9528.5</v>
      </c>
      <c r="G3723" s="509"/>
      <c r="H3723" s="111"/>
      <c r="I3723" s="59"/>
      <c r="J3723" s="117">
        <f>((('Mano Obra'!$M$4/30)*F3723)/D3723)*G3693</f>
        <v>0</v>
      </c>
    </row>
    <row r="3724" spans="1:15">
      <c r="A3724" s="510" t="s">
        <v>4192</v>
      </c>
      <c r="B3724" s="511">
        <f>VLOOKUP(A3724,'Mano Obra'!$B$3:$D$290,2,0)</f>
        <v>1900000</v>
      </c>
      <c r="C3724" s="91">
        <v>1</v>
      </c>
      <c r="D3724" s="94">
        <f>VLOOKUP(A3724,'Mano Obra'!$B$2:$T$117,19,0)</f>
        <v>110488</v>
      </c>
      <c r="E3724" s="218">
        <f>H3686</f>
        <v>6.25E-2</v>
      </c>
      <c r="F3724" s="508">
        <f t="shared" ref="F3724:F3725" si="219">E3724*D3724*C3724</f>
        <v>6905.5</v>
      </c>
      <c r="G3724" s="509"/>
      <c r="H3724" s="111"/>
      <c r="J3724" s="117">
        <f>((('Mano Obra'!$M$5/30)*F3724)/D3724)*G3693</f>
        <v>0</v>
      </c>
    </row>
    <row r="3725" spans="1:15">
      <c r="A3725" s="510" t="s">
        <v>4181</v>
      </c>
      <c r="B3725" s="511">
        <f>VLOOKUP(A3725,'Mano Obra'!$B$3:$D$290,2,0)</f>
        <v>1000000</v>
      </c>
      <c r="C3725" s="91">
        <v>1</v>
      </c>
      <c r="D3725" s="94">
        <f>VLOOKUP(A3725,'Mano Obra'!$B$2:$T$117,19,0)</f>
        <v>67424</v>
      </c>
      <c r="E3725" s="218">
        <f>H3686</f>
        <v>6.25E-2</v>
      </c>
      <c r="F3725" s="508">
        <f t="shared" si="219"/>
        <v>4214</v>
      </c>
      <c r="G3725" s="509"/>
      <c r="H3725" s="110"/>
      <c r="J3725" s="117">
        <f>((('Mano Obra'!$M$6/30)*F3725)/D3725)*G3693</f>
        <v>0</v>
      </c>
    </row>
    <row r="3726" spans="1:15">
      <c r="A3726" s="512" t="s">
        <v>4100</v>
      </c>
      <c r="B3726" s="512"/>
      <c r="C3726" s="512"/>
      <c r="D3726" s="512"/>
      <c r="E3726" s="512"/>
      <c r="F3726" s="512"/>
      <c r="G3726" s="512"/>
      <c r="H3726" s="95">
        <f>SUM(F3723:F3725)</f>
        <v>20648</v>
      </c>
      <c r="J3726" s="117"/>
    </row>
    <row r="3727" spans="1:15">
      <c r="A3727" s="208" t="s">
        <v>4226</v>
      </c>
      <c r="B3727" s="186"/>
      <c r="C3727" s="186"/>
      <c r="D3727" s="183"/>
      <c r="E3727" s="184"/>
      <c r="F3727" s="185"/>
      <c r="G3727" s="184"/>
      <c r="H3727" s="193"/>
    </row>
    <row r="3728" spans="1:15">
      <c r="A3728" s="513" t="s">
        <v>4213</v>
      </c>
      <c r="B3728" s="514"/>
      <c r="C3728" s="514"/>
      <c r="D3728" s="514"/>
      <c r="E3728" s="181"/>
      <c r="F3728" s="182" t="s">
        <v>4227</v>
      </c>
      <c r="G3728" s="181" t="s">
        <v>4228</v>
      </c>
      <c r="H3728" s="194"/>
    </row>
    <row r="3729" spans="1:14">
      <c r="A3729" s="204" t="s">
        <v>4096</v>
      </c>
      <c r="B3729" s="62"/>
      <c r="C3729" s="62"/>
      <c r="D3729" s="63"/>
      <c r="E3729" s="68"/>
      <c r="F3729" s="69">
        <v>0</v>
      </c>
      <c r="G3729" s="70" t="e">
        <f>F3729*H3694</f>
        <v>#VALUE!</v>
      </c>
      <c r="H3729" s="193"/>
    </row>
    <row r="3730" spans="1:14">
      <c r="A3730" s="205" t="s">
        <v>4229</v>
      </c>
      <c r="B3730" s="71"/>
      <c r="C3730" s="71"/>
      <c r="D3730" s="72"/>
      <c r="E3730" s="68"/>
      <c r="F3730" s="69">
        <v>0</v>
      </c>
      <c r="G3730" s="70" t="e">
        <f>F3730*H3694</f>
        <v>#VALUE!</v>
      </c>
      <c r="H3730" s="193"/>
    </row>
    <row r="3731" spans="1:14">
      <c r="A3731" s="205" t="s">
        <v>4</v>
      </c>
      <c r="B3731" s="71"/>
      <c r="C3731" s="71"/>
      <c r="D3731" s="72"/>
      <c r="E3731" s="68"/>
      <c r="F3731" s="69">
        <v>0</v>
      </c>
      <c r="G3731" s="70" t="e">
        <f>F3731*H3694</f>
        <v>#VALUE!</v>
      </c>
      <c r="H3731" s="193"/>
    </row>
    <row r="3732" spans="1:14">
      <c r="A3732" s="206"/>
      <c r="B3732" s="73"/>
      <c r="C3732" s="65"/>
      <c r="D3732" s="74"/>
      <c r="E3732" s="75"/>
      <c r="F3732" s="76"/>
      <c r="G3732" s="77"/>
      <c r="H3732" s="195"/>
    </row>
    <row r="3733" spans="1:14">
      <c r="A3733" s="207"/>
      <c r="B3733" s="73"/>
      <c r="C3733" s="73"/>
      <c r="D3733" s="74"/>
      <c r="E3733" s="78"/>
      <c r="F3733" s="515" t="s">
        <v>4230</v>
      </c>
      <c r="G3733" s="516"/>
      <c r="H3733" s="214" t="e">
        <f>H3694+G3729+G3730+G3731</f>
        <v>#VALUE!</v>
      </c>
    </row>
    <row r="3734" spans="1:14">
      <c r="A3734" s="73"/>
      <c r="B3734" s="73"/>
      <c r="C3734" s="73"/>
      <c r="D3734" s="74"/>
      <c r="E3734" s="360"/>
      <c r="F3734" s="361"/>
      <c r="G3734" s="361"/>
      <c r="H3734" s="362"/>
    </row>
    <row r="3735" spans="1:14">
      <c r="A3735" s="80"/>
      <c r="B3735" s="80"/>
      <c r="C3735" s="80"/>
      <c r="D3735" s="80"/>
      <c r="E3735" s="80"/>
      <c r="F3735" s="80"/>
      <c r="G3735" s="80"/>
      <c r="H3735" s="353"/>
    </row>
    <row r="3736" spans="1:14">
      <c r="A3736" s="537" t="s">
        <v>4214</v>
      </c>
      <c r="B3736" s="538"/>
      <c r="C3736" s="538"/>
      <c r="D3736" s="538"/>
      <c r="E3736" s="538"/>
      <c r="F3736" s="538"/>
      <c r="G3736" s="538"/>
      <c r="H3736" s="539"/>
    </row>
    <row r="3737" spans="1:14">
      <c r="A3737" s="81"/>
      <c r="B3737" s="82"/>
      <c r="C3737" s="82"/>
      <c r="D3737" s="82"/>
      <c r="E3737" s="82"/>
      <c r="F3737" s="83"/>
      <c r="G3737" s="84"/>
      <c r="H3737" s="352">
        <f>ROUND((30/60)/8,4)</f>
        <v>6.25E-2</v>
      </c>
      <c r="I3737" s="105"/>
    </row>
    <row r="3738" spans="1:14">
      <c r="A3738" s="540" t="s">
        <v>4209</v>
      </c>
      <c r="B3738" s="542" t="str">
        <f>COSTOS!$C$14</f>
        <v>MODERNIZACION A TECNOLOGIA LED</v>
      </c>
      <c r="C3738" s="542"/>
      <c r="D3738" s="542"/>
      <c r="E3738" s="542"/>
      <c r="F3738" s="542"/>
      <c r="G3738" s="542"/>
      <c r="H3738" s="543" t="s">
        <v>4210</v>
      </c>
    </row>
    <row r="3739" spans="1:14">
      <c r="A3739" s="541"/>
      <c r="B3739" s="542"/>
      <c r="C3739" s="542"/>
      <c r="D3739" s="542"/>
      <c r="E3739" s="542"/>
      <c r="F3739" s="542"/>
      <c r="G3739" s="542"/>
      <c r="H3739" s="543"/>
    </row>
    <row r="3740" spans="1:14">
      <c r="A3740" s="541"/>
      <c r="B3740" s="542"/>
      <c r="C3740" s="542"/>
      <c r="D3740" s="542"/>
      <c r="E3740" s="542"/>
      <c r="F3740" s="542"/>
      <c r="G3740" s="542"/>
      <c r="H3740" s="543"/>
    </row>
    <row r="3741" spans="1:14" ht="15" customHeight="1">
      <c r="A3741" s="541"/>
      <c r="B3741" s="542"/>
      <c r="C3741" s="542"/>
      <c r="D3741" s="542"/>
      <c r="E3741" s="542"/>
      <c r="F3741" s="542"/>
      <c r="G3741" s="542"/>
      <c r="H3741" s="197">
        <f ca="1">TODAY()</f>
        <v>44889</v>
      </c>
      <c r="K3741" t="s">
        <v>4380</v>
      </c>
      <c r="L3741" t="s">
        <v>4381</v>
      </c>
      <c r="M3741" t="s">
        <v>4382</v>
      </c>
      <c r="N3741" t="s">
        <v>4383</v>
      </c>
    </row>
    <row r="3742" spans="1:14" ht="60.75" customHeight="1">
      <c r="A3742" s="209" t="s">
        <v>4211</v>
      </c>
      <c r="B3742" s="544" t="str">
        <f>COSTOS!$D$16</f>
        <v>Luminarias</v>
      </c>
      <c r="C3742" s="544"/>
      <c r="D3742" s="544"/>
      <c r="E3742" s="544"/>
      <c r="F3742" s="544"/>
      <c r="G3742" s="60" t="s">
        <v>4212</v>
      </c>
      <c r="H3742" s="363">
        <v>1.74</v>
      </c>
      <c r="K3742" s="55" t="e">
        <f>H3767</f>
        <v>#VALUE!</v>
      </c>
      <c r="L3742" s="55">
        <f>H3777</f>
        <v>20648</v>
      </c>
      <c r="M3742" s="55" t="e">
        <f>H3750</f>
        <v>#VALUE!</v>
      </c>
      <c r="N3742" s="55" t="e">
        <f>H3771</f>
        <v>#VALUE!</v>
      </c>
    </row>
    <row r="3743" spans="1:14" ht="43.2" customHeight="1">
      <c r="A3743" s="210" t="s">
        <v>4213</v>
      </c>
      <c r="B3743" s="545" t="str">
        <f>VLOOKUP(H3742,COSTOS!C:M,2,0)</f>
        <v>Luminaria Metal Halide 400w</v>
      </c>
      <c r="C3743" s="546"/>
      <c r="D3743" s="546"/>
      <c r="E3743" s="547"/>
      <c r="F3743" s="61" t="s">
        <v>0</v>
      </c>
      <c r="G3743" s="328" t="str">
        <f>VLOOKUP(H3742,COSTOS!C:M,8,0)</f>
        <v>Und</v>
      </c>
      <c r="H3743" s="248"/>
      <c r="I3743" s="278"/>
      <c r="J3743" s="280"/>
      <c r="K3743" s="280"/>
      <c r="L3743" s="280"/>
    </row>
    <row r="3744" spans="1:14">
      <c r="A3744" s="211"/>
      <c r="B3744" s="102"/>
      <c r="C3744" s="102"/>
      <c r="D3744" s="102"/>
      <c r="E3744" s="103"/>
      <c r="F3744" s="104" t="s">
        <v>1</v>
      </c>
      <c r="G3744" s="328">
        <f>VLOOKUP(H3742,COSTOS!C:M,9,0)</f>
        <v>0</v>
      </c>
      <c r="H3744" s="329"/>
      <c r="I3744" s="279"/>
    </row>
    <row r="3745" spans="1:15">
      <c r="A3745" s="212" t="s">
        <v>4215</v>
      </c>
      <c r="B3745" s="65"/>
      <c r="C3745" s="65"/>
      <c r="D3745" s="66"/>
      <c r="E3745" s="190"/>
      <c r="F3745" s="191"/>
      <c r="G3745" s="192" t="s">
        <v>4216</v>
      </c>
      <c r="H3745" s="198" t="e">
        <f>H3750+H3767+H3771+H3777</f>
        <v>#VALUE!</v>
      </c>
    </row>
    <row r="3746" spans="1:15" ht="41.4">
      <c r="A3746" s="548" t="s">
        <v>4213</v>
      </c>
      <c r="B3746" s="548"/>
      <c r="C3746" s="548"/>
      <c r="D3746" s="67" t="s">
        <v>0</v>
      </c>
      <c r="E3746" s="188" t="s">
        <v>4217</v>
      </c>
      <c r="F3746" s="189" t="s">
        <v>4204</v>
      </c>
      <c r="G3746" s="64" t="s">
        <v>2</v>
      </c>
      <c r="H3746" s="199" t="s">
        <v>4218</v>
      </c>
      <c r="K3746" s="281"/>
    </row>
    <row r="3747" spans="1:15">
      <c r="A3747" s="517" t="s">
        <v>3946</v>
      </c>
      <c r="B3747" s="549">
        <f>VLOOKUP(A3747,'Equip, Herr y Transp'!$B$2:$E$738,2,0)</f>
        <v>2</v>
      </c>
      <c r="C3747" s="549"/>
      <c r="D3747" s="85">
        <f>VLOOKUP(A3747,'Equip, Herr y Transp'!$B$2:$E$217,2,0)</f>
        <v>2</v>
      </c>
      <c r="E3747" s="85" t="str">
        <f>VLOOKUP(A3747,'Equip, Herr y Transp'!$B$2:$E$217,3,0)</f>
        <v>EQU</v>
      </c>
      <c r="F3747" s="86">
        <f>H3737</f>
        <v>6.25E-2</v>
      </c>
      <c r="G3747" s="112" t="e">
        <f>F3747*E3747</f>
        <v>#VALUE!</v>
      </c>
      <c r="H3747" s="108"/>
    </row>
    <row r="3748" spans="1:15">
      <c r="A3748" s="517" t="s">
        <v>3904</v>
      </c>
      <c r="B3748" s="549">
        <f>VLOOKUP(A3748,'Equip, Herr y Transp'!$B$2:$E$738,2,0)</f>
        <v>2</v>
      </c>
      <c r="C3748" s="549"/>
      <c r="D3748" s="85">
        <f>VLOOKUP(A3748,'Equip, Herr y Transp'!$B$2:$E$217,2,0)</f>
        <v>2</v>
      </c>
      <c r="E3748" s="85" t="str">
        <f>VLOOKUP(A3748,'Equip, Herr y Transp'!$B$2:$E$217,3,0)</f>
        <v>EQU</v>
      </c>
      <c r="F3748" s="86">
        <f>H3737</f>
        <v>6.25E-2</v>
      </c>
      <c r="G3748" s="112" t="e">
        <f>F3748*E3748</f>
        <v>#VALUE!</v>
      </c>
      <c r="H3748" s="107"/>
    </row>
    <row r="3749" spans="1:15">
      <c r="A3749" s="517" t="s">
        <v>3937</v>
      </c>
      <c r="B3749" s="549">
        <f>VLOOKUP(A3749,'Equip, Herr y Transp'!$B$2:$E$738,2,0)</f>
        <v>2</v>
      </c>
      <c r="C3749" s="549"/>
      <c r="D3749" s="85">
        <f>VLOOKUP(A3749,'Equip, Herr y Transp'!$B$2:$E$217,2,0)</f>
        <v>2</v>
      </c>
      <c r="E3749" s="85" t="str">
        <f>VLOOKUP(A3749,'Equip, Herr y Transp'!$B$2:$E$217,3,0)</f>
        <v>EQU</v>
      </c>
      <c r="F3749" s="86">
        <f>H3737</f>
        <v>6.25E-2</v>
      </c>
      <c r="G3749" s="112" t="e">
        <f>F3749*E3749</f>
        <v>#VALUE!</v>
      </c>
      <c r="H3749" s="107"/>
    </row>
    <row r="3750" spans="1:15">
      <c r="A3750" s="520" t="s">
        <v>4099</v>
      </c>
      <c r="B3750" s="521"/>
      <c r="C3750" s="521"/>
      <c r="D3750" s="521"/>
      <c r="E3750" s="521"/>
      <c r="F3750" s="521"/>
      <c r="G3750" s="521"/>
      <c r="H3750" s="87" t="e">
        <f>SUM(G3747:G3749)</f>
        <v>#VALUE!</v>
      </c>
    </row>
    <row r="3751" spans="1:15">
      <c r="A3751" s="550" t="s">
        <v>4219</v>
      </c>
      <c r="B3751" s="551"/>
      <c r="C3751" s="551"/>
      <c r="D3751" s="551"/>
      <c r="E3751" s="551"/>
      <c r="F3751" s="551"/>
      <c r="G3751" s="551"/>
      <c r="H3751" s="552"/>
      <c r="K3751" s="50"/>
      <c r="L3751" s="50"/>
      <c r="M3751" s="50"/>
      <c r="N3751" s="50"/>
      <c r="O3751" s="50"/>
    </row>
    <row r="3752" spans="1:15" ht="30" customHeight="1">
      <c r="A3752" s="553" t="s">
        <v>7</v>
      </c>
      <c r="B3752" s="554"/>
      <c r="C3752" s="99" t="s">
        <v>0</v>
      </c>
      <c r="D3752" s="100" t="s">
        <v>4097</v>
      </c>
      <c r="E3752" s="101" t="s">
        <v>1</v>
      </c>
      <c r="F3752" s="555" t="s">
        <v>4207</v>
      </c>
      <c r="G3752" s="555"/>
      <c r="H3752" s="196"/>
      <c r="K3752" s="50"/>
      <c r="L3752" s="50"/>
      <c r="M3752" s="50"/>
      <c r="N3752" s="50"/>
      <c r="O3752" s="50"/>
    </row>
    <row r="3753" spans="1:15">
      <c r="A3753" s="535" t="s">
        <v>4806</v>
      </c>
      <c r="B3753" s="536"/>
      <c r="C3753" s="88">
        <f>VLOOKUP(A3753,'Materiales '!$C$2:$G$396,3,0)</f>
        <v>4</v>
      </c>
      <c r="D3753" s="89" t="str">
        <f>VLOOKUP(A3753,'Materiales '!$C$2:$G$396,4,0)</f>
        <v>Und</v>
      </c>
      <c r="E3753" s="90">
        <v>1</v>
      </c>
      <c r="F3753" s="508" t="e">
        <f>E3753*D3753</f>
        <v>#VALUE!</v>
      </c>
      <c r="G3753" s="519"/>
      <c r="H3753" s="111"/>
      <c r="I3753">
        <f>E3753*G3744</f>
        <v>0</v>
      </c>
      <c r="J3753" s="57"/>
      <c r="K3753" s="50"/>
      <c r="L3753" s="50"/>
      <c r="M3753" s="50"/>
      <c r="N3753" s="50"/>
      <c r="O3753" s="50"/>
    </row>
    <row r="3754" spans="1:15">
      <c r="A3754" s="535" t="s">
        <v>4203</v>
      </c>
      <c r="B3754" s="536"/>
      <c r="C3754" s="88">
        <f>VLOOKUP(A3754,'Materiales '!$C$2:$G$396,3,0)</f>
        <v>4</v>
      </c>
      <c r="D3754" s="89" t="str">
        <f>VLOOKUP(A3754,'Materiales '!$C$2:$G$396,4,0)</f>
        <v>Und</v>
      </c>
      <c r="E3754" s="90">
        <v>1</v>
      </c>
      <c r="F3754" s="508" t="e">
        <f t="shared" ref="F3754:F3760" si="220">E3754*D3754</f>
        <v>#VALUE!</v>
      </c>
      <c r="G3754" s="519"/>
      <c r="H3754" s="111"/>
      <c r="I3754">
        <f>E3754*G3744</f>
        <v>0</v>
      </c>
      <c r="J3754" s="57"/>
      <c r="K3754" s="50"/>
      <c r="L3754" s="50"/>
      <c r="M3754" s="50"/>
      <c r="N3754" s="50"/>
      <c r="O3754" s="50"/>
    </row>
    <row r="3755" spans="1:15">
      <c r="A3755" s="517" t="s">
        <v>4468</v>
      </c>
      <c r="B3755" s="518">
        <f>VLOOKUP(A3755,'Materiales '!$C$2:$G$396,3,0)</f>
        <v>4</v>
      </c>
      <c r="C3755" s="88">
        <f>VLOOKUP(A3755,'Materiales '!$C$2:$G$396,3,0)</f>
        <v>4</v>
      </c>
      <c r="D3755" s="89" t="str">
        <f>VLOOKUP(A3755,'Materiales '!$C$2:$G$396,4,0)</f>
        <v>Und</v>
      </c>
      <c r="E3755" s="90">
        <v>1.5</v>
      </c>
      <c r="F3755" s="508" t="e">
        <f t="shared" si="220"/>
        <v>#VALUE!</v>
      </c>
      <c r="G3755" s="519"/>
      <c r="H3755" s="111"/>
      <c r="I3755">
        <f>E3755*G3744</f>
        <v>0</v>
      </c>
      <c r="J3755" s="58"/>
      <c r="K3755" s="50"/>
      <c r="L3755" s="50"/>
      <c r="M3755" s="50"/>
      <c r="N3755" s="50"/>
      <c r="O3755" s="50"/>
    </row>
    <row r="3756" spans="1:15">
      <c r="A3756" s="517" t="s">
        <v>4478</v>
      </c>
      <c r="B3756" s="518">
        <f>VLOOKUP(A3756,'Materiales '!$C$2:$G$396,3,0)</f>
        <v>4</v>
      </c>
      <c r="C3756" s="88">
        <f>VLOOKUP(A3756,'Materiales '!$C$2:$G$396,3,0)</f>
        <v>4</v>
      </c>
      <c r="D3756" s="89" t="str">
        <f>VLOOKUP(A3756,'Materiales '!$C$2:$G$396,4,0)</f>
        <v>Und</v>
      </c>
      <c r="E3756" s="90">
        <v>3</v>
      </c>
      <c r="F3756" s="508" t="e">
        <f t="shared" si="220"/>
        <v>#VALUE!</v>
      </c>
      <c r="G3756" s="519"/>
      <c r="H3756" s="111"/>
      <c r="I3756">
        <f>E3756*G3744</f>
        <v>0</v>
      </c>
      <c r="J3756" s="58"/>
      <c r="K3756" s="50"/>
      <c r="L3756" s="50"/>
      <c r="M3756" s="50"/>
      <c r="N3756" s="50"/>
      <c r="O3756" s="50"/>
    </row>
    <row r="3757" spans="1:15">
      <c r="A3757" s="517" t="s">
        <v>4543</v>
      </c>
      <c r="B3757" s="518">
        <f>VLOOKUP(A3757,'Materiales '!$C$2:$G$396,3,0)</f>
        <v>4</v>
      </c>
      <c r="C3757" s="88">
        <f>VLOOKUP(A3757,'Materiales '!$C$2:$G$396,3,0)</f>
        <v>4</v>
      </c>
      <c r="D3757" s="89" t="str">
        <f>VLOOKUP(A3757,'Materiales '!$C$2:$G$396,4,0)</f>
        <v>Und</v>
      </c>
      <c r="E3757" s="90">
        <v>1</v>
      </c>
      <c r="F3757" s="508" t="e">
        <f t="shared" si="220"/>
        <v>#VALUE!</v>
      </c>
      <c r="G3757" s="519"/>
      <c r="H3757" s="111"/>
      <c r="I3757">
        <f>E3757*G3744</f>
        <v>0</v>
      </c>
      <c r="J3757" s="58"/>
      <c r="K3757" s="50"/>
      <c r="L3757" s="50"/>
      <c r="M3757" s="50"/>
      <c r="N3757" s="50"/>
      <c r="O3757" s="50"/>
    </row>
    <row r="3758" spans="1:15">
      <c r="A3758" s="517" t="s">
        <v>4439</v>
      </c>
      <c r="B3758" s="518">
        <f>VLOOKUP(A3758,'Materiales '!$C$2:$G$396,3,0)</f>
        <v>2</v>
      </c>
      <c r="C3758" s="88">
        <f>VLOOKUP(A3758,'Materiales '!$C$2:$G$396,3,0)</f>
        <v>2</v>
      </c>
      <c r="D3758" s="89" t="str">
        <f>VLOOKUP(A3758,'Materiales '!$C$2:$G$396,4,0)</f>
        <v>Ml</v>
      </c>
      <c r="E3758" s="90">
        <v>1</v>
      </c>
      <c r="F3758" s="508" t="e">
        <f t="shared" si="220"/>
        <v>#VALUE!</v>
      </c>
      <c r="G3758" s="519"/>
      <c r="H3758" s="111"/>
      <c r="I3758">
        <f>E3758*G3744</f>
        <v>0</v>
      </c>
      <c r="J3758" s="58"/>
      <c r="K3758" s="50"/>
      <c r="L3758" s="50"/>
      <c r="M3758" s="50"/>
      <c r="N3758" s="50"/>
      <c r="O3758" s="50"/>
    </row>
    <row r="3759" spans="1:15">
      <c r="A3759" s="517" t="s">
        <v>4425</v>
      </c>
      <c r="B3759" s="518">
        <f>VLOOKUP(A3759,'Materiales '!$C$2:$G$396,3,0)</f>
        <v>4</v>
      </c>
      <c r="C3759" s="88">
        <f>VLOOKUP(A3759,'Materiales '!$C$2:$G$396,3,0)</f>
        <v>4</v>
      </c>
      <c r="D3759" s="89" t="str">
        <f>VLOOKUP(A3759,'Materiales '!$C$2:$G$396,4,0)</f>
        <v>Und</v>
      </c>
      <c r="E3759" s="90">
        <v>1</v>
      </c>
      <c r="F3759" s="508" t="e">
        <f t="shared" si="220"/>
        <v>#VALUE!</v>
      </c>
      <c r="G3759" s="519"/>
      <c r="H3759" s="111"/>
      <c r="I3759">
        <f>E3759*G3744</f>
        <v>0</v>
      </c>
      <c r="J3759" s="58"/>
      <c r="K3759" s="50"/>
      <c r="L3759" s="50"/>
      <c r="M3759" s="50"/>
      <c r="N3759" s="50"/>
      <c r="O3759" s="50"/>
    </row>
    <row r="3760" spans="1:15" ht="21.75" customHeight="1">
      <c r="A3760" s="517" t="s">
        <v>4628</v>
      </c>
      <c r="B3760" s="518">
        <f>VLOOKUP(A3760,'Materiales '!$C$2:$G$396,3,0)</f>
        <v>4</v>
      </c>
      <c r="C3760" s="88">
        <f>VLOOKUP(A3760,'Materiales '!$C$2:$G$396,3,0)</f>
        <v>4</v>
      </c>
      <c r="D3760" s="89" t="str">
        <f>VLOOKUP(A3760,'Materiales '!$C$2:$G$396,4,0)</f>
        <v>Und</v>
      </c>
      <c r="E3760" s="90">
        <v>1</v>
      </c>
      <c r="F3760" s="508" t="e">
        <f t="shared" si="220"/>
        <v>#VALUE!</v>
      </c>
      <c r="G3760" s="519"/>
      <c r="H3760" s="111"/>
      <c r="I3760">
        <f>E3760*G3744</f>
        <v>0</v>
      </c>
      <c r="J3760" s="58"/>
      <c r="K3760" s="50"/>
      <c r="L3760" s="50"/>
      <c r="M3760" s="50"/>
      <c r="N3760" s="50"/>
      <c r="O3760" s="50"/>
    </row>
    <row r="3761" spans="1:15">
      <c r="A3761" s="517" t="s">
        <v>8</v>
      </c>
      <c r="B3761" s="518">
        <f>VLOOKUP(A3761,'Materiales '!$C$2:$G$396,3,0)</f>
        <v>0</v>
      </c>
      <c r="C3761" s="88">
        <f>VLOOKUP(A3761,'Materiales '!$C$2:$G$396,3,0)</f>
        <v>0</v>
      </c>
      <c r="D3761" s="89" t="str">
        <f>VLOOKUP(A3761,'Materiales '!$C$2:$G$396,4,0)</f>
        <v>-</v>
      </c>
      <c r="E3761" s="90"/>
      <c r="F3761" s="508" t="e">
        <f>E3761*D3761</f>
        <v>#VALUE!</v>
      </c>
      <c r="G3761" s="519"/>
      <c r="H3761" s="110"/>
      <c r="I3761">
        <f>E3761*G3744</f>
        <v>0</v>
      </c>
      <c r="J3761" s="58"/>
      <c r="K3761" s="50"/>
      <c r="L3761" s="50"/>
      <c r="M3761" s="50"/>
      <c r="N3761" s="50"/>
      <c r="O3761" s="50"/>
    </row>
    <row r="3762" spans="1:15">
      <c r="A3762" s="517" t="s">
        <v>8</v>
      </c>
      <c r="B3762" s="518">
        <f>VLOOKUP(A3762,'Materiales '!$C$2:$G$396,3,0)</f>
        <v>0</v>
      </c>
      <c r="C3762" s="88">
        <f>VLOOKUP(A3762,'Materiales '!$C$2:$G$396,3,0)</f>
        <v>0</v>
      </c>
      <c r="D3762" s="89" t="str">
        <f>VLOOKUP(A3762,'Materiales '!$C$2:$G$396,4,0)</f>
        <v>-</v>
      </c>
      <c r="E3762" s="90"/>
      <c r="F3762" s="508" t="e">
        <f t="shared" ref="F3762:F3765" si="221">E3762*D3762</f>
        <v>#VALUE!</v>
      </c>
      <c r="G3762" s="519"/>
      <c r="H3762" s="111"/>
      <c r="I3762">
        <f>E3762*G3744</f>
        <v>0</v>
      </c>
      <c r="J3762" s="58"/>
      <c r="K3762" s="50"/>
      <c r="L3762" s="50"/>
      <c r="M3762" s="50"/>
      <c r="N3762" s="50"/>
      <c r="O3762" s="50"/>
    </row>
    <row r="3763" spans="1:15">
      <c r="A3763" s="517" t="s">
        <v>8</v>
      </c>
      <c r="B3763" s="518">
        <f>VLOOKUP(A3763,'Materiales '!$C$2:$G$396,3,0)</f>
        <v>0</v>
      </c>
      <c r="C3763" s="88">
        <f>VLOOKUP(A3763,'Materiales '!$C$2:$G$396,3,0)</f>
        <v>0</v>
      </c>
      <c r="D3763" s="89" t="str">
        <f>VLOOKUP(A3763,'Materiales '!$C$2:$G$396,4,0)</f>
        <v>-</v>
      </c>
      <c r="E3763" s="90"/>
      <c r="F3763" s="508" t="e">
        <f t="shared" si="221"/>
        <v>#VALUE!</v>
      </c>
      <c r="G3763" s="519"/>
      <c r="H3763" s="111"/>
      <c r="I3763">
        <f>E3763*G3744</f>
        <v>0</v>
      </c>
      <c r="J3763" s="58"/>
      <c r="K3763" s="50"/>
      <c r="L3763" s="50"/>
      <c r="M3763" s="50"/>
      <c r="N3763" s="50"/>
      <c r="O3763" s="50"/>
    </row>
    <row r="3764" spans="1:15">
      <c r="A3764" s="517" t="s">
        <v>8</v>
      </c>
      <c r="B3764" s="518">
        <f>VLOOKUP(A3764,'Materiales '!$C$2:$G$396,3,0)</f>
        <v>0</v>
      </c>
      <c r="C3764" s="88">
        <f>VLOOKUP(A3764,'Materiales '!$C$2:$G$396,3,0)</f>
        <v>0</v>
      </c>
      <c r="D3764" s="89" t="str">
        <f>VLOOKUP(A3764,'Materiales '!$C$2:$G$396,4,0)</f>
        <v>-</v>
      </c>
      <c r="E3764" s="90"/>
      <c r="F3764" s="508" t="e">
        <f t="shared" si="221"/>
        <v>#VALUE!</v>
      </c>
      <c r="G3764" s="519"/>
      <c r="H3764" s="111"/>
      <c r="I3764">
        <f>E3764*G3744</f>
        <v>0</v>
      </c>
      <c r="J3764" s="58"/>
      <c r="K3764" s="50"/>
      <c r="L3764" s="50"/>
      <c r="M3764" s="50"/>
      <c r="N3764" s="50"/>
      <c r="O3764" s="50"/>
    </row>
    <row r="3765" spans="1:15">
      <c r="A3765" s="517" t="s">
        <v>8</v>
      </c>
      <c r="B3765" s="518">
        <f>VLOOKUP(A3765,'Materiales '!$C$2:$G$396,3,0)</f>
        <v>0</v>
      </c>
      <c r="C3765" s="88">
        <f>VLOOKUP(A3765,'Materiales '!$C$2:$G$396,3,0)</f>
        <v>0</v>
      </c>
      <c r="D3765" s="89" t="str">
        <f>VLOOKUP(A3765,'Materiales '!$C$2:$G$396,4,0)</f>
        <v>-</v>
      </c>
      <c r="E3765" s="90"/>
      <c r="F3765" s="508" t="e">
        <f t="shared" si="221"/>
        <v>#VALUE!</v>
      </c>
      <c r="G3765" s="519"/>
      <c r="H3765" s="111"/>
      <c r="I3765">
        <f>E3765*G3744</f>
        <v>0</v>
      </c>
      <c r="J3765" s="58"/>
      <c r="K3765" s="50"/>
      <c r="L3765" s="50"/>
      <c r="M3765" s="50"/>
      <c r="N3765" s="50"/>
      <c r="O3765" s="50"/>
    </row>
    <row r="3766" spans="1:15">
      <c r="A3766" s="517" t="s">
        <v>8</v>
      </c>
      <c r="B3766" s="518">
        <f>VLOOKUP(A3766,'Materiales '!$C$2:$G$396,3,0)</f>
        <v>0</v>
      </c>
      <c r="C3766" s="88">
        <f>VLOOKUP(A3766,'Materiales '!$C$2:$G$396,3,0)</f>
        <v>0</v>
      </c>
      <c r="D3766" s="89" t="str">
        <f>VLOOKUP(A3766,'Materiales '!$C$2:$G$396,4,0)</f>
        <v>-</v>
      </c>
      <c r="E3766" s="90"/>
      <c r="F3766" s="508" t="e">
        <f>E3766*D3766</f>
        <v>#VALUE!</v>
      </c>
      <c r="G3766" s="519"/>
      <c r="H3766" s="110"/>
      <c r="I3766">
        <f>E3766*G3744</f>
        <v>0</v>
      </c>
      <c r="J3766" s="58"/>
      <c r="K3766" s="50"/>
      <c r="L3766" s="50"/>
      <c r="M3766" s="50"/>
      <c r="N3766" s="50"/>
      <c r="O3766" s="50"/>
    </row>
    <row r="3767" spans="1:15">
      <c r="A3767" s="520" t="s">
        <v>4098</v>
      </c>
      <c r="B3767" s="521"/>
      <c r="C3767" s="521"/>
      <c r="D3767" s="521"/>
      <c r="E3767" s="521"/>
      <c r="F3767" s="521"/>
      <c r="G3767" s="522"/>
      <c r="H3767" s="106" t="e">
        <f>SUM(F3753:F3766)</f>
        <v>#VALUE!</v>
      </c>
      <c r="J3767" s="58"/>
      <c r="K3767" s="50"/>
      <c r="L3767" s="50"/>
      <c r="M3767" s="50"/>
      <c r="N3767" s="50"/>
      <c r="O3767" s="50"/>
    </row>
    <row r="3768" spans="1:15">
      <c r="A3768" s="523" t="s">
        <v>4220</v>
      </c>
      <c r="B3768" s="524"/>
      <c r="C3768" s="524"/>
      <c r="D3768" s="524"/>
      <c r="E3768" s="525"/>
      <c r="F3768" s="524"/>
      <c r="G3768" s="524"/>
      <c r="H3768" s="526"/>
      <c r="J3768" s="58"/>
      <c r="K3768" s="50"/>
      <c r="L3768" s="50"/>
      <c r="M3768" s="50"/>
      <c r="N3768" s="50"/>
      <c r="O3768" s="50"/>
    </row>
    <row r="3769" spans="1:15">
      <c r="A3769" s="527" t="s">
        <v>7</v>
      </c>
      <c r="B3769" s="528"/>
      <c r="C3769" s="98" t="s">
        <v>4221</v>
      </c>
      <c r="D3769" s="97" t="s">
        <v>4222</v>
      </c>
      <c r="E3769" s="187" t="s">
        <v>4223</v>
      </c>
      <c r="F3769" s="529" t="s">
        <v>4207</v>
      </c>
      <c r="G3769" s="529"/>
      <c r="H3769" s="109"/>
      <c r="K3769" s="50"/>
      <c r="L3769" s="50"/>
      <c r="M3769" s="50"/>
      <c r="N3769" s="50"/>
      <c r="O3769" s="50"/>
    </row>
    <row r="3770" spans="1:15">
      <c r="A3770" s="506" t="s">
        <v>3928</v>
      </c>
      <c r="B3770" s="507"/>
      <c r="C3770" s="213">
        <v>1</v>
      </c>
      <c r="D3770" s="92">
        <v>0.03</v>
      </c>
      <c r="E3770" s="93" t="str">
        <f>VLOOKUP(A3770,'Equip, Herr y Transp'!$B$2:$E$217,3,0)</f>
        <v>TR</v>
      </c>
      <c r="F3770" s="530" t="e">
        <f>E3770*D3770*C3770</f>
        <v>#VALUE!</v>
      </c>
      <c r="G3770" s="531"/>
      <c r="H3770" s="107"/>
      <c r="M3770" s="50"/>
    </row>
    <row r="3771" spans="1:15">
      <c r="A3771" s="532" t="s">
        <v>4205</v>
      </c>
      <c r="B3771" s="533"/>
      <c r="C3771" s="533"/>
      <c r="D3771" s="533"/>
      <c r="E3771" s="533"/>
      <c r="F3771" s="533"/>
      <c r="G3771" s="533"/>
      <c r="H3771" s="95" t="e">
        <f>F3770</f>
        <v>#VALUE!</v>
      </c>
    </row>
    <row r="3772" spans="1:15">
      <c r="A3772" s="523" t="s">
        <v>4224</v>
      </c>
      <c r="B3772" s="524"/>
      <c r="C3772" s="524"/>
      <c r="D3772" s="524"/>
      <c r="E3772" s="524"/>
      <c r="F3772" s="524"/>
      <c r="G3772" s="524"/>
      <c r="H3772" s="526"/>
    </row>
    <row r="3773" spans="1:15">
      <c r="A3773" s="527" t="s">
        <v>7</v>
      </c>
      <c r="B3773" s="528"/>
      <c r="C3773" s="96" t="s">
        <v>1</v>
      </c>
      <c r="D3773" s="97" t="s">
        <v>4225</v>
      </c>
      <c r="E3773" s="98" t="s">
        <v>4204</v>
      </c>
      <c r="F3773" s="527" t="s">
        <v>5</v>
      </c>
      <c r="G3773" s="534"/>
      <c r="H3773" s="109"/>
    </row>
    <row r="3774" spans="1:15">
      <c r="A3774" s="506" t="s">
        <v>4191</v>
      </c>
      <c r="B3774" s="507"/>
      <c r="C3774" s="91">
        <v>1</v>
      </c>
      <c r="D3774" s="94">
        <f>VLOOKUP(A3774,'Mano Obra'!$B$2:$T$117,19,0)</f>
        <v>152456</v>
      </c>
      <c r="E3774" s="218">
        <f>H3737</f>
        <v>6.25E-2</v>
      </c>
      <c r="F3774" s="508">
        <f>E3774*D3774*C3774</f>
        <v>9528.5</v>
      </c>
      <c r="G3774" s="509"/>
      <c r="H3774" s="111"/>
      <c r="I3774" s="59"/>
      <c r="J3774" s="117">
        <f>((('Mano Obra'!$M$4/30)*F3774)/D3774)*G3744</f>
        <v>0</v>
      </c>
    </row>
    <row r="3775" spans="1:15">
      <c r="A3775" s="510" t="s">
        <v>4192</v>
      </c>
      <c r="B3775" s="511">
        <f>VLOOKUP(A3775,'Mano Obra'!$B$3:$D$290,2,0)</f>
        <v>1900000</v>
      </c>
      <c r="C3775" s="91">
        <v>1</v>
      </c>
      <c r="D3775" s="94">
        <f>VLOOKUP(A3775,'Mano Obra'!$B$2:$T$117,19,0)</f>
        <v>110488</v>
      </c>
      <c r="E3775" s="218">
        <f>H3737</f>
        <v>6.25E-2</v>
      </c>
      <c r="F3775" s="508">
        <f t="shared" ref="F3775:F3776" si="222">E3775*D3775*C3775</f>
        <v>6905.5</v>
      </c>
      <c r="G3775" s="509"/>
      <c r="H3775" s="111"/>
      <c r="J3775" s="117">
        <f>((('Mano Obra'!$M$5/30)*F3775)/D3775)*G3744</f>
        <v>0</v>
      </c>
    </row>
    <row r="3776" spans="1:15">
      <c r="A3776" s="510" t="s">
        <v>4181</v>
      </c>
      <c r="B3776" s="511">
        <f>VLOOKUP(A3776,'Mano Obra'!$B$3:$D$290,2,0)</f>
        <v>1000000</v>
      </c>
      <c r="C3776" s="91">
        <v>1</v>
      </c>
      <c r="D3776" s="94">
        <f>VLOOKUP(A3776,'Mano Obra'!$B$2:$T$117,19,0)</f>
        <v>67424</v>
      </c>
      <c r="E3776" s="218">
        <f>H3737</f>
        <v>6.25E-2</v>
      </c>
      <c r="F3776" s="508">
        <f t="shared" si="222"/>
        <v>4214</v>
      </c>
      <c r="G3776" s="509"/>
      <c r="H3776" s="110"/>
      <c r="J3776" s="117">
        <f>((('Mano Obra'!$M$6/30)*F3776)/D3776)*G3744</f>
        <v>0</v>
      </c>
    </row>
    <row r="3777" spans="1:14">
      <c r="A3777" s="512" t="s">
        <v>4100</v>
      </c>
      <c r="B3777" s="512"/>
      <c r="C3777" s="512"/>
      <c r="D3777" s="512"/>
      <c r="E3777" s="512"/>
      <c r="F3777" s="512"/>
      <c r="G3777" s="512"/>
      <c r="H3777" s="95">
        <f>SUM(F3774:F3776)</f>
        <v>20648</v>
      </c>
      <c r="J3777" s="117"/>
    </row>
    <row r="3778" spans="1:14">
      <c r="A3778" s="208" t="s">
        <v>4226</v>
      </c>
      <c r="B3778" s="186"/>
      <c r="C3778" s="186"/>
      <c r="D3778" s="183"/>
      <c r="E3778" s="184"/>
      <c r="F3778" s="185"/>
      <c r="G3778" s="184"/>
      <c r="H3778" s="193"/>
    </row>
    <row r="3779" spans="1:14">
      <c r="A3779" s="513" t="s">
        <v>4213</v>
      </c>
      <c r="B3779" s="514"/>
      <c r="C3779" s="514"/>
      <c r="D3779" s="514"/>
      <c r="E3779" s="181"/>
      <c r="F3779" s="182" t="s">
        <v>4227</v>
      </c>
      <c r="G3779" s="181" t="s">
        <v>4228</v>
      </c>
      <c r="H3779" s="194"/>
    </row>
    <row r="3780" spans="1:14">
      <c r="A3780" s="204" t="s">
        <v>4096</v>
      </c>
      <c r="B3780" s="62"/>
      <c r="C3780" s="62"/>
      <c r="D3780" s="63"/>
      <c r="E3780" s="68"/>
      <c r="F3780" s="69">
        <v>0</v>
      </c>
      <c r="G3780" s="70" t="e">
        <f>F3780*H3745</f>
        <v>#VALUE!</v>
      </c>
      <c r="H3780" s="193"/>
    </row>
    <row r="3781" spans="1:14">
      <c r="A3781" s="205" t="s">
        <v>4229</v>
      </c>
      <c r="B3781" s="71"/>
      <c r="C3781" s="71"/>
      <c r="D3781" s="72"/>
      <c r="E3781" s="68"/>
      <c r="F3781" s="69">
        <v>0</v>
      </c>
      <c r="G3781" s="70" t="e">
        <f>F3781*H3745</f>
        <v>#VALUE!</v>
      </c>
      <c r="H3781" s="193"/>
    </row>
    <row r="3782" spans="1:14">
      <c r="A3782" s="205" t="s">
        <v>4</v>
      </c>
      <c r="B3782" s="71"/>
      <c r="C3782" s="71"/>
      <c r="D3782" s="72"/>
      <c r="E3782" s="68"/>
      <c r="F3782" s="69">
        <v>0</v>
      </c>
      <c r="G3782" s="70" t="e">
        <f>F3782*H3745</f>
        <v>#VALUE!</v>
      </c>
      <c r="H3782" s="193"/>
    </row>
    <row r="3783" spans="1:14">
      <c r="A3783" s="206"/>
      <c r="B3783" s="73"/>
      <c r="C3783" s="65"/>
      <c r="D3783" s="74"/>
      <c r="E3783" s="75"/>
      <c r="F3783" s="76"/>
      <c r="G3783" s="77"/>
      <c r="H3783" s="195"/>
    </row>
    <row r="3784" spans="1:14">
      <c r="A3784" s="207"/>
      <c r="B3784" s="73"/>
      <c r="C3784" s="73"/>
      <c r="D3784" s="74"/>
      <c r="E3784" s="78"/>
      <c r="F3784" s="515" t="s">
        <v>4230</v>
      </c>
      <c r="G3784" s="516"/>
      <c r="H3784" s="214" t="e">
        <f>H3745+G3780+G3781+G3782</f>
        <v>#VALUE!</v>
      </c>
    </row>
    <row r="3785" spans="1:14">
      <c r="A3785" s="73"/>
      <c r="B3785" s="73"/>
      <c r="C3785" s="73"/>
      <c r="D3785" s="74"/>
      <c r="E3785" s="360"/>
      <c r="F3785" s="361"/>
      <c r="G3785" s="361"/>
      <c r="H3785" s="362"/>
    </row>
    <row r="3786" spans="1:14">
      <c r="A3786" s="80"/>
      <c r="B3786" s="80"/>
      <c r="C3786" s="80"/>
      <c r="D3786" s="80"/>
      <c r="E3786" s="80"/>
      <c r="F3786" s="80"/>
      <c r="G3786" s="80"/>
      <c r="H3786" s="353"/>
    </row>
    <row r="3787" spans="1:14">
      <c r="A3787" s="537" t="s">
        <v>4214</v>
      </c>
      <c r="B3787" s="538"/>
      <c r="C3787" s="538"/>
      <c r="D3787" s="538"/>
      <c r="E3787" s="538"/>
      <c r="F3787" s="538"/>
      <c r="G3787" s="538"/>
      <c r="H3787" s="539"/>
    </row>
    <row r="3788" spans="1:14">
      <c r="A3788" s="81"/>
      <c r="B3788" s="82"/>
      <c r="C3788" s="82"/>
      <c r="D3788" s="82"/>
      <c r="E3788" s="82"/>
      <c r="F3788" s="83"/>
      <c r="G3788" s="84"/>
      <c r="H3788" s="352">
        <f>ROUND((30/60)/8,4)</f>
        <v>6.25E-2</v>
      </c>
      <c r="I3788" s="105"/>
    </row>
    <row r="3789" spans="1:14">
      <c r="A3789" s="540" t="s">
        <v>4209</v>
      </c>
      <c r="B3789" s="542" t="str">
        <f>COSTOS!$C$14</f>
        <v>MODERNIZACION A TECNOLOGIA LED</v>
      </c>
      <c r="C3789" s="542"/>
      <c r="D3789" s="542"/>
      <c r="E3789" s="542"/>
      <c r="F3789" s="542"/>
      <c r="G3789" s="542"/>
      <c r="H3789" s="543" t="s">
        <v>4210</v>
      </c>
    </row>
    <row r="3790" spans="1:14">
      <c r="A3790" s="541"/>
      <c r="B3790" s="542"/>
      <c r="C3790" s="542"/>
      <c r="D3790" s="542"/>
      <c r="E3790" s="542"/>
      <c r="F3790" s="542"/>
      <c r="G3790" s="542"/>
      <c r="H3790" s="543"/>
    </row>
    <row r="3791" spans="1:14">
      <c r="A3791" s="541"/>
      <c r="B3791" s="542"/>
      <c r="C3791" s="542"/>
      <c r="D3791" s="542"/>
      <c r="E3791" s="542"/>
      <c r="F3791" s="542"/>
      <c r="G3791" s="542"/>
      <c r="H3791" s="543"/>
    </row>
    <row r="3792" spans="1:14" ht="15" customHeight="1">
      <c r="A3792" s="541"/>
      <c r="B3792" s="542"/>
      <c r="C3792" s="542"/>
      <c r="D3792" s="542"/>
      <c r="E3792" s="542"/>
      <c r="F3792" s="542"/>
      <c r="G3792" s="542"/>
      <c r="H3792" s="197">
        <f ca="1">TODAY()</f>
        <v>44889</v>
      </c>
      <c r="K3792" t="s">
        <v>4380</v>
      </c>
      <c r="L3792" t="s">
        <v>4381</v>
      </c>
      <c r="M3792" t="s">
        <v>4382</v>
      </c>
      <c r="N3792" t="s">
        <v>4383</v>
      </c>
    </row>
    <row r="3793" spans="1:15" ht="60.75" customHeight="1">
      <c r="A3793" s="209" t="s">
        <v>4211</v>
      </c>
      <c r="B3793" s="544" t="str">
        <f>COSTOS!$D$16</f>
        <v>Luminarias</v>
      </c>
      <c r="C3793" s="544"/>
      <c r="D3793" s="544"/>
      <c r="E3793" s="544"/>
      <c r="F3793" s="544"/>
      <c r="G3793" s="60" t="s">
        <v>4212</v>
      </c>
      <c r="H3793" s="363">
        <v>1.75</v>
      </c>
      <c r="K3793" s="55" t="e">
        <f>H3818</f>
        <v>#VALUE!</v>
      </c>
      <c r="L3793" s="55">
        <f>H3828</f>
        <v>20648</v>
      </c>
      <c r="M3793" s="55" t="e">
        <f>H3801</f>
        <v>#VALUE!</v>
      </c>
      <c r="N3793" s="55" t="e">
        <f>H3822</f>
        <v>#VALUE!</v>
      </c>
    </row>
    <row r="3794" spans="1:15" ht="43.2" customHeight="1">
      <c r="A3794" s="210" t="s">
        <v>4213</v>
      </c>
      <c r="B3794" s="545" t="str">
        <f>VLOOKUP(H3793,COSTOS!C:M,2,0)</f>
        <v>Reflector con bombillo fluorescente 80W</v>
      </c>
      <c r="C3794" s="546"/>
      <c r="D3794" s="546"/>
      <c r="E3794" s="547"/>
      <c r="F3794" s="61" t="s">
        <v>0</v>
      </c>
      <c r="G3794" s="328" t="str">
        <f>VLOOKUP(H3793,COSTOS!C:M,8,0)</f>
        <v>Und</v>
      </c>
      <c r="H3794" s="248"/>
      <c r="I3794" s="278"/>
      <c r="J3794" s="280"/>
      <c r="K3794" s="280"/>
      <c r="L3794" s="280"/>
    </row>
    <row r="3795" spans="1:15">
      <c r="A3795" s="211"/>
      <c r="B3795" s="102"/>
      <c r="C3795" s="102"/>
      <c r="D3795" s="102"/>
      <c r="E3795" s="103"/>
      <c r="F3795" s="104" t="s">
        <v>1</v>
      </c>
      <c r="G3795" s="328">
        <f>VLOOKUP(H3793,COSTOS!C:M,9,0)</f>
        <v>0</v>
      </c>
      <c r="H3795" s="329"/>
      <c r="I3795" s="279"/>
    </row>
    <row r="3796" spans="1:15">
      <c r="A3796" s="212" t="s">
        <v>4215</v>
      </c>
      <c r="B3796" s="65"/>
      <c r="C3796" s="65"/>
      <c r="D3796" s="66"/>
      <c r="E3796" s="190"/>
      <c r="F3796" s="191"/>
      <c r="G3796" s="192" t="s">
        <v>4216</v>
      </c>
      <c r="H3796" s="198" t="e">
        <f>H3801+H3818+H3822+H3828</f>
        <v>#VALUE!</v>
      </c>
    </row>
    <row r="3797" spans="1:15" ht="41.4">
      <c r="A3797" s="548" t="s">
        <v>4213</v>
      </c>
      <c r="B3797" s="548"/>
      <c r="C3797" s="548"/>
      <c r="D3797" s="67" t="s">
        <v>0</v>
      </c>
      <c r="E3797" s="188" t="s">
        <v>4217</v>
      </c>
      <c r="F3797" s="189" t="s">
        <v>4204</v>
      </c>
      <c r="G3797" s="64" t="s">
        <v>2</v>
      </c>
      <c r="H3797" s="199" t="s">
        <v>4218</v>
      </c>
      <c r="K3797" s="281"/>
    </row>
    <row r="3798" spans="1:15">
      <c r="A3798" s="517" t="s">
        <v>3946</v>
      </c>
      <c r="B3798" s="549">
        <f>VLOOKUP(A3798,'Equip, Herr y Transp'!$B$2:$E$738,2,0)</f>
        <v>2</v>
      </c>
      <c r="C3798" s="549"/>
      <c r="D3798" s="85">
        <f>VLOOKUP(A3798,'Equip, Herr y Transp'!$B$2:$E$217,2,0)</f>
        <v>2</v>
      </c>
      <c r="E3798" s="85" t="str">
        <f>VLOOKUP(A3798,'Equip, Herr y Transp'!$B$2:$E$217,3,0)</f>
        <v>EQU</v>
      </c>
      <c r="F3798" s="86">
        <f>H3788</f>
        <v>6.25E-2</v>
      </c>
      <c r="G3798" s="112" t="e">
        <f>F3798*E3798</f>
        <v>#VALUE!</v>
      </c>
      <c r="H3798" s="108"/>
    </row>
    <row r="3799" spans="1:15">
      <c r="A3799" s="517" t="s">
        <v>3904</v>
      </c>
      <c r="B3799" s="549">
        <f>VLOOKUP(A3799,'Equip, Herr y Transp'!$B$2:$E$738,2,0)</f>
        <v>2</v>
      </c>
      <c r="C3799" s="549"/>
      <c r="D3799" s="85">
        <f>VLOOKUP(A3799,'Equip, Herr y Transp'!$B$2:$E$217,2,0)</f>
        <v>2</v>
      </c>
      <c r="E3799" s="85" t="str">
        <f>VLOOKUP(A3799,'Equip, Herr y Transp'!$B$2:$E$217,3,0)</f>
        <v>EQU</v>
      </c>
      <c r="F3799" s="86">
        <f>H3788</f>
        <v>6.25E-2</v>
      </c>
      <c r="G3799" s="112" t="e">
        <f>F3799*E3799</f>
        <v>#VALUE!</v>
      </c>
      <c r="H3799" s="107"/>
    </row>
    <row r="3800" spans="1:15">
      <c r="A3800" s="517" t="s">
        <v>3937</v>
      </c>
      <c r="B3800" s="549">
        <f>VLOOKUP(A3800,'Equip, Herr y Transp'!$B$2:$E$738,2,0)</f>
        <v>2</v>
      </c>
      <c r="C3800" s="549"/>
      <c r="D3800" s="85">
        <f>VLOOKUP(A3800,'Equip, Herr y Transp'!$B$2:$E$217,2,0)</f>
        <v>2</v>
      </c>
      <c r="E3800" s="85" t="str">
        <f>VLOOKUP(A3800,'Equip, Herr y Transp'!$B$2:$E$217,3,0)</f>
        <v>EQU</v>
      </c>
      <c r="F3800" s="86">
        <f>H3788</f>
        <v>6.25E-2</v>
      </c>
      <c r="G3800" s="112" t="e">
        <f>F3800*E3800</f>
        <v>#VALUE!</v>
      </c>
      <c r="H3800" s="107"/>
    </row>
    <row r="3801" spans="1:15">
      <c r="A3801" s="520" t="s">
        <v>4099</v>
      </c>
      <c r="B3801" s="521"/>
      <c r="C3801" s="521"/>
      <c r="D3801" s="521"/>
      <c r="E3801" s="521"/>
      <c r="F3801" s="521"/>
      <c r="G3801" s="521"/>
      <c r="H3801" s="87" t="e">
        <f>SUM(G3798:G3800)</f>
        <v>#VALUE!</v>
      </c>
    </row>
    <row r="3802" spans="1:15">
      <c r="A3802" s="550" t="s">
        <v>4219</v>
      </c>
      <c r="B3802" s="551"/>
      <c r="C3802" s="551"/>
      <c r="D3802" s="551"/>
      <c r="E3802" s="551"/>
      <c r="F3802" s="551"/>
      <c r="G3802" s="551"/>
      <c r="H3802" s="552"/>
      <c r="K3802" s="50"/>
      <c r="L3802" s="50"/>
      <c r="M3802" s="50"/>
      <c r="N3802" s="50"/>
      <c r="O3802" s="50"/>
    </row>
    <row r="3803" spans="1:15" ht="30" customHeight="1">
      <c r="A3803" s="553" t="s">
        <v>7</v>
      </c>
      <c r="B3803" s="554"/>
      <c r="C3803" s="99" t="s">
        <v>0</v>
      </c>
      <c r="D3803" s="100" t="s">
        <v>4097</v>
      </c>
      <c r="E3803" s="101" t="s">
        <v>1</v>
      </c>
      <c r="F3803" s="555" t="s">
        <v>4207</v>
      </c>
      <c r="G3803" s="555"/>
      <c r="H3803" s="196"/>
      <c r="K3803" s="50"/>
      <c r="L3803" s="50"/>
      <c r="M3803" s="50"/>
      <c r="N3803" s="50"/>
      <c r="O3803" s="50"/>
    </row>
    <row r="3804" spans="1:15">
      <c r="A3804" s="535" t="s">
        <v>4817</v>
      </c>
      <c r="B3804" s="536"/>
      <c r="C3804" s="88">
        <f>VLOOKUP(A3804,'Materiales '!$C$2:$G$396,3,0)</f>
        <v>4</v>
      </c>
      <c r="D3804" s="89" t="str">
        <f>VLOOKUP(A3804,'Materiales '!$C$2:$G$396,4,0)</f>
        <v>Und</v>
      </c>
      <c r="E3804" s="90">
        <v>1</v>
      </c>
      <c r="F3804" s="508" t="e">
        <f>E3804*D3804</f>
        <v>#VALUE!</v>
      </c>
      <c r="G3804" s="519"/>
      <c r="H3804" s="111"/>
      <c r="I3804">
        <f>E3804*G3795</f>
        <v>0</v>
      </c>
      <c r="J3804" s="57"/>
      <c r="K3804" s="50"/>
      <c r="L3804" s="50"/>
      <c r="M3804" s="50"/>
      <c r="N3804" s="50"/>
      <c r="O3804" s="50"/>
    </row>
    <row r="3805" spans="1:15">
      <c r="A3805" s="535" t="s">
        <v>4203</v>
      </c>
      <c r="B3805" s="536"/>
      <c r="C3805" s="88">
        <f>VLOOKUP(A3805,'Materiales '!$C$2:$G$396,3,0)</f>
        <v>4</v>
      </c>
      <c r="D3805" s="89" t="str">
        <f>VLOOKUP(A3805,'Materiales '!$C$2:$G$396,4,0)</f>
        <v>Und</v>
      </c>
      <c r="E3805" s="90">
        <v>1</v>
      </c>
      <c r="F3805" s="508" t="e">
        <f t="shared" ref="F3805:F3811" si="223">E3805*D3805</f>
        <v>#VALUE!</v>
      </c>
      <c r="G3805" s="519"/>
      <c r="H3805" s="111"/>
      <c r="I3805">
        <f>E3805*G3795</f>
        <v>0</v>
      </c>
      <c r="J3805" s="57"/>
      <c r="K3805" s="50"/>
      <c r="L3805" s="50"/>
      <c r="M3805" s="50"/>
      <c r="N3805" s="50"/>
      <c r="O3805" s="50"/>
    </row>
    <row r="3806" spans="1:15">
      <c r="A3806" s="517" t="s">
        <v>4468</v>
      </c>
      <c r="B3806" s="518">
        <f>VLOOKUP(A3806,'Materiales '!$C$2:$G$396,3,0)</f>
        <v>4</v>
      </c>
      <c r="C3806" s="88">
        <f>VLOOKUP(A3806,'Materiales '!$C$2:$G$396,3,0)</f>
        <v>4</v>
      </c>
      <c r="D3806" s="89" t="str">
        <f>VLOOKUP(A3806,'Materiales '!$C$2:$G$396,4,0)</f>
        <v>Und</v>
      </c>
      <c r="E3806" s="90">
        <v>1.5</v>
      </c>
      <c r="F3806" s="508" t="e">
        <f t="shared" si="223"/>
        <v>#VALUE!</v>
      </c>
      <c r="G3806" s="519"/>
      <c r="H3806" s="111"/>
      <c r="I3806">
        <f>E3806*G3795</f>
        <v>0</v>
      </c>
      <c r="J3806" s="58"/>
      <c r="K3806" s="50"/>
      <c r="L3806" s="50"/>
      <c r="M3806" s="50"/>
      <c r="N3806" s="50"/>
      <c r="O3806" s="50"/>
    </row>
    <row r="3807" spans="1:15">
      <c r="A3807" s="517" t="s">
        <v>4478</v>
      </c>
      <c r="B3807" s="518">
        <f>VLOOKUP(A3807,'Materiales '!$C$2:$G$396,3,0)</f>
        <v>4</v>
      </c>
      <c r="C3807" s="88">
        <f>VLOOKUP(A3807,'Materiales '!$C$2:$G$396,3,0)</f>
        <v>4</v>
      </c>
      <c r="D3807" s="89" t="str">
        <f>VLOOKUP(A3807,'Materiales '!$C$2:$G$396,4,0)</f>
        <v>Und</v>
      </c>
      <c r="E3807" s="90">
        <v>3</v>
      </c>
      <c r="F3807" s="508" t="e">
        <f t="shared" si="223"/>
        <v>#VALUE!</v>
      </c>
      <c r="G3807" s="519"/>
      <c r="H3807" s="111"/>
      <c r="I3807">
        <f>E3807*G3795</f>
        <v>0</v>
      </c>
      <c r="J3807" s="58"/>
      <c r="K3807" s="50"/>
      <c r="L3807" s="50"/>
      <c r="M3807" s="50"/>
      <c r="N3807" s="50"/>
      <c r="O3807" s="50"/>
    </row>
    <row r="3808" spans="1:15">
      <c r="A3808" s="517" t="s">
        <v>4543</v>
      </c>
      <c r="B3808" s="518">
        <f>VLOOKUP(A3808,'Materiales '!$C$2:$G$396,3,0)</f>
        <v>4</v>
      </c>
      <c r="C3808" s="88">
        <f>VLOOKUP(A3808,'Materiales '!$C$2:$G$396,3,0)</f>
        <v>4</v>
      </c>
      <c r="D3808" s="89" t="str">
        <f>VLOOKUP(A3808,'Materiales '!$C$2:$G$396,4,0)</f>
        <v>Und</v>
      </c>
      <c r="E3808" s="90">
        <v>1</v>
      </c>
      <c r="F3808" s="508" t="e">
        <f t="shared" si="223"/>
        <v>#VALUE!</v>
      </c>
      <c r="G3808" s="519"/>
      <c r="H3808" s="111"/>
      <c r="I3808">
        <f>E3808*G3795</f>
        <v>0</v>
      </c>
      <c r="J3808" s="58"/>
      <c r="K3808" s="50"/>
      <c r="L3808" s="50"/>
      <c r="M3808" s="50"/>
      <c r="N3808" s="50"/>
      <c r="O3808" s="50"/>
    </row>
    <row r="3809" spans="1:15">
      <c r="A3809" s="517" t="s">
        <v>4439</v>
      </c>
      <c r="B3809" s="518">
        <f>VLOOKUP(A3809,'Materiales '!$C$2:$G$396,3,0)</f>
        <v>2</v>
      </c>
      <c r="C3809" s="88">
        <f>VLOOKUP(A3809,'Materiales '!$C$2:$G$396,3,0)</f>
        <v>2</v>
      </c>
      <c r="D3809" s="89" t="str">
        <f>VLOOKUP(A3809,'Materiales '!$C$2:$G$396,4,0)</f>
        <v>Ml</v>
      </c>
      <c r="E3809" s="90">
        <v>1</v>
      </c>
      <c r="F3809" s="508" t="e">
        <f t="shared" si="223"/>
        <v>#VALUE!</v>
      </c>
      <c r="G3809" s="519"/>
      <c r="H3809" s="111"/>
      <c r="I3809">
        <f>E3809*G3795</f>
        <v>0</v>
      </c>
      <c r="J3809" s="58"/>
      <c r="K3809" s="50"/>
      <c r="L3809" s="50"/>
      <c r="M3809" s="50"/>
      <c r="N3809" s="50"/>
      <c r="O3809" s="50"/>
    </row>
    <row r="3810" spans="1:15">
      <c r="A3810" s="517" t="s">
        <v>4425</v>
      </c>
      <c r="B3810" s="518">
        <f>VLOOKUP(A3810,'Materiales '!$C$2:$G$396,3,0)</f>
        <v>4</v>
      </c>
      <c r="C3810" s="88">
        <f>VLOOKUP(A3810,'Materiales '!$C$2:$G$396,3,0)</f>
        <v>4</v>
      </c>
      <c r="D3810" s="89" t="str">
        <f>VLOOKUP(A3810,'Materiales '!$C$2:$G$396,4,0)</f>
        <v>Und</v>
      </c>
      <c r="E3810" s="90">
        <v>1</v>
      </c>
      <c r="F3810" s="508" t="e">
        <f t="shared" si="223"/>
        <v>#VALUE!</v>
      </c>
      <c r="G3810" s="519"/>
      <c r="H3810" s="111"/>
      <c r="I3810">
        <f>E3810*G3795</f>
        <v>0</v>
      </c>
      <c r="J3810" s="58"/>
      <c r="K3810" s="50"/>
      <c r="L3810" s="50"/>
      <c r="M3810" s="50"/>
      <c r="N3810" s="50"/>
      <c r="O3810" s="50"/>
    </row>
    <row r="3811" spans="1:15" ht="21.75" customHeight="1">
      <c r="A3811" s="517" t="s">
        <v>4628</v>
      </c>
      <c r="B3811" s="518">
        <f>VLOOKUP(A3811,'Materiales '!$C$2:$G$396,3,0)</f>
        <v>4</v>
      </c>
      <c r="C3811" s="88">
        <f>VLOOKUP(A3811,'Materiales '!$C$2:$G$396,3,0)</f>
        <v>4</v>
      </c>
      <c r="D3811" s="89" t="str">
        <f>VLOOKUP(A3811,'Materiales '!$C$2:$G$396,4,0)</f>
        <v>Und</v>
      </c>
      <c r="E3811" s="90">
        <v>1</v>
      </c>
      <c r="F3811" s="508" t="e">
        <f t="shared" si="223"/>
        <v>#VALUE!</v>
      </c>
      <c r="G3811" s="519"/>
      <c r="H3811" s="111"/>
      <c r="I3811">
        <f>E3811*G3795</f>
        <v>0</v>
      </c>
      <c r="J3811" s="58"/>
      <c r="K3811" s="50"/>
      <c r="L3811" s="50"/>
      <c r="M3811" s="50"/>
      <c r="N3811" s="50"/>
      <c r="O3811" s="50"/>
    </row>
    <row r="3812" spans="1:15">
      <c r="A3812" s="517" t="s">
        <v>8</v>
      </c>
      <c r="B3812" s="518">
        <f>VLOOKUP(A3812,'Materiales '!$C$2:$G$396,3,0)</f>
        <v>0</v>
      </c>
      <c r="C3812" s="88">
        <f>VLOOKUP(A3812,'Materiales '!$C$2:$G$396,3,0)</f>
        <v>0</v>
      </c>
      <c r="D3812" s="89" t="str">
        <f>VLOOKUP(A3812,'Materiales '!$C$2:$G$396,4,0)</f>
        <v>-</v>
      </c>
      <c r="E3812" s="90"/>
      <c r="F3812" s="508" t="e">
        <f>E3812*D3812</f>
        <v>#VALUE!</v>
      </c>
      <c r="G3812" s="519"/>
      <c r="H3812" s="110"/>
      <c r="I3812">
        <f>E3812*G3795</f>
        <v>0</v>
      </c>
      <c r="J3812" s="58"/>
      <c r="K3812" s="50"/>
      <c r="L3812" s="50"/>
      <c r="M3812" s="50"/>
      <c r="N3812" s="50"/>
      <c r="O3812" s="50"/>
    </row>
    <row r="3813" spans="1:15">
      <c r="A3813" s="517" t="s">
        <v>8</v>
      </c>
      <c r="B3813" s="518">
        <f>VLOOKUP(A3813,'Materiales '!$C$2:$G$396,3,0)</f>
        <v>0</v>
      </c>
      <c r="C3813" s="88">
        <f>VLOOKUP(A3813,'Materiales '!$C$2:$G$396,3,0)</f>
        <v>0</v>
      </c>
      <c r="D3813" s="89" t="str">
        <f>VLOOKUP(A3813,'Materiales '!$C$2:$G$396,4,0)</f>
        <v>-</v>
      </c>
      <c r="E3813" s="90"/>
      <c r="F3813" s="508" t="e">
        <f t="shared" ref="F3813:F3816" si="224">E3813*D3813</f>
        <v>#VALUE!</v>
      </c>
      <c r="G3813" s="519"/>
      <c r="H3813" s="111"/>
      <c r="I3813">
        <f>E3813*G3795</f>
        <v>0</v>
      </c>
      <c r="J3813" s="58"/>
      <c r="K3813" s="50"/>
      <c r="L3813" s="50"/>
      <c r="M3813" s="50"/>
      <c r="N3813" s="50"/>
      <c r="O3813" s="50"/>
    </row>
    <row r="3814" spans="1:15">
      <c r="A3814" s="517" t="s">
        <v>8</v>
      </c>
      <c r="B3814" s="518">
        <f>VLOOKUP(A3814,'Materiales '!$C$2:$G$396,3,0)</f>
        <v>0</v>
      </c>
      <c r="C3814" s="88">
        <f>VLOOKUP(A3814,'Materiales '!$C$2:$G$396,3,0)</f>
        <v>0</v>
      </c>
      <c r="D3814" s="89" t="str">
        <f>VLOOKUP(A3814,'Materiales '!$C$2:$G$396,4,0)</f>
        <v>-</v>
      </c>
      <c r="E3814" s="90"/>
      <c r="F3814" s="508" t="e">
        <f t="shared" si="224"/>
        <v>#VALUE!</v>
      </c>
      <c r="G3814" s="519"/>
      <c r="H3814" s="111"/>
      <c r="I3814">
        <f>E3814*G3795</f>
        <v>0</v>
      </c>
      <c r="J3814" s="58"/>
      <c r="K3814" s="50"/>
      <c r="L3814" s="50"/>
      <c r="M3814" s="50"/>
      <c r="N3814" s="50"/>
      <c r="O3814" s="50"/>
    </row>
    <row r="3815" spans="1:15">
      <c r="A3815" s="517" t="s">
        <v>8</v>
      </c>
      <c r="B3815" s="518">
        <f>VLOOKUP(A3815,'Materiales '!$C$2:$G$396,3,0)</f>
        <v>0</v>
      </c>
      <c r="C3815" s="88">
        <f>VLOOKUP(A3815,'Materiales '!$C$2:$G$396,3,0)</f>
        <v>0</v>
      </c>
      <c r="D3815" s="89" t="str">
        <f>VLOOKUP(A3815,'Materiales '!$C$2:$G$396,4,0)</f>
        <v>-</v>
      </c>
      <c r="E3815" s="90"/>
      <c r="F3815" s="508" t="e">
        <f t="shared" si="224"/>
        <v>#VALUE!</v>
      </c>
      <c r="G3815" s="519"/>
      <c r="H3815" s="111"/>
      <c r="I3815">
        <f>E3815*G3795</f>
        <v>0</v>
      </c>
      <c r="J3815" s="58"/>
      <c r="K3815" s="50"/>
      <c r="L3815" s="50"/>
      <c r="M3815" s="50"/>
      <c r="N3815" s="50"/>
      <c r="O3815" s="50"/>
    </row>
    <row r="3816" spans="1:15">
      <c r="A3816" s="517" t="s">
        <v>8</v>
      </c>
      <c r="B3816" s="518">
        <f>VLOOKUP(A3816,'Materiales '!$C$2:$G$396,3,0)</f>
        <v>0</v>
      </c>
      <c r="C3816" s="88">
        <f>VLOOKUP(A3816,'Materiales '!$C$2:$G$396,3,0)</f>
        <v>0</v>
      </c>
      <c r="D3816" s="89" t="str">
        <f>VLOOKUP(A3816,'Materiales '!$C$2:$G$396,4,0)</f>
        <v>-</v>
      </c>
      <c r="E3816" s="90"/>
      <c r="F3816" s="508" t="e">
        <f t="shared" si="224"/>
        <v>#VALUE!</v>
      </c>
      <c r="G3816" s="519"/>
      <c r="H3816" s="111"/>
      <c r="I3816">
        <f>E3816*G3795</f>
        <v>0</v>
      </c>
      <c r="J3816" s="58"/>
      <c r="K3816" s="50"/>
      <c r="L3816" s="50"/>
      <c r="M3816" s="50"/>
      <c r="N3816" s="50"/>
      <c r="O3816" s="50"/>
    </row>
    <row r="3817" spans="1:15">
      <c r="A3817" s="517" t="s">
        <v>8</v>
      </c>
      <c r="B3817" s="518">
        <f>VLOOKUP(A3817,'Materiales '!$C$2:$G$396,3,0)</f>
        <v>0</v>
      </c>
      <c r="C3817" s="88">
        <f>VLOOKUP(A3817,'Materiales '!$C$2:$G$396,3,0)</f>
        <v>0</v>
      </c>
      <c r="D3817" s="89" t="str">
        <f>VLOOKUP(A3817,'Materiales '!$C$2:$G$396,4,0)</f>
        <v>-</v>
      </c>
      <c r="E3817" s="90"/>
      <c r="F3817" s="508" t="e">
        <f>E3817*D3817</f>
        <v>#VALUE!</v>
      </c>
      <c r="G3817" s="519"/>
      <c r="H3817" s="110"/>
      <c r="I3817">
        <f>E3817*G3795</f>
        <v>0</v>
      </c>
      <c r="J3817" s="58"/>
      <c r="K3817" s="50"/>
      <c r="L3817" s="50"/>
      <c r="M3817" s="50"/>
      <c r="N3817" s="50"/>
      <c r="O3817" s="50"/>
    </row>
    <row r="3818" spans="1:15">
      <c r="A3818" s="520" t="s">
        <v>4098</v>
      </c>
      <c r="B3818" s="521"/>
      <c r="C3818" s="521"/>
      <c r="D3818" s="521"/>
      <c r="E3818" s="521"/>
      <c r="F3818" s="521"/>
      <c r="G3818" s="522"/>
      <c r="H3818" s="106" t="e">
        <f>SUM(F3804:F3817)</f>
        <v>#VALUE!</v>
      </c>
      <c r="J3818" s="58"/>
      <c r="K3818" s="50"/>
      <c r="L3818" s="50"/>
      <c r="M3818" s="50"/>
      <c r="N3818" s="50"/>
      <c r="O3818" s="50"/>
    </row>
    <row r="3819" spans="1:15">
      <c r="A3819" s="523" t="s">
        <v>4220</v>
      </c>
      <c r="B3819" s="524"/>
      <c r="C3819" s="524"/>
      <c r="D3819" s="524"/>
      <c r="E3819" s="525"/>
      <c r="F3819" s="524"/>
      <c r="G3819" s="524"/>
      <c r="H3819" s="526"/>
      <c r="J3819" s="58"/>
      <c r="K3819" s="50"/>
      <c r="L3819" s="50"/>
      <c r="M3819" s="50"/>
      <c r="N3819" s="50"/>
      <c r="O3819" s="50"/>
    </row>
    <row r="3820" spans="1:15">
      <c r="A3820" s="527" t="s">
        <v>7</v>
      </c>
      <c r="B3820" s="528"/>
      <c r="C3820" s="98" t="s">
        <v>4221</v>
      </c>
      <c r="D3820" s="97" t="s">
        <v>4222</v>
      </c>
      <c r="E3820" s="187" t="s">
        <v>4223</v>
      </c>
      <c r="F3820" s="529" t="s">
        <v>4207</v>
      </c>
      <c r="G3820" s="529"/>
      <c r="H3820" s="109"/>
      <c r="K3820" s="50"/>
      <c r="L3820" s="50"/>
      <c r="M3820" s="50"/>
      <c r="N3820" s="50"/>
      <c r="O3820" s="50"/>
    </row>
    <row r="3821" spans="1:15">
      <c r="A3821" s="506" t="s">
        <v>3928</v>
      </c>
      <c r="B3821" s="507"/>
      <c r="C3821" s="213">
        <v>1</v>
      </c>
      <c r="D3821" s="92">
        <v>0.03</v>
      </c>
      <c r="E3821" s="93" t="str">
        <f>VLOOKUP(A3821,'Equip, Herr y Transp'!$B$2:$E$217,3,0)</f>
        <v>TR</v>
      </c>
      <c r="F3821" s="530" t="e">
        <f>E3821*D3821*C3821</f>
        <v>#VALUE!</v>
      </c>
      <c r="G3821" s="531"/>
      <c r="H3821" s="107"/>
      <c r="M3821" s="50"/>
    </row>
    <row r="3822" spans="1:15">
      <c r="A3822" s="532" t="s">
        <v>4205</v>
      </c>
      <c r="B3822" s="533"/>
      <c r="C3822" s="533"/>
      <c r="D3822" s="533"/>
      <c r="E3822" s="533"/>
      <c r="F3822" s="533"/>
      <c r="G3822" s="533"/>
      <c r="H3822" s="95" t="e">
        <f>F3821</f>
        <v>#VALUE!</v>
      </c>
    </row>
    <row r="3823" spans="1:15">
      <c r="A3823" s="523" t="s">
        <v>4224</v>
      </c>
      <c r="B3823" s="524"/>
      <c r="C3823" s="524"/>
      <c r="D3823" s="524"/>
      <c r="E3823" s="524"/>
      <c r="F3823" s="524"/>
      <c r="G3823" s="524"/>
      <c r="H3823" s="526"/>
    </row>
    <row r="3824" spans="1:15">
      <c r="A3824" s="527" t="s">
        <v>7</v>
      </c>
      <c r="B3824" s="528"/>
      <c r="C3824" s="96" t="s">
        <v>1</v>
      </c>
      <c r="D3824" s="97" t="s">
        <v>4225</v>
      </c>
      <c r="E3824" s="98" t="s">
        <v>4204</v>
      </c>
      <c r="F3824" s="527" t="s">
        <v>5</v>
      </c>
      <c r="G3824" s="534"/>
      <c r="H3824" s="109"/>
    </row>
    <row r="3825" spans="1:10">
      <c r="A3825" s="506" t="s">
        <v>4191</v>
      </c>
      <c r="B3825" s="507"/>
      <c r="C3825" s="91">
        <v>1</v>
      </c>
      <c r="D3825" s="94">
        <f>VLOOKUP(A3825,'Mano Obra'!$B$2:$T$117,19,0)</f>
        <v>152456</v>
      </c>
      <c r="E3825" s="218">
        <f>H3788</f>
        <v>6.25E-2</v>
      </c>
      <c r="F3825" s="508">
        <f>E3825*D3825*C3825</f>
        <v>9528.5</v>
      </c>
      <c r="G3825" s="509"/>
      <c r="H3825" s="111"/>
      <c r="I3825" s="59"/>
      <c r="J3825" s="117">
        <f>((('Mano Obra'!$M$4/30)*F3825)/D3825)*G3795</f>
        <v>0</v>
      </c>
    </row>
    <row r="3826" spans="1:10">
      <c r="A3826" s="510" t="s">
        <v>4192</v>
      </c>
      <c r="B3826" s="511">
        <f>VLOOKUP(A3826,'Mano Obra'!$B$3:$D$290,2,0)</f>
        <v>1900000</v>
      </c>
      <c r="C3826" s="91">
        <v>1</v>
      </c>
      <c r="D3826" s="94">
        <f>VLOOKUP(A3826,'Mano Obra'!$B$2:$T$117,19,0)</f>
        <v>110488</v>
      </c>
      <c r="E3826" s="218">
        <f>H3788</f>
        <v>6.25E-2</v>
      </c>
      <c r="F3826" s="508">
        <f t="shared" ref="F3826:F3827" si="225">E3826*D3826*C3826</f>
        <v>6905.5</v>
      </c>
      <c r="G3826" s="509"/>
      <c r="H3826" s="111"/>
      <c r="J3826" s="117">
        <f>((('Mano Obra'!$M$5/30)*F3826)/D3826)*G3795</f>
        <v>0</v>
      </c>
    </row>
    <row r="3827" spans="1:10">
      <c r="A3827" s="510" t="s">
        <v>4181</v>
      </c>
      <c r="B3827" s="511">
        <f>VLOOKUP(A3827,'Mano Obra'!$B$3:$D$290,2,0)</f>
        <v>1000000</v>
      </c>
      <c r="C3827" s="91">
        <v>1</v>
      </c>
      <c r="D3827" s="94">
        <f>VLOOKUP(A3827,'Mano Obra'!$B$2:$T$117,19,0)</f>
        <v>67424</v>
      </c>
      <c r="E3827" s="218">
        <f>H3788</f>
        <v>6.25E-2</v>
      </c>
      <c r="F3827" s="508">
        <f t="shared" si="225"/>
        <v>4214</v>
      </c>
      <c r="G3827" s="509"/>
      <c r="H3827" s="110"/>
      <c r="J3827" s="117">
        <f>((('Mano Obra'!$M$6/30)*F3827)/D3827)*G3795</f>
        <v>0</v>
      </c>
    </row>
    <row r="3828" spans="1:10">
      <c r="A3828" s="512" t="s">
        <v>4100</v>
      </c>
      <c r="B3828" s="512"/>
      <c r="C3828" s="512"/>
      <c r="D3828" s="512"/>
      <c r="E3828" s="512"/>
      <c r="F3828" s="512"/>
      <c r="G3828" s="512"/>
      <c r="H3828" s="95">
        <f>SUM(F3825:F3827)</f>
        <v>20648</v>
      </c>
      <c r="J3828" s="117"/>
    </row>
    <row r="3829" spans="1:10">
      <c r="A3829" s="208" t="s">
        <v>4226</v>
      </c>
      <c r="B3829" s="186"/>
      <c r="C3829" s="186"/>
      <c r="D3829" s="183"/>
      <c r="E3829" s="184"/>
      <c r="F3829" s="185"/>
      <c r="G3829" s="184"/>
      <c r="H3829" s="193"/>
    </row>
    <row r="3830" spans="1:10">
      <c r="A3830" s="513" t="s">
        <v>4213</v>
      </c>
      <c r="B3830" s="514"/>
      <c r="C3830" s="514"/>
      <c r="D3830" s="514"/>
      <c r="E3830" s="181"/>
      <c r="F3830" s="182" t="s">
        <v>4227</v>
      </c>
      <c r="G3830" s="181" t="s">
        <v>4228</v>
      </c>
      <c r="H3830" s="194"/>
    </row>
    <row r="3831" spans="1:10">
      <c r="A3831" s="204" t="s">
        <v>4096</v>
      </c>
      <c r="B3831" s="62"/>
      <c r="C3831" s="62"/>
      <c r="D3831" s="63"/>
      <c r="E3831" s="68"/>
      <c r="F3831" s="69">
        <v>0</v>
      </c>
      <c r="G3831" s="70" t="e">
        <f>F3831*H3796</f>
        <v>#VALUE!</v>
      </c>
      <c r="H3831" s="193"/>
    </row>
    <row r="3832" spans="1:10">
      <c r="A3832" s="205" t="s">
        <v>4229</v>
      </c>
      <c r="B3832" s="71"/>
      <c r="C3832" s="71"/>
      <c r="D3832" s="72"/>
      <c r="E3832" s="68"/>
      <c r="F3832" s="69">
        <v>0</v>
      </c>
      <c r="G3832" s="70" t="e">
        <f>F3832*H3796</f>
        <v>#VALUE!</v>
      </c>
      <c r="H3832" s="193"/>
    </row>
    <row r="3833" spans="1:10">
      <c r="A3833" s="205" t="s">
        <v>4</v>
      </c>
      <c r="B3833" s="71"/>
      <c r="C3833" s="71"/>
      <c r="D3833" s="72"/>
      <c r="E3833" s="68"/>
      <c r="F3833" s="69">
        <v>0</v>
      </c>
      <c r="G3833" s="70" t="e">
        <f>F3833*H3796</f>
        <v>#VALUE!</v>
      </c>
      <c r="H3833" s="193"/>
    </row>
    <row r="3834" spans="1:10">
      <c r="A3834" s="206"/>
      <c r="B3834" s="73"/>
      <c r="C3834" s="65"/>
      <c r="D3834" s="74"/>
      <c r="E3834" s="75"/>
      <c r="F3834" s="76"/>
      <c r="G3834" s="77"/>
      <c r="H3834" s="195"/>
    </row>
    <row r="3835" spans="1:10">
      <c r="A3835" s="207"/>
      <c r="B3835" s="73"/>
      <c r="C3835" s="73"/>
      <c r="D3835" s="74"/>
      <c r="E3835" s="78"/>
      <c r="F3835" s="515" t="s">
        <v>4230</v>
      </c>
      <c r="G3835" s="516"/>
      <c r="H3835" s="214" t="e">
        <f>H3796+G3831+G3832+G3833</f>
        <v>#VALUE!</v>
      </c>
    </row>
    <row r="3836" spans="1:10">
      <c r="A3836" s="73"/>
      <c r="B3836" s="73"/>
      <c r="C3836" s="73"/>
      <c r="D3836" s="74"/>
      <c r="E3836" s="360"/>
      <c r="F3836" s="361"/>
      <c r="G3836" s="361"/>
      <c r="H3836" s="362"/>
    </row>
    <row r="3837" spans="1:10">
      <c r="A3837" s="80"/>
      <c r="B3837" s="80"/>
      <c r="C3837" s="80"/>
      <c r="D3837" s="80"/>
      <c r="E3837" s="80"/>
      <c r="F3837" s="80"/>
      <c r="G3837" s="80"/>
      <c r="H3837" s="353"/>
    </row>
    <row r="3838" spans="1:10">
      <c r="A3838" s="537" t="s">
        <v>4214</v>
      </c>
      <c r="B3838" s="538"/>
      <c r="C3838" s="538"/>
      <c r="D3838" s="538"/>
      <c r="E3838" s="538"/>
      <c r="F3838" s="538"/>
      <c r="G3838" s="538"/>
      <c r="H3838" s="539"/>
    </row>
    <row r="3839" spans="1:10">
      <c r="A3839" s="81"/>
      <c r="B3839" s="82"/>
      <c r="C3839" s="82"/>
      <c r="D3839" s="82"/>
      <c r="E3839" s="82"/>
      <c r="F3839" s="83"/>
      <c r="G3839" s="84"/>
      <c r="H3839" s="352">
        <f>ROUND((30/60)/8,4)</f>
        <v>6.25E-2</v>
      </c>
      <c r="I3839" s="105"/>
    </row>
    <row r="3840" spans="1:10">
      <c r="A3840" s="540" t="s">
        <v>4209</v>
      </c>
      <c r="B3840" s="542" t="str">
        <f>COSTOS!$C$14</f>
        <v>MODERNIZACION A TECNOLOGIA LED</v>
      </c>
      <c r="C3840" s="542"/>
      <c r="D3840" s="542"/>
      <c r="E3840" s="542"/>
      <c r="F3840" s="542"/>
      <c r="G3840" s="542"/>
      <c r="H3840" s="543" t="s">
        <v>4210</v>
      </c>
    </row>
    <row r="3841" spans="1:15">
      <c r="A3841" s="541"/>
      <c r="B3841" s="542"/>
      <c r="C3841" s="542"/>
      <c r="D3841" s="542"/>
      <c r="E3841" s="542"/>
      <c r="F3841" s="542"/>
      <c r="G3841" s="542"/>
      <c r="H3841" s="543"/>
    </row>
    <row r="3842" spans="1:15">
      <c r="A3842" s="541"/>
      <c r="B3842" s="542"/>
      <c r="C3842" s="542"/>
      <c r="D3842" s="542"/>
      <c r="E3842" s="542"/>
      <c r="F3842" s="542"/>
      <c r="G3842" s="542"/>
      <c r="H3842" s="543"/>
    </row>
    <row r="3843" spans="1:15" ht="15" customHeight="1">
      <c r="A3843" s="541"/>
      <c r="B3843" s="542"/>
      <c r="C3843" s="542"/>
      <c r="D3843" s="542"/>
      <c r="E3843" s="542"/>
      <c r="F3843" s="542"/>
      <c r="G3843" s="542"/>
      <c r="H3843" s="197">
        <f ca="1">TODAY()</f>
        <v>44889</v>
      </c>
      <c r="K3843" t="s">
        <v>4380</v>
      </c>
      <c r="L3843" t="s">
        <v>4381</v>
      </c>
      <c r="M3843" t="s">
        <v>4382</v>
      </c>
      <c r="N3843" t="s">
        <v>4383</v>
      </c>
    </row>
    <row r="3844" spans="1:15" ht="60.75" customHeight="1">
      <c r="A3844" s="209" t="s">
        <v>4211</v>
      </c>
      <c r="B3844" s="544" t="str">
        <f>COSTOS!$D$16</f>
        <v>Luminarias</v>
      </c>
      <c r="C3844" s="544"/>
      <c r="D3844" s="544"/>
      <c r="E3844" s="544"/>
      <c r="F3844" s="544"/>
      <c r="G3844" s="60" t="s">
        <v>4212</v>
      </c>
      <c r="H3844" s="363">
        <v>1.76</v>
      </c>
      <c r="K3844" s="55" t="e">
        <f>H3869</f>
        <v>#VALUE!</v>
      </c>
      <c r="L3844" s="55">
        <f>H3879</f>
        <v>20648</v>
      </c>
      <c r="M3844" s="55" t="e">
        <f>H3852</f>
        <v>#VALUE!</v>
      </c>
      <c r="N3844" s="55" t="e">
        <f>H3873</f>
        <v>#VALUE!</v>
      </c>
    </row>
    <row r="3845" spans="1:15" ht="43.2" customHeight="1">
      <c r="A3845" s="210" t="s">
        <v>4213</v>
      </c>
      <c r="B3845" s="545" t="str">
        <f>VLOOKUP(H3844,COSTOS!C:M,2,0)</f>
        <v>Reflector con bombillo fluorescente 100W</v>
      </c>
      <c r="C3845" s="546"/>
      <c r="D3845" s="546"/>
      <c r="E3845" s="547"/>
      <c r="F3845" s="61" t="s">
        <v>0</v>
      </c>
      <c r="G3845" s="328" t="str">
        <f>VLOOKUP(H3844,COSTOS!C:M,8,0)</f>
        <v>Und</v>
      </c>
      <c r="H3845" s="248"/>
      <c r="I3845" s="278"/>
      <c r="J3845" s="280"/>
      <c r="K3845" s="280"/>
      <c r="L3845" s="280"/>
    </row>
    <row r="3846" spans="1:15">
      <c r="A3846" s="211"/>
      <c r="B3846" s="102"/>
      <c r="C3846" s="102"/>
      <c r="D3846" s="102"/>
      <c r="E3846" s="103"/>
      <c r="F3846" s="104" t="s">
        <v>1</v>
      </c>
      <c r="G3846" s="328">
        <f>VLOOKUP(H3844,COSTOS!C:M,9,0)</f>
        <v>0</v>
      </c>
      <c r="H3846" s="329"/>
      <c r="I3846" s="279"/>
    </row>
    <row r="3847" spans="1:15">
      <c r="A3847" s="212" t="s">
        <v>4215</v>
      </c>
      <c r="B3847" s="65"/>
      <c r="C3847" s="65"/>
      <c r="D3847" s="66"/>
      <c r="E3847" s="190"/>
      <c r="F3847" s="191"/>
      <c r="G3847" s="192" t="s">
        <v>4216</v>
      </c>
      <c r="H3847" s="198" t="e">
        <f>H3852+H3869+H3873+H3879</f>
        <v>#VALUE!</v>
      </c>
    </row>
    <row r="3848" spans="1:15" ht="41.4">
      <c r="A3848" s="548" t="s">
        <v>4213</v>
      </c>
      <c r="B3848" s="548"/>
      <c r="C3848" s="548"/>
      <c r="D3848" s="67" t="s">
        <v>0</v>
      </c>
      <c r="E3848" s="188" t="s">
        <v>4217</v>
      </c>
      <c r="F3848" s="189" t="s">
        <v>4204</v>
      </c>
      <c r="G3848" s="64" t="s">
        <v>2</v>
      </c>
      <c r="H3848" s="199" t="s">
        <v>4218</v>
      </c>
      <c r="K3848" s="281"/>
    </row>
    <row r="3849" spans="1:15">
      <c r="A3849" s="517" t="s">
        <v>3946</v>
      </c>
      <c r="B3849" s="549">
        <f>VLOOKUP(A3849,'Equip, Herr y Transp'!$B$2:$E$738,2,0)</f>
        <v>2</v>
      </c>
      <c r="C3849" s="549"/>
      <c r="D3849" s="85">
        <f>VLOOKUP(A3849,'Equip, Herr y Transp'!$B$2:$E$217,2,0)</f>
        <v>2</v>
      </c>
      <c r="E3849" s="85" t="str">
        <f>VLOOKUP(A3849,'Equip, Herr y Transp'!$B$2:$E$217,3,0)</f>
        <v>EQU</v>
      </c>
      <c r="F3849" s="86">
        <f>H3839</f>
        <v>6.25E-2</v>
      </c>
      <c r="G3849" s="112" t="e">
        <f>F3849*E3849</f>
        <v>#VALUE!</v>
      </c>
      <c r="H3849" s="108"/>
    </row>
    <row r="3850" spans="1:15">
      <c r="A3850" s="517" t="s">
        <v>3904</v>
      </c>
      <c r="B3850" s="549">
        <f>VLOOKUP(A3850,'Equip, Herr y Transp'!$B$2:$E$738,2,0)</f>
        <v>2</v>
      </c>
      <c r="C3850" s="549"/>
      <c r="D3850" s="85">
        <f>VLOOKUP(A3850,'Equip, Herr y Transp'!$B$2:$E$217,2,0)</f>
        <v>2</v>
      </c>
      <c r="E3850" s="85" t="str">
        <f>VLOOKUP(A3850,'Equip, Herr y Transp'!$B$2:$E$217,3,0)</f>
        <v>EQU</v>
      </c>
      <c r="F3850" s="86">
        <f>H3839</f>
        <v>6.25E-2</v>
      </c>
      <c r="G3850" s="112" t="e">
        <f>F3850*E3850</f>
        <v>#VALUE!</v>
      </c>
      <c r="H3850" s="107"/>
    </row>
    <row r="3851" spans="1:15">
      <c r="A3851" s="517" t="s">
        <v>3937</v>
      </c>
      <c r="B3851" s="549">
        <f>VLOOKUP(A3851,'Equip, Herr y Transp'!$B$2:$E$738,2,0)</f>
        <v>2</v>
      </c>
      <c r="C3851" s="549"/>
      <c r="D3851" s="85">
        <f>VLOOKUP(A3851,'Equip, Herr y Transp'!$B$2:$E$217,2,0)</f>
        <v>2</v>
      </c>
      <c r="E3851" s="85" t="str">
        <f>VLOOKUP(A3851,'Equip, Herr y Transp'!$B$2:$E$217,3,0)</f>
        <v>EQU</v>
      </c>
      <c r="F3851" s="86">
        <f>H3839</f>
        <v>6.25E-2</v>
      </c>
      <c r="G3851" s="112" t="e">
        <f>F3851*E3851</f>
        <v>#VALUE!</v>
      </c>
      <c r="H3851" s="107"/>
    </row>
    <row r="3852" spans="1:15">
      <c r="A3852" s="520" t="s">
        <v>4099</v>
      </c>
      <c r="B3852" s="521"/>
      <c r="C3852" s="521"/>
      <c r="D3852" s="521"/>
      <c r="E3852" s="521"/>
      <c r="F3852" s="521"/>
      <c r="G3852" s="521"/>
      <c r="H3852" s="87" t="e">
        <f>SUM(G3849:G3851)</f>
        <v>#VALUE!</v>
      </c>
    </row>
    <row r="3853" spans="1:15">
      <c r="A3853" s="550" t="s">
        <v>4219</v>
      </c>
      <c r="B3853" s="551"/>
      <c r="C3853" s="551"/>
      <c r="D3853" s="551"/>
      <c r="E3853" s="551"/>
      <c r="F3853" s="551"/>
      <c r="G3853" s="551"/>
      <c r="H3853" s="552"/>
      <c r="K3853" s="50"/>
      <c r="L3853" s="50"/>
      <c r="M3853" s="50"/>
      <c r="N3853" s="50"/>
      <c r="O3853" s="50"/>
    </row>
    <row r="3854" spans="1:15" ht="30" customHeight="1">
      <c r="A3854" s="553" t="s">
        <v>7</v>
      </c>
      <c r="B3854" s="554"/>
      <c r="C3854" s="99" t="s">
        <v>0</v>
      </c>
      <c r="D3854" s="100" t="s">
        <v>4097</v>
      </c>
      <c r="E3854" s="101" t="s">
        <v>1</v>
      </c>
      <c r="F3854" s="555" t="s">
        <v>4207</v>
      </c>
      <c r="G3854" s="555"/>
      <c r="H3854" s="196"/>
      <c r="K3854" s="50"/>
      <c r="L3854" s="50"/>
      <c r="M3854" s="50"/>
      <c r="N3854" s="50"/>
      <c r="O3854" s="50"/>
    </row>
    <row r="3855" spans="1:15">
      <c r="A3855" s="535" t="s">
        <v>4820</v>
      </c>
      <c r="B3855" s="536"/>
      <c r="C3855" s="88">
        <f>VLOOKUP(A3855,'Materiales '!$C$2:$G$396,3,0)</f>
        <v>4</v>
      </c>
      <c r="D3855" s="89" t="str">
        <f>VLOOKUP(A3855,'Materiales '!$C$2:$G$396,4,0)</f>
        <v>Und</v>
      </c>
      <c r="E3855" s="90">
        <v>1</v>
      </c>
      <c r="F3855" s="508" t="e">
        <f>E3855*D3855</f>
        <v>#VALUE!</v>
      </c>
      <c r="G3855" s="519"/>
      <c r="H3855" s="111"/>
      <c r="I3855">
        <f>E3855*G3846</f>
        <v>0</v>
      </c>
      <c r="J3855" s="57"/>
      <c r="K3855" s="50"/>
      <c r="L3855" s="50"/>
      <c r="M3855" s="50"/>
      <c r="N3855" s="50"/>
      <c r="O3855" s="50"/>
    </row>
    <row r="3856" spans="1:15">
      <c r="A3856" s="535" t="s">
        <v>4203</v>
      </c>
      <c r="B3856" s="536"/>
      <c r="C3856" s="88">
        <f>VLOOKUP(A3856,'Materiales '!$C$2:$G$396,3,0)</f>
        <v>4</v>
      </c>
      <c r="D3856" s="89" t="str">
        <f>VLOOKUP(A3856,'Materiales '!$C$2:$G$396,4,0)</f>
        <v>Und</v>
      </c>
      <c r="E3856" s="90">
        <v>1</v>
      </c>
      <c r="F3856" s="508" t="e">
        <f t="shared" ref="F3856:F3862" si="226">E3856*D3856</f>
        <v>#VALUE!</v>
      </c>
      <c r="G3856" s="519"/>
      <c r="H3856" s="111"/>
      <c r="I3856">
        <f>E3856*G3846</f>
        <v>0</v>
      </c>
      <c r="J3856" s="57"/>
      <c r="K3856" s="50"/>
      <c r="L3856" s="50"/>
      <c r="M3856" s="50"/>
      <c r="N3856" s="50"/>
      <c r="O3856" s="50"/>
    </row>
    <row r="3857" spans="1:15">
      <c r="A3857" s="517" t="s">
        <v>4468</v>
      </c>
      <c r="B3857" s="518">
        <f>VLOOKUP(A3857,'Materiales '!$C$2:$G$396,3,0)</f>
        <v>4</v>
      </c>
      <c r="C3857" s="88">
        <f>VLOOKUP(A3857,'Materiales '!$C$2:$G$396,3,0)</f>
        <v>4</v>
      </c>
      <c r="D3857" s="89" t="str">
        <f>VLOOKUP(A3857,'Materiales '!$C$2:$G$396,4,0)</f>
        <v>Und</v>
      </c>
      <c r="E3857" s="90">
        <v>1.5</v>
      </c>
      <c r="F3857" s="508" t="e">
        <f t="shared" si="226"/>
        <v>#VALUE!</v>
      </c>
      <c r="G3857" s="519"/>
      <c r="H3857" s="111"/>
      <c r="I3857">
        <f>E3857*G3846</f>
        <v>0</v>
      </c>
      <c r="J3857" s="58"/>
      <c r="K3857" s="50"/>
      <c r="L3857" s="50"/>
      <c r="M3857" s="50"/>
      <c r="N3857" s="50"/>
      <c r="O3857" s="50"/>
    </row>
    <row r="3858" spans="1:15">
      <c r="A3858" s="517" t="s">
        <v>4478</v>
      </c>
      <c r="B3858" s="518">
        <f>VLOOKUP(A3858,'Materiales '!$C$2:$G$396,3,0)</f>
        <v>4</v>
      </c>
      <c r="C3858" s="88">
        <f>VLOOKUP(A3858,'Materiales '!$C$2:$G$396,3,0)</f>
        <v>4</v>
      </c>
      <c r="D3858" s="89" t="str">
        <f>VLOOKUP(A3858,'Materiales '!$C$2:$G$396,4,0)</f>
        <v>Und</v>
      </c>
      <c r="E3858" s="90">
        <v>3</v>
      </c>
      <c r="F3858" s="508" t="e">
        <f t="shared" si="226"/>
        <v>#VALUE!</v>
      </c>
      <c r="G3858" s="519"/>
      <c r="H3858" s="111"/>
      <c r="I3858">
        <f>E3858*G3846</f>
        <v>0</v>
      </c>
      <c r="J3858" s="58"/>
      <c r="K3858" s="50"/>
      <c r="L3858" s="50"/>
      <c r="M3858" s="50"/>
      <c r="N3858" s="50"/>
      <c r="O3858" s="50"/>
    </row>
    <row r="3859" spans="1:15">
      <c r="A3859" s="517" t="s">
        <v>4543</v>
      </c>
      <c r="B3859" s="518">
        <f>VLOOKUP(A3859,'Materiales '!$C$2:$G$396,3,0)</f>
        <v>4</v>
      </c>
      <c r="C3859" s="88">
        <f>VLOOKUP(A3859,'Materiales '!$C$2:$G$396,3,0)</f>
        <v>4</v>
      </c>
      <c r="D3859" s="89" t="str">
        <f>VLOOKUP(A3859,'Materiales '!$C$2:$G$396,4,0)</f>
        <v>Und</v>
      </c>
      <c r="E3859" s="90">
        <v>1</v>
      </c>
      <c r="F3859" s="508" t="e">
        <f t="shared" si="226"/>
        <v>#VALUE!</v>
      </c>
      <c r="G3859" s="519"/>
      <c r="H3859" s="111"/>
      <c r="I3859">
        <f>E3859*G3846</f>
        <v>0</v>
      </c>
      <c r="J3859" s="58"/>
      <c r="K3859" s="50"/>
      <c r="L3859" s="50"/>
      <c r="M3859" s="50"/>
      <c r="N3859" s="50"/>
      <c r="O3859" s="50"/>
    </row>
    <row r="3860" spans="1:15">
      <c r="A3860" s="517" t="s">
        <v>4439</v>
      </c>
      <c r="B3860" s="518">
        <f>VLOOKUP(A3860,'Materiales '!$C$2:$G$396,3,0)</f>
        <v>2</v>
      </c>
      <c r="C3860" s="88">
        <f>VLOOKUP(A3860,'Materiales '!$C$2:$G$396,3,0)</f>
        <v>2</v>
      </c>
      <c r="D3860" s="89" t="str">
        <f>VLOOKUP(A3860,'Materiales '!$C$2:$G$396,4,0)</f>
        <v>Ml</v>
      </c>
      <c r="E3860" s="90">
        <v>1</v>
      </c>
      <c r="F3860" s="508" t="e">
        <f t="shared" si="226"/>
        <v>#VALUE!</v>
      </c>
      <c r="G3860" s="519"/>
      <c r="H3860" s="111"/>
      <c r="I3860">
        <f>E3860*G3846</f>
        <v>0</v>
      </c>
      <c r="J3860" s="58"/>
      <c r="K3860" s="50"/>
      <c r="L3860" s="50"/>
      <c r="M3860" s="50"/>
      <c r="N3860" s="50"/>
      <c r="O3860" s="50"/>
    </row>
    <row r="3861" spans="1:15">
      <c r="A3861" s="517" t="s">
        <v>4425</v>
      </c>
      <c r="B3861" s="518">
        <f>VLOOKUP(A3861,'Materiales '!$C$2:$G$396,3,0)</f>
        <v>4</v>
      </c>
      <c r="C3861" s="88">
        <f>VLOOKUP(A3861,'Materiales '!$C$2:$G$396,3,0)</f>
        <v>4</v>
      </c>
      <c r="D3861" s="89" t="str">
        <f>VLOOKUP(A3861,'Materiales '!$C$2:$G$396,4,0)</f>
        <v>Und</v>
      </c>
      <c r="E3861" s="90">
        <v>1</v>
      </c>
      <c r="F3861" s="508" t="e">
        <f t="shared" si="226"/>
        <v>#VALUE!</v>
      </c>
      <c r="G3861" s="519"/>
      <c r="H3861" s="111"/>
      <c r="I3861">
        <f>E3861*G3846</f>
        <v>0</v>
      </c>
      <c r="J3861" s="58"/>
      <c r="K3861" s="50"/>
      <c r="L3861" s="50"/>
      <c r="M3861" s="50"/>
      <c r="N3861" s="50"/>
      <c r="O3861" s="50"/>
    </row>
    <row r="3862" spans="1:15" ht="21.75" customHeight="1">
      <c r="A3862" s="517" t="s">
        <v>4628</v>
      </c>
      <c r="B3862" s="518">
        <f>VLOOKUP(A3862,'Materiales '!$C$2:$G$396,3,0)</f>
        <v>4</v>
      </c>
      <c r="C3862" s="88">
        <f>VLOOKUP(A3862,'Materiales '!$C$2:$G$396,3,0)</f>
        <v>4</v>
      </c>
      <c r="D3862" s="89" t="str">
        <f>VLOOKUP(A3862,'Materiales '!$C$2:$G$396,4,0)</f>
        <v>Und</v>
      </c>
      <c r="E3862" s="90">
        <v>1</v>
      </c>
      <c r="F3862" s="508" t="e">
        <f t="shared" si="226"/>
        <v>#VALUE!</v>
      </c>
      <c r="G3862" s="519"/>
      <c r="H3862" s="111"/>
      <c r="I3862">
        <f>E3862*G3846</f>
        <v>0</v>
      </c>
      <c r="J3862" s="58"/>
      <c r="K3862" s="50"/>
      <c r="L3862" s="50"/>
      <c r="M3862" s="50"/>
      <c r="N3862" s="50"/>
      <c r="O3862" s="50"/>
    </row>
    <row r="3863" spans="1:15">
      <c r="A3863" s="517" t="s">
        <v>8</v>
      </c>
      <c r="B3863" s="518">
        <f>VLOOKUP(A3863,'Materiales '!$C$2:$G$396,3,0)</f>
        <v>0</v>
      </c>
      <c r="C3863" s="88">
        <f>VLOOKUP(A3863,'Materiales '!$C$2:$G$396,3,0)</f>
        <v>0</v>
      </c>
      <c r="D3863" s="89" t="str">
        <f>VLOOKUP(A3863,'Materiales '!$C$2:$G$396,4,0)</f>
        <v>-</v>
      </c>
      <c r="E3863" s="90"/>
      <c r="F3863" s="508" t="e">
        <f>E3863*D3863</f>
        <v>#VALUE!</v>
      </c>
      <c r="G3863" s="519"/>
      <c r="H3863" s="110"/>
      <c r="I3863">
        <f>E3863*G3846</f>
        <v>0</v>
      </c>
      <c r="J3863" s="58"/>
      <c r="K3863" s="50"/>
      <c r="L3863" s="50"/>
      <c r="M3863" s="50"/>
      <c r="N3863" s="50"/>
      <c r="O3863" s="50"/>
    </row>
    <row r="3864" spans="1:15">
      <c r="A3864" s="517" t="s">
        <v>8</v>
      </c>
      <c r="B3864" s="518">
        <f>VLOOKUP(A3864,'Materiales '!$C$2:$G$396,3,0)</f>
        <v>0</v>
      </c>
      <c r="C3864" s="88">
        <f>VLOOKUP(A3864,'Materiales '!$C$2:$G$396,3,0)</f>
        <v>0</v>
      </c>
      <c r="D3864" s="89" t="str">
        <f>VLOOKUP(A3864,'Materiales '!$C$2:$G$396,4,0)</f>
        <v>-</v>
      </c>
      <c r="E3864" s="90"/>
      <c r="F3864" s="508" t="e">
        <f t="shared" ref="F3864:F3867" si="227">E3864*D3864</f>
        <v>#VALUE!</v>
      </c>
      <c r="G3864" s="519"/>
      <c r="H3864" s="111"/>
      <c r="I3864">
        <f>E3864*G3846</f>
        <v>0</v>
      </c>
      <c r="J3864" s="58"/>
      <c r="K3864" s="50"/>
      <c r="L3864" s="50"/>
      <c r="M3864" s="50"/>
      <c r="N3864" s="50"/>
      <c r="O3864" s="50"/>
    </row>
    <row r="3865" spans="1:15">
      <c r="A3865" s="517" t="s">
        <v>8</v>
      </c>
      <c r="B3865" s="518">
        <f>VLOOKUP(A3865,'Materiales '!$C$2:$G$396,3,0)</f>
        <v>0</v>
      </c>
      <c r="C3865" s="88">
        <f>VLOOKUP(A3865,'Materiales '!$C$2:$G$396,3,0)</f>
        <v>0</v>
      </c>
      <c r="D3865" s="89" t="str">
        <f>VLOOKUP(A3865,'Materiales '!$C$2:$G$396,4,0)</f>
        <v>-</v>
      </c>
      <c r="E3865" s="90"/>
      <c r="F3865" s="508" t="e">
        <f t="shared" si="227"/>
        <v>#VALUE!</v>
      </c>
      <c r="G3865" s="519"/>
      <c r="H3865" s="111"/>
      <c r="I3865">
        <f>E3865*G3846</f>
        <v>0</v>
      </c>
      <c r="J3865" s="58"/>
      <c r="K3865" s="50"/>
      <c r="L3865" s="50"/>
      <c r="M3865" s="50"/>
      <c r="N3865" s="50"/>
      <c r="O3865" s="50"/>
    </row>
    <row r="3866" spans="1:15">
      <c r="A3866" s="517" t="s">
        <v>8</v>
      </c>
      <c r="B3866" s="518">
        <f>VLOOKUP(A3866,'Materiales '!$C$2:$G$396,3,0)</f>
        <v>0</v>
      </c>
      <c r="C3866" s="88">
        <f>VLOOKUP(A3866,'Materiales '!$C$2:$G$396,3,0)</f>
        <v>0</v>
      </c>
      <c r="D3866" s="89" t="str">
        <f>VLOOKUP(A3866,'Materiales '!$C$2:$G$396,4,0)</f>
        <v>-</v>
      </c>
      <c r="E3866" s="90"/>
      <c r="F3866" s="508" t="e">
        <f t="shared" si="227"/>
        <v>#VALUE!</v>
      </c>
      <c r="G3866" s="519"/>
      <c r="H3866" s="111"/>
      <c r="I3866">
        <f>E3866*G3846</f>
        <v>0</v>
      </c>
      <c r="J3866" s="58"/>
      <c r="K3866" s="50"/>
      <c r="L3866" s="50"/>
      <c r="M3866" s="50"/>
      <c r="N3866" s="50"/>
      <c r="O3866" s="50"/>
    </row>
    <row r="3867" spans="1:15">
      <c r="A3867" s="517" t="s">
        <v>8</v>
      </c>
      <c r="B3867" s="518">
        <f>VLOOKUP(A3867,'Materiales '!$C$2:$G$396,3,0)</f>
        <v>0</v>
      </c>
      <c r="C3867" s="88">
        <f>VLOOKUP(A3867,'Materiales '!$C$2:$G$396,3,0)</f>
        <v>0</v>
      </c>
      <c r="D3867" s="89" t="str">
        <f>VLOOKUP(A3867,'Materiales '!$C$2:$G$396,4,0)</f>
        <v>-</v>
      </c>
      <c r="E3867" s="90"/>
      <c r="F3867" s="508" t="e">
        <f t="shared" si="227"/>
        <v>#VALUE!</v>
      </c>
      <c r="G3867" s="519"/>
      <c r="H3867" s="111"/>
      <c r="I3867">
        <f>E3867*G3846</f>
        <v>0</v>
      </c>
      <c r="J3867" s="58"/>
      <c r="K3867" s="50"/>
      <c r="L3867" s="50"/>
      <c r="M3867" s="50"/>
      <c r="N3867" s="50"/>
      <c r="O3867" s="50"/>
    </row>
    <row r="3868" spans="1:15">
      <c r="A3868" s="517" t="s">
        <v>8</v>
      </c>
      <c r="B3868" s="518">
        <f>VLOOKUP(A3868,'Materiales '!$C$2:$G$396,3,0)</f>
        <v>0</v>
      </c>
      <c r="C3868" s="88">
        <f>VLOOKUP(A3868,'Materiales '!$C$2:$G$396,3,0)</f>
        <v>0</v>
      </c>
      <c r="D3868" s="89" t="str">
        <f>VLOOKUP(A3868,'Materiales '!$C$2:$G$396,4,0)</f>
        <v>-</v>
      </c>
      <c r="E3868" s="90"/>
      <c r="F3868" s="508" t="e">
        <f>E3868*D3868</f>
        <v>#VALUE!</v>
      </c>
      <c r="G3868" s="519"/>
      <c r="H3868" s="110"/>
      <c r="I3868">
        <f>E3868*G3846</f>
        <v>0</v>
      </c>
      <c r="J3868" s="58"/>
      <c r="K3868" s="50"/>
      <c r="L3868" s="50"/>
      <c r="M3868" s="50"/>
      <c r="N3868" s="50"/>
      <c r="O3868" s="50"/>
    </row>
    <row r="3869" spans="1:15">
      <c r="A3869" s="520" t="s">
        <v>4098</v>
      </c>
      <c r="B3869" s="521"/>
      <c r="C3869" s="521"/>
      <c r="D3869" s="521"/>
      <c r="E3869" s="521"/>
      <c r="F3869" s="521"/>
      <c r="G3869" s="522"/>
      <c r="H3869" s="106" t="e">
        <f>SUM(F3855:F3868)</f>
        <v>#VALUE!</v>
      </c>
      <c r="J3869" s="58"/>
      <c r="K3869" s="50"/>
      <c r="L3869" s="50"/>
      <c r="M3869" s="50"/>
      <c r="N3869" s="50"/>
      <c r="O3869" s="50"/>
    </row>
    <row r="3870" spans="1:15">
      <c r="A3870" s="523" t="s">
        <v>4220</v>
      </c>
      <c r="B3870" s="524"/>
      <c r="C3870" s="524"/>
      <c r="D3870" s="524"/>
      <c r="E3870" s="525"/>
      <c r="F3870" s="524"/>
      <c r="G3870" s="524"/>
      <c r="H3870" s="526"/>
      <c r="J3870" s="58"/>
      <c r="K3870" s="50"/>
      <c r="L3870" s="50"/>
      <c r="M3870" s="50"/>
      <c r="N3870" s="50"/>
      <c r="O3870" s="50"/>
    </row>
    <row r="3871" spans="1:15">
      <c r="A3871" s="527" t="s">
        <v>7</v>
      </c>
      <c r="B3871" s="528"/>
      <c r="C3871" s="98" t="s">
        <v>4221</v>
      </c>
      <c r="D3871" s="97" t="s">
        <v>4222</v>
      </c>
      <c r="E3871" s="187" t="s">
        <v>4223</v>
      </c>
      <c r="F3871" s="529" t="s">
        <v>4207</v>
      </c>
      <c r="G3871" s="529"/>
      <c r="H3871" s="109"/>
      <c r="K3871" s="50"/>
      <c r="L3871" s="50"/>
      <c r="M3871" s="50"/>
      <c r="N3871" s="50"/>
      <c r="O3871" s="50"/>
    </row>
    <row r="3872" spans="1:15">
      <c r="A3872" s="506" t="s">
        <v>3928</v>
      </c>
      <c r="B3872" s="507"/>
      <c r="C3872" s="213">
        <v>1</v>
      </c>
      <c r="D3872" s="92">
        <v>0.03</v>
      </c>
      <c r="E3872" s="93" t="str">
        <f>VLOOKUP(A3872,'Equip, Herr y Transp'!$B$2:$E$217,3,0)</f>
        <v>TR</v>
      </c>
      <c r="F3872" s="530" t="e">
        <f>E3872*D3872*C3872</f>
        <v>#VALUE!</v>
      </c>
      <c r="G3872" s="531"/>
      <c r="H3872" s="107"/>
      <c r="M3872" s="50"/>
    </row>
    <row r="3873" spans="1:10">
      <c r="A3873" s="532" t="s">
        <v>4205</v>
      </c>
      <c r="B3873" s="533"/>
      <c r="C3873" s="533"/>
      <c r="D3873" s="533"/>
      <c r="E3873" s="533"/>
      <c r="F3873" s="533"/>
      <c r="G3873" s="533"/>
      <c r="H3873" s="95" t="e">
        <f>F3872</f>
        <v>#VALUE!</v>
      </c>
    </row>
    <row r="3874" spans="1:10">
      <c r="A3874" s="523" t="s">
        <v>4224</v>
      </c>
      <c r="B3874" s="524"/>
      <c r="C3874" s="524"/>
      <c r="D3874" s="524"/>
      <c r="E3874" s="524"/>
      <c r="F3874" s="524"/>
      <c r="G3874" s="524"/>
      <c r="H3874" s="526"/>
    </row>
    <row r="3875" spans="1:10">
      <c r="A3875" s="527" t="s">
        <v>7</v>
      </c>
      <c r="B3875" s="528"/>
      <c r="C3875" s="96" t="s">
        <v>1</v>
      </c>
      <c r="D3875" s="97" t="s">
        <v>4225</v>
      </c>
      <c r="E3875" s="98" t="s">
        <v>4204</v>
      </c>
      <c r="F3875" s="527" t="s">
        <v>5</v>
      </c>
      <c r="G3875" s="534"/>
      <c r="H3875" s="109"/>
    </row>
    <row r="3876" spans="1:10">
      <c r="A3876" s="506" t="s">
        <v>4191</v>
      </c>
      <c r="B3876" s="507"/>
      <c r="C3876" s="91">
        <v>1</v>
      </c>
      <c r="D3876" s="94">
        <f>VLOOKUP(A3876,'Mano Obra'!$B$2:$T$117,19,0)</f>
        <v>152456</v>
      </c>
      <c r="E3876" s="218">
        <f>H3839</f>
        <v>6.25E-2</v>
      </c>
      <c r="F3876" s="508">
        <f>E3876*D3876*C3876</f>
        <v>9528.5</v>
      </c>
      <c r="G3876" s="509"/>
      <c r="H3876" s="111"/>
      <c r="I3876" s="59"/>
      <c r="J3876" s="117">
        <f>((('Mano Obra'!$M$4/30)*F3876)/D3876)*G3846</f>
        <v>0</v>
      </c>
    </row>
    <row r="3877" spans="1:10">
      <c r="A3877" s="510" t="s">
        <v>4192</v>
      </c>
      <c r="B3877" s="511">
        <f>VLOOKUP(A3877,'Mano Obra'!$B$3:$D$290,2,0)</f>
        <v>1900000</v>
      </c>
      <c r="C3877" s="91">
        <v>1</v>
      </c>
      <c r="D3877" s="94">
        <f>VLOOKUP(A3877,'Mano Obra'!$B$2:$T$117,19,0)</f>
        <v>110488</v>
      </c>
      <c r="E3877" s="218">
        <f>H3839</f>
        <v>6.25E-2</v>
      </c>
      <c r="F3877" s="508">
        <f t="shared" ref="F3877:F3878" si="228">E3877*D3877*C3877</f>
        <v>6905.5</v>
      </c>
      <c r="G3877" s="509"/>
      <c r="H3877" s="111"/>
      <c r="J3877" s="117">
        <f>((('Mano Obra'!$M$5/30)*F3877)/D3877)*G3846</f>
        <v>0</v>
      </c>
    </row>
    <row r="3878" spans="1:10">
      <c r="A3878" s="510" t="s">
        <v>4181</v>
      </c>
      <c r="B3878" s="511">
        <f>VLOOKUP(A3878,'Mano Obra'!$B$3:$D$290,2,0)</f>
        <v>1000000</v>
      </c>
      <c r="C3878" s="91">
        <v>1</v>
      </c>
      <c r="D3878" s="94">
        <f>VLOOKUP(A3878,'Mano Obra'!$B$2:$T$117,19,0)</f>
        <v>67424</v>
      </c>
      <c r="E3878" s="218">
        <f>H3839</f>
        <v>6.25E-2</v>
      </c>
      <c r="F3878" s="508">
        <f t="shared" si="228"/>
        <v>4214</v>
      </c>
      <c r="G3878" s="509"/>
      <c r="H3878" s="110"/>
      <c r="J3878" s="117">
        <f>((('Mano Obra'!$M$6/30)*F3878)/D3878)*G3846</f>
        <v>0</v>
      </c>
    </row>
    <row r="3879" spans="1:10">
      <c r="A3879" s="512" t="s">
        <v>4100</v>
      </c>
      <c r="B3879" s="512"/>
      <c r="C3879" s="512"/>
      <c r="D3879" s="512"/>
      <c r="E3879" s="512"/>
      <c r="F3879" s="512"/>
      <c r="G3879" s="512"/>
      <c r="H3879" s="95">
        <f>SUM(F3876:F3878)</f>
        <v>20648</v>
      </c>
      <c r="J3879" s="117"/>
    </row>
    <row r="3880" spans="1:10">
      <c r="A3880" s="208" t="s">
        <v>4226</v>
      </c>
      <c r="B3880" s="186"/>
      <c r="C3880" s="186"/>
      <c r="D3880" s="183"/>
      <c r="E3880" s="184"/>
      <c r="F3880" s="185"/>
      <c r="G3880" s="184"/>
      <c r="H3880" s="193"/>
    </row>
    <row r="3881" spans="1:10">
      <c r="A3881" s="513" t="s">
        <v>4213</v>
      </c>
      <c r="B3881" s="514"/>
      <c r="C3881" s="514"/>
      <c r="D3881" s="514"/>
      <c r="E3881" s="181"/>
      <c r="F3881" s="182" t="s">
        <v>4227</v>
      </c>
      <c r="G3881" s="181" t="s">
        <v>4228</v>
      </c>
      <c r="H3881" s="194"/>
    </row>
    <row r="3882" spans="1:10">
      <c r="A3882" s="204" t="s">
        <v>4096</v>
      </c>
      <c r="B3882" s="62"/>
      <c r="C3882" s="62"/>
      <c r="D3882" s="63"/>
      <c r="E3882" s="68"/>
      <c r="F3882" s="69">
        <v>0</v>
      </c>
      <c r="G3882" s="70" t="e">
        <f>F3882*H3847</f>
        <v>#VALUE!</v>
      </c>
      <c r="H3882" s="193"/>
    </row>
    <row r="3883" spans="1:10">
      <c r="A3883" s="205" t="s">
        <v>4229</v>
      </c>
      <c r="B3883" s="71"/>
      <c r="C3883" s="71"/>
      <c r="D3883" s="72"/>
      <c r="E3883" s="68"/>
      <c r="F3883" s="69">
        <v>0</v>
      </c>
      <c r="G3883" s="70" t="e">
        <f>F3883*H3847</f>
        <v>#VALUE!</v>
      </c>
      <c r="H3883" s="193"/>
    </row>
    <row r="3884" spans="1:10">
      <c r="A3884" s="205" t="s">
        <v>4</v>
      </c>
      <c r="B3884" s="71"/>
      <c r="C3884" s="71"/>
      <c r="D3884" s="72"/>
      <c r="E3884" s="68"/>
      <c r="F3884" s="69">
        <v>0</v>
      </c>
      <c r="G3884" s="70" t="e">
        <f>F3884*H3847</f>
        <v>#VALUE!</v>
      </c>
      <c r="H3884" s="193"/>
    </row>
    <row r="3885" spans="1:10">
      <c r="A3885" s="206"/>
      <c r="B3885" s="73"/>
      <c r="C3885" s="65"/>
      <c r="D3885" s="74"/>
      <c r="E3885" s="75"/>
      <c r="F3885" s="76"/>
      <c r="G3885" s="77"/>
      <c r="H3885" s="195"/>
    </row>
    <row r="3886" spans="1:10">
      <c r="A3886" s="207"/>
      <c r="B3886" s="73"/>
      <c r="C3886" s="73"/>
      <c r="D3886" s="74"/>
      <c r="E3886" s="78"/>
      <c r="F3886" s="515" t="s">
        <v>4230</v>
      </c>
      <c r="G3886" s="516"/>
      <c r="H3886" s="214" t="e">
        <f>H3847+G3882+G3883+G3884</f>
        <v>#VALUE!</v>
      </c>
    </row>
    <row r="3887" spans="1:10">
      <c r="A3887" s="73"/>
      <c r="B3887" s="73"/>
      <c r="C3887" s="73"/>
      <c r="D3887" s="74"/>
      <c r="E3887" s="360"/>
      <c r="F3887" s="361"/>
      <c r="G3887" s="361"/>
      <c r="H3887" s="362"/>
    </row>
    <row r="3888" spans="1:10">
      <c r="A3888" s="80"/>
      <c r="B3888" s="80"/>
      <c r="C3888" s="80"/>
      <c r="D3888" s="80"/>
      <c r="E3888" s="80"/>
      <c r="F3888" s="80"/>
      <c r="G3888" s="80"/>
      <c r="H3888" s="353"/>
    </row>
    <row r="3889" spans="1:15">
      <c r="A3889" s="537" t="s">
        <v>4214</v>
      </c>
      <c r="B3889" s="538"/>
      <c r="C3889" s="538"/>
      <c r="D3889" s="538"/>
      <c r="E3889" s="538"/>
      <c r="F3889" s="538"/>
      <c r="G3889" s="538"/>
      <c r="H3889" s="539"/>
    </row>
    <row r="3890" spans="1:15">
      <c r="A3890" s="81"/>
      <c r="B3890" s="82"/>
      <c r="C3890" s="82"/>
      <c r="D3890" s="82"/>
      <c r="E3890" s="82"/>
      <c r="F3890" s="83"/>
      <c r="G3890" s="84"/>
      <c r="H3890" s="352">
        <f>ROUND((30/60)/8,4)</f>
        <v>6.25E-2</v>
      </c>
      <c r="I3890" s="105"/>
    </row>
    <row r="3891" spans="1:15">
      <c r="A3891" s="540" t="s">
        <v>4209</v>
      </c>
      <c r="B3891" s="542" t="str">
        <f>COSTOS!$C$14</f>
        <v>MODERNIZACION A TECNOLOGIA LED</v>
      </c>
      <c r="C3891" s="542"/>
      <c r="D3891" s="542"/>
      <c r="E3891" s="542"/>
      <c r="F3891" s="542"/>
      <c r="G3891" s="542"/>
      <c r="H3891" s="543" t="s">
        <v>4210</v>
      </c>
    </row>
    <row r="3892" spans="1:15">
      <c r="A3892" s="541"/>
      <c r="B3892" s="542"/>
      <c r="C3892" s="542"/>
      <c r="D3892" s="542"/>
      <c r="E3892" s="542"/>
      <c r="F3892" s="542"/>
      <c r="G3892" s="542"/>
      <c r="H3892" s="543"/>
    </row>
    <row r="3893" spans="1:15">
      <c r="A3893" s="541"/>
      <c r="B3893" s="542"/>
      <c r="C3893" s="542"/>
      <c r="D3893" s="542"/>
      <c r="E3893" s="542"/>
      <c r="F3893" s="542"/>
      <c r="G3893" s="542"/>
      <c r="H3893" s="543"/>
    </row>
    <row r="3894" spans="1:15" ht="15" customHeight="1">
      <c r="A3894" s="541"/>
      <c r="B3894" s="542"/>
      <c r="C3894" s="542"/>
      <c r="D3894" s="542"/>
      <c r="E3894" s="542"/>
      <c r="F3894" s="542"/>
      <c r="G3894" s="542"/>
      <c r="H3894" s="197">
        <f ca="1">TODAY()</f>
        <v>44889</v>
      </c>
      <c r="K3894" t="s">
        <v>4380</v>
      </c>
      <c r="L3894" t="s">
        <v>4381</v>
      </c>
      <c r="M3894" t="s">
        <v>4382</v>
      </c>
      <c r="N3894" t="s">
        <v>4383</v>
      </c>
    </row>
    <row r="3895" spans="1:15" ht="60.75" customHeight="1">
      <c r="A3895" s="209" t="s">
        <v>4211</v>
      </c>
      <c r="B3895" s="544" t="str">
        <f>COSTOS!$D$16</f>
        <v>Luminarias</v>
      </c>
      <c r="C3895" s="544"/>
      <c r="D3895" s="544"/>
      <c r="E3895" s="544"/>
      <c r="F3895" s="544"/>
      <c r="G3895" s="60" t="s">
        <v>4212</v>
      </c>
      <c r="H3895" s="363">
        <v>1.77</v>
      </c>
      <c r="K3895" s="55" t="e">
        <f>H3920</f>
        <v>#VALUE!</v>
      </c>
      <c r="L3895" s="55">
        <f>H3930</f>
        <v>20648</v>
      </c>
      <c r="M3895" s="55" t="e">
        <f>H3903</f>
        <v>#VALUE!</v>
      </c>
      <c r="N3895" s="55" t="e">
        <f>H3924</f>
        <v>#VALUE!</v>
      </c>
    </row>
    <row r="3896" spans="1:15" ht="43.2" customHeight="1">
      <c r="A3896" s="210" t="s">
        <v>4213</v>
      </c>
      <c r="B3896" s="545" t="str">
        <f>VLOOKUP(H3895,COSTOS!C:M,2,0)</f>
        <v>Luminaria led 37 w Agm</v>
      </c>
      <c r="C3896" s="546"/>
      <c r="D3896" s="546"/>
      <c r="E3896" s="547"/>
      <c r="F3896" s="61" t="s">
        <v>0</v>
      </c>
      <c r="G3896" s="328" t="str">
        <f>VLOOKUP(H3895,COSTOS!C:M,8,0)</f>
        <v>Und</v>
      </c>
      <c r="H3896" s="248"/>
      <c r="I3896" s="278"/>
      <c r="J3896" s="280"/>
      <c r="K3896" s="280"/>
      <c r="L3896" s="280"/>
    </row>
    <row r="3897" spans="1:15">
      <c r="A3897" s="211"/>
      <c r="B3897" s="102"/>
      <c r="C3897" s="102"/>
      <c r="D3897" s="102"/>
      <c r="E3897" s="103"/>
      <c r="F3897" s="104" t="s">
        <v>1</v>
      </c>
      <c r="G3897" s="328">
        <f>VLOOKUP(H3895,COSTOS!C:M,9,0)</f>
        <v>0</v>
      </c>
      <c r="H3897" s="329"/>
      <c r="I3897" s="279"/>
    </row>
    <row r="3898" spans="1:15">
      <c r="A3898" s="212" t="s">
        <v>4215</v>
      </c>
      <c r="B3898" s="65"/>
      <c r="C3898" s="65"/>
      <c r="D3898" s="66"/>
      <c r="E3898" s="190"/>
      <c r="F3898" s="191"/>
      <c r="G3898" s="192" t="s">
        <v>4216</v>
      </c>
      <c r="H3898" s="198" t="e">
        <f>H3903+H3920+H3924+H3930</f>
        <v>#VALUE!</v>
      </c>
    </row>
    <row r="3899" spans="1:15" ht="41.4">
      <c r="A3899" s="548" t="s">
        <v>4213</v>
      </c>
      <c r="B3899" s="548"/>
      <c r="C3899" s="548"/>
      <c r="D3899" s="67" t="s">
        <v>0</v>
      </c>
      <c r="E3899" s="188" t="s">
        <v>4217</v>
      </c>
      <c r="F3899" s="189" t="s">
        <v>4204</v>
      </c>
      <c r="G3899" s="64" t="s">
        <v>2</v>
      </c>
      <c r="H3899" s="199" t="s">
        <v>4218</v>
      </c>
      <c r="K3899" s="281"/>
    </row>
    <row r="3900" spans="1:15">
      <c r="A3900" s="517" t="s">
        <v>3946</v>
      </c>
      <c r="B3900" s="549">
        <f>VLOOKUP(A3900,'Equip, Herr y Transp'!$B$2:$E$738,2,0)</f>
        <v>2</v>
      </c>
      <c r="C3900" s="549"/>
      <c r="D3900" s="85">
        <f>VLOOKUP(A3900,'Equip, Herr y Transp'!$B$2:$E$217,2,0)</f>
        <v>2</v>
      </c>
      <c r="E3900" s="85" t="str">
        <f>VLOOKUP(A3900,'Equip, Herr y Transp'!$B$2:$E$217,3,0)</f>
        <v>EQU</v>
      </c>
      <c r="F3900" s="86">
        <f>H3890</f>
        <v>6.25E-2</v>
      </c>
      <c r="G3900" s="112" t="e">
        <f>F3900*E3900</f>
        <v>#VALUE!</v>
      </c>
      <c r="H3900" s="108"/>
    </row>
    <row r="3901" spans="1:15">
      <c r="A3901" s="517" t="s">
        <v>3904</v>
      </c>
      <c r="B3901" s="549">
        <f>VLOOKUP(A3901,'Equip, Herr y Transp'!$B$2:$E$738,2,0)</f>
        <v>2</v>
      </c>
      <c r="C3901" s="549"/>
      <c r="D3901" s="85">
        <f>VLOOKUP(A3901,'Equip, Herr y Transp'!$B$2:$E$217,2,0)</f>
        <v>2</v>
      </c>
      <c r="E3901" s="85" t="str">
        <f>VLOOKUP(A3901,'Equip, Herr y Transp'!$B$2:$E$217,3,0)</f>
        <v>EQU</v>
      </c>
      <c r="F3901" s="86">
        <f>H3890</f>
        <v>6.25E-2</v>
      </c>
      <c r="G3901" s="112" t="e">
        <f>F3901*E3901</f>
        <v>#VALUE!</v>
      </c>
      <c r="H3901" s="107"/>
    </row>
    <row r="3902" spans="1:15">
      <c r="A3902" s="517" t="s">
        <v>3937</v>
      </c>
      <c r="B3902" s="549">
        <f>VLOOKUP(A3902,'Equip, Herr y Transp'!$B$2:$E$738,2,0)</f>
        <v>2</v>
      </c>
      <c r="C3902" s="549"/>
      <c r="D3902" s="85">
        <f>VLOOKUP(A3902,'Equip, Herr y Transp'!$B$2:$E$217,2,0)</f>
        <v>2</v>
      </c>
      <c r="E3902" s="85" t="str">
        <f>VLOOKUP(A3902,'Equip, Herr y Transp'!$B$2:$E$217,3,0)</f>
        <v>EQU</v>
      </c>
      <c r="F3902" s="86">
        <f>H3890</f>
        <v>6.25E-2</v>
      </c>
      <c r="G3902" s="112" t="e">
        <f>F3902*E3902</f>
        <v>#VALUE!</v>
      </c>
      <c r="H3902" s="107"/>
    </row>
    <row r="3903" spans="1:15">
      <c r="A3903" s="520" t="s">
        <v>4099</v>
      </c>
      <c r="B3903" s="521"/>
      <c r="C3903" s="521"/>
      <c r="D3903" s="521"/>
      <c r="E3903" s="521"/>
      <c r="F3903" s="521"/>
      <c r="G3903" s="521"/>
      <c r="H3903" s="87" t="e">
        <f>SUM(G3900:G3902)</f>
        <v>#VALUE!</v>
      </c>
    </row>
    <row r="3904" spans="1:15">
      <c r="A3904" s="550" t="s">
        <v>4219</v>
      </c>
      <c r="B3904" s="551"/>
      <c r="C3904" s="551"/>
      <c r="D3904" s="551"/>
      <c r="E3904" s="551"/>
      <c r="F3904" s="551"/>
      <c r="G3904" s="551"/>
      <c r="H3904" s="552"/>
      <c r="K3904" s="50"/>
      <c r="L3904" s="50"/>
      <c r="M3904" s="50"/>
      <c r="N3904" s="50"/>
      <c r="O3904" s="50"/>
    </row>
    <row r="3905" spans="1:15" ht="30" customHeight="1">
      <c r="A3905" s="553" t="s">
        <v>7</v>
      </c>
      <c r="B3905" s="554"/>
      <c r="C3905" s="99" t="s">
        <v>0</v>
      </c>
      <c r="D3905" s="100" t="s">
        <v>4097</v>
      </c>
      <c r="E3905" s="101" t="s">
        <v>1</v>
      </c>
      <c r="F3905" s="555" t="s">
        <v>4207</v>
      </c>
      <c r="G3905" s="555"/>
      <c r="H3905" s="196"/>
      <c r="K3905" s="50"/>
      <c r="L3905" s="50"/>
      <c r="M3905" s="50"/>
      <c r="N3905" s="50"/>
      <c r="O3905" s="50"/>
    </row>
    <row r="3906" spans="1:15">
      <c r="A3906" s="535" t="s">
        <v>4826</v>
      </c>
      <c r="B3906" s="536"/>
      <c r="C3906" s="88">
        <f>VLOOKUP(A3906,'Materiales '!$C$2:$G$396,3,0)</f>
        <v>4</v>
      </c>
      <c r="D3906" s="89" t="str">
        <f>VLOOKUP(A3906,'Materiales '!$C$2:$G$396,4,0)</f>
        <v>Und</v>
      </c>
      <c r="E3906" s="90">
        <v>1</v>
      </c>
      <c r="F3906" s="508" t="e">
        <f>E3906*D3906</f>
        <v>#VALUE!</v>
      </c>
      <c r="G3906" s="519"/>
      <c r="H3906" s="111"/>
      <c r="I3906">
        <f>E3906*G3897</f>
        <v>0</v>
      </c>
      <c r="J3906" s="57"/>
      <c r="K3906" s="50"/>
      <c r="L3906" s="50"/>
      <c r="M3906" s="50"/>
      <c r="N3906" s="50"/>
      <c r="O3906" s="50"/>
    </row>
    <row r="3907" spans="1:15">
      <c r="A3907" s="535" t="s">
        <v>4203</v>
      </c>
      <c r="B3907" s="536"/>
      <c r="C3907" s="88">
        <f>VLOOKUP(A3907,'Materiales '!$C$2:$G$396,3,0)</f>
        <v>4</v>
      </c>
      <c r="D3907" s="89" t="str">
        <f>VLOOKUP(A3907,'Materiales '!$C$2:$G$396,4,0)</f>
        <v>Und</v>
      </c>
      <c r="E3907" s="90">
        <v>1</v>
      </c>
      <c r="F3907" s="508" t="e">
        <f t="shared" ref="F3907:F3913" si="229">E3907*D3907</f>
        <v>#VALUE!</v>
      </c>
      <c r="G3907" s="519"/>
      <c r="H3907" s="111"/>
      <c r="I3907">
        <f>E3907*G3897</f>
        <v>0</v>
      </c>
      <c r="J3907" s="57"/>
      <c r="K3907" s="50"/>
      <c r="L3907" s="50"/>
      <c r="M3907" s="50"/>
      <c r="N3907" s="50"/>
      <c r="O3907" s="50"/>
    </row>
    <row r="3908" spans="1:15">
      <c r="A3908" s="517" t="s">
        <v>4468</v>
      </c>
      <c r="B3908" s="518">
        <f>VLOOKUP(A3908,'Materiales '!$C$2:$G$396,3,0)</f>
        <v>4</v>
      </c>
      <c r="C3908" s="88">
        <f>VLOOKUP(A3908,'Materiales '!$C$2:$G$396,3,0)</f>
        <v>4</v>
      </c>
      <c r="D3908" s="89" t="str">
        <f>VLOOKUP(A3908,'Materiales '!$C$2:$G$396,4,0)</f>
        <v>Und</v>
      </c>
      <c r="E3908" s="90">
        <v>1.5</v>
      </c>
      <c r="F3908" s="508" t="e">
        <f t="shared" si="229"/>
        <v>#VALUE!</v>
      </c>
      <c r="G3908" s="519"/>
      <c r="H3908" s="111"/>
      <c r="I3908">
        <f>E3908*G3897</f>
        <v>0</v>
      </c>
      <c r="J3908" s="58"/>
      <c r="K3908" s="50"/>
      <c r="L3908" s="50"/>
      <c r="M3908" s="50"/>
      <c r="N3908" s="50"/>
      <c r="O3908" s="50"/>
    </row>
    <row r="3909" spans="1:15">
      <c r="A3909" s="517" t="s">
        <v>4478</v>
      </c>
      <c r="B3909" s="518">
        <f>VLOOKUP(A3909,'Materiales '!$C$2:$G$396,3,0)</f>
        <v>4</v>
      </c>
      <c r="C3909" s="88">
        <f>VLOOKUP(A3909,'Materiales '!$C$2:$G$396,3,0)</f>
        <v>4</v>
      </c>
      <c r="D3909" s="89" t="str">
        <f>VLOOKUP(A3909,'Materiales '!$C$2:$G$396,4,0)</f>
        <v>Und</v>
      </c>
      <c r="E3909" s="90">
        <v>3</v>
      </c>
      <c r="F3909" s="508" t="e">
        <f t="shared" si="229"/>
        <v>#VALUE!</v>
      </c>
      <c r="G3909" s="519"/>
      <c r="H3909" s="111"/>
      <c r="I3909">
        <f>E3909*G3897</f>
        <v>0</v>
      </c>
      <c r="J3909" s="58"/>
      <c r="K3909" s="50"/>
      <c r="L3909" s="50"/>
      <c r="M3909" s="50"/>
      <c r="N3909" s="50"/>
      <c r="O3909" s="50"/>
    </row>
    <row r="3910" spans="1:15">
      <c r="A3910" s="517" t="s">
        <v>4543</v>
      </c>
      <c r="B3910" s="518">
        <f>VLOOKUP(A3910,'Materiales '!$C$2:$G$396,3,0)</f>
        <v>4</v>
      </c>
      <c r="C3910" s="88">
        <f>VLOOKUP(A3910,'Materiales '!$C$2:$G$396,3,0)</f>
        <v>4</v>
      </c>
      <c r="D3910" s="89" t="str">
        <f>VLOOKUP(A3910,'Materiales '!$C$2:$G$396,4,0)</f>
        <v>Und</v>
      </c>
      <c r="E3910" s="90">
        <v>1</v>
      </c>
      <c r="F3910" s="508" t="e">
        <f t="shared" si="229"/>
        <v>#VALUE!</v>
      </c>
      <c r="G3910" s="519"/>
      <c r="H3910" s="111"/>
      <c r="I3910">
        <f>E3910*G3897</f>
        <v>0</v>
      </c>
      <c r="J3910" s="58"/>
      <c r="K3910" s="50"/>
      <c r="L3910" s="50"/>
      <c r="M3910" s="50"/>
      <c r="N3910" s="50"/>
      <c r="O3910" s="50"/>
    </row>
    <row r="3911" spans="1:15">
      <c r="A3911" s="517" t="s">
        <v>4439</v>
      </c>
      <c r="B3911" s="518">
        <f>VLOOKUP(A3911,'Materiales '!$C$2:$G$396,3,0)</f>
        <v>2</v>
      </c>
      <c r="C3911" s="88">
        <f>VLOOKUP(A3911,'Materiales '!$C$2:$G$396,3,0)</f>
        <v>2</v>
      </c>
      <c r="D3911" s="89" t="str">
        <f>VLOOKUP(A3911,'Materiales '!$C$2:$G$396,4,0)</f>
        <v>Ml</v>
      </c>
      <c r="E3911" s="90">
        <v>1</v>
      </c>
      <c r="F3911" s="508" t="e">
        <f t="shared" si="229"/>
        <v>#VALUE!</v>
      </c>
      <c r="G3911" s="519"/>
      <c r="H3911" s="111"/>
      <c r="I3911">
        <f>E3911*G3897</f>
        <v>0</v>
      </c>
      <c r="J3911" s="58"/>
      <c r="K3911" s="50"/>
      <c r="L3911" s="50"/>
      <c r="M3911" s="50"/>
      <c r="N3911" s="50"/>
      <c r="O3911" s="50"/>
    </row>
    <row r="3912" spans="1:15">
      <c r="A3912" s="517" t="s">
        <v>4425</v>
      </c>
      <c r="B3912" s="518">
        <f>VLOOKUP(A3912,'Materiales '!$C$2:$G$396,3,0)</f>
        <v>4</v>
      </c>
      <c r="C3912" s="88">
        <f>VLOOKUP(A3912,'Materiales '!$C$2:$G$396,3,0)</f>
        <v>4</v>
      </c>
      <c r="D3912" s="89" t="str">
        <f>VLOOKUP(A3912,'Materiales '!$C$2:$G$396,4,0)</f>
        <v>Und</v>
      </c>
      <c r="E3912" s="90">
        <v>1</v>
      </c>
      <c r="F3912" s="508" t="e">
        <f t="shared" si="229"/>
        <v>#VALUE!</v>
      </c>
      <c r="G3912" s="519"/>
      <c r="H3912" s="111"/>
      <c r="I3912">
        <f>E3912*G3897</f>
        <v>0</v>
      </c>
      <c r="J3912" s="58"/>
      <c r="K3912" s="50"/>
      <c r="L3912" s="50"/>
      <c r="M3912" s="50"/>
      <c r="N3912" s="50"/>
      <c r="O3912" s="50"/>
    </row>
    <row r="3913" spans="1:15" ht="21.75" customHeight="1">
      <c r="A3913" s="517" t="s">
        <v>4628</v>
      </c>
      <c r="B3913" s="518">
        <f>VLOOKUP(A3913,'Materiales '!$C$2:$G$396,3,0)</f>
        <v>4</v>
      </c>
      <c r="C3913" s="88">
        <f>VLOOKUP(A3913,'Materiales '!$C$2:$G$396,3,0)</f>
        <v>4</v>
      </c>
      <c r="D3913" s="89" t="str">
        <f>VLOOKUP(A3913,'Materiales '!$C$2:$G$396,4,0)</f>
        <v>Und</v>
      </c>
      <c r="E3913" s="90">
        <v>1</v>
      </c>
      <c r="F3913" s="508" t="e">
        <f t="shared" si="229"/>
        <v>#VALUE!</v>
      </c>
      <c r="G3913" s="519"/>
      <c r="H3913" s="111"/>
      <c r="I3913">
        <f>E3913*G3897</f>
        <v>0</v>
      </c>
      <c r="J3913" s="58"/>
      <c r="K3913" s="50"/>
      <c r="L3913" s="50"/>
      <c r="M3913" s="50"/>
      <c r="N3913" s="50"/>
      <c r="O3913" s="50"/>
    </row>
    <row r="3914" spans="1:15">
      <c r="A3914" s="517" t="s">
        <v>8</v>
      </c>
      <c r="B3914" s="518">
        <f>VLOOKUP(A3914,'Materiales '!$C$2:$G$396,3,0)</f>
        <v>0</v>
      </c>
      <c r="C3914" s="88">
        <f>VLOOKUP(A3914,'Materiales '!$C$2:$G$396,3,0)</f>
        <v>0</v>
      </c>
      <c r="D3914" s="89" t="str">
        <f>VLOOKUP(A3914,'Materiales '!$C$2:$G$396,4,0)</f>
        <v>-</v>
      </c>
      <c r="E3914" s="90"/>
      <c r="F3914" s="508" t="e">
        <f>E3914*D3914</f>
        <v>#VALUE!</v>
      </c>
      <c r="G3914" s="519"/>
      <c r="H3914" s="110"/>
      <c r="I3914">
        <f>E3914*G3897</f>
        <v>0</v>
      </c>
      <c r="J3914" s="58"/>
      <c r="K3914" s="50"/>
      <c r="L3914" s="50"/>
      <c r="M3914" s="50"/>
      <c r="N3914" s="50"/>
      <c r="O3914" s="50"/>
    </row>
    <row r="3915" spans="1:15">
      <c r="A3915" s="517" t="s">
        <v>8</v>
      </c>
      <c r="B3915" s="518">
        <f>VLOOKUP(A3915,'Materiales '!$C$2:$G$396,3,0)</f>
        <v>0</v>
      </c>
      <c r="C3915" s="88">
        <f>VLOOKUP(A3915,'Materiales '!$C$2:$G$396,3,0)</f>
        <v>0</v>
      </c>
      <c r="D3915" s="89" t="str">
        <f>VLOOKUP(A3915,'Materiales '!$C$2:$G$396,4,0)</f>
        <v>-</v>
      </c>
      <c r="E3915" s="90"/>
      <c r="F3915" s="508" t="e">
        <f t="shared" ref="F3915:F3918" si="230">E3915*D3915</f>
        <v>#VALUE!</v>
      </c>
      <c r="G3915" s="519"/>
      <c r="H3915" s="111"/>
      <c r="I3915">
        <f>E3915*G3897</f>
        <v>0</v>
      </c>
      <c r="J3915" s="58"/>
      <c r="K3915" s="50"/>
      <c r="L3915" s="50"/>
      <c r="M3915" s="50"/>
      <c r="N3915" s="50"/>
      <c r="O3915" s="50"/>
    </row>
    <row r="3916" spans="1:15">
      <c r="A3916" s="517" t="s">
        <v>8</v>
      </c>
      <c r="B3916" s="518">
        <f>VLOOKUP(A3916,'Materiales '!$C$2:$G$396,3,0)</f>
        <v>0</v>
      </c>
      <c r="C3916" s="88">
        <f>VLOOKUP(A3916,'Materiales '!$C$2:$G$396,3,0)</f>
        <v>0</v>
      </c>
      <c r="D3916" s="89" t="str">
        <f>VLOOKUP(A3916,'Materiales '!$C$2:$G$396,4,0)</f>
        <v>-</v>
      </c>
      <c r="E3916" s="90"/>
      <c r="F3916" s="508" t="e">
        <f t="shared" si="230"/>
        <v>#VALUE!</v>
      </c>
      <c r="G3916" s="519"/>
      <c r="H3916" s="111"/>
      <c r="I3916">
        <f>E3916*G3897</f>
        <v>0</v>
      </c>
      <c r="J3916" s="58"/>
      <c r="K3916" s="50"/>
      <c r="L3916" s="50"/>
      <c r="M3916" s="50"/>
      <c r="N3916" s="50"/>
      <c r="O3916" s="50"/>
    </row>
    <row r="3917" spans="1:15">
      <c r="A3917" s="517" t="s">
        <v>8</v>
      </c>
      <c r="B3917" s="518">
        <f>VLOOKUP(A3917,'Materiales '!$C$2:$G$396,3,0)</f>
        <v>0</v>
      </c>
      <c r="C3917" s="88">
        <f>VLOOKUP(A3917,'Materiales '!$C$2:$G$396,3,0)</f>
        <v>0</v>
      </c>
      <c r="D3917" s="89" t="str">
        <f>VLOOKUP(A3917,'Materiales '!$C$2:$G$396,4,0)</f>
        <v>-</v>
      </c>
      <c r="E3917" s="90"/>
      <c r="F3917" s="508" t="e">
        <f t="shared" si="230"/>
        <v>#VALUE!</v>
      </c>
      <c r="G3917" s="519"/>
      <c r="H3917" s="111"/>
      <c r="I3917">
        <f>E3917*G3897</f>
        <v>0</v>
      </c>
      <c r="J3917" s="58"/>
      <c r="K3917" s="50"/>
      <c r="L3917" s="50"/>
      <c r="M3917" s="50"/>
      <c r="N3917" s="50"/>
      <c r="O3917" s="50"/>
    </row>
    <row r="3918" spans="1:15">
      <c r="A3918" s="517" t="s">
        <v>8</v>
      </c>
      <c r="B3918" s="518">
        <f>VLOOKUP(A3918,'Materiales '!$C$2:$G$396,3,0)</f>
        <v>0</v>
      </c>
      <c r="C3918" s="88">
        <f>VLOOKUP(A3918,'Materiales '!$C$2:$G$396,3,0)</f>
        <v>0</v>
      </c>
      <c r="D3918" s="89" t="str">
        <f>VLOOKUP(A3918,'Materiales '!$C$2:$G$396,4,0)</f>
        <v>-</v>
      </c>
      <c r="E3918" s="90"/>
      <c r="F3918" s="508" t="e">
        <f t="shared" si="230"/>
        <v>#VALUE!</v>
      </c>
      <c r="G3918" s="519"/>
      <c r="H3918" s="111"/>
      <c r="I3918">
        <f>E3918*G3897</f>
        <v>0</v>
      </c>
      <c r="J3918" s="58"/>
      <c r="K3918" s="50"/>
      <c r="L3918" s="50"/>
      <c r="M3918" s="50"/>
      <c r="N3918" s="50"/>
      <c r="O3918" s="50"/>
    </row>
    <row r="3919" spans="1:15">
      <c r="A3919" s="517" t="s">
        <v>8</v>
      </c>
      <c r="B3919" s="518">
        <f>VLOOKUP(A3919,'Materiales '!$C$2:$G$396,3,0)</f>
        <v>0</v>
      </c>
      <c r="C3919" s="88">
        <f>VLOOKUP(A3919,'Materiales '!$C$2:$G$396,3,0)</f>
        <v>0</v>
      </c>
      <c r="D3919" s="89" t="str">
        <f>VLOOKUP(A3919,'Materiales '!$C$2:$G$396,4,0)</f>
        <v>-</v>
      </c>
      <c r="E3919" s="90"/>
      <c r="F3919" s="508" t="e">
        <f>E3919*D3919</f>
        <v>#VALUE!</v>
      </c>
      <c r="G3919" s="519"/>
      <c r="H3919" s="110"/>
      <c r="I3919">
        <f>E3919*G3897</f>
        <v>0</v>
      </c>
      <c r="J3919" s="58"/>
      <c r="K3919" s="50"/>
      <c r="L3919" s="50"/>
      <c r="M3919" s="50"/>
      <c r="N3919" s="50"/>
      <c r="O3919" s="50"/>
    </row>
    <row r="3920" spans="1:15">
      <c r="A3920" s="520" t="s">
        <v>4098</v>
      </c>
      <c r="B3920" s="521"/>
      <c r="C3920" s="521"/>
      <c r="D3920" s="521"/>
      <c r="E3920" s="521"/>
      <c r="F3920" s="521"/>
      <c r="G3920" s="522"/>
      <c r="H3920" s="106" t="e">
        <f>SUM(F3906:F3919)</f>
        <v>#VALUE!</v>
      </c>
      <c r="J3920" s="58"/>
      <c r="K3920" s="50"/>
      <c r="L3920" s="50"/>
      <c r="M3920" s="50"/>
      <c r="N3920" s="50"/>
      <c r="O3920" s="50"/>
    </row>
    <row r="3921" spans="1:15">
      <c r="A3921" s="523" t="s">
        <v>4220</v>
      </c>
      <c r="B3921" s="524"/>
      <c r="C3921" s="524"/>
      <c r="D3921" s="524"/>
      <c r="E3921" s="525"/>
      <c r="F3921" s="524"/>
      <c r="G3921" s="524"/>
      <c r="H3921" s="526"/>
      <c r="J3921" s="58"/>
      <c r="K3921" s="50"/>
      <c r="L3921" s="50"/>
      <c r="M3921" s="50"/>
      <c r="N3921" s="50"/>
      <c r="O3921" s="50"/>
    </row>
    <row r="3922" spans="1:15">
      <c r="A3922" s="527" t="s">
        <v>7</v>
      </c>
      <c r="B3922" s="528"/>
      <c r="C3922" s="98" t="s">
        <v>4221</v>
      </c>
      <c r="D3922" s="97" t="s">
        <v>4222</v>
      </c>
      <c r="E3922" s="187" t="s">
        <v>4223</v>
      </c>
      <c r="F3922" s="529" t="s">
        <v>4207</v>
      </c>
      <c r="G3922" s="529"/>
      <c r="H3922" s="109"/>
      <c r="K3922" s="50"/>
      <c r="L3922" s="50"/>
      <c r="M3922" s="50"/>
      <c r="N3922" s="50"/>
      <c r="O3922" s="50"/>
    </row>
    <row r="3923" spans="1:15">
      <c r="A3923" s="506" t="s">
        <v>3928</v>
      </c>
      <c r="B3923" s="507"/>
      <c r="C3923" s="213">
        <v>1</v>
      </c>
      <c r="D3923" s="92">
        <v>0.03</v>
      </c>
      <c r="E3923" s="93" t="str">
        <f>VLOOKUP(A3923,'Equip, Herr y Transp'!$B$2:$E$217,3,0)</f>
        <v>TR</v>
      </c>
      <c r="F3923" s="530" t="e">
        <f>E3923*D3923*C3923</f>
        <v>#VALUE!</v>
      </c>
      <c r="G3923" s="531"/>
      <c r="H3923" s="107"/>
      <c r="M3923" s="50"/>
    </row>
    <row r="3924" spans="1:15">
      <c r="A3924" s="532" t="s">
        <v>4205</v>
      </c>
      <c r="B3924" s="533"/>
      <c r="C3924" s="533"/>
      <c r="D3924" s="533"/>
      <c r="E3924" s="533"/>
      <c r="F3924" s="533"/>
      <c r="G3924" s="533"/>
      <c r="H3924" s="95" t="e">
        <f>F3923</f>
        <v>#VALUE!</v>
      </c>
    </row>
    <row r="3925" spans="1:15">
      <c r="A3925" s="523" t="s">
        <v>4224</v>
      </c>
      <c r="B3925" s="524"/>
      <c r="C3925" s="524"/>
      <c r="D3925" s="524"/>
      <c r="E3925" s="524"/>
      <c r="F3925" s="524"/>
      <c r="G3925" s="524"/>
      <c r="H3925" s="526"/>
    </row>
    <row r="3926" spans="1:15">
      <c r="A3926" s="527" t="s">
        <v>7</v>
      </c>
      <c r="B3926" s="528"/>
      <c r="C3926" s="96" t="s">
        <v>1</v>
      </c>
      <c r="D3926" s="97" t="s">
        <v>4225</v>
      </c>
      <c r="E3926" s="98" t="s">
        <v>4204</v>
      </c>
      <c r="F3926" s="527" t="s">
        <v>5</v>
      </c>
      <c r="G3926" s="534"/>
      <c r="H3926" s="109"/>
    </row>
    <row r="3927" spans="1:15">
      <c r="A3927" s="506" t="s">
        <v>4191</v>
      </c>
      <c r="B3927" s="507"/>
      <c r="C3927" s="91">
        <v>1</v>
      </c>
      <c r="D3927" s="94">
        <f>VLOOKUP(A3927,'Mano Obra'!$B$2:$T$117,19,0)</f>
        <v>152456</v>
      </c>
      <c r="E3927" s="218">
        <f>H3890</f>
        <v>6.25E-2</v>
      </c>
      <c r="F3927" s="508">
        <f>E3927*D3927*C3927</f>
        <v>9528.5</v>
      </c>
      <c r="G3927" s="509"/>
      <c r="H3927" s="111"/>
      <c r="I3927" s="59"/>
      <c r="J3927" s="117">
        <f>((('Mano Obra'!$M$4/30)*F3927)/D3927)*G3897</f>
        <v>0</v>
      </c>
    </row>
    <row r="3928" spans="1:15">
      <c r="A3928" s="510" t="s">
        <v>4192</v>
      </c>
      <c r="B3928" s="511">
        <f>VLOOKUP(A3928,'Mano Obra'!$B$3:$D$290,2,0)</f>
        <v>1900000</v>
      </c>
      <c r="C3928" s="91">
        <v>1</v>
      </c>
      <c r="D3928" s="94">
        <f>VLOOKUP(A3928,'Mano Obra'!$B$2:$T$117,19,0)</f>
        <v>110488</v>
      </c>
      <c r="E3928" s="218">
        <f>H3890</f>
        <v>6.25E-2</v>
      </c>
      <c r="F3928" s="508">
        <f t="shared" ref="F3928:F3929" si="231">E3928*D3928*C3928</f>
        <v>6905.5</v>
      </c>
      <c r="G3928" s="509"/>
      <c r="H3928" s="111"/>
      <c r="J3928" s="117">
        <f>((('Mano Obra'!$M$5/30)*F3928)/D3928)*G3897</f>
        <v>0</v>
      </c>
    </row>
    <row r="3929" spans="1:15">
      <c r="A3929" s="510" t="s">
        <v>4181</v>
      </c>
      <c r="B3929" s="511">
        <f>VLOOKUP(A3929,'Mano Obra'!$B$3:$D$290,2,0)</f>
        <v>1000000</v>
      </c>
      <c r="C3929" s="91">
        <v>1</v>
      </c>
      <c r="D3929" s="94">
        <f>VLOOKUP(A3929,'Mano Obra'!$B$2:$T$117,19,0)</f>
        <v>67424</v>
      </c>
      <c r="E3929" s="218">
        <f>H3890</f>
        <v>6.25E-2</v>
      </c>
      <c r="F3929" s="508">
        <f t="shared" si="231"/>
        <v>4214</v>
      </c>
      <c r="G3929" s="509"/>
      <c r="H3929" s="110"/>
      <c r="J3929" s="117">
        <f>((('Mano Obra'!$M$6/30)*F3929)/D3929)*G3897</f>
        <v>0</v>
      </c>
    </row>
    <row r="3930" spans="1:15">
      <c r="A3930" s="512" t="s">
        <v>4100</v>
      </c>
      <c r="B3930" s="512"/>
      <c r="C3930" s="512"/>
      <c r="D3930" s="512"/>
      <c r="E3930" s="512"/>
      <c r="F3930" s="512"/>
      <c r="G3930" s="512"/>
      <c r="H3930" s="95">
        <f>SUM(F3927:F3929)</f>
        <v>20648</v>
      </c>
      <c r="J3930" s="117"/>
    </row>
    <row r="3931" spans="1:15">
      <c r="A3931" s="208" t="s">
        <v>4226</v>
      </c>
      <c r="B3931" s="186"/>
      <c r="C3931" s="186"/>
      <c r="D3931" s="183"/>
      <c r="E3931" s="184"/>
      <c r="F3931" s="185"/>
      <c r="G3931" s="184"/>
      <c r="H3931" s="193"/>
    </row>
    <row r="3932" spans="1:15">
      <c r="A3932" s="513" t="s">
        <v>4213</v>
      </c>
      <c r="B3932" s="514"/>
      <c r="C3932" s="514"/>
      <c r="D3932" s="514"/>
      <c r="E3932" s="181"/>
      <c r="F3932" s="182" t="s">
        <v>4227</v>
      </c>
      <c r="G3932" s="181" t="s">
        <v>4228</v>
      </c>
      <c r="H3932" s="194"/>
    </row>
    <row r="3933" spans="1:15">
      <c r="A3933" s="204" t="s">
        <v>4096</v>
      </c>
      <c r="B3933" s="62"/>
      <c r="C3933" s="62"/>
      <c r="D3933" s="63"/>
      <c r="E3933" s="68"/>
      <c r="F3933" s="69">
        <v>0</v>
      </c>
      <c r="G3933" s="70" t="e">
        <f>F3933*H3898</f>
        <v>#VALUE!</v>
      </c>
      <c r="H3933" s="193"/>
    </row>
    <row r="3934" spans="1:15">
      <c r="A3934" s="205" t="s">
        <v>4229</v>
      </c>
      <c r="B3934" s="71"/>
      <c r="C3934" s="71"/>
      <c r="D3934" s="72"/>
      <c r="E3934" s="68"/>
      <c r="F3934" s="69">
        <v>0</v>
      </c>
      <c r="G3934" s="70" t="e">
        <f>F3934*H3898</f>
        <v>#VALUE!</v>
      </c>
      <c r="H3934" s="193"/>
    </row>
    <row r="3935" spans="1:15">
      <c r="A3935" s="205" t="s">
        <v>4</v>
      </c>
      <c r="B3935" s="71"/>
      <c r="C3935" s="71"/>
      <c r="D3935" s="72"/>
      <c r="E3935" s="68"/>
      <c r="F3935" s="69">
        <v>0</v>
      </c>
      <c r="G3935" s="70" t="e">
        <f>F3935*H3898</f>
        <v>#VALUE!</v>
      </c>
      <c r="H3935" s="193"/>
    </row>
    <row r="3936" spans="1:15">
      <c r="A3936" s="206"/>
      <c r="B3936" s="73"/>
      <c r="C3936" s="65"/>
      <c r="D3936" s="74"/>
      <c r="E3936" s="75"/>
      <c r="F3936" s="76"/>
      <c r="G3936" s="77"/>
      <c r="H3936" s="195"/>
    </row>
    <row r="3937" spans="1:14">
      <c r="A3937" s="207"/>
      <c r="B3937" s="73"/>
      <c r="C3937" s="73"/>
      <c r="D3937" s="74"/>
      <c r="E3937" s="78"/>
      <c r="F3937" s="515" t="s">
        <v>4230</v>
      </c>
      <c r="G3937" s="516"/>
      <c r="H3937" s="214" t="e">
        <f>H3898+G3933+G3934+G3935</f>
        <v>#VALUE!</v>
      </c>
    </row>
    <row r="3938" spans="1:14">
      <c r="A3938" s="73"/>
      <c r="B3938" s="73"/>
      <c r="C3938" s="73"/>
      <c r="D3938" s="74"/>
      <c r="E3938" s="360"/>
      <c r="F3938" s="361"/>
      <c r="G3938" s="361"/>
      <c r="H3938" s="362"/>
    </row>
    <row r="3939" spans="1:14">
      <c r="A3939" s="80"/>
      <c r="B3939" s="80"/>
      <c r="C3939" s="80"/>
      <c r="D3939" s="80"/>
      <c r="E3939" s="80"/>
      <c r="F3939" s="80"/>
      <c r="G3939" s="80"/>
      <c r="H3939" s="353"/>
    </row>
    <row r="3940" spans="1:14">
      <c r="A3940" s="537" t="s">
        <v>4214</v>
      </c>
      <c r="B3940" s="538"/>
      <c r="C3940" s="538"/>
      <c r="D3940" s="538"/>
      <c r="E3940" s="538"/>
      <c r="F3940" s="538"/>
      <c r="G3940" s="538"/>
      <c r="H3940" s="539"/>
    </row>
    <row r="3941" spans="1:14">
      <c r="A3941" s="81"/>
      <c r="B3941" s="82"/>
      <c r="C3941" s="82"/>
      <c r="D3941" s="82"/>
      <c r="E3941" s="82"/>
      <c r="F3941" s="83"/>
      <c r="G3941" s="84"/>
      <c r="H3941" s="352">
        <f>ROUND((34/60)/8,4)</f>
        <v>7.0800000000000002E-2</v>
      </c>
      <c r="I3941" s="105"/>
    </row>
    <row r="3942" spans="1:14">
      <c r="A3942" s="540" t="s">
        <v>4209</v>
      </c>
      <c r="B3942" s="542" t="str">
        <f>COSTOS!$C$14</f>
        <v>MODERNIZACION A TECNOLOGIA LED</v>
      </c>
      <c r="C3942" s="542"/>
      <c r="D3942" s="542"/>
      <c r="E3942" s="542"/>
      <c r="F3942" s="542"/>
      <c r="G3942" s="542"/>
      <c r="H3942" s="543" t="s">
        <v>4210</v>
      </c>
    </row>
    <row r="3943" spans="1:14">
      <c r="A3943" s="541"/>
      <c r="B3943" s="542"/>
      <c r="C3943" s="542"/>
      <c r="D3943" s="542"/>
      <c r="E3943" s="542"/>
      <c r="F3943" s="542"/>
      <c r="G3943" s="542"/>
      <c r="H3943" s="543"/>
    </row>
    <row r="3944" spans="1:14">
      <c r="A3944" s="541"/>
      <c r="B3944" s="542"/>
      <c r="C3944" s="542"/>
      <c r="D3944" s="542"/>
      <c r="E3944" s="542"/>
      <c r="F3944" s="542"/>
      <c r="G3944" s="542"/>
      <c r="H3944" s="543"/>
    </row>
    <row r="3945" spans="1:14" ht="15" customHeight="1">
      <c r="A3945" s="541"/>
      <c r="B3945" s="542"/>
      <c r="C3945" s="542"/>
      <c r="D3945" s="542"/>
      <c r="E3945" s="542"/>
      <c r="F3945" s="542"/>
      <c r="G3945" s="542"/>
      <c r="H3945" s="197">
        <f ca="1">TODAY()</f>
        <v>44889</v>
      </c>
      <c r="K3945" t="s">
        <v>4380</v>
      </c>
      <c r="L3945" t="s">
        <v>4381</v>
      </c>
      <c r="M3945" t="s">
        <v>4382</v>
      </c>
      <c r="N3945" t="s">
        <v>4383</v>
      </c>
    </row>
    <row r="3946" spans="1:14" ht="60.75" customHeight="1">
      <c r="A3946" s="209" t="s">
        <v>4211</v>
      </c>
      <c r="B3946" s="544" t="str">
        <f>COSTOS!$D$16</f>
        <v>Luminarias</v>
      </c>
      <c r="C3946" s="544"/>
      <c r="D3946" s="544"/>
      <c r="E3946" s="544"/>
      <c r="F3946" s="544"/>
      <c r="G3946" s="60" t="s">
        <v>4212</v>
      </c>
      <c r="H3946" s="363">
        <v>1.78</v>
      </c>
      <c r="K3946" s="55" t="e">
        <f>H3971</f>
        <v>#VALUE!</v>
      </c>
      <c r="L3946" s="55">
        <f>H3981</f>
        <v>23390.054400000001</v>
      </c>
      <c r="M3946" s="55" t="e">
        <f>H3954</f>
        <v>#VALUE!</v>
      </c>
      <c r="N3946" s="55" t="e">
        <f>H3975</f>
        <v>#VALUE!</v>
      </c>
    </row>
    <row r="3947" spans="1:14" ht="43.2" customHeight="1">
      <c r="A3947" s="210" t="s">
        <v>4213</v>
      </c>
      <c r="B3947" s="545" t="str">
        <f>VLOOKUP(H3946,COSTOS!C:M,2,0)</f>
        <v>Luminaria led 106,5 w Agm</v>
      </c>
      <c r="C3947" s="546"/>
      <c r="D3947" s="546"/>
      <c r="E3947" s="547"/>
      <c r="F3947" s="61" t="s">
        <v>0</v>
      </c>
      <c r="G3947" s="328" t="str">
        <f>VLOOKUP(H3946,COSTOS!C:M,8,0)</f>
        <v>Und</v>
      </c>
      <c r="H3947" s="248"/>
      <c r="I3947" s="278"/>
      <c r="J3947" s="280"/>
      <c r="K3947" s="280"/>
      <c r="L3947" s="280"/>
    </row>
    <row r="3948" spans="1:14">
      <c r="A3948" s="211"/>
      <c r="B3948" s="102"/>
      <c r="C3948" s="102"/>
      <c r="D3948" s="102"/>
      <c r="E3948" s="103"/>
      <c r="F3948" s="104" t="s">
        <v>1</v>
      </c>
      <c r="G3948" s="328">
        <f>VLOOKUP(H3946,COSTOS!C:M,9,0)</f>
        <v>0</v>
      </c>
      <c r="H3948" s="329"/>
      <c r="I3948" s="279"/>
    </row>
    <row r="3949" spans="1:14">
      <c r="A3949" s="212" t="s">
        <v>4215</v>
      </c>
      <c r="B3949" s="65"/>
      <c r="C3949" s="65"/>
      <c r="D3949" s="66"/>
      <c r="E3949" s="190"/>
      <c r="F3949" s="191"/>
      <c r="G3949" s="192" t="s">
        <v>4216</v>
      </c>
      <c r="H3949" s="198" t="e">
        <f>H3954+H3971+H3975+H3981</f>
        <v>#VALUE!</v>
      </c>
    </row>
    <row r="3950" spans="1:14" ht="41.4">
      <c r="A3950" s="548" t="s">
        <v>4213</v>
      </c>
      <c r="B3950" s="548"/>
      <c r="C3950" s="548"/>
      <c r="D3950" s="67" t="s">
        <v>0</v>
      </c>
      <c r="E3950" s="188" t="s">
        <v>4217</v>
      </c>
      <c r="F3950" s="189" t="s">
        <v>4204</v>
      </c>
      <c r="G3950" s="64" t="s">
        <v>2</v>
      </c>
      <c r="H3950" s="199" t="s">
        <v>4218</v>
      </c>
      <c r="K3950" s="281"/>
    </row>
    <row r="3951" spans="1:14">
      <c r="A3951" s="517" t="s">
        <v>3946</v>
      </c>
      <c r="B3951" s="549">
        <f>VLOOKUP(A3951,'Equip, Herr y Transp'!$B$2:$E$738,2,0)</f>
        <v>2</v>
      </c>
      <c r="C3951" s="549"/>
      <c r="D3951" s="85">
        <f>VLOOKUP(A3951,'Equip, Herr y Transp'!$B$2:$E$217,2,0)</f>
        <v>2</v>
      </c>
      <c r="E3951" s="85" t="str">
        <f>VLOOKUP(A3951,'Equip, Herr y Transp'!$B$2:$E$217,3,0)</f>
        <v>EQU</v>
      </c>
      <c r="F3951" s="86">
        <f>H3941</f>
        <v>7.0800000000000002E-2</v>
      </c>
      <c r="G3951" s="112" t="e">
        <f>F3951*E3951</f>
        <v>#VALUE!</v>
      </c>
      <c r="H3951" s="108"/>
    </row>
    <row r="3952" spans="1:14">
      <c r="A3952" s="517" t="s">
        <v>3904</v>
      </c>
      <c r="B3952" s="549">
        <f>VLOOKUP(A3952,'Equip, Herr y Transp'!$B$2:$E$738,2,0)</f>
        <v>2</v>
      </c>
      <c r="C3952" s="549"/>
      <c r="D3952" s="85">
        <f>VLOOKUP(A3952,'Equip, Herr y Transp'!$B$2:$E$217,2,0)</f>
        <v>2</v>
      </c>
      <c r="E3952" s="85" t="str">
        <f>VLOOKUP(A3952,'Equip, Herr y Transp'!$B$2:$E$217,3,0)</f>
        <v>EQU</v>
      </c>
      <c r="F3952" s="86">
        <f>H3941</f>
        <v>7.0800000000000002E-2</v>
      </c>
      <c r="G3952" s="112" t="e">
        <f>F3952*E3952</f>
        <v>#VALUE!</v>
      </c>
      <c r="H3952" s="107"/>
    </row>
    <row r="3953" spans="1:15">
      <c r="A3953" s="517" t="s">
        <v>3937</v>
      </c>
      <c r="B3953" s="549">
        <f>VLOOKUP(A3953,'Equip, Herr y Transp'!$B$2:$E$738,2,0)</f>
        <v>2</v>
      </c>
      <c r="C3953" s="549"/>
      <c r="D3953" s="85">
        <f>VLOOKUP(A3953,'Equip, Herr y Transp'!$B$2:$E$217,2,0)</f>
        <v>2</v>
      </c>
      <c r="E3953" s="85" t="str">
        <f>VLOOKUP(A3953,'Equip, Herr y Transp'!$B$2:$E$217,3,0)</f>
        <v>EQU</v>
      </c>
      <c r="F3953" s="86">
        <f>H3941</f>
        <v>7.0800000000000002E-2</v>
      </c>
      <c r="G3953" s="112" t="e">
        <f>F3953*E3953</f>
        <v>#VALUE!</v>
      </c>
      <c r="H3953" s="107"/>
    </row>
    <row r="3954" spans="1:15">
      <c r="A3954" s="520" t="s">
        <v>4099</v>
      </c>
      <c r="B3954" s="521"/>
      <c r="C3954" s="521"/>
      <c r="D3954" s="521"/>
      <c r="E3954" s="521"/>
      <c r="F3954" s="521"/>
      <c r="G3954" s="521"/>
      <c r="H3954" s="87" t="e">
        <f>SUM(G3951:G3953)</f>
        <v>#VALUE!</v>
      </c>
    </row>
    <row r="3955" spans="1:15">
      <c r="A3955" s="550" t="s">
        <v>4219</v>
      </c>
      <c r="B3955" s="551"/>
      <c r="C3955" s="551"/>
      <c r="D3955" s="551"/>
      <c r="E3955" s="551"/>
      <c r="F3955" s="551"/>
      <c r="G3955" s="551"/>
      <c r="H3955" s="552"/>
      <c r="K3955" s="50"/>
      <c r="L3955" s="50"/>
      <c r="M3955" s="50"/>
      <c r="N3955" s="50"/>
      <c r="O3955" s="50"/>
    </row>
    <row r="3956" spans="1:15" ht="30" customHeight="1">
      <c r="A3956" s="553" t="s">
        <v>7</v>
      </c>
      <c r="B3956" s="554"/>
      <c r="C3956" s="99" t="s">
        <v>0</v>
      </c>
      <c r="D3956" s="100" t="s">
        <v>4097</v>
      </c>
      <c r="E3956" s="101" t="s">
        <v>1</v>
      </c>
      <c r="F3956" s="555" t="s">
        <v>4207</v>
      </c>
      <c r="G3956" s="555"/>
      <c r="H3956" s="196"/>
      <c r="K3956" s="50"/>
      <c r="L3956" s="50"/>
      <c r="M3956" s="50"/>
      <c r="N3956" s="50"/>
      <c r="O3956" s="50"/>
    </row>
    <row r="3957" spans="1:15">
      <c r="A3957" s="535" t="s">
        <v>4975</v>
      </c>
      <c r="B3957" s="536"/>
      <c r="C3957" s="88">
        <f>VLOOKUP(A3957,'Materiales '!$C$2:$G$396,3,0)</f>
        <v>4</v>
      </c>
      <c r="D3957" s="89" t="str">
        <f>VLOOKUP(A3957,'Materiales '!$C$2:$G$396,4,0)</f>
        <v>Und</v>
      </c>
      <c r="E3957" s="90">
        <v>1</v>
      </c>
      <c r="F3957" s="508" t="e">
        <f>E3957*D3957</f>
        <v>#VALUE!</v>
      </c>
      <c r="G3957" s="519"/>
      <c r="H3957" s="111"/>
      <c r="I3957">
        <f>E3957*G3948</f>
        <v>0</v>
      </c>
      <c r="J3957" s="57"/>
      <c r="K3957" s="50"/>
      <c r="L3957" s="50"/>
      <c r="M3957" s="50"/>
      <c r="N3957" s="50"/>
      <c r="O3957" s="50"/>
    </row>
    <row r="3958" spans="1:15">
      <c r="A3958" s="535" t="s">
        <v>4203</v>
      </c>
      <c r="B3958" s="536"/>
      <c r="C3958" s="88">
        <f>VLOOKUP(A3958,'Materiales '!$C$2:$G$396,3,0)</f>
        <v>4</v>
      </c>
      <c r="D3958" s="89" t="str">
        <f>VLOOKUP(A3958,'Materiales '!$C$2:$G$396,4,0)</f>
        <v>Und</v>
      </c>
      <c r="E3958" s="90">
        <v>1</v>
      </c>
      <c r="F3958" s="508" t="e">
        <f t="shared" ref="F3958:F3964" si="232">E3958*D3958</f>
        <v>#VALUE!</v>
      </c>
      <c r="G3958" s="519"/>
      <c r="H3958" s="111"/>
      <c r="I3958">
        <f>E3958*G3948</f>
        <v>0</v>
      </c>
      <c r="J3958" s="57"/>
      <c r="K3958" s="50"/>
      <c r="L3958" s="50"/>
      <c r="M3958" s="50"/>
      <c r="N3958" s="50"/>
      <c r="O3958" s="50"/>
    </row>
    <row r="3959" spans="1:15">
      <c r="A3959" s="517" t="s">
        <v>4468</v>
      </c>
      <c r="B3959" s="518">
        <f>VLOOKUP(A3959,'Materiales '!$C$2:$G$396,3,0)</f>
        <v>4</v>
      </c>
      <c r="C3959" s="88">
        <f>VLOOKUP(A3959,'Materiales '!$C$2:$G$396,3,0)</f>
        <v>4</v>
      </c>
      <c r="D3959" s="89" t="str">
        <f>VLOOKUP(A3959,'Materiales '!$C$2:$G$396,4,0)</f>
        <v>Und</v>
      </c>
      <c r="E3959" s="90">
        <v>2</v>
      </c>
      <c r="F3959" s="508" t="e">
        <f t="shared" si="232"/>
        <v>#VALUE!</v>
      </c>
      <c r="G3959" s="519"/>
      <c r="H3959" s="111"/>
      <c r="I3959">
        <f>E3959*G3948</f>
        <v>0</v>
      </c>
      <c r="J3959" s="58"/>
      <c r="K3959" s="50"/>
      <c r="L3959" s="50"/>
      <c r="M3959" s="50"/>
      <c r="N3959" s="50"/>
      <c r="O3959" s="50"/>
    </row>
    <row r="3960" spans="1:15">
      <c r="A3960" s="517" t="s">
        <v>4478</v>
      </c>
      <c r="B3960" s="518">
        <f>VLOOKUP(A3960,'Materiales '!$C$2:$G$396,3,0)</f>
        <v>4</v>
      </c>
      <c r="C3960" s="88">
        <f>VLOOKUP(A3960,'Materiales '!$C$2:$G$396,3,0)</f>
        <v>4</v>
      </c>
      <c r="D3960" s="89" t="str">
        <f>VLOOKUP(A3960,'Materiales '!$C$2:$G$396,4,0)</f>
        <v>Und</v>
      </c>
      <c r="E3960" s="90">
        <v>3</v>
      </c>
      <c r="F3960" s="508" t="e">
        <f t="shared" si="232"/>
        <v>#VALUE!</v>
      </c>
      <c r="G3960" s="519"/>
      <c r="H3960" s="111"/>
      <c r="I3960">
        <f>E3960*G3948</f>
        <v>0</v>
      </c>
      <c r="J3960" s="58"/>
      <c r="K3960" s="50"/>
      <c r="L3960" s="50"/>
      <c r="M3960" s="50"/>
      <c r="N3960" s="50"/>
      <c r="O3960" s="50"/>
    </row>
    <row r="3961" spans="1:15">
      <c r="A3961" s="517" t="s">
        <v>4543</v>
      </c>
      <c r="B3961" s="518">
        <f>VLOOKUP(A3961,'Materiales '!$C$2:$G$396,3,0)</f>
        <v>4</v>
      </c>
      <c r="C3961" s="88">
        <f>VLOOKUP(A3961,'Materiales '!$C$2:$G$396,3,0)</f>
        <v>4</v>
      </c>
      <c r="D3961" s="89" t="str">
        <f>VLOOKUP(A3961,'Materiales '!$C$2:$G$396,4,0)</f>
        <v>Und</v>
      </c>
      <c r="E3961" s="90">
        <v>1</v>
      </c>
      <c r="F3961" s="508" t="e">
        <f t="shared" si="232"/>
        <v>#VALUE!</v>
      </c>
      <c r="G3961" s="519"/>
      <c r="H3961" s="111"/>
      <c r="I3961">
        <f>E3961*G3948</f>
        <v>0</v>
      </c>
      <c r="J3961" s="58"/>
      <c r="K3961" s="50"/>
      <c r="L3961" s="50"/>
      <c r="M3961" s="50"/>
      <c r="N3961" s="50"/>
      <c r="O3961" s="50"/>
    </row>
    <row r="3962" spans="1:15">
      <c r="A3962" s="517" t="s">
        <v>4439</v>
      </c>
      <c r="B3962" s="518">
        <f>VLOOKUP(A3962,'Materiales '!$C$2:$G$396,3,0)</f>
        <v>2</v>
      </c>
      <c r="C3962" s="88">
        <f>VLOOKUP(A3962,'Materiales '!$C$2:$G$396,3,0)</f>
        <v>2</v>
      </c>
      <c r="D3962" s="89" t="str">
        <f>VLOOKUP(A3962,'Materiales '!$C$2:$G$396,4,0)</f>
        <v>Ml</v>
      </c>
      <c r="E3962" s="90">
        <v>1</v>
      </c>
      <c r="F3962" s="508" t="e">
        <f t="shared" si="232"/>
        <v>#VALUE!</v>
      </c>
      <c r="G3962" s="519"/>
      <c r="H3962" s="111"/>
      <c r="I3962">
        <f>E3962*G3948</f>
        <v>0</v>
      </c>
      <c r="J3962" s="58"/>
      <c r="K3962" s="50"/>
      <c r="L3962" s="50"/>
      <c r="M3962" s="50"/>
      <c r="N3962" s="50"/>
      <c r="O3962" s="50"/>
    </row>
    <row r="3963" spans="1:15">
      <c r="A3963" s="517" t="s">
        <v>4424</v>
      </c>
      <c r="B3963" s="518">
        <f>VLOOKUP(A3963,'Materiales '!$C$2:$G$396,3,0)</f>
        <v>4</v>
      </c>
      <c r="C3963" s="88">
        <f>VLOOKUP(A3963,'Materiales '!$C$2:$G$396,3,0)</f>
        <v>4</v>
      </c>
      <c r="D3963" s="89" t="str">
        <f>VLOOKUP(A3963,'Materiales '!$C$2:$G$396,4,0)</f>
        <v>Und</v>
      </c>
      <c r="E3963" s="90">
        <v>1</v>
      </c>
      <c r="F3963" s="508" t="e">
        <f t="shared" si="232"/>
        <v>#VALUE!</v>
      </c>
      <c r="G3963" s="519"/>
      <c r="H3963" s="111"/>
      <c r="I3963">
        <f>E3963*G3948</f>
        <v>0</v>
      </c>
      <c r="J3963" s="58"/>
      <c r="K3963" s="50"/>
      <c r="L3963" s="50"/>
      <c r="M3963" s="50"/>
      <c r="N3963" s="50"/>
      <c r="O3963" s="50"/>
    </row>
    <row r="3964" spans="1:15" ht="21.75" customHeight="1">
      <c r="A3964" s="517" t="s">
        <v>4628</v>
      </c>
      <c r="B3964" s="518">
        <f>VLOOKUP(A3964,'Materiales '!$C$2:$G$396,3,0)</f>
        <v>4</v>
      </c>
      <c r="C3964" s="88">
        <f>VLOOKUP(A3964,'Materiales '!$C$2:$G$396,3,0)</f>
        <v>4</v>
      </c>
      <c r="D3964" s="89" t="str">
        <f>VLOOKUP(A3964,'Materiales '!$C$2:$G$396,4,0)</f>
        <v>Und</v>
      </c>
      <c r="E3964" s="90">
        <v>1</v>
      </c>
      <c r="F3964" s="508" t="e">
        <f t="shared" si="232"/>
        <v>#VALUE!</v>
      </c>
      <c r="G3964" s="519"/>
      <c r="H3964" s="111"/>
      <c r="I3964">
        <f>E3964*G3948</f>
        <v>0</v>
      </c>
      <c r="J3964" s="58"/>
      <c r="K3964" s="50"/>
      <c r="L3964" s="50"/>
      <c r="M3964" s="50"/>
      <c r="N3964" s="50"/>
      <c r="O3964" s="50"/>
    </row>
    <row r="3965" spans="1:15">
      <c r="A3965" s="517" t="s">
        <v>8</v>
      </c>
      <c r="B3965" s="518">
        <f>VLOOKUP(A3965,'Materiales '!$C$2:$G$396,3,0)</f>
        <v>0</v>
      </c>
      <c r="C3965" s="88">
        <f>VLOOKUP(A3965,'Materiales '!$C$2:$G$396,3,0)</f>
        <v>0</v>
      </c>
      <c r="D3965" s="89" t="str">
        <f>VLOOKUP(A3965,'Materiales '!$C$2:$G$396,4,0)</f>
        <v>-</v>
      </c>
      <c r="E3965" s="90"/>
      <c r="F3965" s="508" t="e">
        <f>E3965*D3965</f>
        <v>#VALUE!</v>
      </c>
      <c r="G3965" s="519"/>
      <c r="H3965" s="110"/>
      <c r="I3965">
        <f>E3965*G3948</f>
        <v>0</v>
      </c>
      <c r="J3965" s="58"/>
      <c r="K3965" s="50"/>
      <c r="L3965" s="50"/>
      <c r="M3965" s="50"/>
      <c r="N3965" s="50"/>
      <c r="O3965" s="50"/>
    </row>
    <row r="3966" spans="1:15">
      <c r="A3966" s="517" t="s">
        <v>8</v>
      </c>
      <c r="B3966" s="518">
        <f>VLOOKUP(A3966,'Materiales '!$C$2:$G$396,3,0)</f>
        <v>0</v>
      </c>
      <c r="C3966" s="88">
        <f>VLOOKUP(A3966,'Materiales '!$C$2:$G$396,3,0)</f>
        <v>0</v>
      </c>
      <c r="D3966" s="89" t="str">
        <f>VLOOKUP(A3966,'Materiales '!$C$2:$G$396,4,0)</f>
        <v>-</v>
      </c>
      <c r="E3966" s="90"/>
      <c r="F3966" s="508" t="e">
        <f t="shared" ref="F3966:F3969" si="233">E3966*D3966</f>
        <v>#VALUE!</v>
      </c>
      <c r="G3966" s="519"/>
      <c r="H3966" s="111"/>
      <c r="I3966">
        <f>E3966*G3948</f>
        <v>0</v>
      </c>
      <c r="J3966" s="58"/>
      <c r="K3966" s="50"/>
      <c r="L3966" s="50"/>
      <c r="M3966" s="50"/>
      <c r="N3966" s="50"/>
      <c r="O3966" s="50"/>
    </row>
    <row r="3967" spans="1:15">
      <c r="A3967" s="517" t="s">
        <v>8</v>
      </c>
      <c r="B3967" s="518">
        <f>VLOOKUP(A3967,'Materiales '!$C$2:$G$396,3,0)</f>
        <v>0</v>
      </c>
      <c r="C3967" s="88">
        <f>VLOOKUP(A3967,'Materiales '!$C$2:$G$396,3,0)</f>
        <v>0</v>
      </c>
      <c r="D3967" s="89" t="str">
        <f>VLOOKUP(A3967,'Materiales '!$C$2:$G$396,4,0)</f>
        <v>-</v>
      </c>
      <c r="E3967" s="90"/>
      <c r="F3967" s="508" t="e">
        <f t="shared" si="233"/>
        <v>#VALUE!</v>
      </c>
      <c r="G3967" s="519"/>
      <c r="H3967" s="111"/>
      <c r="I3967">
        <f>E3967*G3948</f>
        <v>0</v>
      </c>
      <c r="J3967" s="58"/>
      <c r="K3967" s="50"/>
      <c r="L3967" s="50"/>
      <c r="M3967" s="50"/>
      <c r="N3967" s="50"/>
      <c r="O3967" s="50"/>
    </row>
    <row r="3968" spans="1:15">
      <c r="A3968" s="517" t="s">
        <v>8</v>
      </c>
      <c r="B3968" s="518">
        <f>VLOOKUP(A3968,'Materiales '!$C$2:$G$396,3,0)</f>
        <v>0</v>
      </c>
      <c r="C3968" s="88">
        <f>VLOOKUP(A3968,'Materiales '!$C$2:$G$396,3,0)</f>
        <v>0</v>
      </c>
      <c r="D3968" s="89" t="str">
        <f>VLOOKUP(A3968,'Materiales '!$C$2:$G$396,4,0)</f>
        <v>-</v>
      </c>
      <c r="E3968" s="90"/>
      <c r="F3968" s="508" t="e">
        <f t="shared" si="233"/>
        <v>#VALUE!</v>
      </c>
      <c r="G3968" s="519"/>
      <c r="H3968" s="111"/>
      <c r="I3968">
        <f>E3968*G3948</f>
        <v>0</v>
      </c>
      <c r="J3968" s="58"/>
      <c r="K3968" s="50"/>
      <c r="L3968" s="50"/>
      <c r="M3968" s="50"/>
      <c r="N3968" s="50"/>
      <c r="O3968" s="50"/>
    </row>
    <row r="3969" spans="1:15">
      <c r="A3969" s="517" t="s">
        <v>8</v>
      </c>
      <c r="B3969" s="518">
        <f>VLOOKUP(A3969,'Materiales '!$C$2:$G$396,3,0)</f>
        <v>0</v>
      </c>
      <c r="C3969" s="88">
        <f>VLOOKUP(A3969,'Materiales '!$C$2:$G$396,3,0)</f>
        <v>0</v>
      </c>
      <c r="D3969" s="89" t="str">
        <f>VLOOKUP(A3969,'Materiales '!$C$2:$G$396,4,0)</f>
        <v>-</v>
      </c>
      <c r="E3969" s="90"/>
      <c r="F3969" s="508" t="e">
        <f t="shared" si="233"/>
        <v>#VALUE!</v>
      </c>
      <c r="G3969" s="519"/>
      <c r="H3969" s="111"/>
      <c r="I3969">
        <f>E3969*G3948</f>
        <v>0</v>
      </c>
      <c r="J3969" s="58"/>
      <c r="K3969" s="50"/>
      <c r="L3969" s="50"/>
      <c r="M3969" s="50"/>
      <c r="N3969" s="50"/>
      <c r="O3969" s="50"/>
    </row>
    <row r="3970" spans="1:15">
      <c r="A3970" s="517" t="s">
        <v>8</v>
      </c>
      <c r="B3970" s="518">
        <f>VLOOKUP(A3970,'Materiales '!$C$2:$G$396,3,0)</f>
        <v>0</v>
      </c>
      <c r="C3970" s="88">
        <f>VLOOKUP(A3970,'Materiales '!$C$2:$G$396,3,0)</f>
        <v>0</v>
      </c>
      <c r="D3970" s="89" t="str">
        <f>VLOOKUP(A3970,'Materiales '!$C$2:$G$396,4,0)</f>
        <v>-</v>
      </c>
      <c r="E3970" s="90"/>
      <c r="F3970" s="508" t="e">
        <f>E3970*D3970</f>
        <v>#VALUE!</v>
      </c>
      <c r="G3970" s="519"/>
      <c r="H3970" s="110"/>
      <c r="I3970">
        <f>E3970*G3948</f>
        <v>0</v>
      </c>
      <c r="J3970" s="58"/>
      <c r="K3970" s="50"/>
      <c r="L3970" s="50"/>
      <c r="M3970" s="50"/>
      <c r="N3970" s="50"/>
      <c r="O3970" s="50"/>
    </row>
    <row r="3971" spans="1:15">
      <c r="A3971" s="520" t="s">
        <v>4098</v>
      </c>
      <c r="B3971" s="521"/>
      <c r="C3971" s="521"/>
      <c r="D3971" s="521"/>
      <c r="E3971" s="521"/>
      <c r="F3971" s="521"/>
      <c r="G3971" s="522"/>
      <c r="H3971" s="106" t="e">
        <f>SUM(F3957:F3970)</f>
        <v>#VALUE!</v>
      </c>
      <c r="J3971" s="58"/>
      <c r="K3971" s="50"/>
      <c r="L3971" s="50"/>
      <c r="M3971" s="50"/>
      <c r="N3971" s="50"/>
      <c r="O3971" s="50"/>
    </row>
    <row r="3972" spans="1:15">
      <c r="A3972" s="523" t="s">
        <v>4220</v>
      </c>
      <c r="B3972" s="524"/>
      <c r="C3972" s="524"/>
      <c r="D3972" s="524"/>
      <c r="E3972" s="525"/>
      <c r="F3972" s="524"/>
      <c r="G3972" s="524"/>
      <c r="H3972" s="526"/>
      <c r="J3972" s="58"/>
      <c r="K3972" s="50"/>
      <c r="L3972" s="50"/>
      <c r="M3972" s="50"/>
      <c r="N3972" s="50"/>
      <c r="O3972" s="50"/>
    </row>
    <row r="3973" spans="1:15">
      <c r="A3973" s="527" t="s">
        <v>7</v>
      </c>
      <c r="B3973" s="528"/>
      <c r="C3973" s="98" t="s">
        <v>4221</v>
      </c>
      <c r="D3973" s="97" t="s">
        <v>4222</v>
      </c>
      <c r="E3973" s="187" t="s">
        <v>4223</v>
      </c>
      <c r="F3973" s="529" t="s">
        <v>4207</v>
      </c>
      <c r="G3973" s="529"/>
      <c r="H3973" s="109"/>
      <c r="K3973" s="50"/>
      <c r="L3973" s="50"/>
      <c r="M3973" s="50"/>
      <c r="N3973" s="50"/>
      <c r="O3973" s="50"/>
    </row>
    <row r="3974" spans="1:15">
      <c r="A3974" s="506" t="s">
        <v>3928</v>
      </c>
      <c r="B3974" s="507"/>
      <c r="C3974" s="213">
        <v>1</v>
      </c>
      <c r="D3974" s="92">
        <v>0.03</v>
      </c>
      <c r="E3974" s="93" t="str">
        <f>VLOOKUP(A3974,'Equip, Herr y Transp'!$B$2:$E$217,3,0)</f>
        <v>TR</v>
      </c>
      <c r="F3974" s="530" t="e">
        <f>E3974*D3974*C3974</f>
        <v>#VALUE!</v>
      </c>
      <c r="G3974" s="531"/>
      <c r="H3974" s="107"/>
      <c r="M3974" s="50"/>
    </row>
    <row r="3975" spans="1:15">
      <c r="A3975" s="532" t="s">
        <v>4205</v>
      </c>
      <c r="B3975" s="533"/>
      <c r="C3975" s="533"/>
      <c r="D3975" s="533"/>
      <c r="E3975" s="533"/>
      <c r="F3975" s="533"/>
      <c r="G3975" s="533"/>
      <c r="H3975" s="95" t="e">
        <f>F3974</f>
        <v>#VALUE!</v>
      </c>
    </row>
    <row r="3976" spans="1:15">
      <c r="A3976" s="523" t="s">
        <v>4224</v>
      </c>
      <c r="B3976" s="524"/>
      <c r="C3976" s="524"/>
      <c r="D3976" s="524"/>
      <c r="E3976" s="524"/>
      <c r="F3976" s="524"/>
      <c r="G3976" s="524"/>
      <c r="H3976" s="526"/>
    </row>
    <row r="3977" spans="1:15">
      <c r="A3977" s="527" t="s">
        <v>7</v>
      </c>
      <c r="B3977" s="528"/>
      <c r="C3977" s="96" t="s">
        <v>1</v>
      </c>
      <c r="D3977" s="97" t="s">
        <v>4225</v>
      </c>
      <c r="E3977" s="98" t="s">
        <v>4204</v>
      </c>
      <c r="F3977" s="527" t="s">
        <v>5</v>
      </c>
      <c r="G3977" s="534"/>
      <c r="H3977" s="109"/>
    </row>
    <row r="3978" spans="1:15">
      <c r="A3978" s="506" t="s">
        <v>4191</v>
      </c>
      <c r="B3978" s="507"/>
      <c r="C3978" s="91">
        <v>1</v>
      </c>
      <c r="D3978" s="94">
        <f>VLOOKUP(A3978,'Mano Obra'!$B$2:$T$117,19,0)</f>
        <v>152456</v>
      </c>
      <c r="E3978" s="218">
        <f>H3941</f>
        <v>7.0800000000000002E-2</v>
      </c>
      <c r="F3978" s="508">
        <f>E3978*D3978*C3978</f>
        <v>10793.8848</v>
      </c>
      <c r="G3978" s="509"/>
      <c r="H3978" s="111"/>
      <c r="I3978" s="59"/>
      <c r="J3978" s="117">
        <f>((('Mano Obra'!$M$4/30)*F3978)/D3978)*G3948</f>
        <v>0</v>
      </c>
    </row>
    <row r="3979" spans="1:15">
      <c r="A3979" s="510" t="s">
        <v>4192</v>
      </c>
      <c r="B3979" s="511">
        <f>VLOOKUP(A3979,'Mano Obra'!$B$3:$D$290,2,0)</f>
        <v>1900000</v>
      </c>
      <c r="C3979" s="91">
        <v>1</v>
      </c>
      <c r="D3979" s="94">
        <f>VLOOKUP(A3979,'Mano Obra'!$B$2:$T$117,19,0)</f>
        <v>110488</v>
      </c>
      <c r="E3979" s="218">
        <f>H3941</f>
        <v>7.0800000000000002E-2</v>
      </c>
      <c r="F3979" s="508">
        <f t="shared" ref="F3979:F3980" si="234">E3979*D3979*C3979</f>
        <v>7822.5504000000001</v>
      </c>
      <c r="G3979" s="509"/>
      <c r="H3979" s="111"/>
      <c r="J3979" s="117">
        <f>((('Mano Obra'!$M$5/30)*F3979)/D3979)*G3948</f>
        <v>0</v>
      </c>
    </row>
    <row r="3980" spans="1:15">
      <c r="A3980" s="510" t="s">
        <v>4181</v>
      </c>
      <c r="B3980" s="511">
        <f>VLOOKUP(A3980,'Mano Obra'!$B$3:$D$290,2,0)</f>
        <v>1000000</v>
      </c>
      <c r="C3980" s="91">
        <v>1</v>
      </c>
      <c r="D3980" s="94">
        <f>VLOOKUP(A3980,'Mano Obra'!$B$2:$T$117,19,0)</f>
        <v>67424</v>
      </c>
      <c r="E3980" s="218">
        <f>H3941</f>
        <v>7.0800000000000002E-2</v>
      </c>
      <c r="F3980" s="508">
        <f t="shared" si="234"/>
        <v>4773.6192000000001</v>
      </c>
      <c r="G3980" s="509"/>
      <c r="H3980" s="110"/>
      <c r="J3980" s="117">
        <f>((('Mano Obra'!$M$6/30)*F3980)/D3980)*G3948</f>
        <v>0</v>
      </c>
    </row>
    <row r="3981" spans="1:15">
      <c r="A3981" s="512" t="s">
        <v>4100</v>
      </c>
      <c r="B3981" s="512"/>
      <c r="C3981" s="512"/>
      <c r="D3981" s="512"/>
      <c r="E3981" s="512"/>
      <c r="F3981" s="512"/>
      <c r="G3981" s="512"/>
      <c r="H3981" s="95">
        <f>SUM(F3978:F3980)</f>
        <v>23390.054400000001</v>
      </c>
      <c r="J3981" s="117"/>
    </row>
    <row r="3982" spans="1:15">
      <c r="A3982" s="208" t="s">
        <v>4226</v>
      </c>
      <c r="B3982" s="186"/>
      <c r="C3982" s="186"/>
      <c r="D3982" s="183"/>
      <c r="E3982" s="184"/>
      <c r="F3982" s="185"/>
      <c r="G3982" s="184"/>
      <c r="H3982" s="193"/>
    </row>
    <row r="3983" spans="1:15">
      <c r="A3983" s="513" t="s">
        <v>4213</v>
      </c>
      <c r="B3983" s="514"/>
      <c r="C3983" s="514"/>
      <c r="D3983" s="514"/>
      <c r="E3983" s="181"/>
      <c r="F3983" s="182" t="s">
        <v>4227</v>
      </c>
      <c r="G3983" s="181" t="s">
        <v>4228</v>
      </c>
      <c r="H3983" s="194"/>
    </row>
    <row r="3984" spans="1:15">
      <c r="A3984" s="204" t="s">
        <v>4096</v>
      </c>
      <c r="B3984" s="62"/>
      <c r="C3984" s="62"/>
      <c r="D3984" s="63"/>
      <c r="E3984" s="68"/>
      <c r="F3984" s="69">
        <v>0</v>
      </c>
      <c r="G3984" s="70" t="e">
        <f>F3984*H3949</f>
        <v>#VALUE!</v>
      </c>
      <c r="H3984" s="193"/>
    </row>
    <row r="3985" spans="1:14">
      <c r="A3985" s="205" t="s">
        <v>4229</v>
      </c>
      <c r="B3985" s="71"/>
      <c r="C3985" s="71"/>
      <c r="D3985" s="72"/>
      <c r="E3985" s="68"/>
      <c r="F3985" s="69">
        <v>0</v>
      </c>
      <c r="G3985" s="70" t="e">
        <f>F3985*H3949</f>
        <v>#VALUE!</v>
      </c>
      <c r="H3985" s="193"/>
    </row>
    <row r="3986" spans="1:14">
      <c r="A3986" s="205" t="s">
        <v>4</v>
      </c>
      <c r="B3986" s="71"/>
      <c r="C3986" s="71"/>
      <c r="D3986" s="72"/>
      <c r="E3986" s="68"/>
      <c r="F3986" s="69">
        <v>0</v>
      </c>
      <c r="G3986" s="70" t="e">
        <f>F3986*H3949</f>
        <v>#VALUE!</v>
      </c>
      <c r="H3986" s="193"/>
    </row>
    <row r="3987" spans="1:14">
      <c r="A3987" s="206"/>
      <c r="B3987" s="73"/>
      <c r="C3987" s="65"/>
      <c r="D3987" s="74"/>
      <c r="E3987" s="75"/>
      <c r="F3987" s="76"/>
      <c r="G3987" s="77"/>
      <c r="H3987" s="195"/>
    </row>
    <row r="3988" spans="1:14">
      <c r="A3988" s="207"/>
      <c r="B3988" s="73"/>
      <c r="C3988" s="73"/>
      <c r="D3988" s="74"/>
      <c r="E3988" s="78"/>
      <c r="F3988" s="515" t="s">
        <v>4230</v>
      </c>
      <c r="G3988" s="516"/>
      <c r="H3988" s="214" t="e">
        <f>H3949+G3984+G3985+G3986</f>
        <v>#VALUE!</v>
      </c>
    </row>
    <row r="3989" spans="1:14">
      <c r="A3989" s="73"/>
      <c r="B3989" s="73"/>
      <c r="C3989" s="73"/>
      <c r="D3989" s="74"/>
      <c r="E3989" s="360"/>
      <c r="F3989" s="361"/>
      <c r="G3989" s="361"/>
      <c r="H3989" s="362"/>
    </row>
    <row r="3990" spans="1:14">
      <c r="A3990" s="80"/>
      <c r="B3990" s="80"/>
      <c r="C3990" s="80"/>
      <c r="D3990" s="80"/>
      <c r="E3990" s="80"/>
      <c r="F3990" s="80"/>
      <c r="G3990" s="80"/>
      <c r="H3990" s="353"/>
    </row>
    <row r="3991" spans="1:14">
      <c r="A3991" s="537" t="s">
        <v>4214</v>
      </c>
      <c r="B3991" s="538"/>
      <c r="C3991" s="538"/>
      <c r="D3991" s="538"/>
      <c r="E3991" s="538"/>
      <c r="F3991" s="538"/>
      <c r="G3991" s="538"/>
      <c r="H3991" s="539"/>
    </row>
    <row r="3992" spans="1:14">
      <c r="A3992" s="81"/>
      <c r="B3992" s="82"/>
      <c r="C3992" s="82"/>
      <c r="D3992" s="82"/>
      <c r="E3992" s="82"/>
      <c r="F3992" s="83"/>
      <c r="G3992" s="84"/>
      <c r="H3992" s="352">
        <f>ROUND((34/60)/8,4)</f>
        <v>7.0800000000000002E-2</v>
      </c>
      <c r="I3992" s="105"/>
    </row>
    <row r="3993" spans="1:14">
      <c r="A3993" s="540" t="s">
        <v>4209</v>
      </c>
      <c r="B3993" s="542" t="str">
        <f>COSTOS!$C$14</f>
        <v>MODERNIZACION A TECNOLOGIA LED</v>
      </c>
      <c r="C3993" s="542"/>
      <c r="D3993" s="542"/>
      <c r="E3993" s="542"/>
      <c r="F3993" s="542"/>
      <c r="G3993" s="542"/>
      <c r="H3993" s="543" t="s">
        <v>4210</v>
      </c>
    </row>
    <row r="3994" spans="1:14">
      <c r="A3994" s="541"/>
      <c r="B3994" s="542"/>
      <c r="C3994" s="542"/>
      <c r="D3994" s="542"/>
      <c r="E3994" s="542"/>
      <c r="F3994" s="542"/>
      <c r="G3994" s="542"/>
      <c r="H3994" s="543"/>
    </row>
    <row r="3995" spans="1:14">
      <c r="A3995" s="541"/>
      <c r="B3995" s="542"/>
      <c r="C3995" s="542"/>
      <c r="D3995" s="542"/>
      <c r="E3995" s="542"/>
      <c r="F3995" s="542"/>
      <c r="G3995" s="542"/>
      <c r="H3995" s="543"/>
    </row>
    <row r="3996" spans="1:14" ht="15" customHeight="1">
      <c r="A3996" s="541"/>
      <c r="B3996" s="542"/>
      <c r="C3996" s="542"/>
      <c r="D3996" s="542"/>
      <c r="E3996" s="542"/>
      <c r="F3996" s="542"/>
      <c r="G3996" s="542"/>
      <c r="H3996" s="197">
        <f ca="1">TODAY()</f>
        <v>44889</v>
      </c>
      <c r="K3996" t="s">
        <v>4380</v>
      </c>
      <c r="L3996" t="s">
        <v>4381</v>
      </c>
      <c r="M3996" t="s">
        <v>4382</v>
      </c>
      <c r="N3996" t="s">
        <v>4383</v>
      </c>
    </row>
    <row r="3997" spans="1:14" ht="60.75" customHeight="1">
      <c r="A3997" s="209" t="s">
        <v>4211</v>
      </c>
      <c r="B3997" s="544" t="str">
        <f>COSTOS!$D$16</f>
        <v>Luminarias</v>
      </c>
      <c r="C3997" s="544"/>
      <c r="D3997" s="544"/>
      <c r="E3997" s="544"/>
      <c r="F3997" s="544"/>
      <c r="G3997" s="60" t="s">
        <v>4212</v>
      </c>
      <c r="H3997" s="363">
        <v>1.79</v>
      </c>
      <c r="K3997" s="55" t="e">
        <f>H4022</f>
        <v>#VALUE!</v>
      </c>
      <c r="L3997" s="55">
        <f>H4032</f>
        <v>23390.054400000001</v>
      </c>
      <c r="M3997" s="55" t="e">
        <f>H4005</f>
        <v>#VALUE!</v>
      </c>
      <c r="N3997" s="55" t="e">
        <f>H4026</f>
        <v>#VALUE!</v>
      </c>
    </row>
    <row r="3998" spans="1:14" ht="43.2" customHeight="1">
      <c r="A3998" s="210" t="s">
        <v>4213</v>
      </c>
      <c r="B3998" s="545" t="str">
        <f>VLOOKUP(H3997,COSTOS!C:M,2,0)</f>
        <v>Luminaria led 120.4 w Agm</v>
      </c>
      <c r="C3998" s="546"/>
      <c r="D3998" s="546"/>
      <c r="E3998" s="547"/>
      <c r="F3998" s="61" t="s">
        <v>0</v>
      </c>
      <c r="G3998" s="328" t="str">
        <f>VLOOKUP(H3997,COSTOS!C:M,8,0)</f>
        <v>Und</v>
      </c>
      <c r="H3998" s="248"/>
      <c r="I3998" s="278"/>
      <c r="J3998" s="280"/>
      <c r="K3998" s="280"/>
      <c r="L3998" s="280"/>
    </row>
    <row r="3999" spans="1:14">
      <c r="A3999" s="211"/>
      <c r="B3999" s="102"/>
      <c r="C3999" s="102"/>
      <c r="D3999" s="102"/>
      <c r="E3999" s="103"/>
      <c r="F3999" s="104" t="s">
        <v>1</v>
      </c>
      <c r="G3999" s="328">
        <f>VLOOKUP(H3997,COSTOS!C:M,9,0)</f>
        <v>0</v>
      </c>
      <c r="H3999" s="329"/>
      <c r="I3999" s="279"/>
    </row>
    <row r="4000" spans="1:14">
      <c r="A4000" s="212" t="s">
        <v>4215</v>
      </c>
      <c r="B4000" s="65"/>
      <c r="C4000" s="65"/>
      <c r="D4000" s="66"/>
      <c r="E4000" s="190"/>
      <c r="F4000" s="191"/>
      <c r="G4000" s="192" t="s">
        <v>4216</v>
      </c>
      <c r="H4000" s="198" t="e">
        <f>H4005+H4022+H4026+H4032</f>
        <v>#VALUE!</v>
      </c>
    </row>
    <row r="4001" spans="1:15" ht="41.4">
      <c r="A4001" s="548" t="s">
        <v>4213</v>
      </c>
      <c r="B4001" s="548"/>
      <c r="C4001" s="548"/>
      <c r="D4001" s="67" t="s">
        <v>0</v>
      </c>
      <c r="E4001" s="188" t="s">
        <v>4217</v>
      </c>
      <c r="F4001" s="189" t="s">
        <v>4204</v>
      </c>
      <c r="G4001" s="64" t="s">
        <v>2</v>
      </c>
      <c r="H4001" s="199" t="s">
        <v>4218</v>
      </c>
      <c r="K4001" s="281"/>
    </row>
    <row r="4002" spans="1:15">
      <c r="A4002" s="517" t="s">
        <v>3946</v>
      </c>
      <c r="B4002" s="549">
        <f>VLOOKUP(A4002,'Equip, Herr y Transp'!$B$2:$E$738,2,0)</f>
        <v>2</v>
      </c>
      <c r="C4002" s="549"/>
      <c r="D4002" s="85">
        <f>VLOOKUP(A4002,'Equip, Herr y Transp'!$B$2:$E$217,2,0)</f>
        <v>2</v>
      </c>
      <c r="E4002" s="85" t="str">
        <f>VLOOKUP(A4002,'Equip, Herr y Transp'!$B$2:$E$217,3,0)</f>
        <v>EQU</v>
      </c>
      <c r="F4002" s="86">
        <f>H3992</f>
        <v>7.0800000000000002E-2</v>
      </c>
      <c r="G4002" s="112" t="e">
        <f>F4002*E4002</f>
        <v>#VALUE!</v>
      </c>
      <c r="H4002" s="108"/>
    </row>
    <row r="4003" spans="1:15">
      <c r="A4003" s="517" t="s">
        <v>3904</v>
      </c>
      <c r="B4003" s="549">
        <f>VLOOKUP(A4003,'Equip, Herr y Transp'!$B$2:$E$738,2,0)</f>
        <v>2</v>
      </c>
      <c r="C4003" s="549"/>
      <c r="D4003" s="85">
        <f>VLOOKUP(A4003,'Equip, Herr y Transp'!$B$2:$E$217,2,0)</f>
        <v>2</v>
      </c>
      <c r="E4003" s="85" t="str">
        <f>VLOOKUP(A4003,'Equip, Herr y Transp'!$B$2:$E$217,3,0)</f>
        <v>EQU</v>
      </c>
      <c r="F4003" s="86">
        <f>H3992</f>
        <v>7.0800000000000002E-2</v>
      </c>
      <c r="G4003" s="112" t="e">
        <f>F4003*E4003</f>
        <v>#VALUE!</v>
      </c>
      <c r="H4003" s="107"/>
    </row>
    <row r="4004" spans="1:15">
      <c r="A4004" s="517" t="s">
        <v>3937</v>
      </c>
      <c r="B4004" s="549">
        <f>VLOOKUP(A4004,'Equip, Herr y Transp'!$B$2:$E$738,2,0)</f>
        <v>2</v>
      </c>
      <c r="C4004" s="549"/>
      <c r="D4004" s="85">
        <f>VLOOKUP(A4004,'Equip, Herr y Transp'!$B$2:$E$217,2,0)</f>
        <v>2</v>
      </c>
      <c r="E4004" s="85" t="str">
        <f>VLOOKUP(A4004,'Equip, Herr y Transp'!$B$2:$E$217,3,0)</f>
        <v>EQU</v>
      </c>
      <c r="F4004" s="86">
        <f>H3992</f>
        <v>7.0800000000000002E-2</v>
      </c>
      <c r="G4004" s="112" t="e">
        <f>F4004*E4004</f>
        <v>#VALUE!</v>
      </c>
      <c r="H4004" s="107"/>
    </row>
    <row r="4005" spans="1:15">
      <c r="A4005" s="520" t="s">
        <v>4099</v>
      </c>
      <c r="B4005" s="521"/>
      <c r="C4005" s="521"/>
      <c r="D4005" s="521"/>
      <c r="E4005" s="521"/>
      <c r="F4005" s="521"/>
      <c r="G4005" s="521"/>
      <c r="H4005" s="87" t="e">
        <f>SUM(G4002:G4004)</f>
        <v>#VALUE!</v>
      </c>
    </row>
    <row r="4006" spans="1:15">
      <c r="A4006" s="550" t="s">
        <v>4219</v>
      </c>
      <c r="B4006" s="551"/>
      <c r="C4006" s="551"/>
      <c r="D4006" s="551"/>
      <c r="E4006" s="551"/>
      <c r="F4006" s="551"/>
      <c r="G4006" s="551"/>
      <c r="H4006" s="552"/>
      <c r="K4006" s="50"/>
      <c r="L4006" s="50"/>
      <c r="M4006" s="50"/>
      <c r="N4006" s="50"/>
      <c r="O4006" s="50"/>
    </row>
    <row r="4007" spans="1:15" ht="30" customHeight="1">
      <c r="A4007" s="553" t="s">
        <v>7</v>
      </c>
      <c r="B4007" s="554"/>
      <c r="C4007" s="99" t="s">
        <v>0</v>
      </c>
      <c r="D4007" s="100" t="s">
        <v>4097</v>
      </c>
      <c r="E4007" s="101" t="s">
        <v>1</v>
      </c>
      <c r="F4007" s="555" t="s">
        <v>4207</v>
      </c>
      <c r="G4007" s="555"/>
      <c r="H4007" s="196"/>
      <c r="K4007" s="50"/>
      <c r="L4007" s="50"/>
      <c r="M4007" s="50"/>
      <c r="N4007" s="50"/>
      <c r="O4007" s="50"/>
    </row>
    <row r="4008" spans="1:15">
      <c r="A4008" s="535" t="s">
        <v>4976</v>
      </c>
      <c r="B4008" s="536"/>
      <c r="C4008" s="88">
        <f>VLOOKUP(A4008,'Materiales '!$C$2:$G$396,3,0)</f>
        <v>4</v>
      </c>
      <c r="D4008" s="89" t="str">
        <f>VLOOKUP(A4008,'Materiales '!$C$2:$G$396,4,0)</f>
        <v>Und</v>
      </c>
      <c r="E4008" s="90">
        <v>1</v>
      </c>
      <c r="F4008" s="508" t="e">
        <f>E4008*D4008</f>
        <v>#VALUE!</v>
      </c>
      <c r="G4008" s="519"/>
      <c r="H4008" s="111"/>
      <c r="I4008">
        <f>E4008*G3999</f>
        <v>0</v>
      </c>
      <c r="J4008" s="57"/>
      <c r="K4008" s="50"/>
      <c r="L4008" s="50"/>
      <c r="M4008" s="50"/>
      <c r="N4008" s="50"/>
      <c r="O4008" s="50"/>
    </row>
    <row r="4009" spans="1:15">
      <c r="A4009" s="535" t="s">
        <v>4203</v>
      </c>
      <c r="B4009" s="536"/>
      <c r="C4009" s="88">
        <f>VLOOKUP(A4009,'Materiales '!$C$2:$G$396,3,0)</f>
        <v>4</v>
      </c>
      <c r="D4009" s="89" t="str">
        <f>VLOOKUP(A4009,'Materiales '!$C$2:$G$396,4,0)</f>
        <v>Und</v>
      </c>
      <c r="E4009" s="90">
        <v>1</v>
      </c>
      <c r="F4009" s="508" t="e">
        <f t="shared" ref="F4009:F4015" si="235">E4009*D4009</f>
        <v>#VALUE!</v>
      </c>
      <c r="G4009" s="519"/>
      <c r="H4009" s="111"/>
      <c r="I4009">
        <f>E4009*G3999</f>
        <v>0</v>
      </c>
      <c r="J4009" s="57"/>
      <c r="K4009" s="50"/>
      <c r="L4009" s="50"/>
      <c r="M4009" s="50"/>
      <c r="N4009" s="50"/>
      <c r="O4009" s="50"/>
    </row>
    <row r="4010" spans="1:15">
      <c r="A4010" s="517" t="s">
        <v>4468</v>
      </c>
      <c r="B4010" s="518">
        <f>VLOOKUP(A4010,'Materiales '!$C$2:$G$396,3,0)</f>
        <v>4</v>
      </c>
      <c r="C4010" s="88">
        <f>VLOOKUP(A4010,'Materiales '!$C$2:$G$396,3,0)</f>
        <v>4</v>
      </c>
      <c r="D4010" s="89" t="str">
        <f>VLOOKUP(A4010,'Materiales '!$C$2:$G$396,4,0)</f>
        <v>Und</v>
      </c>
      <c r="E4010" s="90">
        <v>2</v>
      </c>
      <c r="F4010" s="508" t="e">
        <f t="shared" si="235"/>
        <v>#VALUE!</v>
      </c>
      <c r="G4010" s="519"/>
      <c r="H4010" s="111"/>
      <c r="I4010">
        <f>E4010*G3999</f>
        <v>0</v>
      </c>
      <c r="J4010" s="58"/>
      <c r="K4010" s="50"/>
      <c r="L4010" s="50"/>
      <c r="M4010" s="50"/>
      <c r="N4010" s="50"/>
      <c r="O4010" s="50"/>
    </row>
    <row r="4011" spans="1:15">
      <c r="A4011" s="517" t="s">
        <v>4478</v>
      </c>
      <c r="B4011" s="518">
        <f>VLOOKUP(A4011,'Materiales '!$C$2:$G$396,3,0)</f>
        <v>4</v>
      </c>
      <c r="C4011" s="88">
        <f>VLOOKUP(A4011,'Materiales '!$C$2:$G$396,3,0)</f>
        <v>4</v>
      </c>
      <c r="D4011" s="89" t="str">
        <f>VLOOKUP(A4011,'Materiales '!$C$2:$G$396,4,0)</f>
        <v>Und</v>
      </c>
      <c r="E4011" s="90">
        <v>3</v>
      </c>
      <c r="F4011" s="508" t="e">
        <f t="shared" si="235"/>
        <v>#VALUE!</v>
      </c>
      <c r="G4011" s="519"/>
      <c r="H4011" s="111"/>
      <c r="I4011">
        <f>E4011*G3999</f>
        <v>0</v>
      </c>
      <c r="J4011" s="58"/>
      <c r="K4011" s="50"/>
      <c r="L4011" s="50"/>
      <c r="M4011" s="50"/>
      <c r="N4011" s="50"/>
      <c r="O4011" s="50"/>
    </row>
    <row r="4012" spans="1:15">
      <c r="A4012" s="517" t="s">
        <v>4543</v>
      </c>
      <c r="B4012" s="518">
        <f>VLOOKUP(A4012,'Materiales '!$C$2:$G$396,3,0)</f>
        <v>4</v>
      </c>
      <c r="C4012" s="88">
        <f>VLOOKUP(A4012,'Materiales '!$C$2:$G$396,3,0)</f>
        <v>4</v>
      </c>
      <c r="D4012" s="89" t="str">
        <f>VLOOKUP(A4012,'Materiales '!$C$2:$G$396,4,0)</f>
        <v>Und</v>
      </c>
      <c r="E4012" s="90">
        <v>1</v>
      </c>
      <c r="F4012" s="508" t="e">
        <f t="shared" si="235"/>
        <v>#VALUE!</v>
      </c>
      <c r="G4012" s="519"/>
      <c r="H4012" s="111"/>
      <c r="I4012">
        <f>E4012*G3999</f>
        <v>0</v>
      </c>
      <c r="J4012" s="58"/>
      <c r="K4012" s="50"/>
      <c r="L4012" s="50"/>
      <c r="M4012" s="50"/>
      <c r="N4012" s="50"/>
      <c r="O4012" s="50"/>
    </row>
    <row r="4013" spans="1:15">
      <c r="A4013" s="517" t="s">
        <v>4439</v>
      </c>
      <c r="B4013" s="518">
        <f>VLOOKUP(A4013,'Materiales '!$C$2:$G$396,3,0)</f>
        <v>2</v>
      </c>
      <c r="C4013" s="88">
        <f>VLOOKUP(A4013,'Materiales '!$C$2:$G$396,3,0)</f>
        <v>2</v>
      </c>
      <c r="D4013" s="89" t="str">
        <f>VLOOKUP(A4013,'Materiales '!$C$2:$G$396,4,0)</f>
        <v>Ml</v>
      </c>
      <c r="E4013" s="90">
        <v>1</v>
      </c>
      <c r="F4013" s="508" t="e">
        <f t="shared" si="235"/>
        <v>#VALUE!</v>
      </c>
      <c r="G4013" s="519"/>
      <c r="H4013" s="111"/>
      <c r="I4013">
        <f>E4013*G3999</f>
        <v>0</v>
      </c>
      <c r="J4013" s="58"/>
      <c r="K4013" s="50"/>
      <c r="L4013" s="50"/>
      <c r="M4013" s="50"/>
      <c r="N4013" s="50"/>
      <c r="O4013" s="50"/>
    </row>
    <row r="4014" spans="1:15">
      <c r="A4014" s="517" t="s">
        <v>4424</v>
      </c>
      <c r="B4014" s="518">
        <f>VLOOKUP(A4014,'Materiales '!$C$2:$G$396,3,0)</f>
        <v>4</v>
      </c>
      <c r="C4014" s="88">
        <f>VLOOKUP(A4014,'Materiales '!$C$2:$G$396,3,0)</f>
        <v>4</v>
      </c>
      <c r="D4014" s="89" t="str">
        <f>VLOOKUP(A4014,'Materiales '!$C$2:$G$396,4,0)</f>
        <v>Und</v>
      </c>
      <c r="E4014" s="90">
        <v>1</v>
      </c>
      <c r="F4014" s="508" t="e">
        <f t="shared" si="235"/>
        <v>#VALUE!</v>
      </c>
      <c r="G4014" s="519"/>
      <c r="H4014" s="111"/>
      <c r="I4014">
        <f>E4014*G3999</f>
        <v>0</v>
      </c>
      <c r="J4014" s="58"/>
      <c r="K4014" s="50"/>
      <c r="L4014" s="50"/>
      <c r="M4014" s="50"/>
      <c r="N4014" s="50"/>
      <c r="O4014" s="50"/>
    </row>
    <row r="4015" spans="1:15" ht="21.75" customHeight="1">
      <c r="A4015" s="517" t="s">
        <v>4628</v>
      </c>
      <c r="B4015" s="518">
        <f>VLOOKUP(A4015,'Materiales '!$C$2:$G$396,3,0)</f>
        <v>4</v>
      </c>
      <c r="C4015" s="88">
        <f>VLOOKUP(A4015,'Materiales '!$C$2:$G$396,3,0)</f>
        <v>4</v>
      </c>
      <c r="D4015" s="89" t="str">
        <f>VLOOKUP(A4015,'Materiales '!$C$2:$G$396,4,0)</f>
        <v>Und</v>
      </c>
      <c r="E4015" s="90">
        <v>1</v>
      </c>
      <c r="F4015" s="508" t="e">
        <f t="shared" si="235"/>
        <v>#VALUE!</v>
      </c>
      <c r="G4015" s="519"/>
      <c r="H4015" s="111"/>
      <c r="I4015">
        <f>E4015*G3999</f>
        <v>0</v>
      </c>
      <c r="J4015" s="58"/>
      <c r="K4015" s="50"/>
      <c r="L4015" s="50"/>
      <c r="M4015" s="50"/>
      <c r="N4015" s="50"/>
      <c r="O4015" s="50"/>
    </row>
    <row r="4016" spans="1:15">
      <c r="A4016" s="517" t="s">
        <v>8</v>
      </c>
      <c r="B4016" s="518">
        <f>VLOOKUP(A4016,'Materiales '!$C$2:$G$396,3,0)</f>
        <v>0</v>
      </c>
      <c r="C4016" s="88">
        <f>VLOOKUP(A4016,'Materiales '!$C$2:$G$396,3,0)</f>
        <v>0</v>
      </c>
      <c r="D4016" s="89" t="str">
        <f>VLOOKUP(A4016,'Materiales '!$C$2:$G$396,4,0)</f>
        <v>-</v>
      </c>
      <c r="E4016" s="90"/>
      <c r="F4016" s="508" t="e">
        <f>E4016*D4016</f>
        <v>#VALUE!</v>
      </c>
      <c r="G4016" s="519"/>
      <c r="H4016" s="110"/>
      <c r="I4016">
        <f>E4016*G3999</f>
        <v>0</v>
      </c>
      <c r="J4016" s="58"/>
      <c r="K4016" s="50"/>
      <c r="L4016" s="50"/>
      <c r="M4016" s="50"/>
      <c r="N4016" s="50"/>
      <c r="O4016" s="50"/>
    </row>
    <row r="4017" spans="1:15">
      <c r="A4017" s="517" t="s">
        <v>8</v>
      </c>
      <c r="B4017" s="518">
        <f>VLOOKUP(A4017,'Materiales '!$C$2:$G$396,3,0)</f>
        <v>0</v>
      </c>
      <c r="C4017" s="88">
        <f>VLOOKUP(A4017,'Materiales '!$C$2:$G$396,3,0)</f>
        <v>0</v>
      </c>
      <c r="D4017" s="89" t="str">
        <f>VLOOKUP(A4017,'Materiales '!$C$2:$G$396,4,0)</f>
        <v>-</v>
      </c>
      <c r="E4017" s="90"/>
      <c r="F4017" s="508" t="e">
        <f t="shared" ref="F4017:F4020" si="236">E4017*D4017</f>
        <v>#VALUE!</v>
      </c>
      <c r="G4017" s="519"/>
      <c r="H4017" s="111"/>
      <c r="I4017">
        <f>E4017*G3999</f>
        <v>0</v>
      </c>
      <c r="J4017" s="58"/>
      <c r="K4017" s="50"/>
      <c r="L4017" s="50"/>
      <c r="M4017" s="50"/>
      <c r="N4017" s="50"/>
      <c r="O4017" s="50"/>
    </row>
    <row r="4018" spans="1:15">
      <c r="A4018" s="517" t="s">
        <v>8</v>
      </c>
      <c r="B4018" s="518">
        <f>VLOOKUP(A4018,'Materiales '!$C$2:$G$396,3,0)</f>
        <v>0</v>
      </c>
      <c r="C4018" s="88">
        <f>VLOOKUP(A4018,'Materiales '!$C$2:$G$396,3,0)</f>
        <v>0</v>
      </c>
      <c r="D4018" s="89" t="str">
        <f>VLOOKUP(A4018,'Materiales '!$C$2:$G$396,4,0)</f>
        <v>-</v>
      </c>
      <c r="E4018" s="90"/>
      <c r="F4018" s="508" t="e">
        <f t="shared" si="236"/>
        <v>#VALUE!</v>
      </c>
      <c r="G4018" s="519"/>
      <c r="H4018" s="111"/>
      <c r="I4018">
        <f>E4018*G3999</f>
        <v>0</v>
      </c>
      <c r="J4018" s="58"/>
      <c r="K4018" s="50"/>
      <c r="L4018" s="50"/>
      <c r="M4018" s="50"/>
      <c r="N4018" s="50"/>
      <c r="O4018" s="50"/>
    </row>
    <row r="4019" spans="1:15">
      <c r="A4019" s="517" t="s">
        <v>8</v>
      </c>
      <c r="B4019" s="518">
        <f>VLOOKUP(A4019,'Materiales '!$C$2:$G$396,3,0)</f>
        <v>0</v>
      </c>
      <c r="C4019" s="88">
        <f>VLOOKUP(A4019,'Materiales '!$C$2:$G$396,3,0)</f>
        <v>0</v>
      </c>
      <c r="D4019" s="89" t="str">
        <f>VLOOKUP(A4019,'Materiales '!$C$2:$G$396,4,0)</f>
        <v>-</v>
      </c>
      <c r="E4019" s="90"/>
      <c r="F4019" s="508" t="e">
        <f t="shared" si="236"/>
        <v>#VALUE!</v>
      </c>
      <c r="G4019" s="519"/>
      <c r="H4019" s="111"/>
      <c r="I4019">
        <f>E4019*G3999</f>
        <v>0</v>
      </c>
      <c r="J4019" s="58"/>
      <c r="K4019" s="50"/>
      <c r="L4019" s="50"/>
      <c r="M4019" s="50"/>
      <c r="N4019" s="50"/>
      <c r="O4019" s="50"/>
    </row>
    <row r="4020" spans="1:15">
      <c r="A4020" s="517" t="s">
        <v>8</v>
      </c>
      <c r="B4020" s="518">
        <f>VLOOKUP(A4020,'Materiales '!$C$2:$G$396,3,0)</f>
        <v>0</v>
      </c>
      <c r="C4020" s="88">
        <f>VLOOKUP(A4020,'Materiales '!$C$2:$G$396,3,0)</f>
        <v>0</v>
      </c>
      <c r="D4020" s="89" t="str">
        <f>VLOOKUP(A4020,'Materiales '!$C$2:$G$396,4,0)</f>
        <v>-</v>
      </c>
      <c r="E4020" s="90"/>
      <c r="F4020" s="508" t="e">
        <f t="shared" si="236"/>
        <v>#VALUE!</v>
      </c>
      <c r="G4020" s="519"/>
      <c r="H4020" s="111"/>
      <c r="I4020">
        <f>E4020*G3999</f>
        <v>0</v>
      </c>
      <c r="J4020" s="58"/>
      <c r="K4020" s="50"/>
      <c r="L4020" s="50"/>
      <c r="M4020" s="50"/>
      <c r="N4020" s="50"/>
      <c r="O4020" s="50"/>
    </row>
    <row r="4021" spans="1:15">
      <c r="A4021" s="517" t="s">
        <v>8</v>
      </c>
      <c r="B4021" s="518">
        <f>VLOOKUP(A4021,'Materiales '!$C$2:$G$396,3,0)</f>
        <v>0</v>
      </c>
      <c r="C4021" s="88">
        <f>VLOOKUP(A4021,'Materiales '!$C$2:$G$396,3,0)</f>
        <v>0</v>
      </c>
      <c r="D4021" s="89" t="str">
        <f>VLOOKUP(A4021,'Materiales '!$C$2:$G$396,4,0)</f>
        <v>-</v>
      </c>
      <c r="E4021" s="90"/>
      <c r="F4021" s="508" t="e">
        <f>E4021*D4021</f>
        <v>#VALUE!</v>
      </c>
      <c r="G4021" s="519"/>
      <c r="H4021" s="110"/>
      <c r="I4021">
        <f>E4021*G3999</f>
        <v>0</v>
      </c>
      <c r="J4021" s="58"/>
      <c r="K4021" s="50"/>
      <c r="L4021" s="50"/>
      <c r="M4021" s="50"/>
      <c r="N4021" s="50"/>
      <c r="O4021" s="50"/>
    </row>
    <row r="4022" spans="1:15">
      <c r="A4022" s="520" t="s">
        <v>4098</v>
      </c>
      <c r="B4022" s="521"/>
      <c r="C4022" s="521"/>
      <c r="D4022" s="521"/>
      <c r="E4022" s="521"/>
      <c r="F4022" s="521"/>
      <c r="G4022" s="522"/>
      <c r="H4022" s="106" t="e">
        <f>SUM(F4008:F4021)</f>
        <v>#VALUE!</v>
      </c>
      <c r="J4022" s="58"/>
      <c r="K4022" s="50"/>
      <c r="L4022" s="50"/>
      <c r="M4022" s="50"/>
      <c r="N4022" s="50"/>
      <c r="O4022" s="50"/>
    </row>
    <row r="4023" spans="1:15">
      <c r="A4023" s="523" t="s">
        <v>4220</v>
      </c>
      <c r="B4023" s="524"/>
      <c r="C4023" s="524"/>
      <c r="D4023" s="524"/>
      <c r="E4023" s="525"/>
      <c r="F4023" s="524"/>
      <c r="G4023" s="524"/>
      <c r="H4023" s="526"/>
      <c r="J4023" s="58"/>
      <c r="K4023" s="50"/>
      <c r="L4023" s="50"/>
      <c r="M4023" s="50"/>
      <c r="N4023" s="50"/>
      <c r="O4023" s="50"/>
    </row>
    <row r="4024" spans="1:15">
      <c r="A4024" s="527" t="s">
        <v>7</v>
      </c>
      <c r="B4024" s="528"/>
      <c r="C4024" s="98" t="s">
        <v>4221</v>
      </c>
      <c r="D4024" s="97" t="s">
        <v>4222</v>
      </c>
      <c r="E4024" s="187" t="s">
        <v>4223</v>
      </c>
      <c r="F4024" s="529" t="s">
        <v>4207</v>
      </c>
      <c r="G4024" s="529"/>
      <c r="H4024" s="109"/>
      <c r="K4024" s="50"/>
      <c r="L4024" s="50"/>
      <c r="M4024" s="50"/>
      <c r="N4024" s="50"/>
      <c r="O4024" s="50"/>
    </row>
    <row r="4025" spans="1:15">
      <c r="A4025" s="506" t="s">
        <v>3928</v>
      </c>
      <c r="B4025" s="507"/>
      <c r="C4025" s="213">
        <v>1</v>
      </c>
      <c r="D4025" s="92">
        <v>0.03</v>
      </c>
      <c r="E4025" s="93" t="str">
        <f>VLOOKUP(A4025,'Equip, Herr y Transp'!$B$2:$E$217,3,0)</f>
        <v>TR</v>
      </c>
      <c r="F4025" s="530" t="e">
        <f>E4025*D4025*C4025</f>
        <v>#VALUE!</v>
      </c>
      <c r="G4025" s="531"/>
      <c r="H4025" s="107"/>
      <c r="M4025" s="50"/>
    </row>
    <row r="4026" spans="1:15">
      <c r="A4026" s="532" t="s">
        <v>4205</v>
      </c>
      <c r="B4026" s="533"/>
      <c r="C4026" s="533"/>
      <c r="D4026" s="533"/>
      <c r="E4026" s="533"/>
      <c r="F4026" s="533"/>
      <c r="G4026" s="533"/>
      <c r="H4026" s="95" t="e">
        <f>F4025</f>
        <v>#VALUE!</v>
      </c>
    </row>
    <row r="4027" spans="1:15">
      <c r="A4027" s="523" t="s">
        <v>4224</v>
      </c>
      <c r="B4027" s="524"/>
      <c r="C4027" s="524"/>
      <c r="D4027" s="524"/>
      <c r="E4027" s="524"/>
      <c r="F4027" s="524"/>
      <c r="G4027" s="524"/>
      <c r="H4027" s="526"/>
    </row>
    <row r="4028" spans="1:15">
      <c r="A4028" s="527" t="s">
        <v>7</v>
      </c>
      <c r="B4028" s="528"/>
      <c r="C4028" s="96" t="s">
        <v>1</v>
      </c>
      <c r="D4028" s="97" t="s">
        <v>4225</v>
      </c>
      <c r="E4028" s="98" t="s">
        <v>4204</v>
      </c>
      <c r="F4028" s="527" t="s">
        <v>5</v>
      </c>
      <c r="G4028" s="534"/>
      <c r="H4028" s="109"/>
    </row>
    <row r="4029" spans="1:15">
      <c r="A4029" s="506" t="s">
        <v>4191</v>
      </c>
      <c r="B4029" s="507"/>
      <c r="C4029" s="91">
        <v>1</v>
      </c>
      <c r="D4029" s="94">
        <f>VLOOKUP(A4029,'Mano Obra'!$B$2:$T$117,19,0)</f>
        <v>152456</v>
      </c>
      <c r="E4029" s="218">
        <f>H3992</f>
        <v>7.0800000000000002E-2</v>
      </c>
      <c r="F4029" s="508">
        <f>E4029*D4029*C4029</f>
        <v>10793.8848</v>
      </c>
      <c r="G4029" s="509"/>
      <c r="H4029" s="111"/>
      <c r="I4029" s="59"/>
      <c r="J4029" s="117">
        <f>((('Mano Obra'!$M$4/30)*F4029)/D4029)*G3999</f>
        <v>0</v>
      </c>
    </row>
    <row r="4030" spans="1:15">
      <c r="A4030" s="510" t="s">
        <v>4192</v>
      </c>
      <c r="B4030" s="511">
        <f>VLOOKUP(A4030,'Mano Obra'!$B$3:$D$290,2,0)</f>
        <v>1900000</v>
      </c>
      <c r="C4030" s="91">
        <v>1</v>
      </c>
      <c r="D4030" s="94">
        <f>VLOOKUP(A4030,'Mano Obra'!$B$2:$T$117,19,0)</f>
        <v>110488</v>
      </c>
      <c r="E4030" s="218">
        <f>H3992</f>
        <v>7.0800000000000002E-2</v>
      </c>
      <c r="F4030" s="508">
        <f t="shared" ref="F4030:F4031" si="237">E4030*D4030*C4030</f>
        <v>7822.5504000000001</v>
      </c>
      <c r="G4030" s="509"/>
      <c r="H4030" s="111"/>
      <c r="J4030" s="117">
        <f>((('Mano Obra'!$M$5/30)*F4030)/D4030)*G3999</f>
        <v>0</v>
      </c>
    </row>
    <row r="4031" spans="1:15">
      <c r="A4031" s="510" t="s">
        <v>4181</v>
      </c>
      <c r="B4031" s="511">
        <f>VLOOKUP(A4031,'Mano Obra'!$B$3:$D$290,2,0)</f>
        <v>1000000</v>
      </c>
      <c r="C4031" s="91">
        <v>1</v>
      </c>
      <c r="D4031" s="94">
        <f>VLOOKUP(A4031,'Mano Obra'!$B$2:$T$117,19,0)</f>
        <v>67424</v>
      </c>
      <c r="E4031" s="218">
        <f>H3992</f>
        <v>7.0800000000000002E-2</v>
      </c>
      <c r="F4031" s="508">
        <f t="shared" si="237"/>
        <v>4773.6192000000001</v>
      </c>
      <c r="G4031" s="509"/>
      <c r="H4031" s="110"/>
      <c r="J4031" s="117">
        <f>((('Mano Obra'!$M$6/30)*F4031)/D4031)*G3999</f>
        <v>0</v>
      </c>
    </row>
    <row r="4032" spans="1:15">
      <c r="A4032" s="512" t="s">
        <v>4100</v>
      </c>
      <c r="B4032" s="512"/>
      <c r="C4032" s="512"/>
      <c r="D4032" s="512"/>
      <c r="E4032" s="512"/>
      <c r="F4032" s="512"/>
      <c r="G4032" s="512"/>
      <c r="H4032" s="95">
        <f>SUM(F4029:F4031)</f>
        <v>23390.054400000001</v>
      </c>
      <c r="J4032" s="117"/>
    </row>
    <row r="4033" spans="1:14">
      <c r="A4033" s="208" t="s">
        <v>4226</v>
      </c>
      <c r="B4033" s="186"/>
      <c r="C4033" s="186"/>
      <c r="D4033" s="183"/>
      <c r="E4033" s="184"/>
      <c r="F4033" s="185"/>
      <c r="G4033" s="184"/>
      <c r="H4033" s="193"/>
    </row>
    <row r="4034" spans="1:14">
      <c r="A4034" s="513" t="s">
        <v>4213</v>
      </c>
      <c r="B4034" s="514"/>
      <c r="C4034" s="514"/>
      <c r="D4034" s="514"/>
      <c r="E4034" s="181"/>
      <c r="F4034" s="182" t="s">
        <v>4227</v>
      </c>
      <c r="G4034" s="181" t="s">
        <v>4228</v>
      </c>
      <c r="H4034" s="194"/>
    </row>
    <row r="4035" spans="1:14">
      <c r="A4035" s="204" t="s">
        <v>4096</v>
      </c>
      <c r="B4035" s="62"/>
      <c r="C4035" s="62"/>
      <c r="D4035" s="63"/>
      <c r="E4035" s="68"/>
      <c r="F4035" s="69">
        <v>0</v>
      </c>
      <c r="G4035" s="70" t="e">
        <f>F4035*H4000</f>
        <v>#VALUE!</v>
      </c>
      <c r="H4035" s="193"/>
    </row>
    <row r="4036" spans="1:14">
      <c r="A4036" s="205" t="s">
        <v>4229</v>
      </c>
      <c r="B4036" s="71"/>
      <c r="C4036" s="71"/>
      <c r="D4036" s="72"/>
      <c r="E4036" s="68"/>
      <c r="F4036" s="69">
        <v>0</v>
      </c>
      <c r="G4036" s="70" t="e">
        <f>F4036*H4000</f>
        <v>#VALUE!</v>
      </c>
      <c r="H4036" s="193"/>
    </row>
    <row r="4037" spans="1:14">
      <c r="A4037" s="205" t="s">
        <v>4</v>
      </c>
      <c r="B4037" s="71"/>
      <c r="C4037" s="71"/>
      <c r="D4037" s="72"/>
      <c r="E4037" s="68"/>
      <c r="F4037" s="69">
        <v>0</v>
      </c>
      <c r="G4037" s="70" t="e">
        <f>F4037*H4000</f>
        <v>#VALUE!</v>
      </c>
      <c r="H4037" s="193"/>
    </row>
    <row r="4038" spans="1:14">
      <c r="A4038" s="206"/>
      <c r="B4038" s="73"/>
      <c r="C4038" s="65"/>
      <c r="D4038" s="74"/>
      <c r="E4038" s="75"/>
      <c r="F4038" s="76"/>
      <c r="G4038" s="77"/>
      <c r="H4038" s="195"/>
    </row>
    <row r="4039" spans="1:14">
      <c r="A4039" s="207"/>
      <c r="B4039" s="73"/>
      <c r="C4039" s="73"/>
      <c r="D4039" s="74"/>
      <c r="E4039" s="78"/>
      <c r="F4039" s="515" t="s">
        <v>4230</v>
      </c>
      <c r="G4039" s="516"/>
      <c r="H4039" s="214" t="e">
        <f>H4000+G4035+G4036+G4037</f>
        <v>#VALUE!</v>
      </c>
    </row>
    <row r="4040" spans="1:14">
      <c r="A4040" s="73"/>
      <c r="B4040" s="73"/>
      <c r="C4040" s="73"/>
      <c r="D4040" s="74"/>
      <c r="E4040" s="360"/>
      <c r="F4040" s="361"/>
      <c r="G4040" s="361"/>
      <c r="H4040" s="362"/>
    </row>
    <row r="4041" spans="1:14">
      <c r="A4041" s="80"/>
      <c r="B4041" s="80"/>
      <c r="C4041" s="80"/>
      <c r="D4041" s="80"/>
      <c r="E4041" s="80"/>
      <c r="F4041" s="80"/>
      <c r="G4041" s="80"/>
      <c r="H4041" s="353"/>
    </row>
    <row r="4042" spans="1:14">
      <c r="A4042" s="537" t="s">
        <v>4214</v>
      </c>
      <c r="B4042" s="538"/>
      <c r="C4042" s="538"/>
      <c r="D4042" s="538"/>
      <c r="E4042" s="538"/>
      <c r="F4042" s="538"/>
      <c r="G4042" s="538"/>
      <c r="H4042" s="539"/>
    </row>
    <row r="4043" spans="1:14">
      <c r="A4043" s="81"/>
      <c r="B4043" s="82"/>
      <c r="C4043" s="82"/>
      <c r="D4043" s="82"/>
      <c r="E4043" s="82"/>
      <c r="F4043" s="83"/>
      <c r="G4043" s="84"/>
      <c r="H4043" s="352">
        <f>ROUND((34/60)/8,4)</f>
        <v>7.0800000000000002E-2</v>
      </c>
      <c r="I4043" s="105"/>
    </row>
    <row r="4044" spans="1:14">
      <c r="A4044" s="540" t="s">
        <v>4209</v>
      </c>
      <c r="B4044" s="542" t="str">
        <f>COSTOS!$C$14</f>
        <v>MODERNIZACION A TECNOLOGIA LED</v>
      </c>
      <c r="C4044" s="542"/>
      <c r="D4044" s="542"/>
      <c r="E4044" s="542"/>
      <c r="F4044" s="542"/>
      <c r="G4044" s="542"/>
      <c r="H4044" s="543" t="s">
        <v>4210</v>
      </c>
    </row>
    <row r="4045" spans="1:14">
      <c r="A4045" s="541"/>
      <c r="B4045" s="542"/>
      <c r="C4045" s="542"/>
      <c r="D4045" s="542"/>
      <c r="E4045" s="542"/>
      <c r="F4045" s="542"/>
      <c r="G4045" s="542"/>
      <c r="H4045" s="543"/>
    </row>
    <row r="4046" spans="1:14">
      <c r="A4046" s="541"/>
      <c r="B4046" s="542"/>
      <c r="C4046" s="542"/>
      <c r="D4046" s="542"/>
      <c r="E4046" s="542"/>
      <c r="F4046" s="542"/>
      <c r="G4046" s="542"/>
      <c r="H4046" s="543"/>
    </row>
    <row r="4047" spans="1:14" ht="15" customHeight="1">
      <c r="A4047" s="541"/>
      <c r="B4047" s="542"/>
      <c r="C4047" s="542"/>
      <c r="D4047" s="542"/>
      <c r="E4047" s="542"/>
      <c r="F4047" s="542"/>
      <c r="G4047" s="542"/>
      <c r="H4047" s="197">
        <f ca="1">TODAY()</f>
        <v>44889</v>
      </c>
      <c r="K4047" t="s">
        <v>4380</v>
      </c>
      <c r="L4047" t="s">
        <v>4381</v>
      </c>
      <c r="M4047" t="s">
        <v>4382</v>
      </c>
      <c r="N4047" t="s">
        <v>4383</v>
      </c>
    </row>
    <row r="4048" spans="1:14" ht="60.75" customHeight="1">
      <c r="A4048" s="209" t="s">
        <v>4211</v>
      </c>
      <c r="B4048" s="544" t="str">
        <f>COSTOS!$D$16</f>
        <v>Luminarias</v>
      </c>
      <c r="C4048" s="544"/>
      <c r="D4048" s="544"/>
      <c r="E4048" s="544"/>
      <c r="F4048" s="544"/>
      <c r="G4048" s="60" t="s">
        <v>4212</v>
      </c>
      <c r="H4048" s="363" t="s">
        <v>4973</v>
      </c>
      <c r="K4048" s="55" t="e">
        <f>H4073</f>
        <v>#VALUE!</v>
      </c>
      <c r="L4048" s="55">
        <f>H4083</f>
        <v>23390.054400000001</v>
      </c>
      <c r="M4048" s="55" t="e">
        <f>H4056</f>
        <v>#VALUE!</v>
      </c>
      <c r="N4048" s="55" t="e">
        <f>H4077</f>
        <v>#VALUE!</v>
      </c>
    </row>
    <row r="4049" spans="1:15" ht="43.2" customHeight="1">
      <c r="A4049" s="210" t="s">
        <v>4213</v>
      </c>
      <c r="B4049" s="545" t="str">
        <f>VLOOKUP(H4048,COSTOS!C:M,2,0)</f>
        <v>Luminaria led 150 w Agm</v>
      </c>
      <c r="C4049" s="546"/>
      <c r="D4049" s="546"/>
      <c r="E4049" s="547"/>
      <c r="F4049" s="61" t="s">
        <v>0</v>
      </c>
      <c r="G4049" s="328" t="str">
        <f>VLOOKUP(H4048,COSTOS!C:M,8,0)</f>
        <v>Und</v>
      </c>
      <c r="H4049" s="248"/>
      <c r="I4049" s="278"/>
      <c r="J4049" s="280"/>
      <c r="K4049" s="280"/>
      <c r="L4049" s="280"/>
    </row>
    <row r="4050" spans="1:15">
      <c r="A4050" s="211"/>
      <c r="B4050" s="102"/>
      <c r="C4050" s="102"/>
      <c r="D4050" s="102"/>
      <c r="E4050" s="103"/>
      <c r="F4050" s="104" t="s">
        <v>1</v>
      </c>
      <c r="G4050" s="328">
        <f>VLOOKUP(H4048,COSTOS!C:M,9,0)</f>
        <v>0</v>
      </c>
      <c r="H4050" s="329"/>
      <c r="I4050" s="279"/>
    </row>
    <row r="4051" spans="1:15">
      <c r="A4051" s="212" t="s">
        <v>4215</v>
      </c>
      <c r="B4051" s="65"/>
      <c r="C4051" s="65"/>
      <c r="D4051" s="66"/>
      <c r="E4051" s="190"/>
      <c r="F4051" s="191"/>
      <c r="G4051" s="192" t="s">
        <v>4216</v>
      </c>
      <c r="H4051" s="198" t="e">
        <f>H4056+H4073+H4077+H4083</f>
        <v>#VALUE!</v>
      </c>
    </row>
    <row r="4052" spans="1:15" ht="41.4">
      <c r="A4052" s="548" t="s">
        <v>4213</v>
      </c>
      <c r="B4052" s="548"/>
      <c r="C4052" s="548"/>
      <c r="D4052" s="67" t="s">
        <v>0</v>
      </c>
      <c r="E4052" s="188" t="s">
        <v>4217</v>
      </c>
      <c r="F4052" s="189" t="s">
        <v>4204</v>
      </c>
      <c r="G4052" s="64" t="s">
        <v>2</v>
      </c>
      <c r="H4052" s="199" t="s">
        <v>4218</v>
      </c>
      <c r="K4052" s="281"/>
    </row>
    <row r="4053" spans="1:15">
      <c r="A4053" s="517" t="s">
        <v>3946</v>
      </c>
      <c r="B4053" s="549">
        <f>VLOOKUP(A4053,'Equip, Herr y Transp'!$B$2:$E$738,2,0)</f>
        <v>2</v>
      </c>
      <c r="C4053" s="549"/>
      <c r="D4053" s="85">
        <f>VLOOKUP(A4053,'Equip, Herr y Transp'!$B$2:$E$217,2,0)</f>
        <v>2</v>
      </c>
      <c r="E4053" s="85" t="str">
        <f>VLOOKUP(A4053,'Equip, Herr y Transp'!$B$2:$E$217,3,0)</f>
        <v>EQU</v>
      </c>
      <c r="F4053" s="86">
        <f>H4043</f>
        <v>7.0800000000000002E-2</v>
      </c>
      <c r="G4053" s="112" t="e">
        <f>F4053*E4053</f>
        <v>#VALUE!</v>
      </c>
      <c r="H4053" s="108"/>
    </row>
    <row r="4054" spans="1:15">
      <c r="A4054" s="517" t="s">
        <v>3904</v>
      </c>
      <c r="B4054" s="549">
        <f>VLOOKUP(A4054,'Equip, Herr y Transp'!$B$2:$E$738,2,0)</f>
        <v>2</v>
      </c>
      <c r="C4054" s="549"/>
      <c r="D4054" s="85">
        <f>VLOOKUP(A4054,'Equip, Herr y Transp'!$B$2:$E$217,2,0)</f>
        <v>2</v>
      </c>
      <c r="E4054" s="85" t="str">
        <f>VLOOKUP(A4054,'Equip, Herr y Transp'!$B$2:$E$217,3,0)</f>
        <v>EQU</v>
      </c>
      <c r="F4054" s="86">
        <f>H4043</f>
        <v>7.0800000000000002E-2</v>
      </c>
      <c r="G4054" s="112" t="e">
        <f>F4054*E4054</f>
        <v>#VALUE!</v>
      </c>
      <c r="H4054" s="107"/>
    </row>
    <row r="4055" spans="1:15">
      <c r="A4055" s="517" t="s">
        <v>3937</v>
      </c>
      <c r="B4055" s="549">
        <f>VLOOKUP(A4055,'Equip, Herr y Transp'!$B$2:$E$738,2,0)</f>
        <v>2</v>
      </c>
      <c r="C4055" s="549"/>
      <c r="D4055" s="85">
        <f>VLOOKUP(A4055,'Equip, Herr y Transp'!$B$2:$E$217,2,0)</f>
        <v>2</v>
      </c>
      <c r="E4055" s="85" t="str">
        <f>VLOOKUP(A4055,'Equip, Herr y Transp'!$B$2:$E$217,3,0)</f>
        <v>EQU</v>
      </c>
      <c r="F4055" s="86">
        <f>H4043</f>
        <v>7.0800000000000002E-2</v>
      </c>
      <c r="G4055" s="112" t="e">
        <f>F4055*E4055</f>
        <v>#VALUE!</v>
      </c>
      <c r="H4055" s="107"/>
    </row>
    <row r="4056" spans="1:15">
      <c r="A4056" s="520" t="s">
        <v>4099</v>
      </c>
      <c r="B4056" s="521"/>
      <c r="C4056" s="521"/>
      <c r="D4056" s="521"/>
      <c r="E4056" s="521"/>
      <c r="F4056" s="521"/>
      <c r="G4056" s="521"/>
      <c r="H4056" s="87" t="e">
        <f>SUM(G4053:G4055)</f>
        <v>#VALUE!</v>
      </c>
    </row>
    <row r="4057" spans="1:15">
      <c r="A4057" s="550" t="s">
        <v>4219</v>
      </c>
      <c r="B4057" s="551"/>
      <c r="C4057" s="551"/>
      <c r="D4057" s="551"/>
      <c r="E4057" s="551"/>
      <c r="F4057" s="551"/>
      <c r="G4057" s="551"/>
      <c r="H4057" s="552"/>
      <c r="K4057" s="50"/>
      <c r="L4057" s="50"/>
      <c r="M4057" s="50"/>
      <c r="N4057" s="50"/>
      <c r="O4057" s="50"/>
    </row>
    <row r="4058" spans="1:15" ht="30" customHeight="1">
      <c r="A4058" s="553" t="s">
        <v>7</v>
      </c>
      <c r="B4058" s="554"/>
      <c r="C4058" s="99" t="s">
        <v>0</v>
      </c>
      <c r="D4058" s="100" t="s">
        <v>4097</v>
      </c>
      <c r="E4058" s="101" t="s">
        <v>1</v>
      </c>
      <c r="F4058" s="555" t="s">
        <v>4207</v>
      </c>
      <c r="G4058" s="555"/>
      <c r="H4058" s="196"/>
      <c r="K4058" s="50"/>
      <c r="L4058" s="50"/>
      <c r="M4058" s="50"/>
      <c r="N4058" s="50"/>
      <c r="O4058" s="50"/>
    </row>
    <row r="4059" spans="1:15">
      <c r="A4059" s="535" t="s">
        <v>4974</v>
      </c>
      <c r="B4059" s="536"/>
      <c r="C4059" s="88">
        <f>VLOOKUP(A4059,'Materiales '!$C$2:$G$396,3,0)</f>
        <v>4</v>
      </c>
      <c r="D4059" s="89" t="str">
        <f>VLOOKUP(A4059,'Materiales '!$C$2:$G$396,4,0)</f>
        <v>Und</v>
      </c>
      <c r="E4059" s="90">
        <v>1</v>
      </c>
      <c r="F4059" s="508" t="e">
        <f>E4059*D4059</f>
        <v>#VALUE!</v>
      </c>
      <c r="G4059" s="519"/>
      <c r="H4059" s="111"/>
      <c r="I4059">
        <f>E4059*G4050</f>
        <v>0</v>
      </c>
      <c r="J4059" s="57"/>
      <c r="K4059" s="50"/>
      <c r="L4059" s="50"/>
      <c r="M4059" s="50"/>
      <c r="N4059" s="50"/>
      <c r="O4059" s="50"/>
    </row>
    <row r="4060" spans="1:15">
      <c r="A4060" s="535" t="s">
        <v>4203</v>
      </c>
      <c r="B4060" s="536"/>
      <c r="C4060" s="88">
        <f>VLOOKUP(A4060,'Materiales '!$C$2:$G$396,3,0)</f>
        <v>4</v>
      </c>
      <c r="D4060" s="89" t="str">
        <f>VLOOKUP(A4060,'Materiales '!$C$2:$G$396,4,0)</f>
        <v>Und</v>
      </c>
      <c r="E4060" s="90">
        <v>1</v>
      </c>
      <c r="F4060" s="508" t="e">
        <f t="shared" ref="F4060:F4066" si="238">E4060*D4060</f>
        <v>#VALUE!</v>
      </c>
      <c r="G4060" s="519"/>
      <c r="H4060" s="111"/>
      <c r="I4060">
        <f>E4060*G4050</f>
        <v>0</v>
      </c>
      <c r="J4060" s="57"/>
      <c r="K4060" s="50"/>
      <c r="L4060" s="50"/>
      <c r="M4060" s="50"/>
      <c r="N4060" s="50"/>
      <c r="O4060" s="50"/>
    </row>
    <row r="4061" spans="1:15">
      <c r="A4061" s="517" t="s">
        <v>4468</v>
      </c>
      <c r="B4061" s="518">
        <f>VLOOKUP(A4061,'Materiales '!$C$2:$G$396,3,0)</f>
        <v>4</v>
      </c>
      <c r="C4061" s="88">
        <f>VLOOKUP(A4061,'Materiales '!$C$2:$G$396,3,0)</f>
        <v>4</v>
      </c>
      <c r="D4061" s="89" t="str">
        <f>VLOOKUP(A4061,'Materiales '!$C$2:$G$396,4,0)</f>
        <v>Und</v>
      </c>
      <c r="E4061" s="90">
        <v>2</v>
      </c>
      <c r="F4061" s="508" t="e">
        <f t="shared" si="238"/>
        <v>#VALUE!</v>
      </c>
      <c r="G4061" s="519"/>
      <c r="H4061" s="111"/>
      <c r="I4061">
        <f>E4061*G4050</f>
        <v>0</v>
      </c>
      <c r="J4061" s="58"/>
      <c r="K4061" s="50"/>
      <c r="L4061" s="50"/>
      <c r="M4061" s="50"/>
      <c r="N4061" s="50"/>
      <c r="O4061" s="50"/>
    </row>
    <row r="4062" spans="1:15">
      <c r="A4062" s="517" t="s">
        <v>4478</v>
      </c>
      <c r="B4062" s="518">
        <f>VLOOKUP(A4062,'Materiales '!$C$2:$G$396,3,0)</f>
        <v>4</v>
      </c>
      <c r="C4062" s="88">
        <f>VLOOKUP(A4062,'Materiales '!$C$2:$G$396,3,0)</f>
        <v>4</v>
      </c>
      <c r="D4062" s="89" t="str">
        <f>VLOOKUP(A4062,'Materiales '!$C$2:$G$396,4,0)</f>
        <v>Und</v>
      </c>
      <c r="E4062" s="90">
        <v>3</v>
      </c>
      <c r="F4062" s="508" t="e">
        <f t="shared" si="238"/>
        <v>#VALUE!</v>
      </c>
      <c r="G4062" s="519"/>
      <c r="H4062" s="111"/>
      <c r="I4062">
        <f>E4062*G4050</f>
        <v>0</v>
      </c>
      <c r="J4062" s="58"/>
      <c r="K4062" s="50"/>
      <c r="L4062" s="50"/>
      <c r="M4062" s="50"/>
      <c r="N4062" s="50"/>
      <c r="O4062" s="50"/>
    </row>
    <row r="4063" spans="1:15">
      <c r="A4063" s="517" t="s">
        <v>4543</v>
      </c>
      <c r="B4063" s="518">
        <f>VLOOKUP(A4063,'Materiales '!$C$2:$G$396,3,0)</f>
        <v>4</v>
      </c>
      <c r="C4063" s="88">
        <f>VLOOKUP(A4063,'Materiales '!$C$2:$G$396,3,0)</f>
        <v>4</v>
      </c>
      <c r="D4063" s="89" t="str">
        <f>VLOOKUP(A4063,'Materiales '!$C$2:$G$396,4,0)</f>
        <v>Und</v>
      </c>
      <c r="E4063" s="90">
        <v>1</v>
      </c>
      <c r="F4063" s="508" t="e">
        <f t="shared" si="238"/>
        <v>#VALUE!</v>
      </c>
      <c r="G4063" s="519"/>
      <c r="H4063" s="111"/>
      <c r="I4063">
        <f>E4063*G4050</f>
        <v>0</v>
      </c>
      <c r="J4063" s="58"/>
      <c r="K4063" s="50"/>
      <c r="L4063" s="50"/>
      <c r="M4063" s="50"/>
      <c r="N4063" s="50"/>
      <c r="O4063" s="50"/>
    </row>
    <row r="4064" spans="1:15">
      <c r="A4064" s="517" t="s">
        <v>4439</v>
      </c>
      <c r="B4064" s="518">
        <f>VLOOKUP(A4064,'Materiales '!$C$2:$G$396,3,0)</f>
        <v>2</v>
      </c>
      <c r="C4064" s="88">
        <f>VLOOKUP(A4064,'Materiales '!$C$2:$G$396,3,0)</f>
        <v>2</v>
      </c>
      <c r="D4064" s="89" t="str">
        <f>VLOOKUP(A4064,'Materiales '!$C$2:$G$396,4,0)</f>
        <v>Ml</v>
      </c>
      <c r="E4064" s="90">
        <v>1</v>
      </c>
      <c r="F4064" s="508" t="e">
        <f t="shared" si="238"/>
        <v>#VALUE!</v>
      </c>
      <c r="G4064" s="519"/>
      <c r="H4064" s="111"/>
      <c r="I4064">
        <f>E4064*G4050</f>
        <v>0</v>
      </c>
      <c r="J4064" s="58"/>
      <c r="K4064" s="50"/>
      <c r="L4064" s="50"/>
      <c r="M4064" s="50"/>
      <c r="N4064" s="50"/>
      <c r="O4064" s="50"/>
    </row>
    <row r="4065" spans="1:15">
      <c r="A4065" s="517" t="s">
        <v>4424</v>
      </c>
      <c r="B4065" s="518">
        <f>VLOOKUP(A4065,'Materiales '!$C$2:$G$396,3,0)</f>
        <v>4</v>
      </c>
      <c r="C4065" s="88">
        <f>VLOOKUP(A4065,'Materiales '!$C$2:$G$396,3,0)</f>
        <v>4</v>
      </c>
      <c r="D4065" s="89" t="str">
        <f>VLOOKUP(A4065,'Materiales '!$C$2:$G$396,4,0)</f>
        <v>Und</v>
      </c>
      <c r="E4065" s="90">
        <v>1</v>
      </c>
      <c r="F4065" s="508" t="e">
        <f t="shared" si="238"/>
        <v>#VALUE!</v>
      </c>
      <c r="G4065" s="519"/>
      <c r="H4065" s="111"/>
      <c r="I4065">
        <f>E4065*G4050</f>
        <v>0</v>
      </c>
      <c r="J4065" s="58"/>
      <c r="K4065" s="50"/>
      <c r="L4065" s="50"/>
      <c r="M4065" s="50"/>
      <c r="N4065" s="50"/>
      <c r="O4065" s="50"/>
    </row>
    <row r="4066" spans="1:15" ht="21.75" customHeight="1">
      <c r="A4066" s="517" t="s">
        <v>4628</v>
      </c>
      <c r="B4066" s="518">
        <f>VLOOKUP(A4066,'Materiales '!$C$2:$G$396,3,0)</f>
        <v>4</v>
      </c>
      <c r="C4066" s="88">
        <f>VLOOKUP(A4066,'Materiales '!$C$2:$G$396,3,0)</f>
        <v>4</v>
      </c>
      <c r="D4066" s="89" t="str">
        <f>VLOOKUP(A4066,'Materiales '!$C$2:$G$396,4,0)</f>
        <v>Und</v>
      </c>
      <c r="E4066" s="90">
        <v>1</v>
      </c>
      <c r="F4066" s="508" t="e">
        <f t="shared" si="238"/>
        <v>#VALUE!</v>
      </c>
      <c r="G4066" s="519"/>
      <c r="H4066" s="111"/>
      <c r="I4066">
        <f>E4066*G4050</f>
        <v>0</v>
      </c>
      <c r="J4066" s="58"/>
      <c r="K4066" s="50"/>
      <c r="L4066" s="50"/>
      <c r="M4066" s="50"/>
      <c r="N4066" s="50"/>
      <c r="O4066" s="50"/>
    </row>
    <row r="4067" spans="1:15">
      <c r="A4067" s="517" t="s">
        <v>8</v>
      </c>
      <c r="B4067" s="518">
        <f>VLOOKUP(A4067,'Materiales '!$C$2:$G$396,3,0)</f>
        <v>0</v>
      </c>
      <c r="C4067" s="88">
        <f>VLOOKUP(A4067,'Materiales '!$C$2:$G$396,3,0)</f>
        <v>0</v>
      </c>
      <c r="D4067" s="89" t="str">
        <f>VLOOKUP(A4067,'Materiales '!$C$2:$G$396,4,0)</f>
        <v>-</v>
      </c>
      <c r="E4067" s="90"/>
      <c r="F4067" s="508" t="e">
        <f>E4067*D4067</f>
        <v>#VALUE!</v>
      </c>
      <c r="G4067" s="519"/>
      <c r="H4067" s="110"/>
      <c r="I4067">
        <f>E4067*G4050</f>
        <v>0</v>
      </c>
      <c r="J4067" s="58"/>
      <c r="K4067" s="50"/>
      <c r="L4067" s="50"/>
      <c r="M4067" s="50"/>
      <c r="N4067" s="50"/>
      <c r="O4067" s="50"/>
    </row>
    <row r="4068" spans="1:15">
      <c r="A4068" s="517" t="s">
        <v>8</v>
      </c>
      <c r="B4068" s="518">
        <f>VLOOKUP(A4068,'Materiales '!$C$2:$G$396,3,0)</f>
        <v>0</v>
      </c>
      <c r="C4068" s="88">
        <f>VLOOKUP(A4068,'Materiales '!$C$2:$G$396,3,0)</f>
        <v>0</v>
      </c>
      <c r="D4068" s="89" t="str">
        <f>VLOOKUP(A4068,'Materiales '!$C$2:$G$396,4,0)</f>
        <v>-</v>
      </c>
      <c r="E4068" s="90"/>
      <c r="F4068" s="508" t="e">
        <f t="shared" ref="F4068:F4071" si="239">E4068*D4068</f>
        <v>#VALUE!</v>
      </c>
      <c r="G4068" s="519"/>
      <c r="H4068" s="111"/>
      <c r="I4068">
        <f>E4068*G4050</f>
        <v>0</v>
      </c>
      <c r="J4068" s="58"/>
      <c r="K4068" s="50"/>
      <c r="L4068" s="50"/>
      <c r="M4068" s="50"/>
      <c r="N4068" s="50"/>
      <c r="O4068" s="50"/>
    </row>
    <row r="4069" spans="1:15">
      <c r="A4069" s="517" t="s">
        <v>8</v>
      </c>
      <c r="B4069" s="518">
        <f>VLOOKUP(A4069,'Materiales '!$C$2:$G$396,3,0)</f>
        <v>0</v>
      </c>
      <c r="C4069" s="88">
        <f>VLOOKUP(A4069,'Materiales '!$C$2:$G$396,3,0)</f>
        <v>0</v>
      </c>
      <c r="D4069" s="89" t="str">
        <f>VLOOKUP(A4069,'Materiales '!$C$2:$G$396,4,0)</f>
        <v>-</v>
      </c>
      <c r="E4069" s="90"/>
      <c r="F4069" s="508" t="e">
        <f t="shared" si="239"/>
        <v>#VALUE!</v>
      </c>
      <c r="G4069" s="519"/>
      <c r="H4069" s="111"/>
      <c r="I4069">
        <f>E4069*G4050</f>
        <v>0</v>
      </c>
      <c r="J4069" s="58"/>
      <c r="K4069" s="50"/>
      <c r="L4069" s="50"/>
      <c r="M4069" s="50"/>
      <c r="N4069" s="50"/>
      <c r="O4069" s="50"/>
    </row>
    <row r="4070" spans="1:15">
      <c r="A4070" s="517" t="s">
        <v>8</v>
      </c>
      <c r="B4070" s="518">
        <f>VLOOKUP(A4070,'Materiales '!$C$2:$G$396,3,0)</f>
        <v>0</v>
      </c>
      <c r="C4070" s="88">
        <f>VLOOKUP(A4070,'Materiales '!$C$2:$G$396,3,0)</f>
        <v>0</v>
      </c>
      <c r="D4070" s="89" t="str">
        <f>VLOOKUP(A4070,'Materiales '!$C$2:$G$396,4,0)</f>
        <v>-</v>
      </c>
      <c r="E4070" s="90"/>
      <c r="F4070" s="508" t="e">
        <f t="shared" si="239"/>
        <v>#VALUE!</v>
      </c>
      <c r="G4070" s="519"/>
      <c r="H4070" s="111"/>
      <c r="I4070">
        <f>E4070*G4050</f>
        <v>0</v>
      </c>
      <c r="J4070" s="58"/>
      <c r="K4070" s="50"/>
      <c r="L4070" s="50"/>
      <c r="M4070" s="50"/>
      <c r="N4070" s="50"/>
      <c r="O4070" s="50"/>
    </row>
    <row r="4071" spans="1:15">
      <c r="A4071" s="517" t="s">
        <v>8</v>
      </c>
      <c r="B4071" s="518">
        <f>VLOOKUP(A4071,'Materiales '!$C$2:$G$396,3,0)</f>
        <v>0</v>
      </c>
      <c r="C4071" s="88">
        <f>VLOOKUP(A4071,'Materiales '!$C$2:$G$396,3,0)</f>
        <v>0</v>
      </c>
      <c r="D4071" s="89" t="str">
        <f>VLOOKUP(A4071,'Materiales '!$C$2:$G$396,4,0)</f>
        <v>-</v>
      </c>
      <c r="E4071" s="90"/>
      <c r="F4071" s="508" t="e">
        <f t="shared" si="239"/>
        <v>#VALUE!</v>
      </c>
      <c r="G4071" s="519"/>
      <c r="H4071" s="111"/>
      <c r="I4071">
        <f>E4071*G4050</f>
        <v>0</v>
      </c>
      <c r="J4071" s="58"/>
      <c r="K4071" s="50"/>
      <c r="L4071" s="50"/>
      <c r="M4071" s="50"/>
      <c r="N4071" s="50"/>
      <c r="O4071" s="50"/>
    </row>
    <row r="4072" spans="1:15">
      <c r="A4072" s="517" t="s">
        <v>8</v>
      </c>
      <c r="B4072" s="518">
        <f>VLOOKUP(A4072,'Materiales '!$C$2:$G$396,3,0)</f>
        <v>0</v>
      </c>
      <c r="C4072" s="88">
        <f>VLOOKUP(A4072,'Materiales '!$C$2:$G$396,3,0)</f>
        <v>0</v>
      </c>
      <c r="D4072" s="89" t="str">
        <f>VLOOKUP(A4072,'Materiales '!$C$2:$G$396,4,0)</f>
        <v>-</v>
      </c>
      <c r="E4072" s="90"/>
      <c r="F4072" s="508" t="e">
        <f>E4072*D4072</f>
        <v>#VALUE!</v>
      </c>
      <c r="G4072" s="519"/>
      <c r="H4072" s="110"/>
      <c r="I4072">
        <f>E4072*G4050</f>
        <v>0</v>
      </c>
      <c r="J4072" s="58"/>
      <c r="K4072" s="50"/>
      <c r="L4072" s="50"/>
      <c r="M4072" s="50"/>
      <c r="N4072" s="50"/>
      <c r="O4072" s="50"/>
    </row>
    <row r="4073" spans="1:15">
      <c r="A4073" s="520" t="s">
        <v>4098</v>
      </c>
      <c r="B4073" s="521"/>
      <c r="C4073" s="521"/>
      <c r="D4073" s="521"/>
      <c r="E4073" s="521"/>
      <c r="F4073" s="521"/>
      <c r="G4073" s="522"/>
      <c r="H4073" s="106" t="e">
        <f>SUM(F4059:F4072)</f>
        <v>#VALUE!</v>
      </c>
      <c r="J4073" s="58"/>
      <c r="K4073" s="50"/>
      <c r="L4073" s="50"/>
      <c r="M4073" s="50"/>
      <c r="N4073" s="50"/>
      <c r="O4073" s="50"/>
    </row>
    <row r="4074" spans="1:15">
      <c r="A4074" s="523" t="s">
        <v>4220</v>
      </c>
      <c r="B4074" s="524"/>
      <c r="C4074" s="524"/>
      <c r="D4074" s="524"/>
      <c r="E4074" s="525"/>
      <c r="F4074" s="524"/>
      <c r="G4074" s="524"/>
      <c r="H4074" s="526"/>
      <c r="J4074" s="58"/>
      <c r="K4074" s="50"/>
      <c r="L4074" s="50"/>
      <c r="M4074" s="50"/>
      <c r="N4074" s="50"/>
      <c r="O4074" s="50"/>
    </row>
    <row r="4075" spans="1:15">
      <c r="A4075" s="527" t="s">
        <v>7</v>
      </c>
      <c r="B4075" s="528"/>
      <c r="C4075" s="98" t="s">
        <v>4221</v>
      </c>
      <c r="D4075" s="97" t="s">
        <v>4222</v>
      </c>
      <c r="E4075" s="187" t="s">
        <v>4223</v>
      </c>
      <c r="F4075" s="529" t="s">
        <v>4207</v>
      </c>
      <c r="G4075" s="529"/>
      <c r="H4075" s="109"/>
      <c r="K4075" s="50"/>
      <c r="L4075" s="50"/>
      <c r="M4075" s="50"/>
      <c r="N4075" s="50"/>
      <c r="O4075" s="50"/>
    </row>
    <row r="4076" spans="1:15">
      <c r="A4076" s="506" t="s">
        <v>3928</v>
      </c>
      <c r="B4076" s="507"/>
      <c r="C4076" s="213">
        <v>1</v>
      </c>
      <c r="D4076" s="92">
        <v>0.03</v>
      </c>
      <c r="E4076" s="93" t="str">
        <f>VLOOKUP(A4076,'Equip, Herr y Transp'!$B$2:$E$217,3,0)</f>
        <v>TR</v>
      </c>
      <c r="F4076" s="530" t="e">
        <f>E4076*D4076*C4076</f>
        <v>#VALUE!</v>
      </c>
      <c r="G4076" s="531"/>
      <c r="H4076" s="107"/>
      <c r="M4076" s="50"/>
    </row>
    <row r="4077" spans="1:15">
      <c r="A4077" s="532" t="s">
        <v>4205</v>
      </c>
      <c r="B4077" s="533"/>
      <c r="C4077" s="533"/>
      <c r="D4077" s="533"/>
      <c r="E4077" s="533"/>
      <c r="F4077" s="533"/>
      <c r="G4077" s="533"/>
      <c r="H4077" s="95" t="e">
        <f>F4076</f>
        <v>#VALUE!</v>
      </c>
    </row>
    <row r="4078" spans="1:15">
      <c r="A4078" s="523" t="s">
        <v>4224</v>
      </c>
      <c r="B4078" s="524"/>
      <c r="C4078" s="524"/>
      <c r="D4078" s="524"/>
      <c r="E4078" s="524"/>
      <c r="F4078" s="524"/>
      <c r="G4078" s="524"/>
      <c r="H4078" s="526"/>
    </row>
    <row r="4079" spans="1:15">
      <c r="A4079" s="527" t="s">
        <v>7</v>
      </c>
      <c r="B4079" s="528"/>
      <c r="C4079" s="96" t="s">
        <v>1</v>
      </c>
      <c r="D4079" s="97" t="s">
        <v>4225</v>
      </c>
      <c r="E4079" s="98" t="s">
        <v>4204</v>
      </c>
      <c r="F4079" s="527" t="s">
        <v>5</v>
      </c>
      <c r="G4079" s="534"/>
      <c r="H4079" s="109"/>
    </row>
    <row r="4080" spans="1:15">
      <c r="A4080" s="506" t="s">
        <v>4191</v>
      </c>
      <c r="B4080" s="507"/>
      <c r="C4080" s="91">
        <v>1</v>
      </c>
      <c r="D4080" s="94">
        <f>VLOOKUP(A4080,'Mano Obra'!$B$2:$T$117,19,0)</f>
        <v>152456</v>
      </c>
      <c r="E4080" s="218">
        <f>H4043</f>
        <v>7.0800000000000002E-2</v>
      </c>
      <c r="F4080" s="508">
        <f>E4080*D4080*C4080</f>
        <v>10793.8848</v>
      </c>
      <c r="G4080" s="509"/>
      <c r="H4080" s="111"/>
      <c r="I4080" s="59"/>
      <c r="J4080" s="117">
        <f>((('Mano Obra'!$M$4/30)*F4080)/D4080)*G4050</f>
        <v>0</v>
      </c>
    </row>
    <row r="4081" spans="1:10">
      <c r="A4081" s="510" t="s">
        <v>4192</v>
      </c>
      <c r="B4081" s="511">
        <f>VLOOKUP(A4081,'Mano Obra'!$B$3:$D$290,2,0)</f>
        <v>1900000</v>
      </c>
      <c r="C4081" s="91">
        <v>1</v>
      </c>
      <c r="D4081" s="94">
        <f>VLOOKUP(A4081,'Mano Obra'!$B$2:$T$117,19,0)</f>
        <v>110488</v>
      </c>
      <c r="E4081" s="218">
        <f>H4043</f>
        <v>7.0800000000000002E-2</v>
      </c>
      <c r="F4081" s="508">
        <f t="shared" ref="F4081:F4082" si="240">E4081*D4081*C4081</f>
        <v>7822.5504000000001</v>
      </c>
      <c r="G4081" s="509"/>
      <c r="H4081" s="111"/>
      <c r="J4081" s="117">
        <f>((('Mano Obra'!$M$5/30)*F4081)/D4081)*G4050</f>
        <v>0</v>
      </c>
    </row>
    <row r="4082" spans="1:10">
      <c r="A4082" s="510" t="s">
        <v>4181</v>
      </c>
      <c r="B4082" s="511">
        <f>VLOOKUP(A4082,'Mano Obra'!$B$3:$D$290,2,0)</f>
        <v>1000000</v>
      </c>
      <c r="C4082" s="91">
        <v>1</v>
      </c>
      <c r="D4082" s="94">
        <f>VLOOKUP(A4082,'Mano Obra'!$B$2:$T$117,19,0)</f>
        <v>67424</v>
      </c>
      <c r="E4082" s="218">
        <f>H4043</f>
        <v>7.0800000000000002E-2</v>
      </c>
      <c r="F4082" s="508">
        <f t="shared" si="240"/>
        <v>4773.6192000000001</v>
      </c>
      <c r="G4082" s="509"/>
      <c r="H4082" s="110"/>
      <c r="J4082" s="117">
        <f>((('Mano Obra'!$M$6/30)*F4082)/D4082)*G4050</f>
        <v>0</v>
      </c>
    </row>
    <row r="4083" spans="1:10">
      <c r="A4083" s="512" t="s">
        <v>4100</v>
      </c>
      <c r="B4083" s="512"/>
      <c r="C4083" s="512"/>
      <c r="D4083" s="512"/>
      <c r="E4083" s="512"/>
      <c r="F4083" s="512"/>
      <c r="G4083" s="512"/>
      <c r="H4083" s="95">
        <f>SUM(F4080:F4082)</f>
        <v>23390.054400000001</v>
      </c>
      <c r="J4083" s="117"/>
    </row>
    <row r="4084" spans="1:10">
      <c r="A4084" s="208" t="s">
        <v>4226</v>
      </c>
      <c r="B4084" s="186"/>
      <c r="C4084" s="186"/>
      <c r="D4084" s="183"/>
      <c r="E4084" s="184"/>
      <c r="F4084" s="185"/>
      <c r="G4084" s="184"/>
      <c r="H4084" s="193"/>
    </row>
    <row r="4085" spans="1:10">
      <c r="A4085" s="513" t="s">
        <v>4213</v>
      </c>
      <c r="B4085" s="514"/>
      <c r="C4085" s="514"/>
      <c r="D4085" s="514"/>
      <c r="E4085" s="181"/>
      <c r="F4085" s="182" t="s">
        <v>4227</v>
      </c>
      <c r="G4085" s="181" t="s">
        <v>4228</v>
      </c>
      <c r="H4085" s="194"/>
    </row>
    <row r="4086" spans="1:10">
      <c r="A4086" s="204" t="s">
        <v>4096</v>
      </c>
      <c r="B4086" s="62"/>
      <c r="C4086" s="62"/>
      <c r="D4086" s="63"/>
      <c r="E4086" s="68"/>
      <c r="F4086" s="69">
        <v>0</v>
      </c>
      <c r="G4086" s="70" t="e">
        <f>F4086*H4051</f>
        <v>#VALUE!</v>
      </c>
      <c r="H4086" s="193"/>
    </row>
    <row r="4087" spans="1:10">
      <c r="A4087" s="205" t="s">
        <v>4229</v>
      </c>
      <c r="B4087" s="71"/>
      <c r="C4087" s="71"/>
      <c r="D4087" s="72"/>
      <c r="E4087" s="68"/>
      <c r="F4087" s="69">
        <v>0</v>
      </c>
      <c r="G4087" s="70" t="e">
        <f>F4087*H4051</f>
        <v>#VALUE!</v>
      </c>
      <c r="H4087" s="193"/>
    </row>
    <row r="4088" spans="1:10">
      <c r="A4088" s="205" t="s">
        <v>4</v>
      </c>
      <c r="B4088" s="71"/>
      <c r="C4088" s="71"/>
      <c r="D4088" s="72"/>
      <c r="E4088" s="68"/>
      <c r="F4088" s="69">
        <v>0</v>
      </c>
      <c r="G4088" s="70" t="e">
        <f>F4088*H4051</f>
        <v>#VALUE!</v>
      </c>
      <c r="H4088" s="193"/>
    </row>
    <row r="4089" spans="1:10">
      <c r="A4089" s="206"/>
      <c r="B4089" s="73"/>
      <c r="C4089" s="65"/>
      <c r="D4089" s="74"/>
      <c r="E4089" s="75"/>
      <c r="F4089" s="76"/>
      <c r="G4089" s="77"/>
      <c r="H4089" s="195"/>
    </row>
    <row r="4090" spans="1:10">
      <c r="A4090" s="207"/>
      <c r="B4090" s="73"/>
      <c r="C4090" s="73"/>
      <c r="D4090" s="74"/>
      <c r="E4090" s="78"/>
      <c r="F4090" s="515" t="s">
        <v>4230</v>
      </c>
      <c r="G4090" s="516"/>
      <c r="H4090" s="214" t="e">
        <f>H4051+G4086+G4087+G4088</f>
        <v>#VALUE!</v>
      </c>
    </row>
    <row r="4091" spans="1:10">
      <c r="A4091" s="73"/>
      <c r="B4091" s="73"/>
      <c r="C4091" s="73"/>
      <c r="D4091" s="74"/>
      <c r="E4091" s="360"/>
      <c r="F4091" s="361"/>
      <c r="G4091" s="361"/>
      <c r="H4091" s="362"/>
    </row>
    <row r="4092" spans="1:10">
      <c r="A4092" s="80"/>
      <c r="B4092" s="80"/>
      <c r="C4092" s="80"/>
      <c r="D4092" s="80"/>
      <c r="E4092" s="80"/>
      <c r="F4092" s="80"/>
      <c r="G4092" s="80"/>
      <c r="H4092" s="353"/>
    </row>
    <row r="4093" spans="1:10">
      <c r="A4093" s="537" t="s">
        <v>4214</v>
      </c>
      <c r="B4093" s="538"/>
      <c r="C4093" s="538"/>
      <c r="D4093" s="538"/>
      <c r="E4093" s="538"/>
      <c r="F4093" s="538"/>
      <c r="G4093" s="538"/>
      <c r="H4093" s="539"/>
    </row>
    <row r="4094" spans="1:10">
      <c r="A4094" s="81"/>
      <c r="B4094" s="82"/>
      <c r="C4094" s="82"/>
      <c r="D4094" s="82"/>
      <c r="E4094" s="82"/>
      <c r="F4094" s="83"/>
      <c r="G4094" s="84"/>
      <c r="H4094" s="352">
        <f>ROUND((30/60)/8,4)</f>
        <v>6.25E-2</v>
      </c>
      <c r="I4094" s="105"/>
    </row>
    <row r="4095" spans="1:10">
      <c r="A4095" s="540" t="s">
        <v>4209</v>
      </c>
      <c r="B4095" s="542" t="str">
        <f>COSTOS!$C$14</f>
        <v>MODERNIZACION A TECNOLOGIA LED</v>
      </c>
      <c r="C4095" s="542"/>
      <c r="D4095" s="542"/>
      <c r="E4095" s="542"/>
      <c r="F4095" s="542"/>
      <c r="G4095" s="542"/>
      <c r="H4095" s="543" t="s">
        <v>4210</v>
      </c>
    </row>
    <row r="4096" spans="1:10">
      <c r="A4096" s="541"/>
      <c r="B4096" s="542"/>
      <c r="C4096" s="542"/>
      <c r="D4096" s="542"/>
      <c r="E4096" s="542"/>
      <c r="F4096" s="542"/>
      <c r="G4096" s="542"/>
      <c r="H4096" s="543"/>
    </row>
    <row r="4097" spans="1:15">
      <c r="A4097" s="541"/>
      <c r="B4097" s="542"/>
      <c r="C4097" s="542"/>
      <c r="D4097" s="542"/>
      <c r="E4097" s="542"/>
      <c r="F4097" s="542"/>
      <c r="G4097" s="542"/>
      <c r="H4097" s="543"/>
    </row>
    <row r="4098" spans="1:15" ht="15" customHeight="1">
      <c r="A4098" s="541"/>
      <c r="B4098" s="542"/>
      <c r="C4098" s="542"/>
      <c r="D4098" s="542"/>
      <c r="E4098" s="542"/>
      <c r="F4098" s="542"/>
      <c r="G4098" s="542"/>
      <c r="H4098" s="197">
        <f ca="1">TODAY()</f>
        <v>44889</v>
      </c>
      <c r="K4098" t="s">
        <v>4380</v>
      </c>
      <c r="L4098" t="s">
        <v>4381</v>
      </c>
      <c r="M4098" t="s">
        <v>4382</v>
      </c>
      <c r="N4098" t="s">
        <v>4383</v>
      </c>
    </row>
    <row r="4099" spans="1:15" ht="60.75" customHeight="1">
      <c r="A4099" s="209" t="s">
        <v>4211</v>
      </c>
      <c r="B4099" s="544" t="str">
        <f>COSTOS!$D$16</f>
        <v>Luminarias</v>
      </c>
      <c r="C4099" s="544"/>
      <c r="D4099" s="544"/>
      <c r="E4099" s="544"/>
      <c r="F4099" s="544"/>
      <c r="G4099" s="60" t="s">
        <v>4212</v>
      </c>
      <c r="H4099" s="359">
        <v>1.81</v>
      </c>
      <c r="K4099" s="55" t="e">
        <f>H4124</f>
        <v>#VALUE!</v>
      </c>
      <c r="L4099" s="55">
        <f>H4134</f>
        <v>20648</v>
      </c>
      <c r="M4099" s="55" t="e">
        <f>H4107</f>
        <v>#VALUE!</v>
      </c>
      <c r="N4099" s="55" t="e">
        <f>H4128</f>
        <v>#VALUE!</v>
      </c>
    </row>
    <row r="4100" spans="1:15" ht="43.2" customHeight="1">
      <c r="A4100" s="210" t="s">
        <v>4213</v>
      </c>
      <c r="B4100" s="545" t="str">
        <f>VLOOKUP(H4099,COSTOS!C:M,2,0)</f>
        <v>Reflector Led de 500w</v>
      </c>
      <c r="C4100" s="546"/>
      <c r="D4100" s="546"/>
      <c r="E4100" s="547"/>
      <c r="F4100" s="61" t="s">
        <v>0</v>
      </c>
      <c r="G4100" s="328" t="str">
        <f>VLOOKUP(H4099,COSTOS!C:M,8,0)</f>
        <v>Und</v>
      </c>
      <c r="H4100" s="248"/>
      <c r="I4100" s="278"/>
      <c r="J4100" s="280"/>
      <c r="K4100" s="280"/>
      <c r="L4100" s="280"/>
    </row>
    <row r="4101" spans="1:15">
      <c r="A4101" s="211"/>
      <c r="B4101" s="102"/>
      <c r="C4101" s="102"/>
      <c r="D4101" s="102"/>
      <c r="E4101" s="103"/>
      <c r="F4101" s="104" t="s">
        <v>1</v>
      </c>
      <c r="G4101" s="328">
        <f>VLOOKUP(H4099,COSTOS!C:M,9,0)</f>
        <v>0</v>
      </c>
      <c r="H4101" s="329"/>
      <c r="I4101" s="279"/>
    </row>
    <row r="4102" spans="1:15">
      <c r="A4102" s="212" t="s">
        <v>4215</v>
      </c>
      <c r="B4102" s="65"/>
      <c r="C4102" s="65"/>
      <c r="D4102" s="66"/>
      <c r="E4102" s="190"/>
      <c r="F4102" s="191"/>
      <c r="G4102" s="192" t="s">
        <v>4216</v>
      </c>
      <c r="H4102" s="198" t="e">
        <f>H4107+H4124+H4128+H4134</f>
        <v>#VALUE!</v>
      </c>
    </row>
    <row r="4103" spans="1:15" ht="41.4">
      <c r="A4103" s="548" t="s">
        <v>4213</v>
      </c>
      <c r="B4103" s="548"/>
      <c r="C4103" s="548"/>
      <c r="D4103" s="67" t="s">
        <v>0</v>
      </c>
      <c r="E4103" s="188" t="s">
        <v>4217</v>
      </c>
      <c r="F4103" s="189" t="s">
        <v>4204</v>
      </c>
      <c r="G4103" s="64" t="s">
        <v>2</v>
      </c>
      <c r="H4103" s="199" t="s">
        <v>4218</v>
      </c>
      <c r="K4103" s="281"/>
    </row>
    <row r="4104" spans="1:15">
      <c r="A4104" s="517" t="s">
        <v>3946</v>
      </c>
      <c r="B4104" s="549">
        <f>VLOOKUP(A4104,'Equip, Herr y Transp'!$B$2:$E$738,2,0)</f>
        <v>2</v>
      </c>
      <c r="C4104" s="549"/>
      <c r="D4104" s="85">
        <f>VLOOKUP(A4104,'Equip, Herr y Transp'!$B$2:$E$217,2,0)</f>
        <v>2</v>
      </c>
      <c r="E4104" s="85" t="str">
        <f>VLOOKUP(A4104,'Equip, Herr y Transp'!$B$2:$E$217,3,0)</f>
        <v>EQU</v>
      </c>
      <c r="F4104" s="86">
        <f>H4094</f>
        <v>6.25E-2</v>
      </c>
      <c r="G4104" s="112" t="e">
        <f>F4104*E4104</f>
        <v>#VALUE!</v>
      </c>
      <c r="H4104" s="108"/>
    </row>
    <row r="4105" spans="1:15">
      <c r="A4105" s="517" t="s">
        <v>3904</v>
      </c>
      <c r="B4105" s="549">
        <f>VLOOKUP(A4105,'Equip, Herr y Transp'!$B$2:$E$738,2,0)</f>
        <v>2</v>
      </c>
      <c r="C4105" s="549"/>
      <c r="D4105" s="85">
        <f>VLOOKUP(A4105,'Equip, Herr y Transp'!$B$2:$E$217,2,0)</f>
        <v>2</v>
      </c>
      <c r="E4105" s="85" t="str">
        <f>VLOOKUP(A4105,'Equip, Herr y Transp'!$B$2:$E$217,3,0)</f>
        <v>EQU</v>
      </c>
      <c r="F4105" s="86">
        <f>H4094</f>
        <v>6.25E-2</v>
      </c>
      <c r="G4105" s="112" t="e">
        <f>F4105*E4105</f>
        <v>#VALUE!</v>
      </c>
      <c r="H4105" s="107"/>
    </row>
    <row r="4106" spans="1:15">
      <c r="A4106" s="517" t="s">
        <v>3937</v>
      </c>
      <c r="B4106" s="549">
        <f>VLOOKUP(A4106,'Equip, Herr y Transp'!$B$2:$E$738,2,0)</f>
        <v>2</v>
      </c>
      <c r="C4106" s="549"/>
      <c r="D4106" s="85">
        <f>VLOOKUP(A4106,'Equip, Herr y Transp'!$B$2:$E$217,2,0)</f>
        <v>2</v>
      </c>
      <c r="E4106" s="85" t="str">
        <f>VLOOKUP(A4106,'Equip, Herr y Transp'!$B$2:$E$217,3,0)</f>
        <v>EQU</v>
      </c>
      <c r="F4106" s="86">
        <f>H4094</f>
        <v>6.25E-2</v>
      </c>
      <c r="G4106" s="112" t="e">
        <f>F4106*E4106</f>
        <v>#VALUE!</v>
      </c>
      <c r="H4106" s="107"/>
    </row>
    <row r="4107" spans="1:15">
      <c r="A4107" s="520" t="s">
        <v>4099</v>
      </c>
      <c r="B4107" s="521"/>
      <c r="C4107" s="521"/>
      <c r="D4107" s="521"/>
      <c r="E4107" s="521"/>
      <c r="F4107" s="521"/>
      <c r="G4107" s="521"/>
      <c r="H4107" s="87" t="e">
        <f>SUM(G4104:G4106)</f>
        <v>#VALUE!</v>
      </c>
    </row>
    <row r="4108" spans="1:15">
      <c r="A4108" s="550" t="s">
        <v>4219</v>
      </c>
      <c r="B4108" s="551"/>
      <c r="C4108" s="551"/>
      <c r="D4108" s="551"/>
      <c r="E4108" s="551"/>
      <c r="F4108" s="551"/>
      <c r="G4108" s="551"/>
      <c r="H4108" s="552"/>
      <c r="K4108" s="50"/>
      <c r="L4108" s="50"/>
      <c r="M4108" s="50"/>
      <c r="N4108" s="50"/>
      <c r="O4108" s="50"/>
    </row>
    <row r="4109" spans="1:15" ht="30" customHeight="1">
      <c r="A4109" s="553" t="s">
        <v>7</v>
      </c>
      <c r="B4109" s="554"/>
      <c r="C4109" s="99" t="s">
        <v>0</v>
      </c>
      <c r="D4109" s="100" t="s">
        <v>4097</v>
      </c>
      <c r="E4109" s="101" t="s">
        <v>1</v>
      </c>
      <c r="F4109" s="555" t="s">
        <v>4207</v>
      </c>
      <c r="G4109" s="555"/>
      <c r="H4109" s="196"/>
      <c r="K4109" s="50"/>
      <c r="L4109" s="50"/>
      <c r="M4109" s="50"/>
      <c r="N4109" s="50"/>
      <c r="O4109" s="50"/>
    </row>
    <row r="4110" spans="1:15">
      <c r="A4110" s="535" t="s">
        <v>4569</v>
      </c>
      <c r="B4110" s="536"/>
      <c r="C4110" s="88">
        <f>VLOOKUP(A4110,'Materiales '!$C$2:$G$396,3,0)</f>
        <v>4</v>
      </c>
      <c r="D4110" s="89" t="str">
        <f>VLOOKUP(A4110,'Materiales '!$C$2:$G$396,4,0)</f>
        <v>Und</v>
      </c>
      <c r="E4110" s="90">
        <v>1</v>
      </c>
      <c r="F4110" s="508" t="e">
        <f>E4110*D4110</f>
        <v>#VALUE!</v>
      </c>
      <c r="G4110" s="519"/>
      <c r="H4110" s="111"/>
      <c r="I4110">
        <f>E4110*G4101</f>
        <v>0</v>
      </c>
      <c r="J4110" s="57"/>
      <c r="K4110" s="50"/>
      <c r="L4110" s="50"/>
      <c r="M4110" s="50"/>
      <c r="N4110" s="50"/>
      <c r="O4110" s="50"/>
    </row>
    <row r="4111" spans="1:15">
      <c r="A4111" s="535" t="s">
        <v>4203</v>
      </c>
      <c r="B4111" s="536"/>
      <c r="C4111" s="88">
        <f>VLOOKUP(A4111,'Materiales '!$C$2:$G$396,3,0)</f>
        <v>4</v>
      </c>
      <c r="D4111" s="89" t="str">
        <f>VLOOKUP(A4111,'Materiales '!$C$2:$G$396,4,0)</f>
        <v>Und</v>
      </c>
      <c r="E4111" s="90">
        <v>1</v>
      </c>
      <c r="F4111" s="508" t="e">
        <f t="shared" ref="F4111:F4117" si="241">E4111*D4111</f>
        <v>#VALUE!</v>
      </c>
      <c r="G4111" s="519"/>
      <c r="H4111" s="111"/>
      <c r="I4111">
        <f>E4111*G4101</f>
        <v>0</v>
      </c>
      <c r="J4111" s="57"/>
      <c r="K4111" s="50"/>
      <c r="L4111" s="50"/>
      <c r="M4111" s="50"/>
      <c r="N4111" s="50"/>
      <c r="O4111" s="50"/>
    </row>
    <row r="4112" spans="1:15">
      <c r="A4112" s="517" t="s">
        <v>4473</v>
      </c>
      <c r="B4112" s="518">
        <f>VLOOKUP(A4112,'Materiales '!$C$2:$G$396,3,0)</f>
        <v>4</v>
      </c>
      <c r="C4112" s="88">
        <f>VLOOKUP(A4112,'Materiales '!$C$2:$G$396,3,0)</f>
        <v>4</v>
      </c>
      <c r="D4112" s="89" t="str">
        <f>VLOOKUP(A4112,'Materiales '!$C$2:$G$396,4,0)</f>
        <v>Und</v>
      </c>
      <c r="E4112" s="90">
        <v>2</v>
      </c>
      <c r="F4112" s="508" t="e">
        <f t="shared" si="241"/>
        <v>#VALUE!</v>
      </c>
      <c r="G4112" s="519"/>
      <c r="H4112" s="111"/>
      <c r="I4112">
        <f>E4112*G4101</f>
        <v>0</v>
      </c>
      <c r="J4112" s="58"/>
      <c r="K4112" s="50"/>
      <c r="L4112" s="50"/>
      <c r="M4112" s="50"/>
      <c r="N4112" s="50"/>
      <c r="O4112" s="50"/>
    </row>
    <row r="4113" spans="1:15">
      <c r="A4113" s="517" t="s">
        <v>4478</v>
      </c>
      <c r="B4113" s="518">
        <f>VLOOKUP(A4113,'Materiales '!$C$2:$G$396,3,0)</f>
        <v>4</v>
      </c>
      <c r="C4113" s="88">
        <f>VLOOKUP(A4113,'Materiales '!$C$2:$G$396,3,0)</f>
        <v>4</v>
      </c>
      <c r="D4113" s="89" t="str">
        <f>VLOOKUP(A4113,'Materiales '!$C$2:$G$396,4,0)</f>
        <v>Und</v>
      </c>
      <c r="E4113" s="90">
        <v>3</v>
      </c>
      <c r="F4113" s="508" t="e">
        <f t="shared" si="241"/>
        <v>#VALUE!</v>
      </c>
      <c r="G4113" s="519"/>
      <c r="H4113" s="111"/>
      <c r="I4113">
        <f>E4113*G4101</f>
        <v>0</v>
      </c>
      <c r="J4113" s="58"/>
      <c r="K4113" s="50"/>
      <c r="L4113" s="50"/>
      <c r="M4113" s="50"/>
      <c r="N4113" s="50"/>
      <c r="O4113" s="50"/>
    </row>
    <row r="4114" spans="1:15">
      <c r="A4114" s="517" t="s">
        <v>4543</v>
      </c>
      <c r="B4114" s="518">
        <f>VLOOKUP(A4114,'Materiales '!$C$2:$G$396,3,0)</f>
        <v>4</v>
      </c>
      <c r="C4114" s="88">
        <f>VLOOKUP(A4114,'Materiales '!$C$2:$G$396,3,0)</f>
        <v>4</v>
      </c>
      <c r="D4114" s="89" t="str">
        <f>VLOOKUP(A4114,'Materiales '!$C$2:$G$396,4,0)</f>
        <v>Und</v>
      </c>
      <c r="E4114" s="90">
        <v>2</v>
      </c>
      <c r="F4114" s="508" t="e">
        <f t="shared" si="241"/>
        <v>#VALUE!</v>
      </c>
      <c r="G4114" s="519"/>
      <c r="H4114" s="111"/>
      <c r="I4114">
        <f>E4114*G4101</f>
        <v>0</v>
      </c>
      <c r="J4114" s="58"/>
      <c r="K4114" s="50"/>
      <c r="L4114" s="50"/>
      <c r="M4114" s="50"/>
      <c r="N4114" s="50"/>
      <c r="O4114" s="50"/>
    </row>
    <row r="4115" spans="1:15">
      <c r="A4115" s="517" t="s">
        <v>4439</v>
      </c>
      <c r="B4115" s="518">
        <f>VLOOKUP(A4115,'Materiales '!$C$2:$G$396,3,0)</f>
        <v>2</v>
      </c>
      <c r="C4115" s="88">
        <f>VLOOKUP(A4115,'Materiales '!$C$2:$G$396,3,0)</f>
        <v>2</v>
      </c>
      <c r="D4115" s="89" t="str">
        <f>VLOOKUP(A4115,'Materiales '!$C$2:$G$396,4,0)</f>
        <v>Ml</v>
      </c>
      <c r="E4115" s="90">
        <v>1</v>
      </c>
      <c r="F4115" s="508" t="e">
        <f t="shared" si="241"/>
        <v>#VALUE!</v>
      </c>
      <c r="G4115" s="519"/>
      <c r="H4115" s="111"/>
      <c r="I4115">
        <f>E4115*G4101</f>
        <v>0</v>
      </c>
      <c r="J4115" s="58"/>
      <c r="K4115" s="50"/>
      <c r="L4115" s="50"/>
      <c r="M4115" s="50"/>
      <c r="N4115" s="50"/>
      <c r="O4115" s="50"/>
    </row>
    <row r="4116" spans="1:15">
      <c r="A4116" s="517" t="s">
        <v>4482</v>
      </c>
      <c r="B4116" s="518">
        <f>VLOOKUP(A4116,'Materiales '!$C$2:$G$396,3,0)</f>
        <v>4</v>
      </c>
      <c r="C4116" s="88">
        <f>VLOOKUP(A4116,'Materiales '!$C$2:$G$396,3,0)</f>
        <v>4</v>
      </c>
      <c r="D4116" s="89" t="str">
        <f>VLOOKUP(A4116,'Materiales '!$C$2:$G$396,4,0)</f>
        <v>Und</v>
      </c>
      <c r="E4116" s="90">
        <v>3</v>
      </c>
      <c r="F4116" s="508" t="e">
        <f t="shared" si="241"/>
        <v>#VALUE!</v>
      </c>
      <c r="G4116" s="519"/>
      <c r="H4116" s="111"/>
      <c r="I4116">
        <f>E4116*G4101</f>
        <v>0</v>
      </c>
      <c r="J4116" s="58"/>
      <c r="K4116" s="50"/>
      <c r="L4116" s="50"/>
      <c r="M4116" s="50"/>
      <c r="N4116" s="50"/>
      <c r="O4116" s="50"/>
    </row>
    <row r="4117" spans="1:15" ht="21.75" customHeight="1">
      <c r="A4117" s="517" t="s">
        <v>4487</v>
      </c>
      <c r="B4117" s="518">
        <f>VLOOKUP(A4117,'Materiales '!$C$2:$G$396,3,0)</f>
        <v>4</v>
      </c>
      <c r="C4117" s="88">
        <f>VLOOKUP(A4117,'Materiales '!$C$2:$G$396,3,0)</f>
        <v>4</v>
      </c>
      <c r="D4117" s="89" t="str">
        <f>VLOOKUP(A4117,'Materiales '!$C$2:$G$396,4,0)</f>
        <v>Und</v>
      </c>
      <c r="E4117" s="90">
        <v>0.5</v>
      </c>
      <c r="F4117" s="508" t="e">
        <f t="shared" si="241"/>
        <v>#VALUE!</v>
      </c>
      <c r="G4117" s="519"/>
      <c r="H4117" s="111"/>
      <c r="I4117">
        <f>E4117*G4101</f>
        <v>0</v>
      </c>
      <c r="J4117" s="58"/>
      <c r="K4117" s="50"/>
      <c r="L4117" s="50"/>
      <c r="M4117" s="50"/>
      <c r="N4117" s="50"/>
      <c r="O4117" s="50"/>
    </row>
    <row r="4118" spans="1:15">
      <c r="A4118" s="517" t="s">
        <v>8</v>
      </c>
      <c r="B4118" s="518">
        <f>VLOOKUP(A4118,'Materiales '!$C$2:$G$396,3,0)</f>
        <v>0</v>
      </c>
      <c r="C4118" s="88">
        <f>VLOOKUP(A4118,'Materiales '!$C$2:$G$396,3,0)</f>
        <v>0</v>
      </c>
      <c r="D4118" s="89" t="str">
        <f>VLOOKUP(A4118,'Materiales '!$C$2:$G$396,4,0)</f>
        <v>-</v>
      </c>
      <c r="E4118" s="90"/>
      <c r="F4118" s="508" t="e">
        <f>E4118*D4118</f>
        <v>#VALUE!</v>
      </c>
      <c r="G4118" s="519"/>
      <c r="H4118" s="110"/>
      <c r="I4118">
        <f>E4118*G4101</f>
        <v>0</v>
      </c>
      <c r="J4118" s="58"/>
      <c r="K4118" s="50"/>
      <c r="L4118" s="50"/>
      <c r="M4118" s="50"/>
      <c r="N4118" s="50"/>
      <c r="O4118" s="50"/>
    </row>
    <row r="4119" spans="1:15">
      <c r="A4119" s="517" t="s">
        <v>8</v>
      </c>
      <c r="B4119" s="518">
        <f>VLOOKUP(A4119,'Materiales '!$C$2:$G$396,3,0)</f>
        <v>0</v>
      </c>
      <c r="C4119" s="88">
        <f>VLOOKUP(A4119,'Materiales '!$C$2:$G$396,3,0)</f>
        <v>0</v>
      </c>
      <c r="D4119" s="89" t="str">
        <f>VLOOKUP(A4119,'Materiales '!$C$2:$G$396,4,0)</f>
        <v>-</v>
      </c>
      <c r="E4119" s="90"/>
      <c r="F4119" s="508" t="e">
        <f t="shared" ref="F4119:F4122" si="242">E4119*D4119</f>
        <v>#VALUE!</v>
      </c>
      <c r="G4119" s="519"/>
      <c r="H4119" s="111"/>
      <c r="I4119">
        <f>E4119*G4101</f>
        <v>0</v>
      </c>
      <c r="J4119" s="58"/>
      <c r="K4119" s="50"/>
      <c r="L4119" s="50"/>
      <c r="M4119" s="50"/>
      <c r="N4119" s="50"/>
      <c r="O4119" s="50"/>
    </row>
    <row r="4120" spans="1:15">
      <c r="A4120" s="517" t="s">
        <v>8</v>
      </c>
      <c r="B4120" s="518">
        <f>VLOOKUP(A4120,'Materiales '!$C$2:$G$396,3,0)</f>
        <v>0</v>
      </c>
      <c r="C4120" s="88">
        <f>VLOOKUP(A4120,'Materiales '!$C$2:$G$396,3,0)</f>
        <v>0</v>
      </c>
      <c r="D4120" s="89" t="str">
        <f>VLOOKUP(A4120,'Materiales '!$C$2:$G$396,4,0)</f>
        <v>-</v>
      </c>
      <c r="E4120" s="90"/>
      <c r="F4120" s="508" t="e">
        <f t="shared" si="242"/>
        <v>#VALUE!</v>
      </c>
      <c r="G4120" s="519"/>
      <c r="H4120" s="111"/>
      <c r="I4120">
        <f>E4120*G4101</f>
        <v>0</v>
      </c>
      <c r="J4120" s="58"/>
      <c r="K4120" s="50"/>
      <c r="L4120" s="50"/>
      <c r="M4120" s="50"/>
      <c r="N4120" s="50"/>
      <c r="O4120" s="50"/>
    </row>
    <row r="4121" spans="1:15">
      <c r="A4121" s="517" t="s">
        <v>8</v>
      </c>
      <c r="B4121" s="518">
        <f>VLOOKUP(A4121,'Materiales '!$C$2:$G$396,3,0)</f>
        <v>0</v>
      </c>
      <c r="C4121" s="88">
        <f>VLOOKUP(A4121,'Materiales '!$C$2:$G$396,3,0)</f>
        <v>0</v>
      </c>
      <c r="D4121" s="89" t="str">
        <f>VLOOKUP(A4121,'Materiales '!$C$2:$G$396,4,0)</f>
        <v>-</v>
      </c>
      <c r="E4121" s="90"/>
      <c r="F4121" s="508" t="e">
        <f t="shared" si="242"/>
        <v>#VALUE!</v>
      </c>
      <c r="G4121" s="519"/>
      <c r="H4121" s="111"/>
      <c r="I4121">
        <f>E4121*G4101</f>
        <v>0</v>
      </c>
      <c r="J4121" s="58"/>
      <c r="K4121" s="50"/>
      <c r="L4121" s="50"/>
      <c r="M4121" s="50"/>
      <c r="N4121" s="50"/>
      <c r="O4121" s="50"/>
    </row>
    <row r="4122" spans="1:15">
      <c r="A4122" s="517" t="s">
        <v>8</v>
      </c>
      <c r="B4122" s="518">
        <f>VLOOKUP(A4122,'Materiales '!$C$2:$G$396,3,0)</f>
        <v>0</v>
      </c>
      <c r="C4122" s="88">
        <f>VLOOKUP(A4122,'Materiales '!$C$2:$G$396,3,0)</f>
        <v>0</v>
      </c>
      <c r="D4122" s="89" t="str">
        <f>VLOOKUP(A4122,'Materiales '!$C$2:$G$396,4,0)</f>
        <v>-</v>
      </c>
      <c r="E4122" s="90"/>
      <c r="F4122" s="508" t="e">
        <f t="shared" si="242"/>
        <v>#VALUE!</v>
      </c>
      <c r="G4122" s="519"/>
      <c r="H4122" s="111"/>
      <c r="I4122">
        <f>E4122*G4101</f>
        <v>0</v>
      </c>
      <c r="J4122" s="58"/>
      <c r="K4122" s="50"/>
      <c r="L4122" s="50"/>
      <c r="M4122" s="50"/>
      <c r="N4122" s="50"/>
      <c r="O4122" s="50"/>
    </row>
    <row r="4123" spans="1:15">
      <c r="A4123" s="517" t="s">
        <v>8</v>
      </c>
      <c r="B4123" s="518">
        <f>VLOOKUP(A4123,'Materiales '!$C$2:$G$396,3,0)</f>
        <v>0</v>
      </c>
      <c r="C4123" s="88">
        <f>VLOOKUP(A4123,'Materiales '!$C$2:$G$396,3,0)</f>
        <v>0</v>
      </c>
      <c r="D4123" s="89" t="str">
        <f>VLOOKUP(A4123,'Materiales '!$C$2:$G$396,4,0)</f>
        <v>-</v>
      </c>
      <c r="E4123" s="90"/>
      <c r="F4123" s="508" t="e">
        <f>E4123*D4123</f>
        <v>#VALUE!</v>
      </c>
      <c r="G4123" s="519"/>
      <c r="H4123" s="110"/>
      <c r="I4123">
        <f>E4123*G4101</f>
        <v>0</v>
      </c>
      <c r="J4123" s="58"/>
      <c r="K4123" s="50"/>
      <c r="L4123" s="50"/>
      <c r="M4123" s="50"/>
      <c r="N4123" s="50"/>
      <c r="O4123" s="50"/>
    </row>
    <row r="4124" spans="1:15">
      <c r="A4124" s="520" t="s">
        <v>4098</v>
      </c>
      <c r="B4124" s="521"/>
      <c r="C4124" s="521"/>
      <c r="D4124" s="521"/>
      <c r="E4124" s="521"/>
      <c r="F4124" s="521"/>
      <c r="G4124" s="522"/>
      <c r="H4124" s="106" t="e">
        <f>SUM(F4110:F4123)</f>
        <v>#VALUE!</v>
      </c>
      <c r="J4124" s="58"/>
      <c r="K4124" s="50"/>
      <c r="L4124" s="50"/>
      <c r="M4124" s="50"/>
      <c r="N4124" s="50"/>
      <c r="O4124" s="50"/>
    </row>
    <row r="4125" spans="1:15">
      <c r="A4125" s="523" t="s">
        <v>4220</v>
      </c>
      <c r="B4125" s="524"/>
      <c r="C4125" s="524"/>
      <c r="D4125" s="524"/>
      <c r="E4125" s="525"/>
      <c r="F4125" s="524"/>
      <c r="G4125" s="524"/>
      <c r="H4125" s="526"/>
      <c r="J4125" s="58"/>
      <c r="K4125" s="50"/>
      <c r="L4125" s="50"/>
      <c r="M4125" s="50"/>
      <c r="N4125" s="50"/>
      <c r="O4125" s="50"/>
    </row>
    <row r="4126" spans="1:15">
      <c r="A4126" s="527" t="s">
        <v>7</v>
      </c>
      <c r="B4126" s="528"/>
      <c r="C4126" s="98" t="s">
        <v>4221</v>
      </c>
      <c r="D4126" s="97" t="s">
        <v>4222</v>
      </c>
      <c r="E4126" s="187" t="s">
        <v>4223</v>
      </c>
      <c r="F4126" s="529" t="s">
        <v>4207</v>
      </c>
      <c r="G4126" s="529"/>
      <c r="H4126" s="109"/>
      <c r="K4126" s="50"/>
      <c r="L4126" s="50"/>
      <c r="M4126" s="50"/>
      <c r="N4126" s="50"/>
      <c r="O4126" s="50"/>
    </row>
    <row r="4127" spans="1:15">
      <c r="A4127" s="506" t="s">
        <v>3928</v>
      </c>
      <c r="B4127" s="507"/>
      <c r="C4127" s="213">
        <v>1</v>
      </c>
      <c r="D4127" s="92">
        <v>0.03</v>
      </c>
      <c r="E4127" s="93" t="str">
        <f>VLOOKUP(A4127,'Equip, Herr y Transp'!$B$2:$E$217,3,0)</f>
        <v>TR</v>
      </c>
      <c r="F4127" s="530" t="e">
        <f>E4127*D4127*C4127</f>
        <v>#VALUE!</v>
      </c>
      <c r="G4127" s="531"/>
      <c r="H4127" s="107"/>
      <c r="M4127" s="50"/>
    </row>
    <row r="4128" spans="1:15">
      <c r="A4128" s="532" t="s">
        <v>4205</v>
      </c>
      <c r="B4128" s="533"/>
      <c r="C4128" s="533"/>
      <c r="D4128" s="533"/>
      <c r="E4128" s="533"/>
      <c r="F4128" s="533"/>
      <c r="G4128" s="533"/>
      <c r="H4128" s="95" t="e">
        <f>F4127</f>
        <v>#VALUE!</v>
      </c>
    </row>
    <row r="4129" spans="1:10">
      <c r="A4129" s="523" t="s">
        <v>4224</v>
      </c>
      <c r="B4129" s="524"/>
      <c r="C4129" s="524"/>
      <c r="D4129" s="524"/>
      <c r="E4129" s="524"/>
      <c r="F4129" s="524"/>
      <c r="G4129" s="524"/>
      <c r="H4129" s="526"/>
    </row>
    <row r="4130" spans="1:10">
      <c r="A4130" s="527" t="s">
        <v>7</v>
      </c>
      <c r="B4130" s="528"/>
      <c r="C4130" s="96" t="s">
        <v>1</v>
      </c>
      <c r="D4130" s="97" t="s">
        <v>4225</v>
      </c>
      <c r="E4130" s="98" t="s">
        <v>4204</v>
      </c>
      <c r="F4130" s="527" t="s">
        <v>5</v>
      </c>
      <c r="G4130" s="534"/>
      <c r="H4130" s="109"/>
    </row>
    <row r="4131" spans="1:10">
      <c r="A4131" s="506" t="s">
        <v>4191</v>
      </c>
      <c r="B4131" s="507"/>
      <c r="C4131" s="91">
        <v>1</v>
      </c>
      <c r="D4131" s="94">
        <f>VLOOKUP(A4131,'Mano Obra'!$B$2:$T$117,19,0)</f>
        <v>152456</v>
      </c>
      <c r="E4131" s="218">
        <f>H4094</f>
        <v>6.25E-2</v>
      </c>
      <c r="F4131" s="508">
        <f>E4131*D4131*C4131</f>
        <v>9528.5</v>
      </c>
      <c r="G4131" s="509"/>
      <c r="H4131" s="111"/>
      <c r="I4131" s="59"/>
      <c r="J4131" s="117">
        <f>((('Mano Obra'!$M$4/30)*F4131)/D4131)*G4101</f>
        <v>0</v>
      </c>
    </row>
    <row r="4132" spans="1:10">
      <c r="A4132" s="510" t="s">
        <v>4192</v>
      </c>
      <c r="B4132" s="511">
        <f>VLOOKUP(A4132,'Mano Obra'!$B$3:$D$290,2,0)</f>
        <v>1900000</v>
      </c>
      <c r="C4132" s="91">
        <v>1</v>
      </c>
      <c r="D4132" s="94">
        <f>VLOOKUP(A4132,'Mano Obra'!$B$2:$T$117,19,0)</f>
        <v>110488</v>
      </c>
      <c r="E4132" s="218">
        <f>H4094</f>
        <v>6.25E-2</v>
      </c>
      <c r="F4132" s="508">
        <f t="shared" ref="F4132:F4133" si="243">E4132*D4132*C4132</f>
        <v>6905.5</v>
      </c>
      <c r="G4132" s="509"/>
      <c r="H4132" s="111"/>
      <c r="J4132" s="117">
        <f>((('Mano Obra'!$M$5/30)*F4132)/D4132)*G4101</f>
        <v>0</v>
      </c>
    </row>
    <row r="4133" spans="1:10">
      <c r="A4133" s="510" t="s">
        <v>4181</v>
      </c>
      <c r="B4133" s="511">
        <f>VLOOKUP(A4133,'Mano Obra'!$B$3:$D$290,2,0)</f>
        <v>1000000</v>
      </c>
      <c r="C4133" s="91">
        <v>1</v>
      </c>
      <c r="D4133" s="94">
        <f>VLOOKUP(A4133,'Mano Obra'!$B$2:$T$117,19,0)</f>
        <v>67424</v>
      </c>
      <c r="E4133" s="218">
        <f>H4094</f>
        <v>6.25E-2</v>
      </c>
      <c r="F4133" s="508">
        <f t="shared" si="243"/>
        <v>4214</v>
      </c>
      <c r="G4133" s="509"/>
      <c r="H4133" s="110"/>
      <c r="J4133" s="117">
        <f>((('Mano Obra'!$M$6/30)*F4133)/D4133)*G4101</f>
        <v>0</v>
      </c>
    </row>
    <row r="4134" spans="1:10">
      <c r="A4134" s="512" t="s">
        <v>4100</v>
      </c>
      <c r="B4134" s="512"/>
      <c r="C4134" s="512"/>
      <c r="D4134" s="512"/>
      <c r="E4134" s="512"/>
      <c r="F4134" s="512"/>
      <c r="G4134" s="512"/>
      <c r="H4134" s="95">
        <f>SUM(F4131:F4133)</f>
        <v>20648</v>
      </c>
      <c r="J4134" s="117"/>
    </row>
    <row r="4135" spans="1:10">
      <c r="A4135" s="208" t="s">
        <v>4226</v>
      </c>
      <c r="B4135" s="186"/>
      <c r="C4135" s="186"/>
      <c r="D4135" s="183"/>
      <c r="E4135" s="184"/>
      <c r="F4135" s="185"/>
      <c r="G4135" s="184"/>
      <c r="H4135" s="193"/>
    </row>
    <row r="4136" spans="1:10">
      <c r="A4136" s="513" t="s">
        <v>4213</v>
      </c>
      <c r="B4136" s="514"/>
      <c r="C4136" s="514"/>
      <c r="D4136" s="514"/>
      <c r="E4136" s="181"/>
      <c r="F4136" s="182" t="s">
        <v>4227</v>
      </c>
      <c r="G4136" s="181" t="s">
        <v>4228</v>
      </c>
      <c r="H4136" s="194"/>
    </row>
    <row r="4137" spans="1:10">
      <c r="A4137" s="204" t="s">
        <v>4096</v>
      </c>
      <c r="B4137" s="62"/>
      <c r="C4137" s="62"/>
      <c r="D4137" s="63"/>
      <c r="E4137" s="68"/>
      <c r="F4137" s="69">
        <v>0</v>
      </c>
      <c r="G4137" s="70" t="e">
        <f>F4137*H4102</f>
        <v>#VALUE!</v>
      </c>
      <c r="H4137" s="193"/>
    </row>
    <row r="4138" spans="1:10">
      <c r="A4138" s="205" t="s">
        <v>4229</v>
      </c>
      <c r="B4138" s="71"/>
      <c r="C4138" s="71"/>
      <c r="D4138" s="72"/>
      <c r="E4138" s="68"/>
      <c r="F4138" s="69">
        <v>0</v>
      </c>
      <c r="G4138" s="70" t="e">
        <f>F4138*H4102</f>
        <v>#VALUE!</v>
      </c>
      <c r="H4138" s="193"/>
    </row>
    <row r="4139" spans="1:10">
      <c r="A4139" s="205" t="s">
        <v>4</v>
      </c>
      <c r="B4139" s="71"/>
      <c r="C4139" s="71"/>
      <c r="D4139" s="72"/>
      <c r="E4139" s="68"/>
      <c r="F4139" s="69">
        <v>0</v>
      </c>
      <c r="G4139" s="70" t="e">
        <f>F4139*H4102</f>
        <v>#VALUE!</v>
      </c>
      <c r="H4139" s="193"/>
    </row>
    <row r="4140" spans="1:10">
      <c r="A4140" s="206"/>
      <c r="B4140" s="73"/>
      <c r="C4140" s="65"/>
      <c r="D4140" s="74"/>
      <c r="E4140" s="75"/>
      <c r="F4140" s="76"/>
      <c r="G4140" s="77"/>
      <c r="H4140" s="195"/>
    </row>
    <row r="4141" spans="1:10">
      <c r="A4141" s="207"/>
      <c r="B4141" s="73"/>
      <c r="C4141" s="73"/>
      <c r="D4141" s="74"/>
      <c r="E4141" s="78"/>
      <c r="F4141" s="515" t="s">
        <v>4230</v>
      </c>
      <c r="G4141" s="516"/>
      <c r="H4141" s="214" t="e">
        <f>H4102+G4137+G4138+G4139</f>
        <v>#VALUE!</v>
      </c>
    </row>
    <row r="4142" spans="1:10">
      <c r="A4142" s="73"/>
      <c r="B4142" s="73"/>
      <c r="C4142" s="73"/>
      <c r="D4142" s="74"/>
      <c r="E4142" s="360"/>
      <c r="F4142" s="361"/>
      <c r="G4142" s="361"/>
      <c r="H4142" s="362"/>
    </row>
    <row r="4143" spans="1:10">
      <c r="A4143" s="80"/>
      <c r="B4143" s="80"/>
      <c r="C4143" s="80"/>
      <c r="D4143" s="80"/>
      <c r="E4143" s="80"/>
      <c r="F4143" s="80"/>
      <c r="G4143" s="80"/>
      <c r="H4143" s="353"/>
    </row>
    <row r="4144" spans="1:10">
      <c r="A4144" s="537" t="s">
        <v>4214</v>
      </c>
      <c r="B4144" s="538"/>
      <c r="C4144" s="538"/>
      <c r="D4144" s="538"/>
      <c r="E4144" s="538"/>
      <c r="F4144" s="538"/>
      <c r="G4144" s="538"/>
      <c r="H4144" s="539"/>
    </row>
    <row r="4145" spans="1:15">
      <c r="A4145" s="81"/>
      <c r="B4145" s="82"/>
      <c r="C4145" s="82"/>
      <c r="D4145" s="82"/>
      <c r="E4145" s="82"/>
      <c r="F4145" s="83"/>
      <c r="G4145" s="84"/>
      <c r="H4145" s="352">
        <f>ROUND((30/60)/8,4)</f>
        <v>6.25E-2</v>
      </c>
      <c r="I4145" s="105"/>
    </row>
    <row r="4146" spans="1:15">
      <c r="A4146" s="540" t="s">
        <v>4209</v>
      </c>
      <c r="B4146" s="542" t="str">
        <f>COSTOS!$C$14</f>
        <v>MODERNIZACION A TECNOLOGIA LED</v>
      </c>
      <c r="C4146" s="542"/>
      <c r="D4146" s="542"/>
      <c r="E4146" s="542"/>
      <c r="F4146" s="542"/>
      <c r="G4146" s="542"/>
      <c r="H4146" s="543" t="s">
        <v>4210</v>
      </c>
    </row>
    <row r="4147" spans="1:15">
      <c r="A4147" s="541"/>
      <c r="B4147" s="542"/>
      <c r="C4147" s="542"/>
      <c r="D4147" s="542"/>
      <c r="E4147" s="542"/>
      <c r="F4147" s="542"/>
      <c r="G4147" s="542"/>
      <c r="H4147" s="543"/>
    </row>
    <row r="4148" spans="1:15">
      <c r="A4148" s="541"/>
      <c r="B4148" s="542"/>
      <c r="C4148" s="542"/>
      <c r="D4148" s="542"/>
      <c r="E4148" s="542"/>
      <c r="F4148" s="542"/>
      <c r="G4148" s="542"/>
      <c r="H4148" s="543"/>
    </row>
    <row r="4149" spans="1:15" ht="15" customHeight="1">
      <c r="A4149" s="541"/>
      <c r="B4149" s="542"/>
      <c r="C4149" s="542"/>
      <c r="D4149" s="542"/>
      <c r="E4149" s="542"/>
      <c r="F4149" s="542"/>
      <c r="G4149" s="542"/>
      <c r="H4149" s="197">
        <f ca="1">TODAY()</f>
        <v>44889</v>
      </c>
      <c r="K4149" t="s">
        <v>4380</v>
      </c>
      <c r="L4149" t="s">
        <v>4381</v>
      </c>
      <c r="M4149" t="s">
        <v>4382</v>
      </c>
      <c r="N4149" t="s">
        <v>4383</v>
      </c>
    </row>
    <row r="4150" spans="1:15" ht="60.75" customHeight="1">
      <c r="A4150" s="209" t="s">
        <v>4211</v>
      </c>
      <c r="B4150" s="544" t="str">
        <f>COSTOS!$D$16</f>
        <v>Luminarias</v>
      </c>
      <c r="C4150" s="544"/>
      <c r="D4150" s="544"/>
      <c r="E4150" s="544"/>
      <c r="F4150" s="544"/>
      <c r="G4150" s="60" t="s">
        <v>4212</v>
      </c>
      <c r="H4150" s="359">
        <v>1.82</v>
      </c>
      <c r="K4150" s="55" t="e">
        <f>H4175</f>
        <v>#VALUE!</v>
      </c>
      <c r="L4150" s="55">
        <f>H4185</f>
        <v>20648</v>
      </c>
      <c r="M4150" s="55" t="e">
        <f>H4158</f>
        <v>#VALUE!</v>
      </c>
      <c r="N4150" s="55" t="e">
        <f>H4179</f>
        <v>#VALUE!</v>
      </c>
    </row>
    <row r="4151" spans="1:15" ht="43.2" customHeight="1">
      <c r="A4151" s="210" t="s">
        <v>4213</v>
      </c>
      <c r="B4151" s="545" t="str">
        <f>VLOOKUP(H4150,COSTOS!C:M,2,0)</f>
        <v>Reflector Led de 70w agm</v>
      </c>
      <c r="C4151" s="546"/>
      <c r="D4151" s="546"/>
      <c r="E4151" s="547"/>
      <c r="F4151" s="61" t="s">
        <v>0</v>
      </c>
      <c r="G4151" s="328" t="str">
        <f>VLOOKUP(H4150,COSTOS!C:M,8,0)</f>
        <v>Und</v>
      </c>
      <c r="H4151" s="248"/>
      <c r="I4151" s="278"/>
      <c r="J4151" s="280"/>
      <c r="K4151" s="280"/>
      <c r="L4151" s="280"/>
    </row>
    <row r="4152" spans="1:15">
      <c r="A4152" s="211"/>
      <c r="B4152" s="102"/>
      <c r="C4152" s="102"/>
      <c r="D4152" s="102"/>
      <c r="E4152" s="103"/>
      <c r="F4152" s="104" t="s">
        <v>1</v>
      </c>
      <c r="G4152" s="328">
        <f>VLOOKUP(H4150,COSTOS!C:M,9,0)</f>
        <v>0</v>
      </c>
      <c r="H4152" s="329"/>
      <c r="I4152" s="279"/>
    </row>
    <row r="4153" spans="1:15">
      <c r="A4153" s="212" t="s">
        <v>4215</v>
      </c>
      <c r="B4153" s="65"/>
      <c r="C4153" s="65"/>
      <c r="D4153" s="66"/>
      <c r="E4153" s="190"/>
      <c r="F4153" s="191"/>
      <c r="G4153" s="192" t="s">
        <v>4216</v>
      </c>
      <c r="H4153" s="198" t="e">
        <f>H4158+H4175+H4179+H4185</f>
        <v>#VALUE!</v>
      </c>
    </row>
    <row r="4154" spans="1:15" ht="41.4">
      <c r="A4154" s="548" t="s">
        <v>4213</v>
      </c>
      <c r="B4154" s="548"/>
      <c r="C4154" s="548"/>
      <c r="D4154" s="67" t="s">
        <v>0</v>
      </c>
      <c r="E4154" s="188" t="s">
        <v>4217</v>
      </c>
      <c r="F4154" s="189" t="s">
        <v>4204</v>
      </c>
      <c r="G4154" s="64" t="s">
        <v>2</v>
      </c>
      <c r="H4154" s="199" t="s">
        <v>4218</v>
      </c>
      <c r="K4154" s="281"/>
    </row>
    <row r="4155" spans="1:15">
      <c r="A4155" s="517" t="s">
        <v>3946</v>
      </c>
      <c r="B4155" s="549">
        <f>VLOOKUP(A4155,'Equip, Herr y Transp'!$B$2:$E$738,2,0)</f>
        <v>2</v>
      </c>
      <c r="C4155" s="549"/>
      <c r="D4155" s="85">
        <f>VLOOKUP(A4155,'Equip, Herr y Transp'!$B$2:$E$217,2,0)</f>
        <v>2</v>
      </c>
      <c r="E4155" s="85" t="str">
        <f>VLOOKUP(A4155,'Equip, Herr y Transp'!$B$2:$E$217,3,0)</f>
        <v>EQU</v>
      </c>
      <c r="F4155" s="86">
        <f>H4145</f>
        <v>6.25E-2</v>
      </c>
      <c r="G4155" s="112" t="e">
        <f>F4155*E4155</f>
        <v>#VALUE!</v>
      </c>
      <c r="H4155" s="108"/>
      <c r="L4155">
        <f>280/70</f>
        <v>4</v>
      </c>
    </row>
    <row r="4156" spans="1:15">
      <c r="A4156" s="517" t="s">
        <v>3904</v>
      </c>
      <c r="B4156" s="549">
        <f>VLOOKUP(A4156,'Equip, Herr y Transp'!$B$2:$E$738,2,0)</f>
        <v>2</v>
      </c>
      <c r="C4156" s="549"/>
      <c r="D4156" s="85">
        <f>VLOOKUP(A4156,'Equip, Herr y Transp'!$B$2:$E$217,2,0)</f>
        <v>2</v>
      </c>
      <c r="E4156" s="85" t="str">
        <f>VLOOKUP(A4156,'Equip, Herr y Transp'!$B$2:$E$217,3,0)</f>
        <v>EQU</v>
      </c>
      <c r="F4156" s="86">
        <f>H4145</f>
        <v>6.25E-2</v>
      </c>
      <c r="G4156" s="112" t="e">
        <f>F4156*E4156</f>
        <v>#VALUE!</v>
      </c>
      <c r="H4156" s="107"/>
    </row>
    <row r="4157" spans="1:15">
      <c r="A4157" s="517" t="s">
        <v>3937</v>
      </c>
      <c r="B4157" s="549">
        <f>VLOOKUP(A4157,'Equip, Herr y Transp'!$B$2:$E$738,2,0)</f>
        <v>2</v>
      </c>
      <c r="C4157" s="549"/>
      <c r="D4157" s="85">
        <f>VLOOKUP(A4157,'Equip, Herr y Transp'!$B$2:$E$217,2,0)</f>
        <v>2</v>
      </c>
      <c r="E4157" s="85" t="str">
        <f>VLOOKUP(A4157,'Equip, Herr y Transp'!$B$2:$E$217,3,0)</f>
        <v>EQU</v>
      </c>
      <c r="F4157" s="86">
        <f>H4145</f>
        <v>6.25E-2</v>
      </c>
      <c r="G4157" s="112" t="e">
        <f>F4157*E4157</f>
        <v>#VALUE!</v>
      </c>
      <c r="H4157" s="107"/>
    </row>
    <row r="4158" spans="1:15">
      <c r="A4158" s="520" t="s">
        <v>4099</v>
      </c>
      <c r="B4158" s="521"/>
      <c r="C4158" s="521"/>
      <c r="D4158" s="521"/>
      <c r="E4158" s="521"/>
      <c r="F4158" s="521"/>
      <c r="G4158" s="521"/>
      <c r="H4158" s="87" t="e">
        <f>SUM(G4155:G4157)</f>
        <v>#VALUE!</v>
      </c>
    </row>
    <row r="4159" spans="1:15">
      <c r="A4159" s="550" t="s">
        <v>4219</v>
      </c>
      <c r="B4159" s="551"/>
      <c r="C4159" s="551"/>
      <c r="D4159" s="551"/>
      <c r="E4159" s="551"/>
      <c r="F4159" s="551"/>
      <c r="G4159" s="551"/>
      <c r="H4159" s="552"/>
      <c r="K4159" s="50"/>
      <c r="L4159" s="50"/>
      <c r="M4159" s="50"/>
      <c r="N4159" s="50"/>
      <c r="O4159" s="50"/>
    </row>
    <row r="4160" spans="1:15" ht="30" customHeight="1">
      <c r="A4160" s="553" t="s">
        <v>7</v>
      </c>
      <c r="B4160" s="554"/>
      <c r="C4160" s="99" t="s">
        <v>0</v>
      </c>
      <c r="D4160" s="100" t="s">
        <v>4097</v>
      </c>
      <c r="E4160" s="101" t="s">
        <v>1</v>
      </c>
      <c r="F4160" s="555" t="s">
        <v>4207</v>
      </c>
      <c r="G4160" s="555"/>
      <c r="H4160" s="196"/>
      <c r="K4160" s="50"/>
      <c r="L4160" s="50"/>
      <c r="M4160" s="50"/>
      <c r="N4160" s="50"/>
      <c r="O4160" s="50"/>
    </row>
    <row r="4161" spans="1:15">
      <c r="A4161" s="535" t="s">
        <v>4981</v>
      </c>
      <c r="B4161" s="536"/>
      <c r="C4161" s="88">
        <f>VLOOKUP(A4161,'Materiales '!$C$2:$G$396,3,0)</f>
        <v>4</v>
      </c>
      <c r="D4161" s="89" t="str">
        <f>VLOOKUP(A4161,'Materiales '!$C$2:$G$396,4,0)</f>
        <v>Und</v>
      </c>
      <c r="E4161" s="90">
        <v>1</v>
      </c>
      <c r="F4161" s="508" t="e">
        <f>E4161*D4161</f>
        <v>#VALUE!</v>
      </c>
      <c r="G4161" s="519"/>
      <c r="H4161" s="111"/>
      <c r="I4161">
        <f>E4161*G4152</f>
        <v>0</v>
      </c>
      <c r="J4161" s="57"/>
      <c r="K4161" s="50"/>
      <c r="L4161" s="50"/>
      <c r="M4161" s="50"/>
      <c r="N4161" s="50"/>
      <c r="O4161" s="50"/>
    </row>
    <row r="4162" spans="1:15">
      <c r="A4162" s="535" t="s">
        <v>4203</v>
      </c>
      <c r="B4162" s="536"/>
      <c r="C4162" s="88">
        <f>VLOOKUP(A4162,'Materiales '!$C$2:$G$396,3,0)</f>
        <v>4</v>
      </c>
      <c r="D4162" s="89" t="str">
        <f>VLOOKUP(A4162,'Materiales '!$C$2:$G$396,4,0)</f>
        <v>Und</v>
      </c>
      <c r="E4162" s="90">
        <v>1</v>
      </c>
      <c r="F4162" s="508" t="e">
        <f t="shared" ref="F4162:F4168" si="244">E4162*D4162</f>
        <v>#VALUE!</v>
      </c>
      <c r="G4162" s="519"/>
      <c r="H4162" s="111"/>
      <c r="I4162">
        <f>E4162*G4152</f>
        <v>0</v>
      </c>
      <c r="J4162" s="57"/>
      <c r="K4162" s="50"/>
      <c r="L4162" s="50"/>
      <c r="M4162" s="50"/>
      <c r="N4162" s="50"/>
      <c r="O4162" s="50"/>
    </row>
    <row r="4163" spans="1:15">
      <c r="A4163" s="517" t="s">
        <v>4473</v>
      </c>
      <c r="B4163" s="518">
        <f>VLOOKUP(A4163,'Materiales '!$C$2:$G$396,3,0)</f>
        <v>4</v>
      </c>
      <c r="C4163" s="88">
        <f>VLOOKUP(A4163,'Materiales '!$C$2:$G$396,3,0)</f>
        <v>4</v>
      </c>
      <c r="D4163" s="89" t="str">
        <f>VLOOKUP(A4163,'Materiales '!$C$2:$G$396,4,0)</f>
        <v>Und</v>
      </c>
      <c r="E4163" s="90">
        <v>2</v>
      </c>
      <c r="F4163" s="508" t="e">
        <f t="shared" si="244"/>
        <v>#VALUE!</v>
      </c>
      <c r="G4163" s="519"/>
      <c r="H4163" s="111"/>
      <c r="I4163">
        <f>E4163*G4152</f>
        <v>0</v>
      </c>
      <c r="J4163" s="58"/>
      <c r="K4163" s="50"/>
      <c r="L4163" s="50"/>
      <c r="M4163" s="50"/>
      <c r="N4163" s="50"/>
      <c r="O4163" s="50"/>
    </row>
    <row r="4164" spans="1:15">
      <c r="A4164" s="517" t="s">
        <v>4478</v>
      </c>
      <c r="B4164" s="518">
        <f>VLOOKUP(A4164,'Materiales '!$C$2:$G$396,3,0)</f>
        <v>4</v>
      </c>
      <c r="C4164" s="88">
        <f>VLOOKUP(A4164,'Materiales '!$C$2:$G$396,3,0)</f>
        <v>4</v>
      </c>
      <c r="D4164" s="89" t="str">
        <f>VLOOKUP(A4164,'Materiales '!$C$2:$G$396,4,0)</f>
        <v>Und</v>
      </c>
      <c r="E4164" s="90">
        <v>3</v>
      </c>
      <c r="F4164" s="508" t="e">
        <f t="shared" si="244"/>
        <v>#VALUE!</v>
      </c>
      <c r="G4164" s="519"/>
      <c r="H4164" s="111"/>
      <c r="I4164">
        <f>E4164*G4152</f>
        <v>0</v>
      </c>
      <c r="J4164" s="58"/>
      <c r="K4164" s="50"/>
      <c r="L4164" s="50"/>
      <c r="M4164" s="50"/>
      <c r="N4164" s="50"/>
      <c r="O4164" s="50"/>
    </row>
    <row r="4165" spans="1:15">
      <c r="A4165" s="517" t="s">
        <v>4543</v>
      </c>
      <c r="B4165" s="518">
        <f>VLOOKUP(A4165,'Materiales '!$C$2:$G$396,3,0)</f>
        <v>4</v>
      </c>
      <c r="C4165" s="88">
        <f>VLOOKUP(A4165,'Materiales '!$C$2:$G$396,3,0)</f>
        <v>4</v>
      </c>
      <c r="D4165" s="89" t="str">
        <f>VLOOKUP(A4165,'Materiales '!$C$2:$G$396,4,0)</f>
        <v>Und</v>
      </c>
      <c r="E4165" s="90">
        <v>2</v>
      </c>
      <c r="F4165" s="508" t="e">
        <f t="shared" si="244"/>
        <v>#VALUE!</v>
      </c>
      <c r="G4165" s="519"/>
      <c r="H4165" s="111"/>
      <c r="I4165">
        <f>E4165*G4152</f>
        <v>0</v>
      </c>
      <c r="J4165" s="58"/>
      <c r="K4165" s="50"/>
      <c r="L4165" s="50"/>
      <c r="M4165" s="50"/>
      <c r="N4165" s="50"/>
      <c r="O4165" s="50"/>
    </row>
    <row r="4166" spans="1:15">
      <c r="A4166" s="517" t="s">
        <v>4439</v>
      </c>
      <c r="B4166" s="518">
        <f>VLOOKUP(A4166,'Materiales '!$C$2:$G$396,3,0)</f>
        <v>2</v>
      </c>
      <c r="C4166" s="88">
        <f>VLOOKUP(A4166,'Materiales '!$C$2:$G$396,3,0)</f>
        <v>2</v>
      </c>
      <c r="D4166" s="89" t="str">
        <f>VLOOKUP(A4166,'Materiales '!$C$2:$G$396,4,0)</f>
        <v>Ml</v>
      </c>
      <c r="E4166" s="90">
        <v>1</v>
      </c>
      <c r="F4166" s="508" t="e">
        <f t="shared" si="244"/>
        <v>#VALUE!</v>
      </c>
      <c r="G4166" s="519"/>
      <c r="H4166" s="111"/>
      <c r="I4166">
        <f>E4166*G4152</f>
        <v>0</v>
      </c>
      <c r="J4166" s="58"/>
      <c r="K4166" s="50"/>
      <c r="L4166" s="50"/>
      <c r="M4166" s="50"/>
      <c r="N4166" s="50"/>
      <c r="O4166" s="50"/>
    </row>
    <row r="4167" spans="1:15">
      <c r="A4167" s="517" t="s">
        <v>4482</v>
      </c>
      <c r="B4167" s="518">
        <f>VLOOKUP(A4167,'Materiales '!$C$2:$G$396,3,0)</f>
        <v>4</v>
      </c>
      <c r="C4167" s="88">
        <f>VLOOKUP(A4167,'Materiales '!$C$2:$G$396,3,0)</f>
        <v>4</v>
      </c>
      <c r="D4167" s="89" t="str">
        <f>VLOOKUP(A4167,'Materiales '!$C$2:$G$396,4,0)</f>
        <v>Und</v>
      </c>
      <c r="E4167" s="90">
        <v>3</v>
      </c>
      <c r="F4167" s="508" t="e">
        <f t="shared" si="244"/>
        <v>#VALUE!</v>
      </c>
      <c r="G4167" s="519"/>
      <c r="H4167" s="111"/>
      <c r="I4167">
        <f>E4167*G4152</f>
        <v>0</v>
      </c>
      <c r="J4167" s="58"/>
      <c r="K4167" s="50"/>
      <c r="L4167" s="50"/>
      <c r="M4167" s="50"/>
      <c r="N4167" s="50"/>
      <c r="O4167" s="50"/>
    </row>
    <row r="4168" spans="1:15" ht="21.75" customHeight="1">
      <c r="A4168" s="517" t="s">
        <v>4487</v>
      </c>
      <c r="B4168" s="518">
        <f>VLOOKUP(A4168,'Materiales '!$C$2:$G$396,3,0)</f>
        <v>4</v>
      </c>
      <c r="C4168" s="88">
        <f>VLOOKUP(A4168,'Materiales '!$C$2:$G$396,3,0)</f>
        <v>4</v>
      </c>
      <c r="D4168" s="89" t="str">
        <f>VLOOKUP(A4168,'Materiales '!$C$2:$G$396,4,0)</f>
        <v>Und</v>
      </c>
      <c r="E4168" s="90">
        <v>0.5</v>
      </c>
      <c r="F4168" s="508" t="e">
        <f t="shared" si="244"/>
        <v>#VALUE!</v>
      </c>
      <c r="G4168" s="519"/>
      <c r="H4168" s="111"/>
      <c r="I4168">
        <f>E4168*G4152</f>
        <v>0</v>
      </c>
      <c r="J4168" s="58"/>
      <c r="K4168" s="50"/>
      <c r="L4168" s="50"/>
      <c r="M4168" s="50"/>
      <c r="N4168" s="50"/>
      <c r="O4168" s="50"/>
    </row>
    <row r="4169" spans="1:15">
      <c r="A4169" s="517" t="s">
        <v>8</v>
      </c>
      <c r="B4169" s="518">
        <f>VLOOKUP(A4169,'Materiales '!$C$2:$G$396,3,0)</f>
        <v>0</v>
      </c>
      <c r="C4169" s="88">
        <f>VLOOKUP(A4169,'Materiales '!$C$2:$G$396,3,0)</f>
        <v>0</v>
      </c>
      <c r="D4169" s="89" t="str">
        <f>VLOOKUP(A4169,'Materiales '!$C$2:$G$396,4,0)</f>
        <v>-</v>
      </c>
      <c r="E4169" s="90"/>
      <c r="F4169" s="508" t="e">
        <f>E4169*D4169</f>
        <v>#VALUE!</v>
      </c>
      <c r="G4169" s="519"/>
      <c r="H4169" s="110"/>
      <c r="I4169">
        <f>E4169*G4152</f>
        <v>0</v>
      </c>
      <c r="J4169" s="58"/>
      <c r="K4169" s="50"/>
      <c r="L4169" s="50"/>
      <c r="M4169" s="50"/>
      <c r="N4169" s="50"/>
      <c r="O4169" s="50"/>
    </row>
    <row r="4170" spans="1:15">
      <c r="A4170" s="517" t="s">
        <v>8</v>
      </c>
      <c r="B4170" s="518">
        <f>VLOOKUP(A4170,'Materiales '!$C$2:$G$396,3,0)</f>
        <v>0</v>
      </c>
      <c r="C4170" s="88">
        <f>VLOOKUP(A4170,'Materiales '!$C$2:$G$396,3,0)</f>
        <v>0</v>
      </c>
      <c r="D4170" s="89" t="str">
        <f>VLOOKUP(A4170,'Materiales '!$C$2:$G$396,4,0)</f>
        <v>-</v>
      </c>
      <c r="E4170" s="90"/>
      <c r="F4170" s="508" t="e">
        <f t="shared" ref="F4170:F4173" si="245">E4170*D4170</f>
        <v>#VALUE!</v>
      </c>
      <c r="G4170" s="519"/>
      <c r="H4170" s="111"/>
      <c r="I4170">
        <f>E4170*G4152</f>
        <v>0</v>
      </c>
      <c r="J4170" s="58"/>
      <c r="K4170" s="50"/>
      <c r="L4170" s="50"/>
      <c r="M4170" s="50"/>
      <c r="N4170" s="50"/>
      <c r="O4170" s="50"/>
    </row>
    <row r="4171" spans="1:15">
      <c r="A4171" s="517" t="s">
        <v>8</v>
      </c>
      <c r="B4171" s="518">
        <f>VLOOKUP(A4171,'Materiales '!$C$2:$G$396,3,0)</f>
        <v>0</v>
      </c>
      <c r="C4171" s="88">
        <f>VLOOKUP(A4171,'Materiales '!$C$2:$G$396,3,0)</f>
        <v>0</v>
      </c>
      <c r="D4171" s="89" t="str">
        <f>VLOOKUP(A4171,'Materiales '!$C$2:$G$396,4,0)</f>
        <v>-</v>
      </c>
      <c r="E4171" s="90"/>
      <c r="F4171" s="508" t="e">
        <f t="shared" si="245"/>
        <v>#VALUE!</v>
      </c>
      <c r="G4171" s="519"/>
      <c r="H4171" s="111"/>
      <c r="I4171">
        <f>E4171*G4152</f>
        <v>0</v>
      </c>
      <c r="J4171" s="58"/>
      <c r="K4171" s="50"/>
      <c r="L4171" s="50"/>
      <c r="M4171" s="50"/>
      <c r="N4171" s="50"/>
      <c r="O4171" s="50"/>
    </row>
    <row r="4172" spans="1:15">
      <c r="A4172" s="517" t="s">
        <v>8</v>
      </c>
      <c r="B4172" s="518">
        <f>VLOOKUP(A4172,'Materiales '!$C$2:$G$396,3,0)</f>
        <v>0</v>
      </c>
      <c r="C4172" s="88">
        <f>VLOOKUP(A4172,'Materiales '!$C$2:$G$396,3,0)</f>
        <v>0</v>
      </c>
      <c r="D4172" s="89" t="str">
        <f>VLOOKUP(A4172,'Materiales '!$C$2:$G$396,4,0)</f>
        <v>-</v>
      </c>
      <c r="E4172" s="90"/>
      <c r="F4172" s="508" t="e">
        <f t="shared" si="245"/>
        <v>#VALUE!</v>
      </c>
      <c r="G4172" s="519"/>
      <c r="H4172" s="111"/>
      <c r="I4172">
        <f>E4172*G4152</f>
        <v>0</v>
      </c>
      <c r="J4172" s="58"/>
      <c r="K4172" s="50"/>
      <c r="L4172" s="50"/>
      <c r="M4172" s="50"/>
      <c r="N4172" s="50"/>
      <c r="O4172" s="50"/>
    </row>
    <row r="4173" spans="1:15">
      <c r="A4173" s="517" t="s">
        <v>8</v>
      </c>
      <c r="B4173" s="518">
        <f>VLOOKUP(A4173,'Materiales '!$C$2:$G$396,3,0)</f>
        <v>0</v>
      </c>
      <c r="C4173" s="88">
        <f>VLOOKUP(A4173,'Materiales '!$C$2:$G$396,3,0)</f>
        <v>0</v>
      </c>
      <c r="D4173" s="89" t="str">
        <f>VLOOKUP(A4173,'Materiales '!$C$2:$G$396,4,0)</f>
        <v>-</v>
      </c>
      <c r="E4173" s="90"/>
      <c r="F4173" s="508" t="e">
        <f t="shared" si="245"/>
        <v>#VALUE!</v>
      </c>
      <c r="G4173" s="519"/>
      <c r="H4173" s="111"/>
      <c r="I4173">
        <f>E4173*G4152</f>
        <v>0</v>
      </c>
      <c r="J4173" s="58"/>
      <c r="K4173" s="50"/>
      <c r="L4173" s="50"/>
      <c r="M4173" s="50"/>
      <c r="N4173" s="50"/>
      <c r="O4173" s="50"/>
    </row>
    <row r="4174" spans="1:15">
      <c r="A4174" s="517" t="s">
        <v>8</v>
      </c>
      <c r="B4174" s="518">
        <f>VLOOKUP(A4174,'Materiales '!$C$2:$G$396,3,0)</f>
        <v>0</v>
      </c>
      <c r="C4174" s="88">
        <f>VLOOKUP(A4174,'Materiales '!$C$2:$G$396,3,0)</f>
        <v>0</v>
      </c>
      <c r="D4174" s="89" t="str">
        <f>VLOOKUP(A4174,'Materiales '!$C$2:$G$396,4,0)</f>
        <v>-</v>
      </c>
      <c r="E4174" s="90"/>
      <c r="F4174" s="508" t="e">
        <f>E4174*D4174</f>
        <v>#VALUE!</v>
      </c>
      <c r="G4174" s="519"/>
      <c r="H4174" s="110"/>
      <c r="I4174">
        <f>E4174*G4152</f>
        <v>0</v>
      </c>
      <c r="J4174" s="58"/>
      <c r="K4174" s="50"/>
      <c r="L4174" s="50"/>
      <c r="M4174" s="50"/>
      <c r="N4174" s="50"/>
      <c r="O4174" s="50"/>
    </row>
    <row r="4175" spans="1:15">
      <c r="A4175" s="520" t="s">
        <v>4098</v>
      </c>
      <c r="B4175" s="521"/>
      <c r="C4175" s="521"/>
      <c r="D4175" s="521"/>
      <c r="E4175" s="521"/>
      <c r="F4175" s="521"/>
      <c r="G4175" s="522"/>
      <c r="H4175" s="106" t="e">
        <f>SUM(F4161:F4174)</f>
        <v>#VALUE!</v>
      </c>
      <c r="J4175" s="58"/>
      <c r="K4175" s="50"/>
      <c r="L4175" s="50"/>
      <c r="M4175" s="50"/>
      <c r="N4175" s="50"/>
      <c r="O4175" s="50"/>
    </row>
    <row r="4176" spans="1:15">
      <c r="A4176" s="523" t="s">
        <v>4220</v>
      </c>
      <c r="B4176" s="524"/>
      <c r="C4176" s="524"/>
      <c r="D4176" s="524"/>
      <c r="E4176" s="525"/>
      <c r="F4176" s="524"/>
      <c r="G4176" s="524"/>
      <c r="H4176" s="526"/>
      <c r="J4176" s="58"/>
      <c r="K4176" s="50"/>
      <c r="L4176" s="50"/>
      <c r="M4176" s="50"/>
      <c r="N4176" s="50"/>
      <c r="O4176" s="50"/>
    </row>
    <row r="4177" spans="1:15">
      <c r="A4177" s="527" t="s">
        <v>7</v>
      </c>
      <c r="B4177" s="528"/>
      <c r="C4177" s="98" t="s">
        <v>4221</v>
      </c>
      <c r="D4177" s="97" t="s">
        <v>4222</v>
      </c>
      <c r="E4177" s="187" t="s">
        <v>4223</v>
      </c>
      <c r="F4177" s="529" t="s">
        <v>4207</v>
      </c>
      <c r="G4177" s="529"/>
      <c r="H4177" s="109"/>
      <c r="K4177" s="50"/>
      <c r="L4177" s="50"/>
      <c r="M4177" s="50"/>
      <c r="N4177" s="50"/>
      <c r="O4177" s="50"/>
    </row>
    <row r="4178" spans="1:15">
      <c r="A4178" s="506" t="s">
        <v>3928</v>
      </c>
      <c r="B4178" s="507"/>
      <c r="C4178" s="213">
        <v>1</v>
      </c>
      <c r="D4178" s="92">
        <v>0.03</v>
      </c>
      <c r="E4178" s="93" t="str">
        <f>VLOOKUP(A4178,'Equip, Herr y Transp'!$B$2:$E$217,3,0)</f>
        <v>TR</v>
      </c>
      <c r="F4178" s="530" t="e">
        <f>E4178*D4178*C4178</f>
        <v>#VALUE!</v>
      </c>
      <c r="G4178" s="531"/>
      <c r="H4178" s="107"/>
      <c r="M4178" s="50"/>
    </row>
    <row r="4179" spans="1:15">
      <c r="A4179" s="532" t="s">
        <v>4205</v>
      </c>
      <c r="B4179" s="533"/>
      <c r="C4179" s="533"/>
      <c r="D4179" s="533"/>
      <c r="E4179" s="533"/>
      <c r="F4179" s="533"/>
      <c r="G4179" s="533"/>
      <c r="H4179" s="95" t="e">
        <f>F4178</f>
        <v>#VALUE!</v>
      </c>
    </row>
    <row r="4180" spans="1:15">
      <c r="A4180" s="523" t="s">
        <v>4224</v>
      </c>
      <c r="B4180" s="524"/>
      <c r="C4180" s="524"/>
      <c r="D4180" s="524"/>
      <c r="E4180" s="524"/>
      <c r="F4180" s="524"/>
      <c r="G4180" s="524"/>
      <c r="H4180" s="526"/>
    </row>
    <row r="4181" spans="1:15">
      <c r="A4181" s="527" t="s">
        <v>7</v>
      </c>
      <c r="B4181" s="528"/>
      <c r="C4181" s="96" t="s">
        <v>1</v>
      </c>
      <c r="D4181" s="97" t="s">
        <v>4225</v>
      </c>
      <c r="E4181" s="98" t="s">
        <v>4204</v>
      </c>
      <c r="F4181" s="527" t="s">
        <v>5</v>
      </c>
      <c r="G4181" s="534"/>
      <c r="H4181" s="109"/>
    </row>
    <row r="4182" spans="1:15">
      <c r="A4182" s="506" t="s">
        <v>4191</v>
      </c>
      <c r="B4182" s="507"/>
      <c r="C4182" s="91">
        <v>1</v>
      </c>
      <c r="D4182" s="94">
        <f>VLOOKUP(A4182,'Mano Obra'!$B$2:$T$117,19,0)</f>
        <v>152456</v>
      </c>
      <c r="E4182" s="218">
        <f>H4145</f>
        <v>6.25E-2</v>
      </c>
      <c r="F4182" s="508">
        <f>E4182*D4182*C4182</f>
        <v>9528.5</v>
      </c>
      <c r="G4182" s="509"/>
      <c r="H4182" s="111"/>
      <c r="I4182" s="59"/>
      <c r="J4182" s="117">
        <f>((('Mano Obra'!$M$4/30)*F4182)/D4182)*G4152</f>
        <v>0</v>
      </c>
    </row>
    <row r="4183" spans="1:15">
      <c r="A4183" s="510" t="s">
        <v>4192</v>
      </c>
      <c r="B4183" s="511">
        <f>VLOOKUP(A4183,'Mano Obra'!$B$3:$D$290,2,0)</f>
        <v>1900000</v>
      </c>
      <c r="C4183" s="91">
        <v>1</v>
      </c>
      <c r="D4183" s="94">
        <f>VLOOKUP(A4183,'Mano Obra'!$B$2:$T$117,19,0)</f>
        <v>110488</v>
      </c>
      <c r="E4183" s="218">
        <f>H4145</f>
        <v>6.25E-2</v>
      </c>
      <c r="F4183" s="508">
        <f t="shared" ref="F4183:F4184" si="246">E4183*D4183*C4183</f>
        <v>6905.5</v>
      </c>
      <c r="G4183" s="509"/>
      <c r="H4183" s="111"/>
      <c r="J4183" s="117">
        <f>((('Mano Obra'!$M$5/30)*F4183)/D4183)*G4152</f>
        <v>0</v>
      </c>
    </row>
    <row r="4184" spans="1:15">
      <c r="A4184" s="510" t="s">
        <v>4181</v>
      </c>
      <c r="B4184" s="511">
        <f>VLOOKUP(A4184,'Mano Obra'!$B$3:$D$290,2,0)</f>
        <v>1000000</v>
      </c>
      <c r="C4184" s="91">
        <v>1</v>
      </c>
      <c r="D4184" s="94">
        <f>VLOOKUP(A4184,'Mano Obra'!$B$2:$T$117,19,0)</f>
        <v>67424</v>
      </c>
      <c r="E4184" s="218">
        <f>H4145</f>
        <v>6.25E-2</v>
      </c>
      <c r="F4184" s="508">
        <f t="shared" si="246"/>
        <v>4214</v>
      </c>
      <c r="G4184" s="509"/>
      <c r="H4184" s="110"/>
      <c r="J4184" s="117">
        <f>((('Mano Obra'!$M$6/30)*F4184)/D4184)*G4152</f>
        <v>0</v>
      </c>
    </row>
    <row r="4185" spans="1:15">
      <c r="A4185" s="512" t="s">
        <v>4100</v>
      </c>
      <c r="B4185" s="512"/>
      <c r="C4185" s="512"/>
      <c r="D4185" s="512"/>
      <c r="E4185" s="512"/>
      <c r="F4185" s="512"/>
      <c r="G4185" s="512"/>
      <c r="H4185" s="95">
        <f>SUM(F4182:F4184)</f>
        <v>20648</v>
      </c>
      <c r="J4185" s="117"/>
    </row>
    <row r="4186" spans="1:15">
      <c r="A4186" s="208" t="s">
        <v>4226</v>
      </c>
      <c r="B4186" s="186"/>
      <c r="C4186" s="186"/>
      <c r="D4186" s="183"/>
      <c r="E4186" s="184"/>
      <c r="F4186" s="185"/>
      <c r="G4186" s="184"/>
      <c r="H4186" s="193"/>
    </row>
    <row r="4187" spans="1:15">
      <c r="A4187" s="513" t="s">
        <v>4213</v>
      </c>
      <c r="B4187" s="514"/>
      <c r="C4187" s="514"/>
      <c r="D4187" s="514"/>
      <c r="E4187" s="181"/>
      <c r="F4187" s="182" t="s">
        <v>4227</v>
      </c>
      <c r="G4187" s="181" t="s">
        <v>4228</v>
      </c>
      <c r="H4187" s="194"/>
    </row>
    <row r="4188" spans="1:15">
      <c r="A4188" s="204" t="s">
        <v>4096</v>
      </c>
      <c r="B4188" s="62"/>
      <c r="C4188" s="62"/>
      <c r="D4188" s="63"/>
      <c r="E4188" s="68"/>
      <c r="F4188" s="69">
        <v>0</v>
      </c>
      <c r="G4188" s="70" t="e">
        <f>F4188*H4153</f>
        <v>#VALUE!</v>
      </c>
      <c r="H4188" s="193"/>
    </row>
    <row r="4189" spans="1:15">
      <c r="A4189" s="205" t="s">
        <v>4229</v>
      </c>
      <c r="B4189" s="71"/>
      <c r="C4189" s="71"/>
      <c r="D4189" s="72"/>
      <c r="E4189" s="68"/>
      <c r="F4189" s="69">
        <v>0</v>
      </c>
      <c r="G4189" s="70" t="e">
        <f>F4189*H4153</f>
        <v>#VALUE!</v>
      </c>
      <c r="H4189" s="193"/>
    </row>
    <row r="4190" spans="1:15">
      <c r="A4190" s="205" t="s">
        <v>4</v>
      </c>
      <c r="B4190" s="71"/>
      <c r="C4190" s="71"/>
      <c r="D4190" s="72"/>
      <c r="E4190" s="68"/>
      <c r="F4190" s="69">
        <v>0</v>
      </c>
      <c r="G4190" s="70" t="e">
        <f>F4190*H4153</f>
        <v>#VALUE!</v>
      </c>
      <c r="H4190" s="193"/>
    </row>
    <row r="4191" spans="1:15">
      <c r="A4191" s="206"/>
      <c r="B4191" s="73"/>
      <c r="C4191" s="65"/>
      <c r="D4191" s="74"/>
      <c r="E4191" s="75"/>
      <c r="F4191" s="76"/>
      <c r="G4191" s="77"/>
      <c r="H4191" s="195"/>
    </row>
    <row r="4192" spans="1:15">
      <c r="A4192" s="207"/>
      <c r="B4192" s="73"/>
      <c r="C4192" s="73"/>
      <c r="D4192" s="74"/>
      <c r="E4192" s="78"/>
      <c r="F4192" s="515" t="s">
        <v>4230</v>
      </c>
      <c r="G4192" s="516"/>
      <c r="H4192" s="214" t="e">
        <f>H4153+G4188+G4189+G4190</f>
        <v>#VALUE!</v>
      </c>
    </row>
    <row r="4193" spans="1:14">
      <c r="A4193" s="73"/>
      <c r="B4193" s="73"/>
      <c r="C4193" s="73"/>
      <c r="D4193" s="74"/>
      <c r="E4193" s="360"/>
      <c r="F4193" s="361"/>
      <c r="G4193" s="361"/>
      <c r="H4193" s="362"/>
    </row>
    <row r="4194" spans="1:14">
      <c r="A4194" s="80"/>
      <c r="B4194" s="80"/>
      <c r="C4194" s="80"/>
      <c r="D4194" s="80"/>
      <c r="E4194" s="80"/>
      <c r="F4194" s="80"/>
      <c r="G4194" s="80"/>
      <c r="H4194" s="353"/>
    </row>
    <row r="4195" spans="1:14">
      <c r="A4195" s="537" t="s">
        <v>4214</v>
      </c>
      <c r="B4195" s="538"/>
      <c r="C4195" s="538"/>
      <c r="D4195" s="538"/>
      <c r="E4195" s="538"/>
      <c r="F4195" s="538"/>
      <c r="G4195" s="538"/>
      <c r="H4195" s="539"/>
    </row>
    <row r="4196" spans="1:14">
      <c r="A4196" s="81"/>
      <c r="B4196" s="82"/>
      <c r="C4196" s="82"/>
      <c r="D4196" s="82"/>
      <c r="E4196" s="82"/>
      <c r="F4196" s="83"/>
      <c r="G4196" s="84"/>
      <c r="H4196" s="352">
        <f>ROUND((30/60)/8,4)</f>
        <v>6.25E-2</v>
      </c>
      <c r="I4196" s="105"/>
    </row>
    <row r="4197" spans="1:14">
      <c r="A4197" s="540" t="s">
        <v>4209</v>
      </c>
      <c r="B4197" s="542" t="str">
        <f>COSTOS!$C$14</f>
        <v>MODERNIZACION A TECNOLOGIA LED</v>
      </c>
      <c r="C4197" s="542"/>
      <c r="D4197" s="542"/>
      <c r="E4197" s="542"/>
      <c r="F4197" s="542"/>
      <c r="G4197" s="542"/>
      <c r="H4197" s="543" t="s">
        <v>4210</v>
      </c>
    </row>
    <row r="4198" spans="1:14">
      <c r="A4198" s="541"/>
      <c r="B4198" s="542"/>
      <c r="C4198" s="542"/>
      <c r="D4198" s="542"/>
      <c r="E4198" s="542"/>
      <c r="F4198" s="542"/>
      <c r="G4198" s="542"/>
      <c r="H4198" s="543"/>
    </row>
    <row r="4199" spans="1:14">
      <c r="A4199" s="541"/>
      <c r="B4199" s="542"/>
      <c r="C4199" s="542"/>
      <c r="D4199" s="542"/>
      <c r="E4199" s="542"/>
      <c r="F4199" s="542"/>
      <c r="G4199" s="542"/>
      <c r="H4199" s="543"/>
    </row>
    <row r="4200" spans="1:14" ht="15" customHeight="1">
      <c r="A4200" s="541"/>
      <c r="B4200" s="542"/>
      <c r="C4200" s="542"/>
      <c r="D4200" s="542"/>
      <c r="E4200" s="542"/>
      <c r="F4200" s="542"/>
      <c r="G4200" s="542"/>
      <c r="H4200" s="197">
        <f ca="1">TODAY()</f>
        <v>44889</v>
      </c>
      <c r="K4200" t="s">
        <v>4380</v>
      </c>
      <c r="L4200" t="s">
        <v>4381</v>
      </c>
      <c r="M4200" t="s">
        <v>4382</v>
      </c>
      <c r="N4200" t="s">
        <v>4383</v>
      </c>
    </row>
    <row r="4201" spans="1:14" ht="60.75" customHeight="1">
      <c r="A4201" s="209" t="s">
        <v>4211</v>
      </c>
      <c r="B4201" s="544" t="str">
        <f>COSTOS!$D$16</f>
        <v>Luminarias</v>
      </c>
      <c r="C4201" s="544"/>
      <c r="D4201" s="544"/>
      <c r="E4201" s="544"/>
      <c r="F4201" s="544"/>
      <c r="G4201" s="60" t="s">
        <v>4212</v>
      </c>
      <c r="H4201" s="363">
        <v>1.83</v>
      </c>
      <c r="K4201" s="55" t="e">
        <f>H4226</f>
        <v>#VALUE!</v>
      </c>
      <c r="L4201" s="55">
        <f>H4236</f>
        <v>20648</v>
      </c>
      <c r="M4201" s="55" t="e">
        <f>H4209</f>
        <v>#VALUE!</v>
      </c>
      <c r="N4201" s="55" t="e">
        <f>H4230</f>
        <v>#VALUE!</v>
      </c>
    </row>
    <row r="4202" spans="1:14" ht="43.2" customHeight="1">
      <c r="A4202" s="210" t="s">
        <v>4213</v>
      </c>
      <c r="B4202" s="545" t="str">
        <f>VLOOKUP(H4201,COSTOS!C:M,2,0)</f>
        <v>Reflector Led de 150w Agm</v>
      </c>
      <c r="C4202" s="546"/>
      <c r="D4202" s="546"/>
      <c r="E4202" s="547"/>
      <c r="F4202" s="61" t="s">
        <v>0</v>
      </c>
      <c r="G4202" s="328" t="str">
        <f>VLOOKUP(H4201,COSTOS!C:M,8,0)</f>
        <v>Und</v>
      </c>
      <c r="H4202" s="248"/>
      <c r="I4202" s="278"/>
      <c r="J4202" s="280"/>
      <c r="K4202" s="280"/>
      <c r="L4202" s="280"/>
    </row>
    <row r="4203" spans="1:14">
      <c r="A4203" s="211"/>
      <c r="B4203" s="102"/>
      <c r="C4203" s="102"/>
      <c r="D4203" s="102"/>
      <c r="E4203" s="103"/>
      <c r="F4203" s="104" t="s">
        <v>1</v>
      </c>
      <c r="G4203" s="328">
        <f>VLOOKUP(H4201,COSTOS!C:M,9,0)</f>
        <v>0</v>
      </c>
      <c r="H4203" s="329"/>
      <c r="I4203" s="279"/>
    </row>
    <row r="4204" spans="1:14">
      <c r="A4204" s="212" t="s">
        <v>4215</v>
      </c>
      <c r="B4204" s="65"/>
      <c r="C4204" s="65"/>
      <c r="D4204" s="66"/>
      <c r="E4204" s="190"/>
      <c r="F4204" s="191"/>
      <c r="G4204" s="192" t="s">
        <v>4216</v>
      </c>
      <c r="H4204" s="198" t="e">
        <f>H4209+H4226+H4230+H4236</f>
        <v>#VALUE!</v>
      </c>
    </row>
    <row r="4205" spans="1:14" ht="41.4">
      <c r="A4205" s="548" t="s">
        <v>4213</v>
      </c>
      <c r="B4205" s="548"/>
      <c r="C4205" s="548"/>
      <c r="D4205" s="67" t="s">
        <v>0</v>
      </c>
      <c r="E4205" s="188" t="s">
        <v>4217</v>
      </c>
      <c r="F4205" s="189" t="s">
        <v>4204</v>
      </c>
      <c r="G4205" s="64" t="s">
        <v>2</v>
      </c>
      <c r="H4205" s="199" t="s">
        <v>4218</v>
      </c>
      <c r="K4205" s="281"/>
    </row>
    <row r="4206" spans="1:14">
      <c r="A4206" s="517" t="s">
        <v>3946</v>
      </c>
      <c r="B4206" s="549">
        <f>VLOOKUP(A4206,'Equip, Herr y Transp'!$B$2:$E$738,2,0)</f>
        <v>2</v>
      </c>
      <c r="C4206" s="549"/>
      <c r="D4206" s="85">
        <f>VLOOKUP(A4206,'Equip, Herr y Transp'!$B$2:$E$217,2,0)</f>
        <v>2</v>
      </c>
      <c r="E4206" s="85" t="str">
        <f>VLOOKUP(A4206,'Equip, Herr y Transp'!$B$2:$E$217,3,0)</f>
        <v>EQU</v>
      </c>
      <c r="F4206" s="86">
        <f>H4196</f>
        <v>6.25E-2</v>
      </c>
      <c r="G4206" s="112" t="e">
        <f>F4206*E4206</f>
        <v>#VALUE!</v>
      </c>
      <c r="H4206" s="108"/>
      <c r="L4206">
        <f>280/70</f>
        <v>4</v>
      </c>
    </row>
    <row r="4207" spans="1:14">
      <c r="A4207" s="517" t="s">
        <v>3904</v>
      </c>
      <c r="B4207" s="549">
        <f>VLOOKUP(A4207,'Equip, Herr y Transp'!$B$2:$E$738,2,0)</f>
        <v>2</v>
      </c>
      <c r="C4207" s="549"/>
      <c r="D4207" s="85">
        <f>VLOOKUP(A4207,'Equip, Herr y Transp'!$B$2:$E$217,2,0)</f>
        <v>2</v>
      </c>
      <c r="E4207" s="85" t="str">
        <f>VLOOKUP(A4207,'Equip, Herr y Transp'!$B$2:$E$217,3,0)</f>
        <v>EQU</v>
      </c>
      <c r="F4207" s="86">
        <f>H4196</f>
        <v>6.25E-2</v>
      </c>
      <c r="G4207" s="112" t="e">
        <f>F4207*E4207</f>
        <v>#VALUE!</v>
      </c>
      <c r="H4207" s="107"/>
    </row>
    <row r="4208" spans="1:14">
      <c r="A4208" s="517" t="s">
        <v>3937</v>
      </c>
      <c r="B4208" s="549">
        <f>VLOOKUP(A4208,'Equip, Herr y Transp'!$B$2:$E$738,2,0)</f>
        <v>2</v>
      </c>
      <c r="C4208" s="549"/>
      <c r="D4208" s="85">
        <f>VLOOKUP(A4208,'Equip, Herr y Transp'!$B$2:$E$217,2,0)</f>
        <v>2</v>
      </c>
      <c r="E4208" s="85" t="str">
        <f>VLOOKUP(A4208,'Equip, Herr y Transp'!$B$2:$E$217,3,0)</f>
        <v>EQU</v>
      </c>
      <c r="F4208" s="86">
        <f>H4196</f>
        <v>6.25E-2</v>
      </c>
      <c r="G4208" s="112" t="e">
        <f>F4208*E4208</f>
        <v>#VALUE!</v>
      </c>
      <c r="H4208" s="107"/>
    </row>
    <row r="4209" spans="1:15">
      <c r="A4209" s="520" t="s">
        <v>4099</v>
      </c>
      <c r="B4209" s="521"/>
      <c r="C4209" s="521"/>
      <c r="D4209" s="521"/>
      <c r="E4209" s="521"/>
      <c r="F4209" s="521"/>
      <c r="G4209" s="521"/>
      <c r="H4209" s="87" t="e">
        <f>SUM(G4206:G4208)</f>
        <v>#VALUE!</v>
      </c>
    </row>
    <row r="4210" spans="1:15">
      <c r="A4210" s="550" t="s">
        <v>4219</v>
      </c>
      <c r="B4210" s="551"/>
      <c r="C4210" s="551"/>
      <c r="D4210" s="551"/>
      <c r="E4210" s="551"/>
      <c r="F4210" s="551"/>
      <c r="G4210" s="551"/>
      <c r="H4210" s="552"/>
      <c r="K4210" s="50"/>
      <c r="L4210" s="50"/>
      <c r="M4210" s="50"/>
      <c r="N4210" s="50"/>
      <c r="O4210" s="50"/>
    </row>
    <row r="4211" spans="1:15" ht="30" customHeight="1">
      <c r="A4211" s="553" t="s">
        <v>7</v>
      </c>
      <c r="B4211" s="554"/>
      <c r="C4211" s="99" t="s">
        <v>0</v>
      </c>
      <c r="D4211" s="100" t="s">
        <v>4097</v>
      </c>
      <c r="E4211" s="101" t="s">
        <v>1</v>
      </c>
      <c r="F4211" s="555" t="s">
        <v>4207</v>
      </c>
      <c r="G4211" s="555"/>
      <c r="H4211" s="196"/>
      <c r="K4211" s="50"/>
      <c r="L4211" s="50"/>
      <c r="M4211" s="50"/>
      <c r="N4211" s="50"/>
      <c r="O4211" s="50"/>
    </row>
    <row r="4212" spans="1:15">
      <c r="A4212" s="535" t="s">
        <v>4982</v>
      </c>
      <c r="B4212" s="536"/>
      <c r="C4212" s="88">
        <f>VLOOKUP(A4212,'Materiales '!$C$2:$G$396,3,0)</f>
        <v>4</v>
      </c>
      <c r="D4212" s="89" t="str">
        <f>VLOOKUP(A4212,'Materiales '!$C$2:$G$396,4,0)</f>
        <v>Und</v>
      </c>
      <c r="E4212" s="90">
        <v>1</v>
      </c>
      <c r="F4212" s="508" t="e">
        <f>E4212*D4212</f>
        <v>#VALUE!</v>
      </c>
      <c r="G4212" s="519"/>
      <c r="H4212" s="111"/>
      <c r="I4212">
        <f>E4212*G4203</f>
        <v>0</v>
      </c>
      <c r="J4212" s="57"/>
      <c r="K4212" s="50"/>
      <c r="L4212" s="50"/>
      <c r="M4212" s="50"/>
      <c r="N4212" s="50"/>
      <c r="O4212" s="50"/>
    </row>
    <row r="4213" spans="1:15">
      <c r="A4213" s="535" t="s">
        <v>4203</v>
      </c>
      <c r="B4213" s="536"/>
      <c r="C4213" s="88">
        <f>VLOOKUP(A4213,'Materiales '!$C$2:$G$396,3,0)</f>
        <v>4</v>
      </c>
      <c r="D4213" s="89" t="str">
        <f>VLOOKUP(A4213,'Materiales '!$C$2:$G$396,4,0)</f>
        <v>Und</v>
      </c>
      <c r="E4213" s="90">
        <v>1</v>
      </c>
      <c r="F4213" s="508" t="e">
        <f t="shared" ref="F4213:F4219" si="247">E4213*D4213</f>
        <v>#VALUE!</v>
      </c>
      <c r="G4213" s="519"/>
      <c r="H4213" s="111"/>
      <c r="I4213">
        <f>E4213*G4203</f>
        <v>0</v>
      </c>
      <c r="J4213" s="57"/>
      <c r="K4213" s="50"/>
      <c r="L4213" s="50"/>
      <c r="M4213" s="50"/>
      <c r="N4213" s="50"/>
      <c r="O4213" s="50"/>
    </row>
    <row r="4214" spans="1:15">
      <c r="A4214" s="517" t="s">
        <v>4473</v>
      </c>
      <c r="B4214" s="518">
        <f>VLOOKUP(A4214,'Materiales '!$C$2:$G$396,3,0)</f>
        <v>4</v>
      </c>
      <c r="C4214" s="88">
        <f>VLOOKUP(A4214,'Materiales '!$C$2:$G$396,3,0)</f>
        <v>4</v>
      </c>
      <c r="D4214" s="89" t="str">
        <f>VLOOKUP(A4214,'Materiales '!$C$2:$G$396,4,0)</f>
        <v>Und</v>
      </c>
      <c r="E4214" s="90">
        <v>2</v>
      </c>
      <c r="F4214" s="508" t="e">
        <f t="shared" si="247"/>
        <v>#VALUE!</v>
      </c>
      <c r="G4214" s="519"/>
      <c r="H4214" s="111"/>
      <c r="I4214">
        <f>E4214*G4203</f>
        <v>0</v>
      </c>
      <c r="J4214" s="58"/>
      <c r="K4214" s="50"/>
      <c r="L4214" s="50"/>
      <c r="M4214" s="50"/>
      <c r="N4214" s="50"/>
      <c r="O4214" s="50"/>
    </row>
    <row r="4215" spans="1:15">
      <c r="A4215" s="517" t="s">
        <v>4478</v>
      </c>
      <c r="B4215" s="518">
        <f>VLOOKUP(A4215,'Materiales '!$C$2:$G$396,3,0)</f>
        <v>4</v>
      </c>
      <c r="C4215" s="88">
        <f>VLOOKUP(A4215,'Materiales '!$C$2:$G$396,3,0)</f>
        <v>4</v>
      </c>
      <c r="D4215" s="89" t="str">
        <f>VLOOKUP(A4215,'Materiales '!$C$2:$G$396,4,0)</f>
        <v>Und</v>
      </c>
      <c r="E4215" s="90">
        <v>3</v>
      </c>
      <c r="F4215" s="508" t="e">
        <f t="shared" si="247"/>
        <v>#VALUE!</v>
      </c>
      <c r="G4215" s="519"/>
      <c r="H4215" s="111"/>
      <c r="I4215">
        <f>E4215*G4203</f>
        <v>0</v>
      </c>
      <c r="J4215" s="58"/>
      <c r="K4215" s="50"/>
      <c r="L4215" s="50"/>
      <c r="M4215" s="50"/>
      <c r="N4215" s="50"/>
      <c r="O4215" s="50"/>
    </row>
    <row r="4216" spans="1:15">
      <c r="A4216" s="517" t="s">
        <v>4543</v>
      </c>
      <c r="B4216" s="518">
        <f>VLOOKUP(A4216,'Materiales '!$C$2:$G$396,3,0)</f>
        <v>4</v>
      </c>
      <c r="C4216" s="88">
        <f>VLOOKUP(A4216,'Materiales '!$C$2:$G$396,3,0)</f>
        <v>4</v>
      </c>
      <c r="D4216" s="89" t="str">
        <f>VLOOKUP(A4216,'Materiales '!$C$2:$G$396,4,0)</f>
        <v>Und</v>
      </c>
      <c r="E4216" s="90">
        <v>2</v>
      </c>
      <c r="F4216" s="508" t="e">
        <f t="shared" si="247"/>
        <v>#VALUE!</v>
      </c>
      <c r="G4216" s="519"/>
      <c r="H4216" s="111"/>
      <c r="I4216">
        <f>E4216*G4203</f>
        <v>0</v>
      </c>
      <c r="J4216" s="58"/>
      <c r="K4216" s="50"/>
      <c r="L4216" s="50"/>
      <c r="M4216" s="50"/>
      <c r="N4216" s="50"/>
      <c r="O4216" s="50"/>
    </row>
    <row r="4217" spans="1:15">
      <c r="A4217" s="517" t="s">
        <v>4439</v>
      </c>
      <c r="B4217" s="518">
        <f>VLOOKUP(A4217,'Materiales '!$C$2:$G$396,3,0)</f>
        <v>2</v>
      </c>
      <c r="C4217" s="88">
        <f>VLOOKUP(A4217,'Materiales '!$C$2:$G$396,3,0)</f>
        <v>2</v>
      </c>
      <c r="D4217" s="89" t="str">
        <f>VLOOKUP(A4217,'Materiales '!$C$2:$G$396,4,0)</f>
        <v>Ml</v>
      </c>
      <c r="E4217" s="90">
        <v>1</v>
      </c>
      <c r="F4217" s="508" t="e">
        <f t="shared" si="247"/>
        <v>#VALUE!</v>
      </c>
      <c r="G4217" s="519"/>
      <c r="H4217" s="111"/>
      <c r="I4217">
        <f>E4217*G4203</f>
        <v>0</v>
      </c>
      <c r="J4217" s="58"/>
      <c r="K4217" s="50"/>
      <c r="L4217" s="50"/>
      <c r="M4217" s="50"/>
      <c r="N4217" s="50"/>
      <c r="O4217" s="50"/>
    </row>
    <row r="4218" spans="1:15">
      <c r="A4218" s="517" t="s">
        <v>4482</v>
      </c>
      <c r="B4218" s="518">
        <f>VLOOKUP(A4218,'Materiales '!$C$2:$G$396,3,0)</f>
        <v>4</v>
      </c>
      <c r="C4218" s="88">
        <f>VLOOKUP(A4218,'Materiales '!$C$2:$G$396,3,0)</f>
        <v>4</v>
      </c>
      <c r="D4218" s="89" t="str">
        <f>VLOOKUP(A4218,'Materiales '!$C$2:$G$396,4,0)</f>
        <v>Und</v>
      </c>
      <c r="E4218" s="90">
        <v>3</v>
      </c>
      <c r="F4218" s="508" t="e">
        <f t="shared" si="247"/>
        <v>#VALUE!</v>
      </c>
      <c r="G4218" s="519"/>
      <c r="H4218" s="111"/>
      <c r="I4218">
        <f>E4218*G4203</f>
        <v>0</v>
      </c>
      <c r="J4218" s="58"/>
      <c r="K4218" s="50"/>
      <c r="L4218" s="50"/>
      <c r="M4218" s="50"/>
      <c r="N4218" s="50"/>
      <c r="O4218" s="50"/>
    </row>
    <row r="4219" spans="1:15" ht="21.75" customHeight="1">
      <c r="A4219" s="517" t="s">
        <v>4487</v>
      </c>
      <c r="B4219" s="518">
        <f>VLOOKUP(A4219,'Materiales '!$C$2:$G$396,3,0)</f>
        <v>4</v>
      </c>
      <c r="C4219" s="88">
        <f>VLOOKUP(A4219,'Materiales '!$C$2:$G$396,3,0)</f>
        <v>4</v>
      </c>
      <c r="D4219" s="89" t="str">
        <f>VLOOKUP(A4219,'Materiales '!$C$2:$G$396,4,0)</f>
        <v>Und</v>
      </c>
      <c r="E4219" s="90">
        <v>0.5</v>
      </c>
      <c r="F4219" s="508" t="e">
        <f t="shared" si="247"/>
        <v>#VALUE!</v>
      </c>
      <c r="G4219" s="519"/>
      <c r="H4219" s="111"/>
      <c r="I4219">
        <f>E4219*G4203</f>
        <v>0</v>
      </c>
      <c r="J4219" s="58"/>
      <c r="K4219" s="50"/>
      <c r="L4219" s="50"/>
      <c r="M4219" s="50"/>
      <c r="N4219" s="50"/>
      <c r="O4219" s="50"/>
    </row>
    <row r="4220" spans="1:15">
      <c r="A4220" s="517" t="s">
        <v>8</v>
      </c>
      <c r="B4220" s="518">
        <f>VLOOKUP(A4220,'Materiales '!$C$2:$G$396,3,0)</f>
        <v>0</v>
      </c>
      <c r="C4220" s="88">
        <f>VLOOKUP(A4220,'Materiales '!$C$2:$G$396,3,0)</f>
        <v>0</v>
      </c>
      <c r="D4220" s="89" t="str">
        <f>VLOOKUP(A4220,'Materiales '!$C$2:$G$396,4,0)</f>
        <v>-</v>
      </c>
      <c r="E4220" s="90"/>
      <c r="F4220" s="508" t="e">
        <f>E4220*D4220</f>
        <v>#VALUE!</v>
      </c>
      <c r="G4220" s="519"/>
      <c r="H4220" s="110"/>
      <c r="I4220">
        <f>E4220*G4203</f>
        <v>0</v>
      </c>
      <c r="J4220" s="58"/>
      <c r="K4220" s="50"/>
      <c r="L4220" s="50"/>
      <c r="M4220" s="50"/>
      <c r="N4220" s="50"/>
      <c r="O4220" s="50"/>
    </row>
    <row r="4221" spans="1:15">
      <c r="A4221" s="517" t="s">
        <v>8</v>
      </c>
      <c r="B4221" s="518">
        <f>VLOOKUP(A4221,'Materiales '!$C$2:$G$396,3,0)</f>
        <v>0</v>
      </c>
      <c r="C4221" s="88">
        <f>VLOOKUP(A4221,'Materiales '!$C$2:$G$396,3,0)</f>
        <v>0</v>
      </c>
      <c r="D4221" s="89" t="str">
        <f>VLOOKUP(A4221,'Materiales '!$C$2:$G$396,4,0)</f>
        <v>-</v>
      </c>
      <c r="E4221" s="90"/>
      <c r="F4221" s="508" t="e">
        <f t="shared" ref="F4221:F4224" si="248">E4221*D4221</f>
        <v>#VALUE!</v>
      </c>
      <c r="G4221" s="519"/>
      <c r="H4221" s="111"/>
      <c r="I4221">
        <f>E4221*G4203</f>
        <v>0</v>
      </c>
      <c r="J4221" s="58"/>
      <c r="K4221" s="50"/>
      <c r="L4221" s="50"/>
      <c r="M4221" s="50"/>
      <c r="N4221" s="50"/>
      <c r="O4221" s="50"/>
    </row>
    <row r="4222" spans="1:15">
      <c r="A4222" s="517" t="s">
        <v>8</v>
      </c>
      <c r="B4222" s="518">
        <f>VLOOKUP(A4222,'Materiales '!$C$2:$G$396,3,0)</f>
        <v>0</v>
      </c>
      <c r="C4222" s="88">
        <f>VLOOKUP(A4222,'Materiales '!$C$2:$G$396,3,0)</f>
        <v>0</v>
      </c>
      <c r="D4222" s="89" t="str">
        <f>VLOOKUP(A4222,'Materiales '!$C$2:$G$396,4,0)</f>
        <v>-</v>
      </c>
      <c r="E4222" s="90"/>
      <c r="F4222" s="508" t="e">
        <f t="shared" si="248"/>
        <v>#VALUE!</v>
      </c>
      <c r="G4222" s="519"/>
      <c r="H4222" s="111"/>
      <c r="I4222">
        <f>E4222*G4203</f>
        <v>0</v>
      </c>
      <c r="J4222" s="58"/>
      <c r="K4222" s="50"/>
      <c r="L4222" s="50"/>
      <c r="M4222" s="50"/>
      <c r="N4222" s="50"/>
      <c r="O4222" s="50"/>
    </row>
    <row r="4223" spans="1:15">
      <c r="A4223" s="517" t="s">
        <v>8</v>
      </c>
      <c r="B4223" s="518">
        <f>VLOOKUP(A4223,'Materiales '!$C$2:$G$396,3,0)</f>
        <v>0</v>
      </c>
      <c r="C4223" s="88">
        <f>VLOOKUP(A4223,'Materiales '!$C$2:$G$396,3,0)</f>
        <v>0</v>
      </c>
      <c r="D4223" s="89" t="str">
        <f>VLOOKUP(A4223,'Materiales '!$C$2:$G$396,4,0)</f>
        <v>-</v>
      </c>
      <c r="E4223" s="90"/>
      <c r="F4223" s="508" t="e">
        <f t="shared" si="248"/>
        <v>#VALUE!</v>
      </c>
      <c r="G4223" s="519"/>
      <c r="H4223" s="111"/>
      <c r="I4223">
        <f>E4223*G4203</f>
        <v>0</v>
      </c>
      <c r="J4223" s="58"/>
      <c r="K4223" s="50"/>
      <c r="L4223" s="50"/>
      <c r="M4223" s="50"/>
      <c r="N4223" s="50"/>
      <c r="O4223" s="50"/>
    </row>
    <row r="4224" spans="1:15">
      <c r="A4224" s="517" t="s">
        <v>8</v>
      </c>
      <c r="B4224" s="518">
        <f>VLOOKUP(A4224,'Materiales '!$C$2:$G$396,3,0)</f>
        <v>0</v>
      </c>
      <c r="C4224" s="88">
        <f>VLOOKUP(A4224,'Materiales '!$C$2:$G$396,3,0)</f>
        <v>0</v>
      </c>
      <c r="D4224" s="89" t="str">
        <f>VLOOKUP(A4224,'Materiales '!$C$2:$G$396,4,0)</f>
        <v>-</v>
      </c>
      <c r="E4224" s="90"/>
      <c r="F4224" s="508" t="e">
        <f t="shared" si="248"/>
        <v>#VALUE!</v>
      </c>
      <c r="G4224" s="519"/>
      <c r="H4224" s="111"/>
      <c r="I4224">
        <f>E4224*G4203</f>
        <v>0</v>
      </c>
      <c r="J4224" s="58"/>
      <c r="K4224" s="50"/>
      <c r="L4224" s="50"/>
      <c r="M4224" s="50"/>
      <c r="N4224" s="50"/>
      <c r="O4224" s="50"/>
    </row>
    <row r="4225" spans="1:15">
      <c r="A4225" s="517" t="s">
        <v>8</v>
      </c>
      <c r="B4225" s="518">
        <f>VLOOKUP(A4225,'Materiales '!$C$2:$G$396,3,0)</f>
        <v>0</v>
      </c>
      <c r="C4225" s="88">
        <f>VLOOKUP(A4225,'Materiales '!$C$2:$G$396,3,0)</f>
        <v>0</v>
      </c>
      <c r="D4225" s="89" t="str">
        <f>VLOOKUP(A4225,'Materiales '!$C$2:$G$396,4,0)</f>
        <v>-</v>
      </c>
      <c r="E4225" s="90"/>
      <c r="F4225" s="508" t="e">
        <f>E4225*D4225</f>
        <v>#VALUE!</v>
      </c>
      <c r="G4225" s="519"/>
      <c r="H4225" s="110"/>
      <c r="I4225">
        <f>E4225*G4203</f>
        <v>0</v>
      </c>
      <c r="J4225" s="58"/>
      <c r="K4225" s="50"/>
      <c r="L4225" s="50"/>
      <c r="M4225" s="50"/>
      <c r="N4225" s="50"/>
      <c r="O4225" s="50"/>
    </row>
    <row r="4226" spans="1:15">
      <c r="A4226" s="520" t="s">
        <v>4098</v>
      </c>
      <c r="B4226" s="521"/>
      <c r="C4226" s="521"/>
      <c r="D4226" s="521"/>
      <c r="E4226" s="521"/>
      <c r="F4226" s="521"/>
      <c r="G4226" s="522"/>
      <c r="H4226" s="106" t="e">
        <f>SUM(F4212:F4225)</f>
        <v>#VALUE!</v>
      </c>
      <c r="J4226" s="58"/>
      <c r="K4226" s="50"/>
      <c r="L4226" s="50"/>
      <c r="M4226" s="50"/>
      <c r="N4226" s="50"/>
      <c r="O4226" s="50"/>
    </row>
    <row r="4227" spans="1:15">
      <c r="A4227" s="523" t="s">
        <v>4220</v>
      </c>
      <c r="B4227" s="524"/>
      <c r="C4227" s="524"/>
      <c r="D4227" s="524"/>
      <c r="E4227" s="525"/>
      <c r="F4227" s="524"/>
      <c r="G4227" s="524"/>
      <c r="H4227" s="526"/>
      <c r="J4227" s="58"/>
      <c r="K4227" s="50"/>
      <c r="L4227" s="50"/>
      <c r="M4227" s="50"/>
      <c r="N4227" s="50"/>
      <c r="O4227" s="50"/>
    </row>
    <row r="4228" spans="1:15">
      <c r="A4228" s="527" t="s">
        <v>7</v>
      </c>
      <c r="B4228" s="528"/>
      <c r="C4228" s="98" t="s">
        <v>4221</v>
      </c>
      <c r="D4228" s="97" t="s">
        <v>4222</v>
      </c>
      <c r="E4228" s="187" t="s">
        <v>4223</v>
      </c>
      <c r="F4228" s="529" t="s">
        <v>4207</v>
      </c>
      <c r="G4228" s="529"/>
      <c r="H4228" s="109"/>
      <c r="K4228" s="50"/>
      <c r="L4228" s="50"/>
      <c r="M4228" s="50"/>
      <c r="N4228" s="50"/>
      <c r="O4228" s="50"/>
    </row>
    <row r="4229" spans="1:15">
      <c r="A4229" s="506" t="s">
        <v>3928</v>
      </c>
      <c r="B4229" s="507"/>
      <c r="C4229" s="213">
        <v>1</v>
      </c>
      <c r="D4229" s="92">
        <v>0.03</v>
      </c>
      <c r="E4229" s="93" t="str">
        <f>VLOOKUP(A4229,'Equip, Herr y Transp'!$B$2:$E$217,3,0)</f>
        <v>TR</v>
      </c>
      <c r="F4229" s="530" t="e">
        <f>E4229*D4229*C4229</f>
        <v>#VALUE!</v>
      </c>
      <c r="G4229" s="531"/>
      <c r="H4229" s="107"/>
      <c r="M4229" s="50"/>
    </row>
    <row r="4230" spans="1:15">
      <c r="A4230" s="532" t="s">
        <v>4205</v>
      </c>
      <c r="B4230" s="533"/>
      <c r="C4230" s="533"/>
      <c r="D4230" s="533"/>
      <c r="E4230" s="533"/>
      <c r="F4230" s="533"/>
      <c r="G4230" s="533"/>
      <c r="H4230" s="95" t="e">
        <f>F4229</f>
        <v>#VALUE!</v>
      </c>
    </row>
    <row r="4231" spans="1:15">
      <c r="A4231" s="523" t="s">
        <v>4224</v>
      </c>
      <c r="B4231" s="524"/>
      <c r="C4231" s="524"/>
      <c r="D4231" s="524"/>
      <c r="E4231" s="524"/>
      <c r="F4231" s="524"/>
      <c r="G4231" s="524"/>
      <c r="H4231" s="526"/>
    </row>
    <row r="4232" spans="1:15">
      <c r="A4232" s="527" t="s">
        <v>7</v>
      </c>
      <c r="B4232" s="528"/>
      <c r="C4232" s="96" t="s">
        <v>1</v>
      </c>
      <c r="D4232" s="97" t="s">
        <v>4225</v>
      </c>
      <c r="E4232" s="98" t="s">
        <v>4204</v>
      </c>
      <c r="F4232" s="527" t="s">
        <v>5</v>
      </c>
      <c r="G4232" s="534"/>
      <c r="H4232" s="109"/>
    </row>
    <row r="4233" spans="1:15">
      <c r="A4233" s="506" t="s">
        <v>4191</v>
      </c>
      <c r="B4233" s="507"/>
      <c r="C4233" s="91">
        <v>1</v>
      </c>
      <c r="D4233" s="94">
        <f>VLOOKUP(A4233,'Mano Obra'!$B$2:$T$117,19,0)</f>
        <v>152456</v>
      </c>
      <c r="E4233" s="218">
        <f>H4196</f>
        <v>6.25E-2</v>
      </c>
      <c r="F4233" s="508">
        <f>E4233*D4233*C4233</f>
        <v>9528.5</v>
      </c>
      <c r="G4233" s="509"/>
      <c r="H4233" s="111"/>
      <c r="I4233" s="59"/>
      <c r="J4233" s="117">
        <f>((('Mano Obra'!$M$4/30)*F4233)/D4233)*G4203</f>
        <v>0</v>
      </c>
    </row>
    <row r="4234" spans="1:15">
      <c r="A4234" s="510" t="s">
        <v>4192</v>
      </c>
      <c r="B4234" s="511">
        <f>VLOOKUP(A4234,'Mano Obra'!$B$3:$D$290,2,0)</f>
        <v>1900000</v>
      </c>
      <c r="C4234" s="91">
        <v>1</v>
      </c>
      <c r="D4234" s="94">
        <f>VLOOKUP(A4234,'Mano Obra'!$B$2:$T$117,19,0)</f>
        <v>110488</v>
      </c>
      <c r="E4234" s="218">
        <f>H4196</f>
        <v>6.25E-2</v>
      </c>
      <c r="F4234" s="508">
        <f t="shared" ref="F4234:F4235" si="249">E4234*D4234*C4234</f>
        <v>6905.5</v>
      </c>
      <c r="G4234" s="509"/>
      <c r="H4234" s="111"/>
      <c r="J4234" s="117">
        <f>((('Mano Obra'!$M$5/30)*F4234)/D4234)*G4203</f>
        <v>0</v>
      </c>
    </row>
    <row r="4235" spans="1:15">
      <c r="A4235" s="510" t="s">
        <v>4181</v>
      </c>
      <c r="B4235" s="511">
        <f>VLOOKUP(A4235,'Mano Obra'!$B$3:$D$290,2,0)</f>
        <v>1000000</v>
      </c>
      <c r="C4235" s="91">
        <v>1</v>
      </c>
      <c r="D4235" s="94">
        <f>VLOOKUP(A4235,'Mano Obra'!$B$2:$T$117,19,0)</f>
        <v>67424</v>
      </c>
      <c r="E4235" s="218">
        <f>H4196</f>
        <v>6.25E-2</v>
      </c>
      <c r="F4235" s="508">
        <f t="shared" si="249"/>
        <v>4214</v>
      </c>
      <c r="G4235" s="509"/>
      <c r="H4235" s="110"/>
      <c r="J4235" s="117">
        <f>((('Mano Obra'!$M$6/30)*F4235)/D4235)*G4203</f>
        <v>0</v>
      </c>
    </row>
    <row r="4236" spans="1:15">
      <c r="A4236" s="512" t="s">
        <v>4100</v>
      </c>
      <c r="B4236" s="512"/>
      <c r="C4236" s="512"/>
      <c r="D4236" s="512"/>
      <c r="E4236" s="512"/>
      <c r="F4236" s="512"/>
      <c r="G4236" s="512"/>
      <c r="H4236" s="95">
        <f>SUM(F4233:F4235)</f>
        <v>20648</v>
      </c>
      <c r="J4236" s="117"/>
    </row>
    <row r="4237" spans="1:15">
      <c r="A4237" s="208" t="s">
        <v>4226</v>
      </c>
      <c r="B4237" s="186"/>
      <c r="C4237" s="186"/>
      <c r="D4237" s="183"/>
      <c r="E4237" s="184"/>
      <c r="F4237" s="185"/>
      <c r="G4237" s="184"/>
      <c r="H4237" s="193"/>
    </row>
    <row r="4238" spans="1:15">
      <c r="A4238" s="513" t="s">
        <v>4213</v>
      </c>
      <c r="B4238" s="514"/>
      <c r="C4238" s="514"/>
      <c r="D4238" s="514"/>
      <c r="E4238" s="181"/>
      <c r="F4238" s="182" t="s">
        <v>4227</v>
      </c>
      <c r="G4238" s="181" t="s">
        <v>4228</v>
      </c>
      <c r="H4238" s="194"/>
    </row>
    <row r="4239" spans="1:15">
      <c r="A4239" s="204" t="s">
        <v>4096</v>
      </c>
      <c r="B4239" s="62"/>
      <c r="C4239" s="62"/>
      <c r="D4239" s="63"/>
      <c r="E4239" s="68"/>
      <c r="F4239" s="69">
        <v>0</v>
      </c>
      <c r="G4239" s="70" t="e">
        <f>F4239*H4204</f>
        <v>#VALUE!</v>
      </c>
      <c r="H4239" s="193"/>
    </row>
    <row r="4240" spans="1:15">
      <c r="A4240" s="205" t="s">
        <v>4229</v>
      </c>
      <c r="B4240" s="71"/>
      <c r="C4240" s="71"/>
      <c r="D4240" s="72"/>
      <c r="E4240" s="68"/>
      <c r="F4240" s="69">
        <v>0</v>
      </c>
      <c r="G4240" s="70" t="e">
        <f>F4240*H4204</f>
        <v>#VALUE!</v>
      </c>
      <c r="H4240" s="193"/>
    </row>
    <row r="4241" spans="1:14">
      <c r="A4241" s="205" t="s">
        <v>4</v>
      </c>
      <c r="B4241" s="71"/>
      <c r="C4241" s="71"/>
      <c r="D4241" s="72"/>
      <c r="E4241" s="68"/>
      <c r="F4241" s="69">
        <v>0</v>
      </c>
      <c r="G4241" s="70" t="e">
        <f>F4241*H4204</f>
        <v>#VALUE!</v>
      </c>
      <c r="H4241" s="193"/>
    </row>
    <row r="4242" spans="1:14">
      <c r="A4242" s="206"/>
      <c r="B4242" s="73"/>
      <c r="C4242" s="65"/>
      <c r="D4242" s="74"/>
      <c r="E4242" s="75"/>
      <c r="F4242" s="76"/>
      <c r="G4242" s="77"/>
      <c r="H4242" s="195"/>
    </row>
    <row r="4243" spans="1:14">
      <c r="A4243" s="207"/>
      <c r="B4243" s="73"/>
      <c r="C4243" s="73"/>
      <c r="D4243" s="74"/>
      <c r="E4243" s="78"/>
      <c r="F4243" s="515" t="s">
        <v>4230</v>
      </c>
      <c r="G4243" s="516"/>
      <c r="H4243" s="214" t="e">
        <f>H4204+G4239+G4240+G4241</f>
        <v>#VALUE!</v>
      </c>
    </row>
    <row r="4244" spans="1:14">
      <c r="A4244" s="73"/>
      <c r="B4244" s="73"/>
      <c r="C4244" s="73"/>
      <c r="D4244" s="74"/>
      <c r="E4244" s="360"/>
      <c r="F4244" s="361"/>
      <c r="G4244" s="361"/>
      <c r="H4244" s="362"/>
    </row>
    <row r="4245" spans="1:14">
      <c r="A4245" s="73"/>
      <c r="B4245" s="73"/>
      <c r="C4245" s="73"/>
      <c r="D4245" s="74"/>
      <c r="E4245" s="360"/>
      <c r="F4245" s="361"/>
      <c r="G4245" s="361"/>
      <c r="H4245" s="362"/>
    </row>
    <row r="4246" spans="1:14">
      <c r="A4246" s="73"/>
      <c r="B4246" s="73"/>
      <c r="C4246" s="73"/>
      <c r="D4246" s="74"/>
      <c r="E4246" s="360"/>
      <c r="F4246" s="361"/>
      <c r="G4246" s="361"/>
      <c r="H4246" s="362"/>
    </row>
    <row r="4247" spans="1:14">
      <c r="A4247" s="73"/>
      <c r="B4247" s="73"/>
      <c r="C4247" s="73"/>
      <c r="D4247" s="74"/>
      <c r="E4247" s="360"/>
      <c r="F4247" s="361"/>
      <c r="G4247" s="361"/>
      <c r="H4247" s="362"/>
    </row>
    <row r="4249" spans="1:14">
      <c r="A4249" s="80"/>
      <c r="B4249" s="80"/>
      <c r="C4249" s="80"/>
      <c r="D4249" s="80"/>
      <c r="E4249" s="80"/>
      <c r="F4249" s="80"/>
      <c r="G4249" s="80"/>
      <c r="H4249" s="353"/>
    </row>
    <row r="4250" spans="1:14">
      <c r="A4250" s="537" t="s">
        <v>4214</v>
      </c>
      <c r="B4250" s="538"/>
      <c r="C4250" s="538"/>
      <c r="D4250" s="538"/>
      <c r="E4250" s="538"/>
      <c r="F4250" s="538"/>
      <c r="G4250" s="538"/>
      <c r="H4250" s="539"/>
    </row>
    <row r="4251" spans="1:14">
      <c r="A4251" s="81"/>
      <c r="B4251" s="82"/>
      <c r="C4251" s="82"/>
      <c r="D4251" s="82"/>
      <c r="E4251" s="82"/>
      <c r="F4251" s="83"/>
      <c r="G4251" s="84"/>
      <c r="H4251" s="352">
        <f>ROUND((110/60)/8,4)</f>
        <v>0.22919999999999999</v>
      </c>
      <c r="I4251" s="105"/>
    </row>
    <row r="4252" spans="1:14">
      <c r="A4252" s="540" t="s">
        <v>4209</v>
      </c>
      <c r="B4252" s="542" t="str">
        <f>COSTOS!$C$14</f>
        <v>MODERNIZACION A TECNOLOGIA LED</v>
      </c>
      <c r="C4252" s="542"/>
      <c r="D4252" s="542"/>
      <c r="E4252" s="542"/>
      <c r="F4252" s="542"/>
      <c r="G4252" s="542"/>
      <c r="H4252" s="543" t="s">
        <v>4210</v>
      </c>
    </row>
    <row r="4253" spans="1:14">
      <c r="A4253" s="541"/>
      <c r="B4253" s="542"/>
      <c r="C4253" s="542"/>
      <c r="D4253" s="542"/>
      <c r="E4253" s="542"/>
      <c r="F4253" s="542"/>
      <c r="G4253" s="542"/>
      <c r="H4253" s="543"/>
    </row>
    <row r="4254" spans="1:14">
      <c r="A4254" s="541"/>
      <c r="B4254" s="542"/>
      <c r="C4254" s="542"/>
      <c r="D4254" s="542"/>
      <c r="E4254" s="542"/>
      <c r="F4254" s="542"/>
      <c r="G4254" s="542"/>
      <c r="H4254" s="543"/>
    </row>
    <row r="4255" spans="1:14" ht="15" customHeight="1">
      <c r="A4255" s="541"/>
      <c r="B4255" s="542"/>
      <c r="C4255" s="542"/>
      <c r="D4255" s="542"/>
      <c r="E4255" s="542"/>
      <c r="F4255" s="542"/>
      <c r="G4255" s="542"/>
      <c r="H4255" s="197">
        <f ca="1">TODAY()</f>
        <v>44889</v>
      </c>
      <c r="K4255" t="s">
        <v>4380</v>
      </c>
      <c r="L4255" t="s">
        <v>4381</v>
      </c>
      <c r="M4255" t="s">
        <v>4382</v>
      </c>
      <c r="N4255" t="s">
        <v>4383</v>
      </c>
    </row>
    <row r="4256" spans="1:14" ht="60.75" customHeight="1">
      <c r="A4256" s="209" t="s">
        <v>4211</v>
      </c>
      <c r="B4256" s="544" t="str">
        <f>COSTOS!$D$16</f>
        <v>Luminarias</v>
      </c>
      <c r="C4256" s="544"/>
      <c r="D4256" s="544"/>
      <c r="E4256" s="544"/>
      <c r="F4256" s="544"/>
      <c r="G4256" s="60" t="s">
        <v>4212</v>
      </c>
      <c r="H4256" s="359">
        <v>2.1</v>
      </c>
      <c r="K4256" s="55" t="e">
        <f>H4281</f>
        <v>#VALUE!</v>
      </c>
      <c r="L4256" s="55">
        <f>H4291</f>
        <v>75720.345599999986</v>
      </c>
      <c r="M4256" s="55" t="e">
        <f>H4264</f>
        <v>#VALUE!</v>
      </c>
      <c r="N4256" s="55" t="e">
        <f>H4285</f>
        <v>#VALUE!</v>
      </c>
    </row>
    <row r="4257" spans="1:15" ht="43.2" customHeight="1">
      <c r="A4257" s="210" t="s">
        <v>4213</v>
      </c>
      <c r="B4257" s="545" t="str">
        <f>VLOOKUP(H4256,COSTOS!C:M,2,0)</f>
        <v xml:space="preserve">Poste metalico de 3 metros </v>
      </c>
      <c r="C4257" s="546"/>
      <c r="D4257" s="546"/>
      <c r="E4257" s="547"/>
      <c r="F4257" s="61" t="s">
        <v>0</v>
      </c>
      <c r="G4257" s="328" t="str">
        <f>VLOOKUP(H4256,COSTOS!C:M,8,0)</f>
        <v>Und</v>
      </c>
      <c r="H4257" s="248"/>
      <c r="I4257" s="278"/>
      <c r="J4257" s="280"/>
      <c r="K4257" s="280"/>
      <c r="L4257" s="280"/>
    </row>
    <row r="4258" spans="1:15">
      <c r="A4258" s="211"/>
      <c r="B4258" s="102"/>
      <c r="C4258" s="102"/>
      <c r="D4258" s="102"/>
      <c r="E4258" s="103"/>
      <c r="F4258" s="104" t="s">
        <v>1</v>
      </c>
      <c r="G4258" s="328">
        <f>VLOOKUP(H4256,COSTOS!C:M,9,0)</f>
        <v>0</v>
      </c>
      <c r="H4258" s="329"/>
      <c r="I4258" s="279"/>
    </row>
    <row r="4259" spans="1:15">
      <c r="A4259" s="212" t="s">
        <v>4215</v>
      </c>
      <c r="B4259" s="65"/>
      <c r="C4259" s="65"/>
      <c r="D4259" s="66"/>
      <c r="E4259" s="190"/>
      <c r="F4259" s="191"/>
      <c r="G4259" s="192" t="s">
        <v>4216</v>
      </c>
      <c r="H4259" s="198" t="e">
        <f>H4264+H4281+H4285+H4291</f>
        <v>#VALUE!</v>
      </c>
    </row>
    <row r="4260" spans="1:15" ht="41.4">
      <c r="A4260" s="548" t="s">
        <v>4213</v>
      </c>
      <c r="B4260" s="548"/>
      <c r="C4260" s="548"/>
      <c r="D4260" s="67" t="s">
        <v>0</v>
      </c>
      <c r="E4260" s="188" t="s">
        <v>4217</v>
      </c>
      <c r="F4260" s="189" t="s">
        <v>4204</v>
      </c>
      <c r="G4260" s="64" t="s">
        <v>2</v>
      </c>
      <c r="H4260" s="199" t="s">
        <v>4218</v>
      </c>
      <c r="K4260" s="281"/>
    </row>
    <row r="4261" spans="1:15">
      <c r="A4261" s="517" t="s">
        <v>3946</v>
      </c>
      <c r="B4261" s="549">
        <f>VLOOKUP(A4261,'Equip, Herr y Transp'!$B$2:$E$738,2,0)</f>
        <v>2</v>
      </c>
      <c r="C4261" s="549"/>
      <c r="D4261" s="85">
        <f>VLOOKUP(A4261,'Equip, Herr y Transp'!$B$2:$E$217,2,0)</f>
        <v>2</v>
      </c>
      <c r="E4261" s="85" t="str">
        <f>VLOOKUP(A4261,'Equip, Herr y Transp'!$B$2:$E$217,3,0)</f>
        <v>EQU</v>
      </c>
      <c r="F4261" s="86">
        <f>H4251</f>
        <v>0.22919999999999999</v>
      </c>
      <c r="G4261" s="112" t="e">
        <f>F4261*E4261</f>
        <v>#VALUE!</v>
      </c>
      <c r="H4261" s="108"/>
    </row>
    <row r="4262" spans="1:15">
      <c r="A4262" s="517" t="s">
        <v>3904</v>
      </c>
      <c r="B4262" s="549">
        <f>VLOOKUP(A4262,'Equip, Herr y Transp'!$B$2:$E$738,2,0)</f>
        <v>2</v>
      </c>
      <c r="C4262" s="549"/>
      <c r="D4262" s="85">
        <f>VLOOKUP(A4262,'Equip, Herr y Transp'!$B$2:$E$217,2,0)</f>
        <v>2</v>
      </c>
      <c r="E4262" s="85" t="str">
        <f>VLOOKUP(A4262,'Equip, Herr y Transp'!$B$2:$E$217,3,0)</f>
        <v>EQU</v>
      </c>
      <c r="F4262" s="86">
        <f>H4251</f>
        <v>0.22919999999999999</v>
      </c>
      <c r="G4262" s="112" t="e">
        <f>F4262*E4262</f>
        <v>#VALUE!</v>
      </c>
      <c r="H4262" s="107"/>
    </row>
    <row r="4263" spans="1:15">
      <c r="A4263" s="517" t="s">
        <v>8</v>
      </c>
      <c r="B4263" s="549" t="e">
        <f>VLOOKUP(A4263,'Equip, Herr y Transp'!$B$2:$E$738,2,0)</f>
        <v>#N/A</v>
      </c>
      <c r="C4263" s="549"/>
      <c r="D4263" s="85" t="e">
        <f>VLOOKUP(A4263,'Equip, Herr y Transp'!$B$2:$E$217,2,0)</f>
        <v>#N/A</v>
      </c>
      <c r="E4263" s="85" t="e">
        <f>VLOOKUP(A4263,'Equip, Herr y Transp'!$B$2:$E$217,3,0)</f>
        <v>#N/A</v>
      </c>
      <c r="F4263" s="86"/>
      <c r="G4263" s="112" t="e">
        <f>F4263*E4263</f>
        <v>#N/A</v>
      </c>
      <c r="H4263" s="107"/>
    </row>
    <row r="4264" spans="1:15">
      <c r="A4264" s="520" t="s">
        <v>4099</v>
      </c>
      <c r="B4264" s="521"/>
      <c r="C4264" s="521"/>
      <c r="D4264" s="521"/>
      <c r="E4264" s="521"/>
      <c r="F4264" s="521"/>
      <c r="G4264" s="521"/>
      <c r="H4264" s="87" t="e">
        <f>SUM(G4261:G4263)</f>
        <v>#VALUE!</v>
      </c>
    </row>
    <row r="4265" spans="1:15">
      <c r="A4265" s="550" t="s">
        <v>4219</v>
      </c>
      <c r="B4265" s="551"/>
      <c r="C4265" s="551"/>
      <c r="D4265" s="551"/>
      <c r="E4265" s="551"/>
      <c r="F4265" s="551"/>
      <c r="G4265" s="551"/>
      <c r="H4265" s="552"/>
      <c r="K4265" s="50"/>
      <c r="L4265" s="50"/>
      <c r="M4265" s="50"/>
      <c r="N4265" s="50"/>
      <c r="O4265" s="50"/>
    </row>
    <row r="4266" spans="1:15" ht="30" customHeight="1">
      <c r="A4266" s="553" t="s">
        <v>7</v>
      </c>
      <c r="B4266" s="554"/>
      <c r="C4266" s="99" t="s">
        <v>0</v>
      </c>
      <c r="D4266" s="100" t="s">
        <v>4097</v>
      </c>
      <c r="E4266" s="101" t="s">
        <v>1</v>
      </c>
      <c r="F4266" s="555" t="s">
        <v>4207</v>
      </c>
      <c r="G4266" s="555"/>
      <c r="H4266" s="196"/>
      <c r="K4266" s="50"/>
      <c r="L4266" s="50"/>
      <c r="M4266" s="50"/>
      <c r="N4266" s="50"/>
      <c r="O4266" s="50"/>
    </row>
    <row r="4267" spans="1:15">
      <c r="A4267" s="535" t="s">
        <v>4616</v>
      </c>
      <c r="B4267" s="536"/>
      <c r="C4267" s="88">
        <f>VLOOKUP(A4267,'Materiales '!$C$2:$G$396,3,0)</f>
        <v>4</v>
      </c>
      <c r="D4267" s="89" t="str">
        <f>VLOOKUP(A4267,'Materiales '!$C$2:$G$396,4,0)</f>
        <v>Und</v>
      </c>
      <c r="E4267" s="90">
        <v>1</v>
      </c>
      <c r="F4267" s="508" t="e">
        <f>E4267*D4267</f>
        <v>#VALUE!</v>
      </c>
      <c r="G4267" s="519"/>
      <c r="H4267" s="111"/>
      <c r="I4267">
        <f>E4267*G4258</f>
        <v>0</v>
      </c>
      <c r="J4267" s="57"/>
      <c r="K4267" s="50"/>
      <c r="L4267" s="50"/>
      <c r="M4267" s="50"/>
      <c r="N4267" s="50"/>
      <c r="O4267" s="50"/>
    </row>
    <row r="4268" spans="1:15">
      <c r="A4268" s="535" t="s">
        <v>4617</v>
      </c>
      <c r="B4268" s="536"/>
      <c r="C4268" s="88">
        <f>VLOOKUP(A4268,'Materiales '!$C$2:$G$396,3,0)</f>
        <v>3</v>
      </c>
      <c r="D4268" s="89" t="str">
        <f>VLOOKUP(A4268,'Materiales '!$C$2:$G$396,4,0)</f>
        <v>Rollo</v>
      </c>
      <c r="E4268" s="90">
        <v>0.5</v>
      </c>
      <c r="F4268" s="508" t="e">
        <f t="shared" ref="F4268:F4274" si="250">E4268*D4268</f>
        <v>#VALUE!</v>
      </c>
      <c r="G4268" s="519"/>
      <c r="H4268" s="111"/>
      <c r="I4268">
        <f>E4268*G4258</f>
        <v>0</v>
      </c>
      <c r="J4268" s="57"/>
      <c r="K4268" s="50"/>
      <c r="L4268" s="50"/>
      <c r="M4268" s="50"/>
      <c r="N4268" s="50"/>
      <c r="O4268" s="50"/>
    </row>
    <row r="4269" spans="1:15">
      <c r="A4269" s="517" t="s">
        <v>8</v>
      </c>
      <c r="B4269" s="518">
        <f>VLOOKUP(A4269,'Materiales '!$C$2:$G$396,3,0)</f>
        <v>0</v>
      </c>
      <c r="C4269" s="88">
        <f>VLOOKUP(A4269,'Materiales '!$C$2:$G$396,3,0)</f>
        <v>0</v>
      </c>
      <c r="D4269" s="89" t="str">
        <f>VLOOKUP(A4269,'Materiales '!$C$2:$G$396,4,0)</f>
        <v>-</v>
      </c>
      <c r="E4269" s="90">
        <v>1</v>
      </c>
      <c r="F4269" s="508" t="e">
        <f t="shared" si="250"/>
        <v>#VALUE!</v>
      </c>
      <c r="G4269" s="519"/>
      <c r="H4269" s="111"/>
      <c r="I4269">
        <f>E4269*G4258</f>
        <v>0</v>
      </c>
      <c r="J4269" s="58"/>
      <c r="K4269" s="50"/>
      <c r="L4269" s="50"/>
      <c r="M4269" s="50"/>
      <c r="N4269" s="50"/>
      <c r="O4269" s="50"/>
    </row>
    <row r="4270" spans="1:15">
      <c r="A4270" s="517" t="s">
        <v>8</v>
      </c>
      <c r="B4270" s="518">
        <f>VLOOKUP(A4270,'Materiales '!$C$2:$G$396,3,0)</f>
        <v>0</v>
      </c>
      <c r="C4270" s="88">
        <f>VLOOKUP(A4270,'Materiales '!$C$2:$G$396,3,0)</f>
        <v>0</v>
      </c>
      <c r="D4270" s="89" t="str">
        <f>VLOOKUP(A4270,'Materiales '!$C$2:$G$396,4,0)</f>
        <v>-</v>
      </c>
      <c r="E4270" s="90">
        <v>3</v>
      </c>
      <c r="F4270" s="508" t="e">
        <f t="shared" si="250"/>
        <v>#VALUE!</v>
      </c>
      <c r="G4270" s="519"/>
      <c r="H4270" s="111"/>
      <c r="I4270">
        <f>E4270*G4258</f>
        <v>0</v>
      </c>
      <c r="J4270" s="58"/>
      <c r="K4270" s="50"/>
      <c r="L4270" s="50"/>
      <c r="M4270" s="50"/>
      <c r="N4270" s="50"/>
      <c r="O4270" s="50"/>
    </row>
    <row r="4271" spans="1:15">
      <c r="A4271" s="517" t="s">
        <v>8</v>
      </c>
      <c r="B4271" s="518">
        <f>VLOOKUP(A4271,'Materiales '!$C$2:$G$396,3,0)</f>
        <v>0</v>
      </c>
      <c r="C4271" s="88">
        <f>VLOOKUP(A4271,'Materiales '!$C$2:$G$396,3,0)</f>
        <v>0</v>
      </c>
      <c r="D4271" s="89" t="str">
        <f>VLOOKUP(A4271,'Materiales '!$C$2:$G$396,4,0)</f>
        <v>-</v>
      </c>
      <c r="E4271" s="90">
        <v>2</v>
      </c>
      <c r="F4271" s="508" t="e">
        <f t="shared" si="250"/>
        <v>#VALUE!</v>
      </c>
      <c r="G4271" s="519"/>
      <c r="H4271" s="111"/>
      <c r="I4271">
        <f>E4271*G4258</f>
        <v>0</v>
      </c>
      <c r="J4271" s="58"/>
      <c r="K4271" s="50"/>
      <c r="L4271" s="50"/>
      <c r="M4271" s="50"/>
      <c r="N4271" s="50"/>
      <c r="O4271" s="50"/>
    </row>
    <row r="4272" spans="1:15">
      <c r="A4272" s="517" t="s">
        <v>8</v>
      </c>
      <c r="B4272" s="518">
        <f>VLOOKUP(A4272,'Materiales '!$C$2:$G$396,3,0)</f>
        <v>0</v>
      </c>
      <c r="C4272" s="88">
        <f>VLOOKUP(A4272,'Materiales '!$C$2:$G$396,3,0)</f>
        <v>0</v>
      </c>
      <c r="D4272" s="89" t="str">
        <f>VLOOKUP(A4272,'Materiales '!$C$2:$G$396,4,0)</f>
        <v>-</v>
      </c>
      <c r="E4272" s="90">
        <v>8</v>
      </c>
      <c r="F4272" s="508" t="e">
        <f t="shared" si="250"/>
        <v>#VALUE!</v>
      </c>
      <c r="G4272" s="519"/>
      <c r="H4272" s="111"/>
      <c r="I4272">
        <f>E4272*G4258</f>
        <v>0</v>
      </c>
      <c r="J4272" s="58"/>
      <c r="K4272" s="50"/>
      <c r="L4272" s="50"/>
      <c r="M4272" s="50"/>
      <c r="N4272" s="50"/>
      <c r="O4272" s="50"/>
    </row>
    <row r="4273" spans="1:15">
      <c r="A4273" s="517" t="s">
        <v>8</v>
      </c>
      <c r="B4273" s="518">
        <f>VLOOKUP(A4273,'Materiales '!$C$2:$G$396,3,0)</f>
        <v>0</v>
      </c>
      <c r="C4273" s="88">
        <f>VLOOKUP(A4273,'Materiales '!$C$2:$G$396,3,0)</f>
        <v>0</v>
      </c>
      <c r="D4273" s="89" t="str">
        <f>VLOOKUP(A4273,'Materiales '!$C$2:$G$396,4,0)</f>
        <v>-</v>
      </c>
      <c r="E4273" s="90">
        <v>3</v>
      </c>
      <c r="F4273" s="508" t="e">
        <f t="shared" si="250"/>
        <v>#VALUE!</v>
      </c>
      <c r="G4273" s="519"/>
      <c r="H4273" s="111"/>
      <c r="I4273">
        <f>E4273*G4258</f>
        <v>0</v>
      </c>
      <c r="J4273" s="58"/>
      <c r="K4273" s="50"/>
      <c r="L4273" s="50"/>
      <c r="M4273" s="50"/>
      <c r="N4273" s="50"/>
      <c r="O4273" s="50"/>
    </row>
    <row r="4274" spans="1:15" ht="21.75" customHeight="1">
      <c r="A4274" s="517" t="s">
        <v>8</v>
      </c>
      <c r="B4274" s="518">
        <f>VLOOKUP(A4274,'Materiales '!$C$2:$G$396,3,0)</f>
        <v>0</v>
      </c>
      <c r="C4274" s="88">
        <f>VLOOKUP(A4274,'Materiales '!$C$2:$G$396,3,0)</f>
        <v>0</v>
      </c>
      <c r="D4274" s="89" t="str">
        <f>VLOOKUP(A4274,'Materiales '!$C$2:$G$396,4,0)</f>
        <v>-</v>
      </c>
      <c r="E4274" s="90">
        <v>0.5</v>
      </c>
      <c r="F4274" s="508" t="e">
        <f t="shared" si="250"/>
        <v>#VALUE!</v>
      </c>
      <c r="G4274" s="519"/>
      <c r="H4274" s="111"/>
      <c r="I4274">
        <f>E4274*G4258</f>
        <v>0</v>
      </c>
      <c r="J4274" s="58"/>
      <c r="K4274" s="50"/>
      <c r="L4274" s="50"/>
      <c r="M4274" s="50"/>
      <c r="N4274" s="50"/>
      <c r="O4274" s="50"/>
    </row>
    <row r="4275" spans="1:15">
      <c r="A4275" s="517" t="s">
        <v>8</v>
      </c>
      <c r="B4275" s="518">
        <f>VLOOKUP(A4275,'Materiales '!$C$2:$G$396,3,0)</f>
        <v>0</v>
      </c>
      <c r="C4275" s="88">
        <f>VLOOKUP(A4275,'Materiales '!$C$2:$G$396,3,0)</f>
        <v>0</v>
      </c>
      <c r="D4275" s="89" t="str">
        <f>VLOOKUP(A4275,'Materiales '!$C$2:$G$396,4,0)</f>
        <v>-</v>
      </c>
      <c r="E4275" s="90"/>
      <c r="F4275" s="508" t="e">
        <f>E4275*D4275</f>
        <v>#VALUE!</v>
      </c>
      <c r="G4275" s="519"/>
      <c r="H4275" s="110"/>
      <c r="I4275">
        <f>E4275*G4258</f>
        <v>0</v>
      </c>
      <c r="J4275" s="58"/>
      <c r="K4275" s="50"/>
      <c r="L4275" s="50"/>
      <c r="M4275" s="50"/>
      <c r="N4275" s="50"/>
      <c r="O4275" s="50"/>
    </row>
    <row r="4276" spans="1:15">
      <c r="A4276" s="517" t="s">
        <v>8</v>
      </c>
      <c r="B4276" s="518">
        <f>VLOOKUP(A4276,'Materiales '!$C$2:$G$396,3,0)</f>
        <v>0</v>
      </c>
      <c r="C4276" s="88">
        <f>VLOOKUP(A4276,'Materiales '!$C$2:$G$396,3,0)</f>
        <v>0</v>
      </c>
      <c r="D4276" s="89" t="str">
        <f>VLOOKUP(A4276,'Materiales '!$C$2:$G$396,4,0)</f>
        <v>-</v>
      </c>
      <c r="E4276" s="90"/>
      <c r="F4276" s="508" t="e">
        <f t="shared" ref="F4276:F4279" si="251">E4276*D4276</f>
        <v>#VALUE!</v>
      </c>
      <c r="G4276" s="519"/>
      <c r="H4276" s="111"/>
      <c r="I4276">
        <f>E4276*G4258</f>
        <v>0</v>
      </c>
      <c r="J4276" s="58"/>
      <c r="K4276" s="50"/>
      <c r="L4276" s="50"/>
      <c r="M4276" s="50"/>
      <c r="N4276" s="50"/>
      <c r="O4276" s="50"/>
    </row>
    <row r="4277" spans="1:15">
      <c r="A4277" s="517" t="s">
        <v>8</v>
      </c>
      <c r="B4277" s="518">
        <f>VLOOKUP(A4277,'Materiales '!$C$2:$G$396,3,0)</f>
        <v>0</v>
      </c>
      <c r="C4277" s="88">
        <f>VLOOKUP(A4277,'Materiales '!$C$2:$G$396,3,0)</f>
        <v>0</v>
      </c>
      <c r="D4277" s="89" t="str">
        <f>VLOOKUP(A4277,'Materiales '!$C$2:$G$396,4,0)</f>
        <v>-</v>
      </c>
      <c r="E4277" s="90"/>
      <c r="F4277" s="508" t="e">
        <f t="shared" si="251"/>
        <v>#VALUE!</v>
      </c>
      <c r="G4277" s="519"/>
      <c r="H4277" s="111"/>
      <c r="I4277">
        <f>E4277*G4258</f>
        <v>0</v>
      </c>
      <c r="J4277" s="58"/>
      <c r="K4277" s="50"/>
      <c r="L4277" s="50"/>
      <c r="M4277" s="50"/>
      <c r="N4277" s="50"/>
      <c r="O4277" s="50"/>
    </row>
    <row r="4278" spans="1:15">
      <c r="A4278" s="517" t="s">
        <v>8</v>
      </c>
      <c r="B4278" s="518">
        <f>VLOOKUP(A4278,'Materiales '!$C$2:$G$396,3,0)</f>
        <v>0</v>
      </c>
      <c r="C4278" s="88">
        <f>VLOOKUP(A4278,'Materiales '!$C$2:$G$396,3,0)</f>
        <v>0</v>
      </c>
      <c r="D4278" s="89" t="str">
        <f>VLOOKUP(A4278,'Materiales '!$C$2:$G$396,4,0)</f>
        <v>-</v>
      </c>
      <c r="E4278" s="90"/>
      <c r="F4278" s="508" t="e">
        <f t="shared" si="251"/>
        <v>#VALUE!</v>
      </c>
      <c r="G4278" s="519"/>
      <c r="H4278" s="111"/>
      <c r="I4278">
        <f>E4278*G4258</f>
        <v>0</v>
      </c>
      <c r="J4278" s="58"/>
      <c r="K4278" s="50"/>
      <c r="L4278" s="50"/>
      <c r="M4278" s="50"/>
      <c r="N4278" s="50"/>
      <c r="O4278" s="50"/>
    </row>
    <row r="4279" spans="1:15">
      <c r="A4279" s="517" t="s">
        <v>8</v>
      </c>
      <c r="B4279" s="518">
        <f>VLOOKUP(A4279,'Materiales '!$C$2:$G$396,3,0)</f>
        <v>0</v>
      </c>
      <c r="C4279" s="88">
        <f>VLOOKUP(A4279,'Materiales '!$C$2:$G$396,3,0)</f>
        <v>0</v>
      </c>
      <c r="D4279" s="89" t="str">
        <f>VLOOKUP(A4279,'Materiales '!$C$2:$G$396,4,0)</f>
        <v>-</v>
      </c>
      <c r="E4279" s="90"/>
      <c r="F4279" s="508" t="e">
        <f t="shared" si="251"/>
        <v>#VALUE!</v>
      </c>
      <c r="G4279" s="519"/>
      <c r="H4279" s="111"/>
      <c r="I4279">
        <f>E4279*G4258</f>
        <v>0</v>
      </c>
      <c r="J4279" s="58"/>
      <c r="K4279" s="50"/>
      <c r="L4279" s="50"/>
      <c r="M4279" s="50"/>
      <c r="N4279" s="50"/>
      <c r="O4279" s="50"/>
    </row>
    <row r="4280" spans="1:15">
      <c r="A4280" s="517" t="s">
        <v>8</v>
      </c>
      <c r="B4280" s="518">
        <f>VLOOKUP(A4280,'Materiales '!$C$2:$G$396,3,0)</f>
        <v>0</v>
      </c>
      <c r="C4280" s="88">
        <f>VLOOKUP(A4280,'Materiales '!$C$2:$G$396,3,0)</f>
        <v>0</v>
      </c>
      <c r="D4280" s="89" t="str">
        <f>VLOOKUP(A4280,'Materiales '!$C$2:$G$396,4,0)</f>
        <v>-</v>
      </c>
      <c r="E4280" s="90"/>
      <c r="F4280" s="508" t="e">
        <f>E4280*D4280</f>
        <v>#VALUE!</v>
      </c>
      <c r="G4280" s="519"/>
      <c r="H4280" s="110"/>
      <c r="I4280">
        <f>E4280*G4258</f>
        <v>0</v>
      </c>
      <c r="J4280" s="58"/>
      <c r="K4280" s="50"/>
      <c r="L4280" s="50"/>
      <c r="M4280" s="50"/>
      <c r="N4280" s="50"/>
      <c r="O4280" s="50"/>
    </row>
    <row r="4281" spans="1:15">
      <c r="A4281" s="520" t="s">
        <v>4098</v>
      </c>
      <c r="B4281" s="521"/>
      <c r="C4281" s="521"/>
      <c r="D4281" s="521"/>
      <c r="E4281" s="521"/>
      <c r="F4281" s="521"/>
      <c r="G4281" s="522"/>
      <c r="H4281" s="106" t="e">
        <f>SUM(F4267:F4280)</f>
        <v>#VALUE!</v>
      </c>
      <c r="J4281" s="58"/>
      <c r="K4281" s="50"/>
      <c r="L4281" s="50"/>
      <c r="M4281" s="50"/>
      <c r="N4281" s="50"/>
      <c r="O4281" s="50"/>
    </row>
    <row r="4282" spans="1:15">
      <c r="A4282" s="523" t="s">
        <v>4220</v>
      </c>
      <c r="B4282" s="524"/>
      <c r="C4282" s="524"/>
      <c r="D4282" s="524"/>
      <c r="E4282" s="525"/>
      <c r="F4282" s="524"/>
      <c r="G4282" s="524"/>
      <c r="H4282" s="526"/>
      <c r="J4282" s="58"/>
      <c r="K4282" s="50"/>
      <c r="L4282" s="50"/>
      <c r="M4282" s="50"/>
      <c r="N4282" s="50"/>
      <c r="O4282" s="50"/>
    </row>
    <row r="4283" spans="1:15">
      <c r="A4283" s="527" t="s">
        <v>7</v>
      </c>
      <c r="B4283" s="528"/>
      <c r="C4283" s="98" t="s">
        <v>4221</v>
      </c>
      <c r="D4283" s="97" t="s">
        <v>4222</v>
      </c>
      <c r="E4283" s="187" t="s">
        <v>4223</v>
      </c>
      <c r="F4283" s="529" t="s">
        <v>4207</v>
      </c>
      <c r="G4283" s="529"/>
      <c r="H4283" s="109"/>
      <c r="K4283" s="50"/>
      <c r="L4283" s="50"/>
      <c r="M4283" s="50"/>
      <c r="N4283" s="50"/>
      <c r="O4283" s="50"/>
    </row>
    <row r="4284" spans="1:15">
      <c r="A4284" s="506" t="s">
        <v>3928</v>
      </c>
      <c r="B4284" s="507"/>
      <c r="C4284" s="213">
        <v>1</v>
      </c>
      <c r="D4284" s="92">
        <v>0.03</v>
      </c>
      <c r="E4284" s="93" t="str">
        <f>VLOOKUP(A4284,'Equip, Herr y Transp'!$B$2:$E$217,3,0)</f>
        <v>TR</v>
      </c>
      <c r="F4284" s="530" t="e">
        <f>E4284*D4284*C4284</f>
        <v>#VALUE!</v>
      </c>
      <c r="G4284" s="531"/>
      <c r="H4284" s="107"/>
      <c r="M4284" s="50"/>
    </row>
    <row r="4285" spans="1:15">
      <c r="A4285" s="532" t="s">
        <v>4205</v>
      </c>
      <c r="B4285" s="533"/>
      <c r="C4285" s="533"/>
      <c r="D4285" s="533"/>
      <c r="E4285" s="533"/>
      <c r="F4285" s="533"/>
      <c r="G4285" s="533"/>
      <c r="H4285" s="95" t="e">
        <f>F4284</f>
        <v>#VALUE!</v>
      </c>
    </row>
    <row r="4286" spans="1:15">
      <c r="A4286" s="523" t="s">
        <v>4224</v>
      </c>
      <c r="B4286" s="524"/>
      <c r="C4286" s="524"/>
      <c r="D4286" s="524"/>
      <c r="E4286" s="524"/>
      <c r="F4286" s="524"/>
      <c r="G4286" s="524"/>
      <c r="H4286" s="526"/>
    </row>
    <row r="4287" spans="1:15">
      <c r="A4287" s="527" t="s">
        <v>7</v>
      </c>
      <c r="B4287" s="528"/>
      <c r="C4287" s="96" t="s">
        <v>1</v>
      </c>
      <c r="D4287" s="97" t="s">
        <v>4225</v>
      </c>
      <c r="E4287" s="98" t="s">
        <v>4204</v>
      </c>
      <c r="F4287" s="527" t="s">
        <v>5</v>
      </c>
      <c r="G4287" s="534"/>
      <c r="H4287" s="109"/>
    </row>
    <row r="4288" spans="1:15">
      <c r="A4288" s="506" t="s">
        <v>4191</v>
      </c>
      <c r="B4288" s="507"/>
      <c r="C4288" s="91">
        <v>1</v>
      </c>
      <c r="D4288" s="94">
        <f>VLOOKUP(A4288,'Mano Obra'!$B$2:$T$117,19,0)</f>
        <v>152456</v>
      </c>
      <c r="E4288" s="218">
        <f>H4251</f>
        <v>0.22919999999999999</v>
      </c>
      <c r="F4288" s="508">
        <f>E4288*D4288*C4288</f>
        <v>34942.915199999996</v>
      </c>
      <c r="G4288" s="509"/>
      <c r="H4288" s="111"/>
      <c r="I4288" s="59"/>
      <c r="J4288" s="117">
        <f>((('Mano Obra'!$M$4/30)*F4288)/D4288)*G4258</f>
        <v>0</v>
      </c>
    </row>
    <row r="4289" spans="1:10">
      <c r="A4289" s="510" t="s">
        <v>4192</v>
      </c>
      <c r="B4289" s="511">
        <f>VLOOKUP(A4289,'Mano Obra'!$B$3:$D$290,2,0)</f>
        <v>1900000</v>
      </c>
      <c r="C4289" s="91">
        <v>1</v>
      </c>
      <c r="D4289" s="94">
        <f>VLOOKUP(A4289,'Mano Obra'!$B$2:$T$117,19,0)</f>
        <v>110488</v>
      </c>
      <c r="E4289" s="218">
        <f>H4251</f>
        <v>0.22919999999999999</v>
      </c>
      <c r="F4289" s="508">
        <f t="shared" ref="F4289:F4290" si="252">E4289*D4289*C4289</f>
        <v>25323.849599999998</v>
      </c>
      <c r="G4289" s="509"/>
      <c r="H4289" s="111"/>
      <c r="J4289" s="117">
        <f>((('Mano Obra'!$M$5/30)*F4289)/D4289)*G4258</f>
        <v>0</v>
      </c>
    </row>
    <row r="4290" spans="1:10">
      <c r="A4290" s="510" t="s">
        <v>4181</v>
      </c>
      <c r="B4290" s="511">
        <f>VLOOKUP(A4290,'Mano Obra'!$B$3:$D$290,2,0)</f>
        <v>1000000</v>
      </c>
      <c r="C4290" s="91">
        <v>1</v>
      </c>
      <c r="D4290" s="94">
        <f>VLOOKUP(A4290,'Mano Obra'!$B$2:$T$117,19,0)</f>
        <v>67424</v>
      </c>
      <c r="E4290" s="218">
        <f>H4251</f>
        <v>0.22919999999999999</v>
      </c>
      <c r="F4290" s="508">
        <f t="shared" si="252"/>
        <v>15453.5808</v>
      </c>
      <c r="G4290" s="509"/>
      <c r="H4290" s="110"/>
      <c r="J4290" s="117">
        <f>((('Mano Obra'!$M$6/30)*F4290)/D4290)*G4258</f>
        <v>0</v>
      </c>
    </row>
    <row r="4291" spans="1:10">
      <c r="A4291" s="512" t="s">
        <v>4100</v>
      </c>
      <c r="B4291" s="512"/>
      <c r="C4291" s="512"/>
      <c r="D4291" s="512"/>
      <c r="E4291" s="512"/>
      <c r="F4291" s="512"/>
      <c r="G4291" s="512"/>
      <c r="H4291" s="95">
        <f>SUM(F4288:F4290)</f>
        <v>75720.345599999986</v>
      </c>
      <c r="J4291" s="117"/>
    </row>
    <row r="4292" spans="1:10">
      <c r="A4292" s="208" t="s">
        <v>4226</v>
      </c>
      <c r="B4292" s="186"/>
      <c r="C4292" s="186"/>
      <c r="D4292" s="183"/>
      <c r="E4292" s="184"/>
      <c r="F4292" s="185"/>
      <c r="G4292" s="184"/>
      <c r="H4292" s="193"/>
    </row>
    <row r="4293" spans="1:10">
      <c r="A4293" s="513" t="s">
        <v>4213</v>
      </c>
      <c r="B4293" s="514"/>
      <c r="C4293" s="514"/>
      <c r="D4293" s="514"/>
      <c r="E4293" s="181"/>
      <c r="F4293" s="182" t="s">
        <v>4227</v>
      </c>
      <c r="G4293" s="181" t="s">
        <v>4228</v>
      </c>
      <c r="H4293" s="194"/>
    </row>
    <row r="4294" spans="1:10">
      <c r="A4294" s="204" t="s">
        <v>4096</v>
      </c>
      <c r="B4294" s="62"/>
      <c r="C4294" s="62"/>
      <c r="D4294" s="63"/>
      <c r="E4294" s="68"/>
      <c r="F4294" s="69">
        <v>0</v>
      </c>
      <c r="G4294" s="70" t="e">
        <f>F4294*H4259</f>
        <v>#VALUE!</v>
      </c>
      <c r="H4294" s="193"/>
    </row>
    <row r="4295" spans="1:10">
      <c r="A4295" s="205" t="s">
        <v>4229</v>
      </c>
      <c r="B4295" s="71"/>
      <c r="C4295" s="71"/>
      <c r="D4295" s="72"/>
      <c r="E4295" s="68"/>
      <c r="F4295" s="69">
        <v>0</v>
      </c>
      <c r="G4295" s="70" t="e">
        <f>F4295*H4259</f>
        <v>#VALUE!</v>
      </c>
      <c r="H4295" s="193"/>
    </row>
    <row r="4296" spans="1:10">
      <c r="A4296" s="205" t="s">
        <v>4</v>
      </c>
      <c r="B4296" s="71"/>
      <c r="C4296" s="71"/>
      <c r="D4296" s="72"/>
      <c r="E4296" s="68"/>
      <c r="F4296" s="69">
        <v>0</v>
      </c>
      <c r="G4296" s="70" t="e">
        <f>F4296*H4259</f>
        <v>#VALUE!</v>
      </c>
      <c r="H4296" s="193"/>
    </row>
    <row r="4297" spans="1:10">
      <c r="A4297" s="206"/>
      <c r="B4297" s="73"/>
      <c r="C4297" s="65"/>
      <c r="D4297" s="74"/>
      <c r="E4297" s="75"/>
      <c r="F4297" s="76"/>
      <c r="G4297" s="77"/>
      <c r="H4297" s="195"/>
    </row>
    <row r="4298" spans="1:10">
      <c r="A4298" s="207"/>
      <c r="B4298" s="73"/>
      <c r="C4298" s="73"/>
      <c r="D4298" s="74"/>
      <c r="E4298" s="78"/>
      <c r="F4298" s="515" t="s">
        <v>4230</v>
      </c>
      <c r="G4298" s="516"/>
      <c r="H4298" s="214" t="e">
        <f>H4259+G4294+G4295+G4296</f>
        <v>#VALUE!</v>
      </c>
    </row>
    <row r="4300" spans="1:10">
      <c r="A4300" s="80"/>
      <c r="B4300" s="80"/>
      <c r="C4300" s="80"/>
      <c r="D4300" s="80"/>
      <c r="E4300" s="80"/>
      <c r="F4300" s="80"/>
      <c r="G4300" s="80"/>
      <c r="H4300" s="353"/>
    </row>
    <row r="4301" spans="1:10">
      <c r="A4301" s="537" t="s">
        <v>4214</v>
      </c>
      <c r="B4301" s="538"/>
      <c r="C4301" s="538"/>
      <c r="D4301" s="538"/>
      <c r="E4301" s="538"/>
      <c r="F4301" s="538"/>
      <c r="G4301" s="538"/>
      <c r="H4301" s="539"/>
    </row>
    <row r="4302" spans="1:10">
      <c r="A4302" s="81"/>
      <c r="B4302" s="82"/>
      <c r="C4302" s="82"/>
      <c r="D4302" s="82"/>
      <c r="E4302" s="82"/>
      <c r="F4302" s="83"/>
      <c r="G4302" s="84"/>
      <c r="H4302" s="352">
        <f>ROUND((110/60)/8,4)</f>
        <v>0.22919999999999999</v>
      </c>
      <c r="I4302" s="105"/>
    </row>
    <row r="4303" spans="1:10">
      <c r="A4303" s="540" t="s">
        <v>4209</v>
      </c>
      <c r="B4303" s="542" t="str">
        <f>COSTOS!$C$14</f>
        <v>MODERNIZACION A TECNOLOGIA LED</v>
      </c>
      <c r="C4303" s="542"/>
      <c r="D4303" s="542"/>
      <c r="E4303" s="542"/>
      <c r="F4303" s="542"/>
      <c r="G4303" s="542"/>
      <c r="H4303" s="543" t="s">
        <v>4210</v>
      </c>
    </row>
    <row r="4304" spans="1:10">
      <c r="A4304" s="541"/>
      <c r="B4304" s="542"/>
      <c r="C4304" s="542"/>
      <c r="D4304" s="542"/>
      <c r="E4304" s="542"/>
      <c r="F4304" s="542"/>
      <c r="G4304" s="542"/>
      <c r="H4304" s="543"/>
    </row>
    <row r="4305" spans="1:15">
      <c r="A4305" s="541"/>
      <c r="B4305" s="542"/>
      <c r="C4305" s="542"/>
      <c r="D4305" s="542"/>
      <c r="E4305" s="542"/>
      <c r="F4305" s="542"/>
      <c r="G4305" s="542"/>
      <c r="H4305" s="543"/>
    </row>
    <row r="4306" spans="1:15" ht="15" customHeight="1">
      <c r="A4306" s="541"/>
      <c r="B4306" s="542"/>
      <c r="C4306" s="542"/>
      <c r="D4306" s="542"/>
      <c r="E4306" s="542"/>
      <c r="F4306" s="542"/>
      <c r="G4306" s="542"/>
      <c r="H4306" s="197">
        <f ca="1">TODAY()</f>
        <v>44889</v>
      </c>
      <c r="K4306" t="s">
        <v>4380</v>
      </c>
      <c r="L4306" t="s">
        <v>4381</v>
      </c>
      <c r="M4306" t="s">
        <v>4382</v>
      </c>
      <c r="N4306" t="s">
        <v>4383</v>
      </c>
    </row>
    <row r="4307" spans="1:15" ht="60.75" customHeight="1">
      <c r="A4307" s="209" t="s">
        <v>4211</v>
      </c>
      <c r="B4307" s="544" t="str">
        <f>COSTOS!$D$16</f>
        <v>Luminarias</v>
      </c>
      <c r="C4307" s="544"/>
      <c r="D4307" s="544"/>
      <c r="E4307" s="544"/>
      <c r="F4307" s="544"/>
      <c r="G4307" s="60" t="s">
        <v>4212</v>
      </c>
      <c r="H4307" s="359">
        <v>2.2000000000000002</v>
      </c>
      <c r="K4307" s="55" t="e">
        <f>H4332</f>
        <v>#VALUE!</v>
      </c>
      <c r="L4307" s="55">
        <f>H4342</f>
        <v>75720.345599999986</v>
      </c>
      <c r="M4307" s="55" t="e">
        <f>H4315</f>
        <v>#VALUE!</v>
      </c>
      <c r="N4307" s="55" t="e">
        <f>H4336</f>
        <v>#VALUE!</v>
      </c>
    </row>
    <row r="4308" spans="1:15" ht="43.2" customHeight="1">
      <c r="A4308" s="210" t="s">
        <v>4213</v>
      </c>
      <c r="B4308" s="545" t="str">
        <f>VLOOKUP(H4307,COSTOS!C:M,2,0)</f>
        <v>Poste metalico de 3 metros para farol doble</v>
      </c>
      <c r="C4308" s="546"/>
      <c r="D4308" s="546"/>
      <c r="E4308" s="547"/>
      <c r="F4308" s="61" t="s">
        <v>0</v>
      </c>
      <c r="G4308" s="328" t="str">
        <f>VLOOKUP(H4307,COSTOS!C:M,8,0)</f>
        <v>Und</v>
      </c>
      <c r="H4308" s="248"/>
      <c r="I4308" s="278"/>
      <c r="J4308" s="280"/>
      <c r="K4308" s="280"/>
      <c r="L4308" s="280"/>
    </row>
    <row r="4309" spans="1:15">
      <c r="A4309" s="211"/>
      <c r="B4309" s="102"/>
      <c r="C4309" s="102"/>
      <c r="D4309" s="102"/>
      <c r="E4309" s="103"/>
      <c r="F4309" s="104" t="s">
        <v>1</v>
      </c>
      <c r="G4309" s="328">
        <f>VLOOKUP(H4307,COSTOS!C:M,9,0)</f>
        <v>0</v>
      </c>
      <c r="H4309" s="329"/>
      <c r="I4309" s="279"/>
    </row>
    <row r="4310" spans="1:15">
      <c r="A4310" s="212" t="s">
        <v>4215</v>
      </c>
      <c r="B4310" s="65"/>
      <c r="C4310" s="65"/>
      <c r="D4310" s="66"/>
      <c r="E4310" s="190"/>
      <c r="F4310" s="191"/>
      <c r="G4310" s="192" t="s">
        <v>4216</v>
      </c>
      <c r="H4310" s="198" t="e">
        <f>H4315+H4332+H4336+H4342</f>
        <v>#VALUE!</v>
      </c>
    </row>
    <row r="4311" spans="1:15" ht="41.4">
      <c r="A4311" s="548" t="s">
        <v>4213</v>
      </c>
      <c r="B4311" s="548"/>
      <c r="C4311" s="548"/>
      <c r="D4311" s="67" t="s">
        <v>0</v>
      </c>
      <c r="E4311" s="188" t="s">
        <v>4217</v>
      </c>
      <c r="F4311" s="189" t="s">
        <v>4204</v>
      </c>
      <c r="G4311" s="64" t="s">
        <v>2</v>
      </c>
      <c r="H4311" s="199" t="s">
        <v>4218</v>
      </c>
      <c r="K4311" s="281"/>
    </row>
    <row r="4312" spans="1:15">
      <c r="A4312" s="517" t="s">
        <v>3946</v>
      </c>
      <c r="B4312" s="549">
        <f>VLOOKUP(A4312,'Equip, Herr y Transp'!$B$2:$E$738,2,0)</f>
        <v>2</v>
      </c>
      <c r="C4312" s="549"/>
      <c r="D4312" s="85">
        <f>VLOOKUP(A4312,'Equip, Herr y Transp'!$B$2:$E$217,2,0)</f>
        <v>2</v>
      </c>
      <c r="E4312" s="85" t="str">
        <f>VLOOKUP(A4312,'Equip, Herr y Transp'!$B$2:$E$217,3,0)</f>
        <v>EQU</v>
      </c>
      <c r="F4312" s="86">
        <f>H4302</f>
        <v>0.22919999999999999</v>
      </c>
      <c r="G4312" s="112" t="e">
        <f>F4312*E4312</f>
        <v>#VALUE!</v>
      </c>
      <c r="H4312" s="108"/>
    </row>
    <row r="4313" spans="1:15">
      <c r="A4313" s="517" t="s">
        <v>3904</v>
      </c>
      <c r="B4313" s="549">
        <f>VLOOKUP(A4313,'Equip, Herr y Transp'!$B$2:$E$738,2,0)</f>
        <v>2</v>
      </c>
      <c r="C4313" s="549"/>
      <c r="D4313" s="85">
        <f>VLOOKUP(A4313,'Equip, Herr y Transp'!$B$2:$E$217,2,0)</f>
        <v>2</v>
      </c>
      <c r="E4313" s="85" t="str">
        <f>VLOOKUP(A4313,'Equip, Herr y Transp'!$B$2:$E$217,3,0)</f>
        <v>EQU</v>
      </c>
      <c r="F4313" s="86">
        <f>H4302</f>
        <v>0.22919999999999999</v>
      </c>
      <c r="G4313" s="112" t="e">
        <f>F4313*E4313</f>
        <v>#VALUE!</v>
      </c>
      <c r="H4313" s="107"/>
    </row>
    <row r="4314" spans="1:15">
      <c r="A4314" s="517" t="s">
        <v>8</v>
      </c>
      <c r="B4314" s="549" t="e">
        <f>VLOOKUP(A4314,'Equip, Herr y Transp'!$B$2:$E$738,2,0)</f>
        <v>#N/A</v>
      </c>
      <c r="C4314" s="549"/>
      <c r="D4314" s="85" t="e">
        <f>VLOOKUP(A4314,'Equip, Herr y Transp'!$B$2:$E$217,2,0)</f>
        <v>#N/A</v>
      </c>
      <c r="E4314" s="85" t="e">
        <f>VLOOKUP(A4314,'Equip, Herr y Transp'!$B$2:$E$217,3,0)</f>
        <v>#N/A</v>
      </c>
      <c r="F4314" s="86"/>
      <c r="G4314" s="112" t="e">
        <f>F4314*E4314</f>
        <v>#N/A</v>
      </c>
      <c r="H4314" s="107"/>
    </row>
    <row r="4315" spans="1:15">
      <c r="A4315" s="520" t="s">
        <v>4099</v>
      </c>
      <c r="B4315" s="521"/>
      <c r="C4315" s="521"/>
      <c r="D4315" s="521"/>
      <c r="E4315" s="521"/>
      <c r="F4315" s="521"/>
      <c r="G4315" s="521"/>
      <c r="H4315" s="87" t="e">
        <f>SUM(G4312:G4314)</f>
        <v>#VALUE!</v>
      </c>
    </row>
    <row r="4316" spans="1:15">
      <c r="A4316" s="550" t="s">
        <v>4219</v>
      </c>
      <c r="B4316" s="551"/>
      <c r="C4316" s="551"/>
      <c r="D4316" s="551"/>
      <c r="E4316" s="551"/>
      <c r="F4316" s="551"/>
      <c r="G4316" s="551"/>
      <c r="H4316" s="552"/>
      <c r="K4316" s="50"/>
      <c r="L4316" s="50"/>
      <c r="M4316" s="50"/>
      <c r="N4316" s="50"/>
      <c r="O4316" s="50"/>
    </row>
    <row r="4317" spans="1:15" ht="30" customHeight="1">
      <c r="A4317" s="553" t="s">
        <v>7</v>
      </c>
      <c r="B4317" s="554"/>
      <c r="C4317" s="99" t="s">
        <v>0</v>
      </c>
      <c r="D4317" s="100" t="s">
        <v>4097</v>
      </c>
      <c r="E4317" s="101" t="s">
        <v>1</v>
      </c>
      <c r="F4317" s="555" t="s">
        <v>4207</v>
      </c>
      <c r="G4317" s="555"/>
      <c r="H4317" s="196"/>
      <c r="K4317" s="50"/>
      <c r="L4317" s="50"/>
      <c r="M4317" s="50"/>
      <c r="N4317" s="50"/>
      <c r="O4317" s="50"/>
    </row>
    <row r="4318" spans="1:15">
      <c r="A4318" s="535" t="s">
        <v>4616</v>
      </c>
      <c r="B4318" s="536"/>
      <c r="C4318" s="88">
        <f>VLOOKUP(A4318,'Materiales '!$C$2:$G$396,3,0)</f>
        <v>4</v>
      </c>
      <c r="D4318" s="89" t="str">
        <f>VLOOKUP(A4318,'Materiales '!$C$2:$G$396,4,0)</f>
        <v>Und</v>
      </c>
      <c r="E4318" s="90">
        <v>1</v>
      </c>
      <c r="F4318" s="508" t="e">
        <f>E4318*D4318</f>
        <v>#VALUE!</v>
      </c>
      <c r="G4318" s="519"/>
      <c r="H4318" s="111"/>
      <c r="I4318">
        <f>E4318*G4309</f>
        <v>0</v>
      </c>
      <c r="J4318" s="57"/>
      <c r="K4318" s="50"/>
      <c r="L4318" s="50"/>
      <c r="M4318" s="50"/>
      <c r="N4318" s="50"/>
      <c r="O4318" s="50"/>
    </row>
    <row r="4319" spans="1:15">
      <c r="A4319" s="535" t="s">
        <v>4617</v>
      </c>
      <c r="B4319" s="536"/>
      <c r="C4319" s="88">
        <f>VLOOKUP(A4319,'Materiales '!$C$2:$G$396,3,0)</f>
        <v>3</v>
      </c>
      <c r="D4319" s="89" t="str">
        <f>VLOOKUP(A4319,'Materiales '!$C$2:$G$396,4,0)</f>
        <v>Rollo</v>
      </c>
      <c r="E4319" s="90">
        <v>0.5</v>
      </c>
      <c r="F4319" s="508" t="e">
        <f t="shared" ref="F4319:F4325" si="253">E4319*D4319</f>
        <v>#VALUE!</v>
      </c>
      <c r="G4319" s="519"/>
      <c r="H4319" s="111"/>
      <c r="I4319">
        <f>E4319*G4309</f>
        <v>0</v>
      </c>
      <c r="J4319" s="57"/>
      <c r="K4319" s="50"/>
      <c r="L4319" s="50"/>
      <c r="M4319" s="50"/>
      <c r="N4319" s="50"/>
      <c r="O4319" s="50"/>
    </row>
    <row r="4320" spans="1:15">
      <c r="A4320" s="517" t="s">
        <v>8</v>
      </c>
      <c r="B4320" s="518">
        <f>VLOOKUP(A4320,'Materiales '!$C$2:$G$396,3,0)</f>
        <v>0</v>
      </c>
      <c r="C4320" s="88">
        <f>VLOOKUP(A4320,'Materiales '!$C$2:$G$396,3,0)</f>
        <v>0</v>
      </c>
      <c r="D4320" s="89" t="str">
        <f>VLOOKUP(A4320,'Materiales '!$C$2:$G$396,4,0)</f>
        <v>-</v>
      </c>
      <c r="E4320" s="90">
        <v>1</v>
      </c>
      <c r="F4320" s="508" t="e">
        <f t="shared" si="253"/>
        <v>#VALUE!</v>
      </c>
      <c r="G4320" s="519"/>
      <c r="H4320" s="111"/>
      <c r="I4320">
        <f>E4320*G4309</f>
        <v>0</v>
      </c>
      <c r="J4320" s="58"/>
      <c r="K4320" s="50"/>
      <c r="L4320" s="50"/>
      <c r="M4320" s="50"/>
      <c r="N4320" s="50"/>
      <c r="O4320" s="50"/>
    </row>
    <row r="4321" spans="1:15">
      <c r="A4321" s="517" t="s">
        <v>8</v>
      </c>
      <c r="B4321" s="518">
        <f>VLOOKUP(A4321,'Materiales '!$C$2:$G$396,3,0)</f>
        <v>0</v>
      </c>
      <c r="C4321" s="88">
        <f>VLOOKUP(A4321,'Materiales '!$C$2:$G$396,3,0)</f>
        <v>0</v>
      </c>
      <c r="D4321" s="89" t="str">
        <f>VLOOKUP(A4321,'Materiales '!$C$2:$G$396,4,0)</f>
        <v>-</v>
      </c>
      <c r="E4321" s="90">
        <v>3</v>
      </c>
      <c r="F4321" s="508" t="e">
        <f t="shared" si="253"/>
        <v>#VALUE!</v>
      </c>
      <c r="G4321" s="519"/>
      <c r="H4321" s="111"/>
      <c r="I4321">
        <f>E4321*G4309</f>
        <v>0</v>
      </c>
      <c r="J4321" s="58"/>
      <c r="K4321" s="50"/>
      <c r="L4321" s="50"/>
      <c r="M4321" s="50"/>
      <c r="N4321" s="50"/>
      <c r="O4321" s="50"/>
    </row>
    <row r="4322" spans="1:15">
      <c r="A4322" s="517" t="s">
        <v>8</v>
      </c>
      <c r="B4322" s="518">
        <f>VLOOKUP(A4322,'Materiales '!$C$2:$G$396,3,0)</f>
        <v>0</v>
      </c>
      <c r="C4322" s="88">
        <f>VLOOKUP(A4322,'Materiales '!$C$2:$G$396,3,0)</f>
        <v>0</v>
      </c>
      <c r="D4322" s="89" t="str">
        <f>VLOOKUP(A4322,'Materiales '!$C$2:$G$396,4,0)</f>
        <v>-</v>
      </c>
      <c r="E4322" s="90">
        <v>2</v>
      </c>
      <c r="F4322" s="508" t="e">
        <f t="shared" si="253"/>
        <v>#VALUE!</v>
      </c>
      <c r="G4322" s="519"/>
      <c r="H4322" s="111"/>
      <c r="I4322">
        <f>E4322*G4309</f>
        <v>0</v>
      </c>
      <c r="J4322" s="58"/>
      <c r="K4322" s="50"/>
      <c r="L4322" s="50"/>
      <c r="M4322" s="50"/>
      <c r="N4322" s="50"/>
      <c r="O4322" s="50"/>
    </row>
    <row r="4323" spans="1:15">
      <c r="A4323" s="517" t="s">
        <v>8</v>
      </c>
      <c r="B4323" s="518">
        <f>VLOOKUP(A4323,'Materiales '!$C$2:$G$396,3,0)</f>
        <v>0</v>
      </c>
      <c r="C4323" s="88">
        <f>VLOOKUP(A4323,'Materiales '!$C$2:$G$396,3,0)</f>
        <v>0</v>
      </c>
      <c r="D4323" s="89" t="str">
        <f>VLOOKUP(A4323,'Materiales '!$C$2:$G$396,4,0)</f>
        <v>-</v>
      </c>
      <c r="E4323" s="90">
        <v>8</v>
      </c>
      <c r="F4323" s="508" t="e">
        <f t="shared" si="253"/>
        <v>#VALUE!</v>
      </c>
      <c r="G4323" s="519"/>
      <c r="H4323" s="111"/>
      <c r="I4323">
        <f>E4323*G4309</f>
        <v>0</v>
      </c>
      <c r="J4323" s="58"/>
      <c r="K4323" s="50"/>
      <c r="L4323" s="50"/>
      <c r="M4323" s="50"/>
      <c r="N4323" s="50"/>
      <c r="O4323" s="50"/>
    </row>
    <row r="4324" spans="1:15">
      <c r="A4324" s="517" t="s">
        <v>8</v>
      </c>
      <c r="B4324" s="518">
        <f>VLOOKUP(A4324,'Materiales '!$C$2:$G$396,3,0)</f>
        <v>0</v>
      </c>
      <c r="C4324" s="88">
        <f>VLOOKUP(A4324,'Materiales '!$C$2:$G$396,3,0)</f>
        <v>0</v>
      </c>
      <c r="D4324" s="89" t="str">
        <f>VLOOKUP(A4324,'Materiales '!$C$2:$G$396,4,0)</f>
        <v>-</v>
      </c>
      <c r="E4324" s="90">
        <v>3</v>
      </c>
      <c r="F4324" s="508" t="e">
        <f t="shared" si="253"/>
        <v>#VALUE!</v>
      </c>
      <c r="G4324" s="519"/>
      <c r="H4324" s="111"/>
      <c r="I4324">
        <f>E4324*G4309</f>
        <v>0</v>
      </c>
      <c r="J4324" s="58"/>
      <c r="K4324" s="50"/>
      <c r="L4324" s="50"/>
      <c r="M4324" s="50"/>
      <c r="N4324" s="50"/>
      <c r="O4324" s="50"/>
    </row>
    <row r="4325" spans="1:15" ht="21.75" customHeight="1">
      <c r="A4325" s="517" t="s">
        <v>8</v>
      </c>
      <c r="B4325" s="518">
        <f>VLOOKUP(A4325,'Materiales '!$C$2:$G$396,3,0)</f>
        <v>0</v>
      </c>
      <c r="C4325" s="88">
        <f>VLOOKUP(A4325,'Materiales '!$C$2:$G$396,3,0)</f>
        <v>0</v>
      </c>
      <c r="D4325" s="89" t="str">
        <f>VLOOKUP(A4325,'Materiales '!$C$2:$G$396,4,0)</f>
        <v>-</v>
      </c>
      <c r="E4325" s="90">
        <v>0.5</v>
      </c>
      <c r="F4325" s="508" t="e">
        <f t="shared" si="253"/>
        <v>#VALUE!</v>
      </c>
      <c r="G4325" s="519"/>
      <c r="H4325" s="111"/>
      <c r="I4325">
        <f>E4325*G4309</f>
        <v>0</v>
      </c>
      <c r="J4325" s="58"/>
      <c r="K4325" s="50"/>
      <c r="L4325" s="50"/>
      <c r="M4325" s="50"/>
      <c r="N4325" s="50"/>
      <c r="O4325" s="50"/>
    </row>
    <row r="4326" spans="1:15">
      <c r="A4326" s="517" t="s">
        <v>8</v>
      </c>
      <c r="B4326" s="518">
        <f>VLOOKUP(A4326,'Materiales '!$C$2:$G$396,3,0)</f>
        <v>0</v>
      </c>
      <c r="C4326" s="88">
        <f>VLOOKUP(A4326,'Materiales '!$C$2:$G$396,3,0)</f>
        <v>0</v>
      </c>
      <c r="D4326" s="89" t="str">
        <f>VLOOKUP(A4326,'Materiales '!$C$2:$G$396,4,0)</f>
        <v>-</v>
      </c>
      <c r="E4326" s="90"/>
      <c r="F4326" s="508" t="e">
        <f>E4326*D4326</f>
        <v>#VALUE!</v>
      </c>
      <c r="G4326" s="519"/>
      <c r="H4326" s="110"/>
      <c r="I4326">
        <f>E4326*G4309</f>
        <v>0</v>
      </c>
      <c r="J4326" s="58"/>
      <c r="K4326" s="50"/>
      <c r="L4326" s="50"/>
      <c r="M4326" s="50"/>
      <c r="N4326" s="50"/>
      <c r="O4326" s="50"/>
    </row>
    <row r="4327" spans="1:15">
      <c r="A4327" s="517" t="s">
        <v>8</v>
      </c>
      <c r="B4327" s="518">
        <f>VLOOKUP(A4327,'Materiales '!$C$2:$G$396,3,0)</f>
        <v>0</v>
      </c>
      <c r="C4327" s="88">
        <f>VLOOKUP(A4327,'Materiales '!$C$2:$G$396,3,0)</f>
        <v>0</v>
      </c>
      <c r="D4327" s="89" t="str">
        <f>VLOOKUP(A4327,'Materiales '!$C$2:$G$396,4,0)</f>
        <v>-</v>
      </c>
      <c r="E4327" s="90"/>
      <c r="F4327" s="508" t="e">
        <f t="shared" ref="F4327:F4330" si="254">E4327*D4327</f>
        <v>#VALUE!</v>
      </c>
      <c r="G4327" s="519"/>
      <c r="H4327" s="111"/>
      <c r="I4327">
        <f>E4327*G4309</f>
        <v>0</v>
      </c>
      <c r="J4327" s="58"/>
      <c r="K4327" s="50"/>
      <c r="L4327" s="50"/>
      <c r="M4327" s="50"/>
      <c r="N4327" s="50"/>
      <c r="O4327" s="50"/>
    </row>
    <row r="4328" spans="1:15">
      <c r="A4328" s="517" t="s">
        <v>8</v>
      </c>
      <c r="B4328" s="518">
        <f>VLOOKUP(A4328,'Materiales '!$C$2:$G$396,3,0)</f>
        <v>0</v>
      </c>
      <c r="C4328" s="88">
        <f>VLOOKUP(A4328,'Materiales '!$C$2:$G$396,3,0)</f>
        <v>0</v>
      </c>
      <c r="D4328" s="89" t="str">
        <f>VLOOKUP(A4328,'Materiales '!$C$2:$G$396,4,0)</f>
        <v>-</v>
      </c>
      <c r="E4328" s="90"/>
      <c r="F4328" s="508" t="e">
        <f t="shared" si="254"/>
        <v>#VALUE!</v>
      </c>
      <c r="G4328" s="519"/>
      <c r="H4328" s="111"/>
      <c r="I4328">
        <f>E4328*G4309</f>
        <v>0</v>
      </c>
      <c r="J4328" s="58"/>
      <c r="K4328" s="50"/>
      <c r="L4328" s="50"/>
      <c r="M4328" s="50"/>
      <c r="N4328" s="50"/>
      <c r="O4328" s="50"/>
    </row>
    <row r="4329" spans="1:15">
      <c r="A4329" s="517" t="s">
        <v>8</v>
      </c>
      <c r="B4329" s="518">
        <f>VLOOKUP(A4329,'Materiales '!$C$2:$G$396,3,0)</f>
        <v>0</v>
      </c>
      <c r="C4329" s="88">
        <f>VLOOKUP(A4329,'Materiales '!$C$2:$G$396,3,0)</f>
        <v>0</v>
      </c>
      <c r="D4329" s="89" t="str">
        <f>VLOOKUP(A4329,'Materiales '!$C$2:$G$396,4,0)</f>
        <v>-</v>
      </c>
      <c r="E4329" s="90"/>
      <c r="F4329" s="508" t="e">
        <f t="shared" si="254"/>
        <v>#VALUE!</v>
      </c>
      <c r="G4329" s="519"/>
      <c r="H4329" s="111"/>
      <c r="I4329">
        <f>E4329*G4309</f>
        <v>0</v>
      </c>
      <c r="J4329" s="58"/>
      <c r="K4329" s="50"/>
      <c r="L4329" s="50"/>
      <c r="M4329" s="50"/>
      <c r="N4329" s="50"/>
      <c r="O4329" s="50"/>
    </row>
    <row r="4330" spans="1:15">
      <c r="A4330" s="517" t="s">
        <v>8</v>
      </c>
      <c r="B4330" s="518">
        <f>VLOOKUP(A4330,'Materiales '!$C$2:$G$396,3,0)</f>
        <v>0</v>
      </c>
      <c r="C4330" s="88">
        <f>VLOOKUP(A4330,'Materiales '!$C$2:$G$396,3,0)</f>
        <v>0</v>
      </c>
      <c r="D4330" s="89" t="str">
        <f>VLOOKUP(A4330,'Materiales '!$C$2:$G$396,4,0)</f>
        <v>-</v>
      </c>
      <c r="E4330" s="90"/>
      <c r="F4330" s="508" t="e">
        <f t="shared" si="254"/>
        <v>#VALUE!</v>
      </c>
      <c r="G4330" s="519"/>
      <c r="H4330" s="111"/>
      <c r="I4330">
        <f>E4330*G4309</f>
        <v>0</v>
      </c>
      <c r="J4330" s="58"/>
      <c r="K4330" s="50"/>
      <c r="L4330" s="50"/>
      <c r="M4330" s="50"/>
      <c r="N4330" s="50"/>
      <c r="O4330" s="50"/>
    </row>
    <row r="4331" spans="1:15">
      <c r="A4331" s="517" t="s">
        <v>8</v>
      </c>
      <c r="B4331" s="518">
        <f>VLOOKUP(A4331,'Materiales '!$C$2:$G$396,3,0)</f>
        <v>0</v>
      </c>
      <c r="C4331" s="88">
        <f>VLOOKUP(A4331,'Materiales '!$C$2:$G$396,3,0)</f>
        <v>0</v>
      </c>
      <c r="D4331" s="89" t="str">
        <f>VLOOKUP(A4331,'Materiales '!$C$2:$G$396,4,0)</f>
        <v>-</v>
      </c>
      <c r="E4331" s="90"/>
      <c r="F4331" s="508" t="e">
        <f>E4331*D4331</f>
        <v>#VALUE!</v>
      </c>
      <c r="G4331" s="519"/>
      <c r="H4331" s="110"/>
      <c r="I4331">
        <f>E4331*G4309</f>
        <v>0</v>
      </c>
      <c r="J4331" s="58"/>
      <c r="K4331" s="50"/>
      <c r="L4331" s="50"/>
      <c r="M4331" s="50"/>
      <c r="N4331" s="50"/>
      <c r="O4331" s="50"/>
    </row>
    <row r="4332" spans="1:15">
      <c r="A4332" s="520" t="s">
        <v>4098</v>
      </c>
      <c r="B4332" s="521"/>
      <c r="C4332" s="521"/>
      <c r="D4332" s="521"/>
      <c r="E4332" s="521"/>
      <c r="F4332" s="521"/>
      <c r="G4332" s="522"/>
      <c r="H4332" s="106" t="e">
        <f>SUM(F4318:F4331)</f>
        <v>#VALUE!</v>
      </c>
      <c r="J4332" s="58"/>
      <c r="K4332" s="50"/>
      <c r="L4332" s="50"/>
      <c r="M4332" s="50"/>
      <c r="N4332" s="50"/>
      <c r="O4332" s="50"/>
    </row>
    <row r="4333" spans="1:15">
      <c r="A4333" s="523" t="s">
        <v>4220</v>
      </c>
      <c r="B4333" s="524"/>
      <c r="C4333" s="524"/>
      <c r="D4333" s="524"/>
      <c r="E4333" s="525"/>
      <c r="F4333" s="524"/>
      <c r="G4333" s="524"/>
      <c r="H4333" s="526"/>
      <c r="J4333" s="58"/>
      <c r="K4333" s="50"/>
      <c r="L4333" s="50"/>
      <c r="M4333" s="50"/>
      <c r="N4333" s="50"/>
      <c r="O4333" s="50"/>
    </row>
    <row r="4334" spans="1:15">
      <c r="A4334" s="527" t="s">
        <v>7</v>
      </c>
      <c r="B4334" s="528"/>
      <c r="C4334" s="98" t="s">
        <v>4221</v>
      </c>
      <c r="D4334" s="97" t="s">
        <v>4222</v>
      </c>
      <c r="E4334" s="187" t="s">
        <v>4223</v>
      </c>
      <c r="F4334" s="529" t="s">
        <v>4207</v>
      </c>
      <c r="G4334" s="529"/>
      <c r="H4334" s="109"/>
      <c r="K4334" s="50"/>
      <c r="L4334" s="50"/>
      <c r="M4334" s="50"/>
      <c r="N4334" s="50"/>
      <c r="O4334" s="50"/>
    </row>
    <row r="4335" spans="1:15">
      <c r="A4335" s="506" t="s">
        <v>3928</v>
      </c>
      <c r="B4335" s="507"/>
      <c r="C4335" s="213">
        <v>1</v>
      </c>
      <c r="D4335" s="92">
        <v>0.03</v>
      </c>
      <c r="E4335" s="93" t="str">
        <f>VLOOKUP(A4335,'Equip, Herr y Transp'!$B$2:$E$217,3,0)</f>
        <v>TR</v>
      </c>
      <c r="F4335" s="530" t="e">
        <f>E4335*D4335*C4335</f>
        <v>#VALUE!</v>
      </c>
      <c r="G4335" s="531"/>
      <c r="H4335" s="107"/>
      <c r="M4335" s="50"/>
    </row>
    <row r="4336" spans="1:15">
      <c r="A4336" s="532" t="s">
        <v>4205</v>
      </c>
      <c r="B4336" s="533"/>
      <c r="C4336" s="533"/>
      <c r="D4336" s="533"/>
      <c r="E4336" s="533"/>
      <c r="F4336" s="533"/>
      <c r="G4336" s="533"/>
      <c r="H4336" s="95" t="e">
        <f>F4335</f>
        <v>#VALUE!</v>
      </c>
    </row>
    <row r="4337" spans="1:10">
      <c r="A4337" s="523" t="s">
        <v>4224</v>
      </c>
      <c r="B4337" s="524"/>
      <c r="C4337" s="524"/>
      <c r="D4337" s="524"/>
      <c r="E4337" s="524"/>
      <c r="F4337" s="524"/>
      <c r="G4337" s="524"/>
      <c r="H4337" s="526"/>
    </row>
    <row r="4338" spans="1:10">
      <c r="A4338" s="527" t="s">
        <v>7</v>
      </c>
      <c r="B4338" s="528"/>
      <c r="C4338" s="96" t="s">
        <v>1</v>
      </c>
      <c r="D4338" s="97" t="s">
        <v>4225</v>
      </c>
      <c r="E4338" s="98" t="s">
        <v>4204</v>
      </c>
      <c r="F4338" s="527" t="s">
        <v>5</v>
      </c>
      <c r="G4338" s="534"/>
      <c r="H4338" s="109"/>
    </row>
    <row r="4339" spans="1:10">
      <c r="A4339" s="506" t="s">
        <v>4191</v>
      </c>
      <c r="B4339" s="507"/>
      <c r="C4339" s="91">
        <v>1</v>
      </c>
      <c r="D4339" s="94">
        <f>VLOOKUP(A4339,'Mano Obra'!$B$2:$T$117,19,0)</f>
        <v>152456</v>
      </c>
      <c r="E4339" s="218">
        <f>H4302</f>
        <v>0.22919999999999999</v>
      </c>
      <c r="F4339" s="508">
        <f>E4339*D4339*C4339</f>
        <v>34942.915199999996</v>
      </c>
      <c r="G4339" s="509"/>
      <c r="H4339" s="111"/>
      <c r="I4339" s="59"/>
      <c r="J4339" s="117">
        <f>((('Mano Obra'!$M$4/30)*F4339)/D4339)*G4309</f>
        <v>0</v>
      </c>
    </row>
    <row r="4340" spans="1:10">
      <c r="A4340" s="510" t="s">
        <v>4192</v>
      </c>
      <c r="B4340" s="511">
        <f>VLOOKUP(A4340,'Mano Obra'!$B$3:$D$290,2,0)</f>
        <v>1900000</v>
      </c>
      <c r="C4340" s="91">
        <v>1</v>
      </c>
      <c r="D4340" s="94">
        <f>VLOOKUP(A4340,'Mano Obra'!$B$2:$T$117,19,0)</f>
        <v>110488</v>
      </c>
      <c r="E4340" s="218">
        <f>H4302</f>
        <v>0.22919999999999999</v>
      </c>
      <c r="F4340" s="508">
        <f t="shared" ref="F4340:F4341" si="255">E4340*D4340*C4340</f>
        <v>25323.849599999998</v>
      </c>
      <c r="G4340" s="509"/>
      <c r="H4340" s="111"/>
      <c r="J4340" s="117">
        <f>((('Mano Obra'!$M$5/30)*F4340)/D4340)*G4309</f>
        <v>0</v>
      </c>
    </row>
    <row r="4341" spans="1:10">
      <c r="A4341" s="510" t="s">
        <v>4181</v>
      </c>
      <c r="B4341" s="511">
        <f>VLOOKUP(A4341,'Mano Obra'!$B$3:$D$290,2,0)</f>
        <v>1000000</v>
      </c>
      <c r="C4341" s="91">
        <v>1</v>
      </c>
      <c r="D4341" s="94">
        <f>VLOOKUP(A4341,'Mano Obra'!$B$2:$T$117,19,0)</f>
        <v>67424</v>
      </c>
      <c r="E4341" s="218">
        <f>H4302</f>
        <v>0.22919999999999999</v>
      </c>
      <c r="F4341" s="508">
        <f t="shared" si="255"/>
        <v>15453.5808</v>
      </c>
      <c r="G4341" s="509"/>
      <c r="H4341" s="110"/>
      <c r="J4341" s="117">
        <f>((('Mano Obra'!$M$6/30)*F4341)/D4341)*G4309</f>
        <v>0</v>
      </c>
    </row>
    <row r="4342" spans="1:10">
      <c r="A4342" s="512" t="s">
        <v>4100</v>
      </c>
      <c r="B4342" s="512"/>
      <c r="C4342" s="512"/>
      <c r="D4342" s="512"/>
      <c r="E4342" s="512"/>
      <c r="F4342" s="512"/>
      <c r="G4342" s="512"/>
      <c r="H4342" s="95">
        <f>SUM(F4339:F4341)</f>
        <v>75720.345599999986</v>
      </c>
      <c r="J4342" s="117"/>
    </row>
    <row r="4343" spans="1:10">
      <c r="A4343" s="208" t="s">
        <v>4226</v>
      </c>
      <c r="B4343" s="186"/>
      <c r="C4343" s="186"/>
      <c r="D4343" s="183"/>
      <c r="E4343" s="184"/>
      <c r="F4343" s="185"/>
      <c r="G4343" s="184"/>
      <c r="H4343" s="193"/>
    </row>
    <row r="4344" spans="1:10">
      <c r="A4344" s="513" t="s">
        <v>4213</v>
      </c>
      <c r="B4344" s="514"/>
      <c r="C4344" s="514"/>
      <c r="D4344" s="514"/>
      <c r="E4344" s="181"/>
      <c r="F4344" s="182" t="s">
        <v>4227</v>
      </c>
      <c r="G4344" s="181" t="s">
        <v>4228</v>
      </c>
      <c r="H4344" s="194"/>
    </row>
    <row r="4345" spans="1:10">
      <c r="A4345" s="204" t="s">
        <v>4096</v>
      </c>
      <c r="B4345" s="62"/>
      <c r="C4345" s="62"/>
      <c r="D4345" s="63"/>
      <c r="E4345" s="68"/>
      <c r="F4345" s="69">
        <v>0</v>
      </c>
      <c r="G4345" s="70" t="e">
        <f>F4345*H4310</f>
        <v>#VALUE!</v>
      </c>
      <c r="H4345" s="193"/>
    </row>
    <row r="4346" spans="1:10">
      <c r="A4346" s="205" t="s">
        <v>4229</v>
      </c>
      <c r="B4346" s="71"/>
      <c r="C4346" s="71"/>
      <c r="D4346" s="72"/>
      <c r="E4346" s="68"/>
      <c r="F4346" s="69">
        <v>0</v>
      </c>
      <c r="G4346" s="70" t="e">
        <f>F4346*H4310</f>
        <v>#VALUE!</v>
      </c>
      <c r="H4346" s="193"/>
    </row>
    <row r="4347" spans="1:10">
      <c r="A4347" s="205" t="s">
        <v>4</v>
      </c>
      <c r="B4347" s="71"/>
      <c r="C4347" s="71"/>
      <c r="D4347" s="72"/>
      <c r="E4347" s="68"/>
      <c r="F4347" s="69">
        <v>0</v>
      </c>
      <c r="G4347" s="70" t="e">
        <f>F4347*H4310</f>
        <v>#VALUE!</v>
      </c>
      <c r="H4347" s="193"/>
    </row>
    <row r="4348" spans="1:10">
      <c r="A4348" s="206"/>
      <c r="B4348" s="73"/>
      <c r="C4348" s="65"/>
      <c r="D4348" s="74"/>
      <c r="E4348" s="75"/>
      <c r="F4348" s="76"/>
      <c r="G4348" s="77"/>
      <c r="H4348" s="195"/>
    </row>
    <row r="4349" spans="1:10">
      <c r="A4349" s="207"/>
      <c r="B4349" s="73"/>
      <c r="C4349" s="73"/>
      <c r="D4349" s="74"/>
      <c r="E4349" s="78"/>
      <c r="F4349" s="515" t="s">
        <v>4230</v>
      </c>
      <c r="G4349" s="516"/>
      <c r="H4349" s="214" t="e">
        <f>H4310+G4345+G4346+G4347</f>
        <v>#VALUE!</v>
      </c>
    </row>
    <row r="4351" spans="1:10">
      <c r="A4351" s="80"/>
      <c r="B4351" s="80"/>
      <c r="C4351" s="80"/>
      <c r="D4351" s="80"/>
      <c r="E4351" s="80"/>
      <c r="F4351" s="80"/>
      <c r="G4351" s="80"/>
      <c r="H4351" s="353"/>
    </row>
    <row r="4352" spans="1:10">
      <c r="A4352" s="537" t="s">
        <v>4214</v>
      </c>
      <c r="B4352" s="538"/>
      <c r="C4352" s="538"/>
      <c r="D4352" s="538"/>
      <c r="E4352" s="538"/>
      <c r="F4352" s="538"/>
      <c r="G4352" s="538"/>
      <c r="H4352" s="539"/>
    </row>
    <row r="4353" spans="1:15">
      <c r="A4353" s="81"/>
      <c r="B4353" s="82"/>
      <c r="C4353" s="82"/>
      <c r="D4353" s="82"/>
      <c r="E4353" s="82"/>
      <c r="F4353" s="83"/>
      <c r="G4353" s="84"/>
      <c r="H4353" s="352">
        <f>ROUND((70/60)/8,4)</f>
        <v>0.14580000000000001</v>
      </c>
      <c r="I4353" s="105"/>
    </row>
    <row r="4354" spans="1:15">
      <c r="A4354" s="540" t="s">
        <v>4209</v>
      </c>
      <c r="B4354" s="542" t="str">
        <f>COSTOS!$C$14</f>
        <v>MODERNIZACION A TECNOLOGIA LED</v>
      </c>
      <c r="C4354" s="542"/>
      <c r="D4354" s="542"/>
      <c r="E4354" s="542"/>
      <c r="F4354" s="542"/>
      <c r="G4354" s="542"/>
      <c r="H4354" s="543" t="s">
        <v>4210</v>
      </c>
    </row>
    <row r="4355" spans="1:15">
      <c r="A4355" s="541"/>
      <c r="B4355" s="542"/>
      <c r="C4355" s="542"/>
      <c r="D4355" s="542"/>
      <c r="E4355" s="542"/>
      <c r="F4355" s="542"/>
      <c r="G4355" s="542"/>
      <c r="H4355" s="543"/>
    </row>
    <row r="4356" spans="1:15">
      <c r="A4356" s="541"/>
      <c r="B4356" s="542"/>
      <c r="C4356" s="542"/>
      <c r="D4356" s="542"/>
      <c r="E4356" s="542"/>
      <c r="F4356" s="542"/>
      <c r="G4356" s="542"/>
      <c r="H4356" s="543"/>
    </row>
    <row r="4357" spans="1:15" ht="15" customHeight="1">
      <c r="A4357" s="541"/>
      <c r="B4357" s="542"/>
      <c r="C4357" s="542"/>
      <c r="D4357" s="542"/>
      <c r="E4357" s="542"/>
      <c r="F4357" s="542"/>
      <c r="G4357" s="542"/>
      <c r="H4357" s="197">
        <f ca="1">TODAY()</f>
        <v>44889</v>
      </c>
      <c r="K4357" t="s">
        <v>4380</v>
      </c>
      <c r="L4357" t="s">
        <v>4381</v>
      </c>
      <c r="M4357" t="s">
        <v>4382</v>
      </c>
      <c r="N4357" t="s">
        <v>4383</v>
      </c>
    </row>
    <row r="4358" spans="1:15" ht="60.75" customHeight="1">
      <c r="A4358" s="209" t="s">
        <v>4211</v>
      </c>
      <c r="B4358" s="544" t="str">
        <f>COSTOS!$D$16</f>
        <v>Luminarias</v>
      </c>
      <c r="C4358" s="544"/>
      <c r="D4358" s="544"/>
      <c r="E4358" s="544"/>
      <c r="F4358" s="544"/>
      <c r="G4358" s="60" t="s">
        <v>4212</v>
      </c>
      <c r="H4358" s="359">
        <v>2.2999999999999998</v>
      </c>
      <c r="K4358" s="55" t="e">
        <f>H4383</f>
        <v>#VALUE!</v>
      </c>
      <c r="L4358" s="55">
        <f>H4393</f>
        <v>48167.654399999999</v>
      </c>
      <c r="M4358" s="55" t="e">
        <f>H4366</f>
        <v>#VALUE!</v>
      </c>
      <c r="N4358" s="55" t="e">
        <f>H4387</f>
        <v>#VALUE!</v>
      </c>
    </row>
    <row r="4359" spans="1:15" ht="43.2" customHeight="1">
      <c r="A4359" s="210" t="s">
        <v>4213</v>
      </c>
      <c r="B4359" s="545" t="str">
        <f>VLOOKUP(H4358,COSTOS!C:M,2,0)</f>
        <v>Poste de concreto 8mx510kgf</v>
      </c>
      <c r="C4359" s="546"/>
      <c r="D4359" s="546"/>
      <c r="E4359" s="547"/>
      <c r="F4359" s="61" t="s">
        <v>0</v>
      </c>
      <c r="G4359" s="328" t="str">
        <f>VLOOKUP(H4358,COSTOS!C:M,8,0)</f>
        <v>Und</v>
      </c>
      <c r="H4359" s="248"/>
      <c r="I4359" s="278"/>
      <c r="J4359" s="280"/>
      <c r="K4359" s="280"/>
      <c r="L4359" s="280"/>
    </row>
    <row r="4360" spans="1:15">
      <c r="A4360" s="211"/>
      <c r="B4360" s="102"/>
      <c r="C4360" s="102"/>
      <c r="D4360" s="102"/>
      <c r="E4360" s="103"/>
      <c r="F4360" s="104" t="s">
        <v>1</v>
      </c>
      <c r="G4360" s="328">
        <f>VLOOKUP(H4358,COSTOS!C:M,9,0)</f>
        <v>0</v>
      </c>
      <c r="H4360" s="329"/>
      <c r="I4360" s="279"/>
    </row>
    <row r="4361" spans="1:15">
      <c r="A4361" s="212" t="s">
        <v>4215</v>
      </c>
      <c r="B4361" s="65"/>
      <c r="C4361" s="65"/>
      <c r="D4361" s="66"/>
      <c r="E4361" s="190"/>
      <c r="F4361" s="191"/>
      <c r="G4361" s="192" t="s">
        <v>4216</v>
      </c>
      <c r="H4361" s="198" t="e">
        <f>H4366+H4383+H4387+H4393</f>
        <v>#VALUE!</v>
      </c>
    </row>
    <row r="4362" spans="1:15" ht="41.4">
      <c r="A4362" s="548" t="s">
        <v>4213</v>
      </c>
      <c r="B4362" s="548"/>
      <c r="C4362" s="548"/>
      <c r="D4362" s="67" t="s">
        <v>0</v>
      </c>
      <c r="E4362" s="188" t="s">
        <v>4217</v>
      </c>
      <c r="F4362" s="189" t="s">
        <v>4204</v>
      </c>
      <c r="G4362" s="64" t="s">
        <v>2</v>
      </c>
      <c r="H4362" s="199" t="s">
        <v>4218</v>
      </c>
      <c r="K4362" s="281"/>
    </row>
    <row r="4363" spans="1:15">
      <c r="A4363" s="517" t="s">
        <v>3946</v>
      </c>
      <c r="B4363" s="549">
        <f>VLOOKUP(A4363,'Equip, Herr y Transp'!$B$2:$E$738,2,0)</f>
        <v>2</v>
      </c>
      <c r="C4363" s="549"/>
      <c r="D4363" s="85">
        <f>VLOOKUP(A4363,'Equip, Herr y Transp'!$B$2:$E$217,2,0)</f>
        <v>2</v>
      </c>
      <c r="E4363" s="85" t="str">
        <f>VLOOKUP(A4363,'Equip, Herr y Transp'!$B$2:$E$217,3,0)</f>
        <v>EQU</v>
      </c>
      <c r="F4363" s="86">
        <f>H4353</f>
        <v>0.14580000000000001</v>
      </c>
      <c r="G4363" s="112" t="e">
        <f>F4363*E4363</f>
        <v>#VALUE!</v>
      </c>
      <c r="H4363" s="108"/>
    </row>
    <row r="4364" spans="1:15">
      <c r="A4364" s="517" t="s">
        <v>3894</v>
      </c>
      <c r="B4364" s="549">
        <f>VLOOKUP(A4364,'Equip, Herr y Transp'!$B$2:$E$738,2,0)</f>
        <v>4</v>
      </c>
      <c r="C4364" s="549"/>
      <c r="D4364" s="85">
        <f>VLOOKUP(A4364,'Equip, Herr y Transp'!$B$2:$E$217,2,0)</f>
        <v>4</v>
      </c>
      <c r="E4364" s="85" t="str">
        <f>VLOOKUP(A4364,'Equip, Herr y Transp'!$B$2:$E$217,3,0)</f>
        <v>TR</v>
      </c>
      <c r="F4364" s="86">
        <f>H4353</f>
        <v>0.14580000000000001</v>
      </c>
      <c r="G4364" s="112" t="e">
        <f>F4364*E4364</f>
        <v>#VALUE!</v>
      </c>
      <c r="H4364" s="107"/>
    </row>
    <row r="4365" spans="1:15">
      <c r="A4365" s="517" t="s">
        <v>8</v>
      </c>
      <c r="B4365" s="549" t="e">
        <f>VLOOKUP(A4365,'Equip, Herr y Transp'!$B$2:$E$738,2,0)</f>
        <v>#N/A</v>
      </c>
      <c r="C4365" s="549"/>
      <c r="D4365" s="85" t="e">
        <f>VLOOKUP(A4365,'Equip, Herr y Transp'!$B$2:$E$217,2,0)</f>
        <v>#N/A</v>
      </c>
      <c r="E4365" s="85" t="e">
        <f>VLOOKUP(A4365,'Equip, Herr y Transp'!$B$2:$E$217,3,0)</f>
        <v>#N/A</v>
      </c>
      <c r="F4365" s="86"/>
      <c r="G4365" s="112" t="e">
        <f>F4365*E4365</f>
        <v>#N/A</v>
      </c>
      <c r="H4365" s="107"/>
    </row>
    <row r="4366" spans="1:15">
      <c r="A4366" s="520" t="s">
        <v>4099</v>
      </c>
      <c r="B4366" s="521"/>
      <c r="C4366" s="521"/>
      <c r="D4366" s="521"/>
      <c r="E4366" s="521"/>
      <c r="F4366" s="521"/>
      <c r="G4366" s="521"/>
      <c r="H4366" s="87" t="e">
        <f>SUM(G4363:G4365)</f>
        <v>#VALUE!</v>
      </c>
    </row>
    <row r="4367" spans="1:15">
      <c r="A4367" s="550" t="s">
        <v>4219</v>
      </c>
      <c r="B4367" s="551"/>
      <c r="C4367" s="551"/>
      <c r="D4367" s="551"/>
      <c r="E4367" s="551"/>
      <c r="F4367" s="551"/>
      <c r="G4367" s="551"/>
      <c r="H4367" s="552"/>
      <c r="K4367" s="50"/>
      <c r="L4367" s="50"/>
      <c r="M4367" s="50"/>
      <c r="N4367" s="50"/>
      <c r="O4367" s="50"/>
    </row>
    <row r="4368" spans="1:15" ht="30" customHeight="1">
      <c r="A4368" s="553" t="s">
        <v>7</v>
      </c>
      <c r="B4368" s="554"/>
      <c r="C4368" s="99" t="s">
        <v>0</v>
      </c>
      <c r="D4368" s="100" t="s">
        <v>4097</v>
      </c>
      <c r="E4368" s="101" t="s">
        <v>1</v>
      </c>
      <c r="F4368" s="555" t="s">
        <v>4207</v>
      </c>
      <c r="G4368" s="555"/>
      <c r="H4368" s="196"/>
      <c r="K4368" s="50"/>
      <c r="L4368" s="50"/>
      <c r="M4368" s="50"/>
      <c r="N4368" s="50"/>
      <c r="O4368" s="50"/>
    </row>
    <row r="4369" spans="1:15">
      <c r="A4369" s="535" t="s">
        <v>4618</v>
      </c>
      <c r="B4369" s="536"/>
      <c r="C4369" s="88">
        <f>VLOOKUP(A4369,'Materiales '!$C$2:$G$396,3,0)</f>
        <v>4</v>
      </c>
      <c r="D4369" s="89" t="str">
        <f>VLOOKUP(A4369,'Materiales '!$C$2:$G$396,4,0)</f>
        <v>Und</v>
      </c>
      <c r="E4369" s="90">
        <v>1</v>
      </c>
      <c r="F4369" s="508" t="e">
        <f>E4369*D4369</f>
        <v>#VALUE!</v>
      </c>
      <c r="G4369" s="519"/>
      <c r="H4369" s="111"/>
      <c r="I4369">
        <f>E4369*G4360</f>
        <v>0</v>
      </c>
      <c r="J4369" s="57"/>
      <c r="K4369" s="50"/>
      <c r="L4369" s="50"/>
      <c r="M4369" s="50"/>
      <c r="N4369" s="50"/>
      <c r="O4369" s="50"/>
    </row>
    <row r="4370" spans="1:15">
      <c r="A4370" s="535" t="s">
        <v>4617</v>
      </c>
      <c r="B4370" s="536"/>
      <c r="C4370" s="88">
        <f>VLOOKUP(A4370,'Materiales '!$C$2:$G$396,3,0)</f>
        <v>3</v>
      </c>
      <c r="D4370" s="89" t="str">
        <f>VLOOKUP(A4370,'Materiales '!$C$2:$G$396,4,0)</f>
        <v>Rollo</v>
      </c>
      <c r="E4370" s="90">
        <v>0.5</v>
      </c>
      <c r="F4370" s="508" t="e">
        <f t="shared" ref="F4370:F4376" si="256">E4370*D4370</f>
        <v>#VALUE!</v>
      </c>
      <c r="G4370" s="519"/>
      <c r="H4370" s="111"/>
      <c r="I4370">
        <f>E4370*G4360</f>
        <v>0</v>
      </c>
      <c r="J4370" s="57"/>
      <c r="K4370" s="50"/>
      <c r="L4370" s="50"/>
      <c r="M4370" s="50"/>
      <c r="N4370" s="50"/>
      <c r="O4370" s="50"/>
    </row>
    <row r="4371" spans="1:15">
      <c r="A4371" s="517" t="s">
        <v>8</v>
      </c>
      <c r="B4371" s="518">
        <f>VLOOKUP(A4371,'Materiales '!$C$2:$G$396,3,0)</f>
        <v>0</v>
      </c>
      <c r="C4371" s="88">
        <f>VLOOKUP(A4371,'Materiales '!$C$2:$G$396,3,0)</f>
        <v>0</v>
      </c>
      <c r="D4371" s="89" t="str">
        <f>VLOOKUP(A4371,'Materiales '!$C$2:$G$396,4,0)</f>
        <v>-</v>
      </c>
      <c r="E4371" s="90">
        <v>1</v>
      </c>
      <c r="F4371" s="508" t="e">
        <f t="shared" si="256"/>
        <v>#VALUE!</v>
      </c>
      <c r="G4371" s="519"/>
      <c r="H4371" s="111"/>
      <c r="I4371">
        <f>E4371*G4360</f>
        <v>0</v>
      </c>
      <c r="J4371" s="58"/>
      <c r="K4371" s="50"/>
      <c r="L4371" s="50"/>
      <c r="M4371" s="50"/>
      <c r="N4371" s="50"/>
      <c r="O4371" s="50"/>
    </row>
    <row r="4372" spans="1:15">
      <c r="A4372" s="517" t="s">
        <v>8</v>
      </c>
      <c r="B4372" s="518">
        <f>VLOOKUP(A4372,'Materiales '!$C$2:$G$396,3,0)</f>
        <v>0</v>
      </c>
      <c r="C4372" s="88">
        <f>VLOOKUP(A4372,'Materiales '!$C$2:$G$396,3,0)</f>
        <v>0</v>
      </c>
      <c r="D4372" s="89" t="str">
        <f>VLOOKUP(A4372,'Materiales '!$C$2:$G$396,4,0)</f>
        <v>-</v>
      </c>
      <c r="E4372" s="90">
        <v>3</v>
      </c>
      <c r="F4372" s="508" t="e">
        <f t="shared" si="256"/>
        <v>#VALUE!</v>
      </c>
      <c r="G4372" s="519"/>
      <c r="H4372" s="111"/>
      <c r="I4372">
        <f>E4372*G4360</f>
        <v>0</v>
      </c>
      <c r="J4372" s="58"/>
      <c r="K4372" s="50"/>
      <c r="L4372" s="50"/>
      <c r="M4372" s="50"/>
      <c r="N4372" s="50"/>
      <c r="O4372" s="50"/>
    </row>
    <row r="4373" spans="1:15">
      <c r="A4373" s="517" t="s">
        <v>8</v>
      </c>
      <c r="B4373" s="518">
        <f>VLOOKUP(A4373,'Materiales '!$C$2:$G$396,3,0)</f>
        <v>0</v>
      </c>
      <c r="C4373" s="88">
        <f>VLOOKUP(A4373,'Materiales '!$C$2:$G$396,3,0)</f>
        <v>0</v>
      </c>
      <c r="D4373" s="89" t="str">
        <f>VLOOKUP(A4373,'Materiales '!$C$2:$G$396,4,0)</f>
        <v>-</v>
      </c>
      <c r="E4373" s="90">
        <v>2</v>
      </c>
      <c r="F4373" s="508" t="e">
        <f t="shared" si="256"/>
        <v>#VALUE!</v>
      </c>
      <c r="G4373" s="519"/>
      <c r="H4373" s="111"/>
      <c r="I4373">
        <f>E4373*G4360</f>
        <v>0</v>
      </c>
      <c r="J4373" s="58"/>
      <c r="K4373" s="50"/>
      <c r="L4373" s="50"/>
      <c r="M4373" s="50"/>
      <c r="N4373" s="50"/>
      <c r="O4373" s="50"/>
    </row>
    <row r="4374" spans="1:15">
      <c r="A4374" s="517" t="s">
        <v>8</v>
      </c>
      <c r="B4374" s="518">
        <f>VLOOKUP(A4374,'Materiales '!$C$2:$G$396,3,0)</f>
        <v>0</v>
      </c>
      <c r="C4374" s="88">
        <f>VLOOKUP(A4374,'Materiales '!$C$2:$G$396,3,0)</f>
        <v>0</v>
      </c>
      <c r="D4374" s="89" t="str">
        <f>VLOOKUP(A4374,'Materiales '!$C$2:$G$396,4,0)</f>
        <v>-</v>
      </c>
      <c r="E4374" s="90">
        <v>8</v>
      </c>
      <c r="F4374" s="508" t="e">
        <f t="shared" si="256"/>
        <v>#VALUE!</v>
      </c>
      <c r="G4374" s="519"/>
      <c r="H4374" s="111"/>
      <c r="I4374">
        <f>E4374*G4360</f>
        <v>0</v>
      </c>
      <c r="J4374" s="58"/>
      <c r="K4374" s="50"/>
      <c r="L4374" s="50"/>
      <c r="M4374" s="50"/>
      <c r="N4374" s="50"/>
      <c r="O4374" s="50"/>
    </row>
    <row r="4375" spans="1:15">
      <c r="A4375" s="517" t="s">
        <v>8</v>
      </c>
      <c r="B4375" s="518">
        <f>VLOOKUP(A4375,'Materiales '!$C$2:$G$396,3,0)</f>
        <v>0</v>
      </c>
      <c r="C4375" s="88">
        <f>VLOOKUP(A4375,'Materiales '!$C$2:$G$396,3,0)</f>
        <v>0</v>
      </c>
      <c r="D4375" s="89" t="str">
        <f>VLOOKUP(A4375,'Materiales '!$C$2:$G$396,4,0)</f>
        <v>-</v>
      </c>
      <c r="E4375" s="90">
        <v>3</v>
      </c>
      <c r="F4375" s="508" t="e">
        <f t="shared" si="256"/>
        <v>#VALUE!</v>
      </c>
      <c r="G4375" s="519"/>
      <c r="H4375" s="111"/>
      <c r="I4375">
        <f>E4375*G4360</f>
        <v>0</v>
      </c>
      <c r="J4375" s="58"/>
      <c r="K4375" s="50"/>
      <c r="L4375" s="50"/>
      <c r="M4375" s="50"/>
      <c r="N4375" s="50"/>
      <c r="O4375" s="50"/>
    </row>
    <row r="4376" spans="1:15" ht="21.75" customHeight="1">
      <c r="A4376" s="517" t="s">
        <v>8</v>
      </c>
      <c r="B4376" s="518">
        <f>VLOOKUP(A4376,'Materiales '!$C$2:$G$396,3,0)</f>
        <v>0</v>
      </c>
      <c r="C4376" s="88">
        <f>VLOOKUP(A4376,'Materiales '!$C$2:$G$396,3,0)</f>
        <v>0</v>
      </c>
      <c r="D4376" s="89" t="str">
        <f>VLOOKUP(A4376,'Materiales '!$C$2:$G$396,4,0)</f>
        <v>-</v>
      </c>
      <c r="E4376" s="90">
        <v>0.5</v>
      </c>
      <c r="F4376" s="508" t="e">
        <f t="shared" si="256"/>
        <v>#VALUE!</v>
      </c>
      <c r="G4376" s="519"/>
      <c r="H4376" s="111"/>
      <c r="I4376">
        <f>E4376*G4360</f>
        <v>0</v>
      </c>
      <c r="J4376" s="58"/>
      <c r="K4376" s="50"/>
      <c r="L4376" s="50"/>
      <c r="M4376" s="50"/>
      <c r="N4376" s="50"/>
      <c r="O4376" s="50"/>
    </row>
    <row r="4377" spans="1:15">
      <c r="A4377" s="517" t="s">
        <v>8</v>
      </c>
      <c r="B4377" s="518">
        <f>VLOOKUP(A4377,'Materiales '!$C$2:$G$396,3,0)</f>
        <v>0</v>
      </c>
      <c r="C4377" s="88">
        <f>VLOOKUP(A4377,'Materiales '!$C$2:$G$396,3,0)</f>
        <v>0</v>
      </c>
      <c r="D4377" s="89" t="str">
        <f>VLOOKUP(A4377,'Materiales '!$C$2:$G$396,4,0)</f>
        <v>-</v>
      </c>
      <c r="E4377" s="90"/>
      <c r="F4377" s="508" t="e">
        <f>E4377*D4377</f>
        <v>#VALUE!</v>
      </c>
      <c r="G4377" s="519"/>
      <c r="H4377" s="110"/>
      <c r="I4377">
        <f>E4377*G4360</f>
        <v>0</v>
      </c>
      <c r="J4377" s="58"/>
      <c r="K4377" s="50"/>
      <c r="L4377" s="50"/>
      <c r="M4377" s="50"/>
      <c r="N4377" s="50"/>
      <c r="O4377" s="50"/>
    </row>
    <row r="4378" spans="1:15">
      <c r="A4378" s="517" t="s">
        <v>8</v>
      </c>
      <c r="B4378" s="518">
        <f>VLOOKUP(A4378,'Materiales '!$C$2:$G$396,3,0)</f>
        <v>0</v>
      </c>
      <c r="C4378" s="88">
        <f>VLOOKUP(A4378,'Materiales '!$C$2:$G$396,3,0)</f>
        <v>0</v>
      </c>
      <c r="D4378" s="89" t="str">
        <f>VLOOKUP(A4378,'Materiales '!$C$2:$G$396,4,0)</f>
        <v>-</v>
      </c>
      <c r="E4378" s="90"/>
      <c r="F4378" s="508" t="e">
        <f t="shared" ref="F4378:F4381" si="257">E4378*D4378</f>
        <v>#VALUE!</v>
      </c>
      <c r="G4378" s="519"/>
      <c r="H4378" s="111"/>
      <c r="I4378">
        <f>E4378*G4360</f>
        <v>0</v>
      </c>
      <c r="J4378" s="58"/>
      <c r="K4378" s="50"/>
      <c r="L4378" s="50"/>
      <c r="M4378" s="50"/>
      <c r="N4378" s="50"/>
      <c r="O4378" s="50"/>
    </row>
    <row r="4379" spans="1:15">
      <c r="A4379" s="517" t="s">
        <v>8</v>
      </c>
      <c r="B4379" s="518">
        <f>VLOOKUP(A4379,'Materiales '!$C$2:$G$396,3,0)</f>
        <v>0</v>
      </c>
      <c r="C4379" s="88">
        <f>VLOOKUP(A4379,'Materiales '!$C$2:$G$396,3,0)</f>
        <v>0</v>
      </c>
      <c r="D4379" s="89" t="str">
        <f>VLOOKUP(A4379,'Materiales '!$C$2:$G$396,4,0)</f>
        <v>-</v>
      </c>
      <c r="E4379" s="90"/>
      <c r="F4379" s="508" t="e">
        <f t="shared" si="257"/>
        <v>#VALUE!</v>
      </c>
      <c r="G4379" s="519"/>
      <c r="H4379" s="111"/>
      <c r="I4379">
        <f>E4379*G4360</f>
        <v>0</v>
      </c>
      <c r="J4379" s="58"/>
      <c r="K4379" s="50"/>
      <c r="L4379" s="50"/>
      <c r="M4379" s="50"/>
      <c r="N4379" s="50"/>
      <c r="O4379" s="50"/>
    </row>
    <row r="4380" spans="1:15">
      <c r="A4380" s="517" t="s">
        <v>8</v>
      </c>
      <c r="B4380" s="518">
        <f>VLOOKUP(A4380,'Materiales '!$C$2:$G$396,3,0)</f>
        <v>0</v>
      </c>
      <c r="C4380" s="88">
        <f>VLOOKUP(A4380,'Materiales '!$C$2:$G$396,3,0)</f>
        <v>0</v>
      </c>
      <c r="D4380" s="89" t="str">
        <f>VLOOKUP(A4380,'Materiales '!$C$2:$G$396,4,0)</f>
        <v>-</v>
      </c>
      <c r="E4380" s="90"/>
      <c r="F4380" s="508" t="e">
        <f t="shared" si="257"/>
        <v>#VALUE!</v>
      </c>
      <c r="G4380" s="519"/>
      <c r="H4380" s="111"/>
      <c r="I4380">
        <f>E4380*G4360</f>
        <v>0</v>
      </c>
      <c r="J4380" s="58"/>
      <c r="K4380" s="50"/>
      <c r="L4380" s="50"/>
      <c r="M4380" s="50"/>
      <c r="N4380" s="50"/>
      <c r="O4380" s="50"/>
    </row>
    <row r="4381" spans="1:15">
      <c r="A4381" s="517" t="s">
        <v>8</v>
      </c>
      <c r="B4381" s="518">
        <f>VLOOKUP(A4381,'Materiales '!$C$2:$G$396,3,0)</f>
        <v>0</v>
      </c>
      <c r="C4381" s="88">
        <f>VLOOKUP(A4381,'Materiales '!$C$2:$G$396,3,0)</f>
        <v>0</v>
      </c>
      <c r="D4381" s="89" t="str">
        <f>VLOOKUP(A4381,'Materiales '!$C$2:$G$396,4,0)</f>
        <v>-</v>
      </c>
      <c r="E4381" s="90"/>
      <c r="F4381" s="508" t="e">
        <f t="shared" si="257"/>
        <v>#VALUE!</v>
      </c>
      <c r="G4381" s="519"/>
      <c r="H4381" s="111"/>
      <c r="I4381">
        <f>E4381*G4360</f>
        <v>0</v>
      </c>
      <c r="J4381" s="58"/>
      <c r="K4381" s="50"/>
      <c r="L4381" s="50"/>
      <c r="M4381" s="50"/>
      <c r="N4381" s="50"/>
      <c r="O4381" s="50"/>
    </row>
    <row r="4382" spans="1:15">
      <c r="A4382" s="517" t="s">
        <v>8</v>
      </c>
      <c r="B4382" s="518">
        <f>VLOOKUP(A4382,'Materiales '!$C$2:$G$396,3,0)</f>
        <v>0</v>
      </c>
      <c r="C4382" s="88">
        <f>VLOOKUP(A4382,'Materiales '!$C$2:$G$396,3,0)</f>
        <v>0</v>
      </c>
      <c r="D4382" s="89" t="str">
        <f>VLOOKUP(A4382,'Materiales '!$C$2:$G$396,4,0)</f>
        <v>-</v>
      </c>
      <c r="E4382" s="90"/>
      <c r="F4382" s="508" t="e">
        <f>E4382*D4382</f>
        <v>#VALUE!</v>
      </c>
      <c r="G4382" s="519"/>
      <c r="H4382" s="110"/>
      <c r="I4382">
        <f>E4382*G4360</f>
        <v>0</v>
      </c>
      <c r="J4382" s="58"/>
      <c r="K4382" s="50"/>
      <c r="L4382" s="50"/>
      <c r="M4382" s="50"/>
      <c r="N4382" s="50"/>
      <c r="O4382" s="50"/>
    </row>
    <row r="4383" spans="1:15">
      <c r="A4383" s="520" t="s">
        <v>4098</v>
      </c>
      <c r="B4383" s="521"/>
      <c r="C4383" s="521"/>
      <c r="D4383" s="521"/>
      <c r="E4383" s="521"/>
      <c r="F4383" s="521"/>
      <c r="G4383" s="522"/>
      <c r="H4383" s="106" t="e">
        <f>SUM(F4369:F4382)</f>
        <v>#VALUE!</v>
      </c>
      <c r="J4383" s="58"/>
      <c r="K4383" s="50"/>
      <c r="L4383" s="50"/>
      <c r="M4383" s="50"/>
      <c r="N4383" s="50"/>
      <c r="O4383" s="50"/>
    </row>
    <row r="4384" spans="1:15">
      <c r="A4384" s="523" t="s">
        <v>4220</v>
      </c>
      <c r="B4384" s="524"/>
      <c r="C4384" s="524"/>
      <c r="D4384" s="524"/>
      <c r="E4384" s="525"/>
      <c r="F4384" s="524"/>
      <c r="G4384" s="524"/>
      <c r="H4384" s="526"/>
      <c r="J4384" s="58"/>
      <c r="K4384" s="50"/>
      <c r="L4384" s="50"/>
      <c r="M4384" s="50"/>
      <c r="N4384" s="50"/>
      <c r="O4384" s="50"/>
    </row>
    <row r="4385" spans="1:15">
      <c r="A4385" s="527" t="s">
        <v>7</v>
      </c>
      <c r="B4385" s="528"/>
      <c r="C4385" s="98" t="s">
        <v>4221</v>
      </c>
      <c r="D4385" s="97" t="s">
        <v>4222</v>
      </c>
      <c r="E4385" s="187" t="s">
        <v>4223</v>
      </c>
      <c r="F4385" s="529" t="s">
        <v>4207</v>
      </c>
      <c r="G4385" s="529"/>
      <c r="H4385" s="109"/>
      <c r="K4385" s="50"/>
      <c r="L4385" s="50"/>
      <c r="M4385" s="50"/>
      <c r="N4385" s="50"/>
      <c r="O4385" s="50"/>
    </row>
    <row r="4386" spans="1:15">
      <c r="A4386" s="506" t="s">
        <v>3928</v>
      </c>
      <c r="B4386" s="507"/>
      <c r="C4386" s="213">
        <v>1</v>
      </c>
      <c r="D4386" s="92">
        <v>0.03</v>
      </c>
      <c r="E4386" s="93" t="str">
        <f>VLOOKUP(A4386,'Equip, Herr y Transp'!$B$2:$E$217,3,0)</f>
        <v>TR</v>
      </c>
      <c r="F4386" s="530" t="e">
        <f>E4386*D4386*C4386</f>
        <v>#VALUE!</v>
      </c>
      <c r="G4386" s="531"/>
      <c r="H4386" s="107"/>
      <c r="M4386" s="50"/>
    </row>
    <row r="4387" spans="1:15">
      <c r="A4387" s="532" t="s">
        <v>4205</v>
      </c>
      <c r="B4387" s="533"/>
      <c r="C4387" s="533"/>
      <c r="D4387" s="533"/>
      <c r="E4387" s="533"/>
      <c r="F4387" s="533"/>
      <c r="G4387" s="533"/>
      <c r="H4387" s="95" t="e">
        <f>F4386</f>
        <v>#VALUE!</v>
      </c>
    </row>
    <row r="4388" spans="1:15">
      <c r="A4388" s="523" t="s">
        <v>4224</v>
      </c>
      <c r="B4388" s="524"/>
      <c r="C4388" s="524"/>
      <c r="D4388" s="524"/>
      <c r="E4388" s="524"/>
      <c r="F4388" s="524"/>
      <c r="G4388" s="524"/>
      <c r="H4388" s="526"/>
    </row>
    <row r="4389" spans="1:15">
      <c r="A4389" s="527" t="s">
        <v>7</v>
      </c>
      <c r="B4389" s="528"/>
      <c r="C4389" s="96" t="s">
        <v>1</v>
      </c>
      <c r="D4389" s="97" t="s">
        <v>4225</v>
      </c>
      <c r="E4389" s="98" t="s">
        <v>4204</v>
      </c>
      <c r="F4389" s="527" t="s">
        <v>5</v>
      </c>
      <c r="G4389" s="534"/>
      <c r="H4389" s="109"/>
    </row>
    <row r="4390" spans="1:15">
      <c r="A4390" s="506" t="s">
        <v>4191</v>
      </c>
      <c r="B4390" s="507"/>
      <c r="C4390" s="91">
        <v>1</v>
      </c>
      <c r="D4390" s="94">
        <f>VLOOKUP(A4390,'Mano Obra'!$B$2:$T$117,19,0)</f>
        <v>152456</v>
      </c>
      <c r="E4390" s="218">
        <f>H4353</f>
        <v>0.14580000000000001</v>
      </c>
      <c r="F4390" s="508">
        <f>E4390*D4390*C4390</f>
        <v>22228.084800000001</v>
      </c>
      <c r="G4390" s="509"/>
      <c r="H4390" s="111"/>
      <c r="I4390" s="59"/>
      <c r="J4390" s="117">
        <f>((('Mano Obra'!$M$4/30)*F4390)/D4390)*G4360</f>
        <v>0</v>
      </c>
    </row>
    <row r="4391" spans="1:15">
      <c r="A4391" s="510" t="s">
        <v>4192</v>
      </c>
      <c r="B4391" s="511">
        <f>VLOOKUP(A4391,'Mano Obra'!$B$3:$D$290,2,0)</f>
        <v>1900000</v>
      </c>
      <c r="C4391" s="91">
        <v>1</v>
      </c>
      <c r="D4391" s="94">
        <f>VLOOKUP(A4391,'Mano Obra'!$B$2:$T$117,19,0)</f>
        <v>110488</v>
      </c>
      <c r="E4391" s="218">
        <f>H4353</f>
        <v>0.14580000000000001</v>
      </c>
      <c r="F4391" s="508">
        <f t="shared" ref="F4391:F4392" si="258">E4391*D4391*C4391</f>
        <v>16109.150400000002</v>
      </c>
      <c r="G4391" s="509"/>
      <c r="H4391" s="111"/>
      <c r="J4391" s="117">
        <f>((('Mano Obra'!$M$5/30)*F4391)/D4391)*G4360</f>
        <v>0</v>
      </c>
    </row>
    <row r="4392" spans="1:15">
      <c r="A4392" s="510" t="s">
        <v>4181</v>
      </c>
      <c r="B4392" s="511">
        <f>VLOOKUP(A4392,'Mano Obra'!$B$3:$D$290,2,0)</f>
        <v>1000000</v>
      </c>
      <c r="C4392" s="91">
        <v>1</v>
      </c>
      <c r="D4392" s="94">
        <f>VLOOKUP(A4392,'Mano Obra'!$B$2:$T$117,19,0)</f>
        <v>67424</v>
      </c>
      <c r="E4392" s="218">
        <f>H4353</f>
        <v>0.14580000000000001</v>
      </c>
      <c r="F4392" s="508">
        <f t="shared" si="258"/>
        <v>9830.4192000000003</v>
      </c>
      <c r="G4392" s="509"/>
      <c r="H4392" s="110"/>
      <c r="J4392" s="117">
        <f>((('Mano Obra'!$M$6/30)*F4392)/D4392)*G4360</f>
        <v>0</v>
      </c>
    </row>
    <row r="4393" spans="1:15">
      <c r="A4393" s="512" t="s">
        <v>4100</v>
      </c>
      <c r="B4393" s="512"/>
      <c r="C4393" s="512"/>
      <c r="D4393" s="512"/>
      <c r="E4393" s="512"/>
      <c r="F4393" s="512"/>
      <c r="G4393" s="512"/>
      <c r="H4393" s="95">
        <f>SUM(F4390:F4392)</f>
        <v>48167.654399999999</v>
      </c>
      <c r="J4393" s="117"/>
    </row>
    <row r="4394" spans="1:15">
      <c r="A4394" s="208" t="s">
        <v>4226</v>
      </c>
      <c r="B4394" s="186"/>
      <c r="C4394" s="186"/>
      <c r="D4394" s="183"/>
      <c r="E4394" s="184"/>
      <c r="F4394" s="185"/>
      <c r="G4394" s="184"/>
      <c r="H4394" s="193"/>
    </row>
    <row r="4395" spans="1:15">
      <c r="A4395" s="513" t="s">
        <v>4213</v>
      </c>
      <c r="B4395" s="514"/>
      <c r="C4395" s="514"/>
      <c r="D4395" s="514"/>
      <c r="E4395" s="181"/>
      <c r="F4395" s="182" t="s">
        <v>4227</v>
      </c>
      <c r="G4395" s="181" t="s">
        <v>4228</v>
      </c>
      <c r="H4395" s="194"/>
    </row>
    <row r="4396" spans="1:15">
      <c r="A4396" s="204" t="s">
        <v>4096</v>
      </c>
      <c r="B4396" s="62"/>
      <c r="C4396" s="62"/>
      <c r="D4396" s="63"/>
      <c r="E4396" s="68"/>
      <c r="F4396" s="69">
        <v>0</v>
      </c>
      <c r="G4396" s="70" t="e">
        <f>F4396*H4361</f>
        <v>#VALUE!</v>
      </c>
      <c r="H4396" s="193"/>
    </row>
    <row r="4397" spans="1:15">
      <c r="A4397" s="205" t="s">
        <v>4229</v>
      </c>
      <c r="B4397" s="71"/>
      <c r="C4397" s="71"/>
      <c r="D4397" s="72"/>
      <c r="E4397" s="68"/>
      <c r="F4397" s="69">
        <v>0</v>
      </c>
      <c r="G4397" s="70" t="e">
        <f>F4397*H4361</f>
        <v>#VALUE!</v>
      </c>
      <c r="H4397" s="193"/>
    </row>
    <row r="4398" spans="1:15">
      <c r="A4398" s="205" t="s">
        <v>4</v>
      </c>
      <c r="B4398" s="71"/>
      <c r="C4398" s="71"/>
      <c r="D4398" s="72"/>
      <c r="E4398" s="68"/>
      <c r="F4398" s="69">
        <v>0</v>
      </c>
      <c r="G4398" s="70" t="e">
        <f>F4398*H4361</f>
        <v>#VALUE!</v>
      </c>
      <c r="H4398" s="193"/>
    </row>
    <row r="4399" spans="1:15">
      <c r="A4399" s="206"/>
      <c r="B4399" s="73"/>
      <c r="C4399" s="65"/>
      <c r="D4399" s="74"/>
      <c r="E4399" s="75"/>
      <c r="F4399" s="76"/>
      <c r="G4399" s="77"/>
      <c r="H4399" s="195"/>
    </row>
    <row r="4400" spans="1:15">
      <c r="A4400" s="207"/>
      <c r="B4400" s="73"/>
      <c r="C4400" s="73"/>
      <c r="D4400" s="74"/>
      <c r="E4400" s="78"/>
      <c r="F4400" s="515" t="s">
        <v>4230</v>
      </c>
      <c r="G4400" s="516"/>
      <c r="H4400" s="214" t="e">
        <f>H4361+G4396+G4397+G4398</f>
        <v>#VALUE!</v>
      </c>
    </row>
    <row r="4402" spans="1:14">
      <c r="A4402" s="80"/>
      <c r="B4402" s="80"/>
      <c r="C4402" s="80"/>
      <c r="D4402" s="80"/>
      <c r="E4402" s="80"/>
      <c r="F4402" s="80"/>
      <c r="G4402" s="80"/>
      <c r="H4402" s="353"/>
    </row>
    <row r="4403" spans="1:14">
      <c r="A4403" s="537" t="s">
        <v>4214</v>
      </c>
      <c r="B4403" s="538"/>
      <c r="C4403" s="538"/>
      <c r="D4403" s="538"/>
      <c r="E4403" s="538"/>
      <c r="F4403" s="538"/>
      <c r="G4403" s="538"/>
      <c r="H4403" s="539"/>
    </row>
    <row r="4404" spans="1:14">
      <c r="A4404" s="81"/>
      <c r="B4404" s="82"/>
      <c r="C4404" s="82"/>
      <c r="D4404" s="82"/>
      <c r="E4404" s="82"/>
      <c r="F4404" s="83"/>
      <c r="G4404" s="84"/>
      <c r="H4404" s="352">
        <f>ROUND((70/60)/8,4)</f>
        <v>0.14580000000000001</v>
      </c>
      <c r="I4404" s="105"/>
    </row>
    <row r="4405" spans="1:14">
      <c r="A4405" s="540" t="s">
        <v>4209</v>
      </c>
      <c r="B4405" s="542" t="str">
        <f>COSTOS!$C$14</f>
        <v>MODERNIZACION A TECNOLOGIA LED</v>
      </c>
      <c r="C4405" s="542"/>
      <c r="D4405" s="542"/>
      <c r="E4405" s="542"/>
      <c r="F4405" s="542"/>
      <c r="G4405" s="542"/>
      <c r="H4405" s="543" t="s">
        <v>4210</v>
      </c>
    </row>
    <row r="4406" spans="1:14">
      <c r="A4406" s="541"/>
      <c r="B4406" s="542"/>
      <c r="C4406" s="542"/>
      <c r="D4406" s="542"/>
      <c r="E4406" s="542"/>
      <c r="F4406" s="542"/>
      <c r="G4406" s="542"/>
      <c r="H4406" s="543"/>
    </row>
    <row r="4407" spans="1:14">
      <c r="A4407" s="541"/>
      <c r="B4407" s="542"/>
      <c r="C4407" s="542"/>
      <c r="D4407" s="542"/>
      <c r="E4407" s="542"/>
      <c r="F4407" s="542"/>
      <c r="G4407" s="542"/>
      <c r="H4407" s="543"/>
    </row>
    <row r="4408" spans="1:14" ht="15" customHeight="1">
      <c r="A4408" s="541"/>
      <c r="B4408" s="542"/>
      <c r="C4408" s="542"/>
      <c r="D4408" s="542"/>
      <c r="E4408" s="542"/>
      <c r="F4408" s="542"/>
      <c r="G4408" s="542"/>
      <c r="H4408" s="197">
        <f ca="1">TODAY()</f>
        <v>44889</v>
      </c>
      <c r="K4408" t="s">
        <v>4380</v>
      </c>
      <c r="L4408" t="s">
        <v>4381</v>
      </c>
      <c r="M4408" t="s">
        <v>4382</v>
      </c>
      <c r="N4408" t="s">
        <v>4383</v>
      </c>
    </row>
    <row r="4409" spans="1:14" ht="60.75" customHeight="1">
      <c r="A4409" s="209" t="s">
        <v>4211</v>
      </c>
      <c r="B4409" s="544" t="str">
        <f>COSTOS!$D$16</f>
        <v>Luminarias</v>
      </c>
      <c r="C4409" s="544"/>
      <c r="D4409" s="544"/>
      <c r="E4409" s="544"/>
      <c r="F4409" s="544"/>
      <c r="G4409" s="60" t="s">
        <v>4212</v>
      </c>
      <c r="H4409" s="359">
        <v>2.4</v>
      </c>
      <c r="K4409" s="55" t="e">
        <f>H4434</f>
        <v>#VALUE!</v>
      </c>
      <c r="L4409" s="55">
        <f>H4444</f>
        <v>48167.654399999999</v>
      </c>
      <c r="M4409" s="55" t="e">
        <f>H4417</f>
        <v>#VALUE!</v>
      </c>
      <c r="N4409" s="55" t="e">
        <f>H4438</f>
        <v>#VALUE!</v>
      </c>
    </row>
    <row r="4410" spans="1:14" ht="43.2" customHeight="1">
      <c r="A4410" s="210" t="s">
        <v>4213</v>
      </c>
      <c r="B4410" s="545" t="str">
        <f>VLOOKUP(H4409,COSTOS!C:M,2,0)</f>
        <v>Poste de concreto 8mx350kgf</v>
      </c>
      <c r="C4410" s="546"/>
      <c r="D4410" s="546"/>
      <c r="E4410" s="547"/>
      <c r="F4410" s="61" t="s">
        <v>0</v>
      </c>
      <c r="G4410" s="328" t="str">
        <f>VLOOKUP(H4409,COSTOS!C:M,8,0)</f>
        <v>Und</v>
      </c>
      <c r="H4410" s="248"/>
      <c r="I4410" s="278"/>
      <c r="J4410" s="280"/>
      <c r="K4410" s="280"/>
      <c r="L4410" s="280"/>
    </row>
    <row r="4411" spans="1:14">
      <c r="A4411" s="211"/>
      <c r="B4411" s="102"/>
      <c r="C4411" s="102"/>
      <c r="D4411" s="102"/>
      <c r="E4411" s="103"/>
      <c r="F4411" s="104" t="s">
        <v>1</v>
      </c>
      <c r="G4411" s="328">
        <f>VLOOKUP(H4409,COSTOS!C:M,9,0)</f>
        <v>0</v>
      </c>
      <c r="H4411" s="329"/>
      <c r="I4411" s="279"/>
    </row>
    <row r="4412" spans="1:14">
      <c r="A4412" s="212" t="s">
        <v>4215</v>
      </c>
      <c r="B4412" s="65"/>
      <c r="C4412" s="65"/>
      <c r="D4412" s="66"/>
      <c r="E4412" s="190"/>
      <c r="F4412" s="191"/>
      <c r="G4412" s="192" t="s">
        <v>4216</v>
      </c>
      <c r="H4412" s="198" t="e">
        <f>H4417+H4434+H4438+H4444</f>
        <v>#VALUE!</v>
      </c>
    </row>
    <row r="4413" spans="1:14" ht="41.4">
      <c r="A4413" s="548" t="s">
        <v>4213</v>
      </c>
      <c r="B4413" s="548"/>
      <c r="C4413" s="548"/>
      <c r="D4413" s="67" t="s">
        <v>0</v>
      </c>
      <c r="E4413" s="188" t="s">
        <v>4217</v>
      </c>
      <c r="F4413" s="189" t="s">
        <v>4204</v>
      </c>
      <c r="G4413" s="64" t="s">
        <v>2</v>
      </c>
      <c r="H4413" s="199" t="s">
        <v>4218</v>
      </c>
      <c r="K4413" s="281"/>
    </row>
    <row r="4414" spans="1:14">
      <c r="A4414" s="517" t="s">
        <v>3946</v>
      </c>
      <c r="B4414" s="549">
        <f>VLOOKUP(A4414,'Equip, Herr y Transp'!$B$2:$E$738,2,0)</f>
        <v>2</v>
      </c>
      <c r="C4414" s="549"/>
      <c r="D4414" s="85">
        <f>VLOOKUP(A4414,'Equip, Herr y Transp'!$B$2:$E$217,2,0)</f>
        <v>2</v>
      </c>
      <c r="E4414" s="85" t="str">
        <f>VLOOKUP(A4414,'Equip, Herr y Transp'!$B$2:$E$217,3,0)</f>
        <v>EQU</v>
      </c>
      <c r="F4414" s="86">
        <f>H4404</f>
        <v>0.14580000000000001</v>
      </c>
      <c r="G4414" s="112" t="e">
        <f>F4414*E4414</f>
        <v>#VALUE!</v>
      </c>
      <c r="H4414" s="108"/>
    </row>
    <row r="4415" spans="1:14">
      <c r="A4415" s="517" t="s">
        <v>3894</v>
      </c>
      <c r="B4415" s="549">
        <f>VLOOKUP(A4415,'Equip, Herr y Transp'!$B$2:$E$738,2,0)</f>
        <v>4</v>
      </c>
      <c r="C4415" s="549"/>
      <c r="D4415" s="85">
        <f>VLOOKUP(A4415,'Equip, Herr y Transp'!$B$2:$E$217,2,0)</f>
        <v>4</v>
      </c>
      <c r="E4415" s="85" t="str">
        <f>VLOOKUP(A4415,'Equip, Herr y Transp'!$B$2:$E$217,3,0)</f>
        <v>TR</v>
      </c>
      <c r="F4415" s="86">
        <f>H4404</f>
        <v>0.14580000000000001</v>
      </c>
      <c r="G4415" s="112" t="e">
        <f>F4415*E4415</f>
        <v>#VALUE!</v>
      </c>
      <c r="H4415" s="107"/>
    </row>
    <row r="4416" spans="1:14">
      <c r="A4416" s="517" t="s">
        <v>8</v>
      </c>
      <c r="B4416" s="549" t="e">
        <f>VLOOKUP(A4416,'Equip, Herr y Transp'!$B$2:$E$738,2,0)</f>
        <v>#N/A</v>
      </c>
      <c r="C4416" s="549"/>
      <c r="D4416" s="85" t="e">
        <f>VLOOKUP(A4416,'Equip, Herr y Transp'!$B$2:$E$217,2,0)</f>
        <v>#N/A</v>
      </c>
      <c r="E4416" s="85" t="e">
        <f>VLOOKUP(A4416,'Equip, Herr y Transp'!$B$2:$E$217,3,0)</f>
        <v>#N/A</v>
      </c>
      <c r="F4416" s="86"/>
      <c r="G4416" s="112" t="e">
        <f>F4416*E4416</f>
        <v>#N/A</v>
      </c>
      <c r="H4416" s="107"/>
    </row>
    <row r="4417" spans="1:15">
      <c r="A4417" s="520" t="s">
        <v>4099</v>
      </c>
      <c r="B4417" s="521"/>
      <c r="C4417" s="521"/>
      <c r="D4417" s="521"/>
      <c r="E4417" s="521"/>
      <c r="F4417" s="521"/>
      <c r="G4417" s="521"/>
      <c r="H4417" s="87" t="e">
        <f>SUM(G4414:G4416)</f>
        <v>#VALUE!</v>
      </c>
    </row>
    <row r="4418" spans="1:15">
      <c r="A4418" s="550" t="s">
        <v>4219</v>
      </c>
      <c r="B4418" s="551"/>
      <c r="C4418" s="551"/>
      <c r="D4418" s="551"/>
      <c r="E4418" s="551"/>
      <c r="F4418" s="551"/>
      <c r="G4418" s="551"/>
      <c r="H4418" s="552"/>
      <c r="K4418" s="50"/>
      <c r="L4418" s="50"/>
      <c r="M4418" s="50"/>
      <c r="N4418" s="50"/>
      <c r="O4418" s="50"/>
    </row>
    <row r="4419" spans="1:15" ht="30" customHeight="1">
      <c r="A4419" s="553" t="s">
        <v>7</v>
      </c>
      <c r="B4419" s="554"/>
      <c r="C4419" s="99" t="s">
        <v>0</v>
      </c>
      <c r="D4419" s="100" t="s">
        <v>4097</v>
      </c>
      <c r="E4419" s="101" t="s">
        <v>1</v>
      </c>
      <c r="F4419" s="555" t="s">
        <v>4207</v>
      </c>
      <c r="G4419" s="555"/>
      <c r="H4419" s="196"/>
      <c r="K4419" s="50"/>
      <c r="L4419" s="50"/>
      <c r="M4419" s="50"/>
      <c r="N4419" s="50"/>
      <c r="O4419" s="50"/>
    </row>
    <row r="4420" spans="1:15">
      <c r="A4420" s="535" t="s">
        <v>4618</v>
      </c>
      <c r="B4420" s="536"/>
      <c r="C4420" s="88">
        <f>VLOOKUP(A4420,'Materiales '!$C$2:$G$396,3,0)</f>
        <v>4</v>
      </c>
      <c r="D4420" s="89" t="str">
        <f>VLOOKUP(A4420,'Materiales '!$C$2:$G$396,4,0)</f>
        <v>Und</v>
      </c>
      <c r="E4420" s="90">
        <v>1</v>
      </c>
      <c r="F4420" s="508" t="e">
        <f>E4420*D4420</f>
        <v>#VALUE!</v>
      </c>
      <c r="G4420" s="519"/>
      <c r="H4420" s="111"/>
      <c r="I4420">
        <f>E4420*G4411</f>
        <v>0</v>
      </c>
      <c r="J4420" s="57"/>
      <c r="K4420" s="50"/>
      <c r="L4420" s="50"/>
      <c r="M4420" s="50"/>
      <c r="N4420" s="50"/>
      <c r="O4420" s="50"/>
    </row>
    <row r="4421" spans="1:15">
      <c r="A4421" s="535" t="s">
        <v>4617</v>
      </c>
      <c r="B4421" s="536"/>
      <c r="C4421" s="88">
        <f>VLOOKUP(A4421,'Materiales '!$C$2:$G$396,3,0)</f>
        <v>3</v>
      </c>
      <c r="D4421" s="89" t="str">
        <f>VLOOKUP(A4421,'Materiales '!$C$2:$G$396,4,0)</f>
        <v>Rollo</v>
      </c>
      <c r="E4421" s="90">
        <v>0.5</v>
      </c>
      <c r="F4421" s="508" t="e">
        <f t="shared" ref="F4421:F4427" si="259">E4421*D4421</f>
        <v>#VALUE!</v>
      </c>
      <c r="G4421" s="519"/>
      <c r="H4421" s="111"/>
      <c r="I4421">
        <f>E4421*G4411</f>
        <v>0</v>
      </c>
      <c r="J4421" s="57"/>
      <c r="K4421" s="50"/>
      <c r="L4421" s="50"/>
      <c r="M4421" s="50"/>
      <c r="N4421" s="50"/>
      <c r="O4421" s="50"/>
    </row>
    <row r="4422" spans="1:15">
      <c r="A4422" s="517" t="s">
        <v>8</v>
      </c>
      <c r="B4422" s="518">
        <f>VLOOKUP(A4422,'Materiales '!$C$2:$G$396,3,0)</f>
        <v>0</v>
      </c>
      <c r="C4422" s="88">
        <f>VLOOKUP(A4422,'Materiales '!$C$2:$G$396,3,0)</f>
        <v>0</v>
      </c>
      <c r="D4422" s="89" t="str">
        <f>VLOOKUP(A4422,'Materiales '!$C$2:$G$396,4,0)</f>
        <v>-</v>
      </c>
      <c r="E4422" s="90">
        <v>1</v>
      </c>
      <c r="F4422" s="508" t="e">
        <f t="shared" si="259"/>
        <v>#VALUE!</v>
      </c>
      <c r="G4422" s="519"/>
      <c r="H4422" s="111"/>
      <c r="I4422">
        <f>E4422*G4411</f>
        <v>0</v>
      </c>
      <c r="J4422" s="58"/>
      <c r="K4422" s="50"/>
      <c r="L4422" s="50"/>
      <c r="M4422" s="50"/>
      <c r="N4422" s="50"/>
      <c r="O4422" s="50"/>
    </row>
    <row r="4423" spans="1:15">
      <c r="A4423" s="517" t="s">
        <v>8</v>
      </c>
      <c r="B4423" s="518">
        <f>VLOOKUP(A4423,'Materiales '!$C$2:$G$396,3,0)</f>
        <v>0</v>
      </c>
      <c r="C4423" s="88">
        <f>VLOOKUP(A4423,'Materiales '!$C$2:$G$396,3,0)</f>
        <v>0</v>
      </c>
      <c r="D4423" s="89" t="str">
        <f>VLOOKUP(A4423,'Materiales '!$C$2:$G$396,4,0)</f>
        <v>-</v>
      </c>
      <c r="E4423" s="90">
        <v>3</v>
      </c>
      <c r="F4423" s="508" t="e">
        <f t="shared" si="259"/>
        <v>#VALUE!</v>
      </c>
      <c r="G4423" s="519"/>
      <c r="H4423" s="111"/>
      <c r="I4423">
        <f>E4423*G4411</f>
        <v>0</v>
      </c>
      <c r="J4423" s="58"/>
      <c r="K4423" s="50"/>
      <c r="L4423" s="50"/>
      <c r="M4423" s="50"/>
      <c r="N4423" s="50"/>
      <c r="O4423" s="50"/>
    </row>
    <row r="4424" spans="1:15">
      <c r="A4424" s="517" t="s">
        <v>8</v>
      </c>
      <c r="B4424" s="518">
        <f>VLOOKUP(A4424,'Materiales '!$C$2:$G$396,3,0)</f>
        <v>0</v>
      </c>
      <c r="C4424" s="88">
        <f>VLOOKUP(A4424,'Materiales '!$C$2:$G$396,3,0)</f>
        <v>0</v>
      </c>
      <c r="D4424" s="89" t="str">
        <f>VLOOKUP(A4424,'Materiales '!$C$2:$G$396,4,0)</f>
        <v>-</v>
      </c>
      <c r="E4424" s="90">
        <v>2</v>
      </c>
      <c r="F4424" s="508" t="e">
        <f t="shared" si="259"/>
        <v>#VALUE!</v>
      </c>
      <c r="G4424" s="519"/>
      <c r="H4424" s="111"/>
      <c r="I4424">
        <f>E4424*G4411</f>
        <v>0</v>
      </c>
      <c r="J4424" s="58"/>
      <c r="K4424" s="50"/>
      <c r="L4424" s="50"/>
      <c r="M4424" s="50"/>
      <c r="N4424" s="50"/>
      <c r="O4424" s="50"/>
    </row>
    <row r="4425" spans="1:15">
      <c r="A4425" s="517" t="s">
        <v>8</v>
      </c>
      <c r="B4425" s="518">
        <f>VLOOKUP(A4425,'Materiales '!$C$2:$G$396,3,0)</f>
        <v>0</v>
      </c>
      <c r="C4425" s="88">
        <f>VLOOKUP(A4425,'Materiales '!$C$2:$G$396,3,0)</f>
        <v>0</v>
      </c>
      <c r="D4425" s="89" t="str">
        <f>VLOOKUP(A4425,'Materiales '!$C$2:$G$396,4,0)</f>
        <v>-</v>
      </c>
      <c r="E4425" s="90">
        <v>8</v>
      </c>
      <c r="F4425" s="508" t="e">
        <f t="shared" si="259"/>
        <v>#VALUE!</v>
      </c>
      <c r="G4425" s="519"/>
      <c r="H4425" s="111"/>
      <c r="I4425">
        <f>E4425*G4411</f>
        <v>0</v>
      </c>
      <c r="J4425" s="58"/>
      <c r="K4425" s="50"/>
      <c r="L4425" s="50"/>
      <c r="M4425" s="50"/>
      <c r="N4425" s="50"/>
      <c r="O4425" s="50"/>
    </row>
    <row r="4426" spans="1:15">
      <c r="A4426" s="517" t="s">
        <v>8</v>
      </c>
      <c r="B4426" s="518">
        <f>VLOOKUP(A4426,'Materiales '!$C$2:$G$396,3,0)</f>
        <v>0</v>
      </c>
      <c r="C4426" s="88">
        <f>VLOOKUP(A4426,'Materiales '!$C$2:$G$396,3,0)</f>
        <v>0</v>
      </c>
      <c r="D4426" s="89" t="str">
        <f>VLOOKUP(A4426,'Materiales '!$C$2:$G$396,4,0)</f>
        <v>-</v>
      </c>
      <c r="E4426" s="90">
        <v>3</v>
      </c>
      <c r="F4426" s="508" t="e">
        <f t="shared" si="259"/>
        <v>#VALUE!</v>
      </c>
      <c r="G4426" s="519"/>
      <c r="H4426" s="111"/>
      <c r="I4426">
        <f>E4426*G4411</f>
        <v>0</v>
      </c>
      <c r="J4426" s="58"/>
      <c r="K4426" s="50"/>
      <c r="L4426" s="50"/>
      <c r="M4426" s="50"/>
      <c r="N4426" s="50"/>
      <c r="O4426" s="50"/>
    </row>
    <row r="4427" spans="1:15" ht="21.75" customHeight="1">
      <c r="A4427" s="517" t="s">
        <v>8</v>
      </c>
      <c r="B4427" s="518">
        <f>VLOOKUP(A4427,'Materiales '!$C$2:$G$396,3,0)</f>
        <v>0</v>
      </c>
      <c r="C4427" s="88">
        <f>VLOOKUP(A4427,'Materiales '!$C$2:$G$396,3,0)</f>
        <v>0</v>
      </c>
      <c r="D4427" s="89" t="str">
        <f>VLOOKUP(A4427,'Materiales '!$C$2:$G$396,4,0)</f>
        <v>-</v>
      </c>
      <c r="E4427" s="90">
        <v>0.5</v>
      </c>
      <c r="F4427" s="508" t="e">
        <f t="shared" si="259"/>
        <v>#VALUE!</v>
      </c>
      <c r="G4427" s="519"/>
      <c r="H4427" s="111"/>
      <c r="I4427">
        <f>E4427*G4411</f>
        <v>0</v>
      </c>
      <c r="J4427" s="58"/>
      <c r="K4427" s="50"/>
      <c r="L4427" s="50"/>
      <c r="M4427" s="50"/>
      <c r="N4427" s="50"/>
      <c r="O4427" s="50"/>
    </row>
    <row r="4428" spans="1:15">
      <c r="A4428" s="517" t="s">
        <v>8</v>
      </c>
      <c r="B4428" s="518">
        <f>VLOOKUP(A4428,'Materiales '!$C$2:$G$396,3,0)</f>
        <v>0</v>
      </c>
      <c r="C4428" s="88">
        <f>VLOOKUP(A4428,'Materiales '!$C$2:$G$396,3,0)</f>
        <v>0</v>
      </c>
      <c r="D4428" s="89" t="str">
        <f>VLOOKUP(A4428,'Materiales '!$C$2:$G$396,4,0)</f>
        <v>-</v>
      </c>
      <c r="E4428" s="90"/>
      <c r="F4428" s="508" t="e">
        <f>E4428*D4428</f>
        <v>#VALUE!</v>
      </c>
      <c r="G4428" s="519"/>
      <c r="H4428" s="110"/>
      <c r="I4428">
        <f>E4428*G4411</f>
        <v>0</v>
      </c>
      <c r="J4428" s="58"/>
      <c r="K4428" s="50"/>
      <c r="L4428" s="50"/>
      <c r="M4428" s="50"/>
      <c r="N4428" s="50"/>
      <c r="O4428" s="50"/>
    </row>
    <row r="4429" spans="1:15">
      <c r="A4429" s="517" t="s">
        <v>8</v>
      </c>
      <c r="B4429" s="518">
        <f>VLOOKUP(A4429,'Materiales '!$C$2:$G$396,3,0)</f>
        <v>0</v>
      </c>
      <c r="C4429" s="88">
        <f>VLOOKUP(A4429,'Materiales '!$C$2:$G$396,3,0)</f>
        <v>0</v>
      </c>
      <c r="D4429" s="89" t="str">
        <f>VLOOKUP(A4429,'Materiales '!$C$2:$G$396,4,0)</f>
        <v>-</v>
      </c>
      <c r="E4429" s="90"/>
      <c r="F4429" s="508" t="e">
        <f t="shared" ref="F4429:F4432" si="260">E4429*D4429</f>
        <v>#VALUE!</v>
      </c>
      <c r="G4429" s="519"/>
      <c r="H4429" s="111"/>
      <c r="I4429">
        <f>E4429*G4411</f>
        <v>0</v>
      </c>
      <c r="J4429" s="58"/>
      <c r="K4429" s="50"/>
      <c r="L4429" s="50"/>
      <c r="M4429" s="50"/>
      <c r="N4429" s="50"/>
      <c r="O4429" s="50"/>
    </row>
    <row r="4430" spans="1:15">
      <c r="A4430" s="517" t="s">
        <v>8</v>
      </c>
      <c r="B4430" s="518">
        <f>VLOOKUP(A4430,'Materiales '!$C$2:$G$396,3,0)</f>
        <v>0</v>
      </c>
      <c r="C4430" s="88">
        <f>VLOOKUP(A4430,'Materiales '!$C$2:$G$396,3,0)</f>
        <v>0</v>
      </c>
      <c r="D4430" s="89" t="str">
        <f>VLOOKUP(A4430,'Materiales '!$C$2:$G$396,4,0)</f>
        <v>-</v>
      </c>
      <c r="E4430" s="90"/>
      <c r="F4430" s="508" t="e">
        <f t="shared" si="260"/>
        <v>#VALUE!</v>
      </c>
      <c r="G4430" s="519"/>
      <c r="H4430" s="111"/>
      <c r="I4430">
        <f>E4430*G4411</f>
        <v>0</v>
      </c>
      <c r="J4430" s="58"/>
      <c r="K4430" s="50"/>
      <c r="L4430" s="50"/>
      <c r="M4430" s="50"/>
      <c r="N4430" s="50"/>
      <c r="O4430" s="50"/>
    </row>
    <row r="4431" spans="1:15">
      <c r="A4431" s="517" t="s">
        <v>8</v>
      </c>
      <c r="B4431" s="518">
        <f>VLOOKUP(A4431,'Materiales '!$C$2:$G$396,3,0)</f>
        <v>0</v>
      </c>
      <c r="C4431" s="88">
        <f>VLOOKUP(A4431,'Materiales '!$C$2:$G$396,3,0)</f>
        <v>0</v>
      </c>
      <c r="D4431" s="89" t="str">
        <f>VLOOKUP(A4431,'Materiales '!$C$2:$G$396,4,0)</f>
        <v>-</v>
      </c>
      <c r="E4431" s="90"/>
      <c r="F4431" s="508" t="e">
        <f t="shared" si="260"/>
        <v>#VALUE!</v>
      </c>
      <c r="G4431" s="519"/>
      <c r="H4431" s="111"/>
      <c r="I4431">
        <f>E4431*G4411</f>
        <v>0</v>
      </c>
      <c r="J4431" s="58"/>
      <c r="K4431" s="50"/>
      <c r="L4431" s="50"/>
      <c r="M4431" s="50"/>
      <c r="N4431" s="50"/>
      <c r="O4431" s="50"/>
    </row>
    <row r="4432" spans="1:15">
      <c r="A4432" s="517" t="s">
        <v>8</v>
      </c>
      <c r="B4432" s="518">
        <f>VLOOKUP(A4432,'Materiales '!$C$2:$G$396,3,0)</f>
        <v>0</v>
      </c>
      <c r="C4432" s="88">
        <f>VLOOKUP(A4432,'Materiales '!$C$2:$G$396,3,0)</f>
        <v>0</v>
      </c>
      <c r="D4432" s="89" t="str">
        <f>VLOOKUP(A4432,'Materiales '!$C$2:$G$396,4,0)</f>
        <v>-</v>
      </c>
      <c r="E4432" s="90"/>
      <c r="F4432" s="508" t="e">
        <f t="shared" si="260"/>
        <v>#VALUE!</v>
      </c>
      <c r="G4432" s="519"/>
      <c r="H4432" s="111"/>
      <c r="I4432">
        <f>E4432*G4411</f>
        <v>0</v>
      </c>
      <c r="J4432" s="58"/>
      <c r="K4432" s="50"/>
      <c r="L4432" s="50"/>
      <c r="M4432" s="50"/>
      <c r="N4432" s="50"/>
      <c r="O4432" s="50"/>
    </row>
    <row r="4433" spans="1:15">
      <c r="A4433" s="517" t="s">
        <v>8</v>
      </c>
      <c r="B4433" s="518">
        <f>VLOOKUP(A4433,'Materiales '!$C$2:$G$396,3,0)</f>
        <v>0</v>
      </c>
      <c r="C4433" s="88">
        <f>VLOOKUP(A4433,'Materiales '!$C$2:$G$396,3,0)</f>
        <v>0</v>
      </c>
      <c r="D4433" s="89" t="str">
        <f>VLOOKUP(A4433,'Materiales '!$C$2:$G$396,4,0)</f>
        <v>-</v>
      </c>
      <c r="E4433" s="90"/>
      <c r="F4433" s="508" t="e">
        <f>E4433*D4433</f>
        <v>#VALUE!</v>
      </c>
      <c r="G4433" s="519"/>
      <c r="H4433" s="110"/>
      <c r="I4433">
        <f>E4433*G4411</f>
        <v>0</v>
      </c>
      <c r="J4433" s="58"/>
      <c r="K4433" s="50"/>
      <c r="L4433" s="50"/>
      <c r="M4433" s="50"/>
      <c r="N4433" s="50"/>
      <c r="O4433" s="50"/>
    </row>
    <row r="4434" spans="1:15">
      <c r="A4434" s="520" t="s">
        <v>4098</v>
      </c>
      <c r="B4434" s="521"/>
      <c r="C4434" s="521"/>
      <c r="D4434" s="521"/>
      <c r="E4434" s="521"/>
      <c r="F4434" s="521"/>
      <c r="G4434" s="522"/>
      <c r="H4434" s="106" t="e">
        <f>SUM(F4420:F4433)</f>
        <v>#VALUE!</v>
      </c>
      <c r="J4434" s="58"/>
      <c r="K4434" s="50"/>
      <c r="L4434" s="50"/>
      <c r="M4434" s="50"/>
      <c r="N4434" s="50"/>
      <c r="O4434" s="50"/>
    </row>
    <row r="4435" spans="1:15">
      <c r="A4435" s="523" t="s">
        <v>4220</v>
      </c>
      <c r="B4435" s="524"/>
      <c r="C4435" s="524"/>
      <c r="D4435" s="524"/>
      <c r="E4435" s="525"/>
      <c r="F4435" s="524"/>
      <c r="G4435" s="524"/>
      <c r="H4435" s="526"/>
      <c r="J4435" s="58"/>
      <c r="K4435" s="50"/>
      <c r="L4435" s="50"/>
      <c r="M4435" s="50"/>
      <c r="N4435" s="50"/>
      <c r="O4435" s="50"/>
    </row>
    <row r="4436" spans="1:15">
      <c r="A4436" s="527" t="s">
        <v>7</v>
      </c>
      <c r="B4436" s="528"/>
      <c r="C4436" s="98" t="s">
        <v>4221</v>
      </c>
      <c r="D4436" s="97" t="s">
        <v>4222</v>
      </c>
      <c r="E4436" s="187" t="s">
        <v>4223</v>
      </c>
      <c r="F4436" s="529" t="s">
        <v>4207</v>
      </c>
      <c r="G4436" s="529"/>
      <c r="H4436" s="109"/>
      <c r="K4436" s="50"/>
      <c r="L4436" s="50"/>
      <c r="M4436" s="50"/>
      <c r="N4436" s="50"/>
      <c r="O4436" s="50"/>
    </row>
    <row r="4437" spans="1:15">
      <c r="A4437" s="506" t="s">
        <v>3928</v>
      </c>
      <c r="B4437" s="507"/>
      <c r="C4437" s="213">
        <v>1</v>
      </c>
      <c r="D4437" s="92">
        <v>0.03</v>
      </c>
      <c r="E4437" s="93" t="str">
        <f>VLOOKUP(A4437,'Equip, Herr y Transp'!$B$2:$E$217,3,0)</f>
        <v>TR</v>
      </c>
      <c r="F4437" s="530" t="e">
        <f>E4437*D4437*C4437</f>
        <v>#VALUE!</v>
      </c>
      <c r="G4437" s="531"/>
      <c r="H4437" s="107"/>
      <c r="M4437" s="50"/>
    </row>
    <row r="4438" spans="1:15">
      <c r="A4438" s="532" t="s">
        <v>4205</v>
      </c>
      <c r="B4438" s="533"/>
      <c r="C4438" s="533"/>
      <c r="D4438" s="533"/>
      <c r="E4438" s="533"/>
      <c r="F4438" s="533"/>
      <c r="G4438" s="533"/>
      <c r="H4438" s="95" t="e">
        <f>F4437</f>
        <v>#VALUE!</v>
      </c>
    </row>
    <row r="4439" spans="1:15">
      <c r="A4439" s="523" t="s">
        <v>4224</v>
      </c>
      <c r="B4439" s="524"/>
      <c r="C4439" s="524"/>
      <c r="D4439" s="524"/>
      <c r="E4439" s="524"/>
      <c r="F4439" s="524"/>
      <c r="G4439" s="524"/>
      <c r="H4439" s="526"/>
    </row>
    <row r="4440" spans="1:15">
      <c r="A4440" s="527" t="s">
        <v>7</v>
      </c>
      <c r="B4440" s="528"/>
      <c r="C4440" s="96" t="s">
        <v>1</v>
      </c>
      <c r="D4440" s="97" t="s">
        <v>4225</v>
      </c>
      <c r="E4440" s="98" t="s">
        <v>4204</v>
      </c>
      <c r="F4440" s="527" t="s">
        <v>5</v>
      </c>
      <c r="G4440" s="534"/>
      <c r="H4440" s="109"/>
    </row>
    <row r="4441" spans="1:15">
      <c r="A4441" s="506" t="s">
        <v>4191</v>
      </c>
      <c r="B4441" s="507"/>
      <c r="C4441" s="91">
        <v>1</v>
      </c>
      <c r="D4441" s="94">
        <f>VLOOKUP(A4441,'Mano Obra'!$B$2:$T$117,19,0)</f>
        <v>152456</v>
      </c>
      <c r="E4441" s="218">
        <f>H4404</f>
        <v>0.14580000000000001</v>
      </c>
      <c r="F4441" s="508">
        <f>E4441*D4441*C4441</f>
        <v>22228.084800000001</v>
      </c>
      <c r="G4441" s="509"/>
      <c r="H4441" s="111"/>
      <c r="I4441" s="59"/>
      <c r="J4441" s="117">
        <f>((('Mano Obra'!$M$4/30)*F4441)/D4441)*G4411</f>
        <v>0</v>
      </c>
    </row>
    <row r="4442" spans="1:15">
      <c r="A4442" s="510" t="s">
        <v>4192</v>
      </c>
      <c r="B4442" s="511">
        <f>VLOOKUP(A4442,'Mano Obra'!$B$3:$D$290,2,0)</f>
        <v>1900000</v>
      </c>
      <c r="C4442" s="91">
        <v>1</v>
      </c>
      <c r="D4442" s="94">
        <f>VLOOKUP(A4442,'Mano Obra'!$B$2:$T$117,19,0)</f>
        <v>110488</v>
      </c>
      <c r="E4442" s="218">
        <f>H4404</f>
        <v>0.14580000000000001</v>
      </c>
      <c r="F4442" s="508">
        <f t="shared" ref="F4442:F4443" si="261">E4442*D4442*C4442</f>
        <v>16109.150400000002</v>
      </c>
      <c r="G4442" s="509"/>
      <c r="H4442" s="111"/>
      <c r="J4442" s="117">
        <f>((('Mano Obra'!$M$5/30)*F4442)/D4442)*G4411</f>
        <v>0</v>
      </c>
    </row>
    <row r="4443" spans="1:15">
      <c r="A4443" s="510" t="s">
        <v>4181</v>
      </c>
      <c r="B4443" s="511">
        <f>VLOOKUP(A4443,'Mano Obra'!$B$3:$D$290,2,0)</f>
        <v>1000000</v>
      </c>
      <c r="C4443" s="91">
        <v>1</v>
      </c>
      <c r="D4443" s="94">
        <f>VLOOKUP(A4443,'Mano Obra'!$B$2:$T$117,19,0)</f>
        <v>67424</v>
      </c>
      <c r="E4443" s="218">
        <f>H4404</f>
        <v>0.14580000000000001</v>
      </c>
      <c r="F4443" s="508">
        <f t="shared" si="261"/>
        <v>9830.4192000000003</v>
      </c>
      <c r="G4443" s="509"/>
      <c r="H4443" s="110"/>
      <c r="J4443" s="117">
        <f>((('Mano Obra'!$M$6/30)*F4443)/D4443)*G4411</f>
        <v>0</v>
      </c>
    </row>
    <row r="4444" spans="1:15">
      <c r="A4444" s="512" t="s">
        <v>4100</v>
      </c>
      <c r="B4444" s="512"/>
      <c r="C4444" s="512"/>
      <c r="D4444" s="512"/>
      <c r="E4444" s="512"/>
      <c r="F4444" s="512"/>
      <c r="G4444" s="512"/>
      <c r="H4444" s="95">
        <f>SUM(F4441:F4443)</f>
        <v>48167.654399999999</v>
      </c>
      <c r="J4444" s="117"/>
    </row>
    <row r="4445" spans="1:15">
      <c r="A4445" s="208" t="s">
        <v>4226</v>
      </c>
      <c r="B4445" s="186"/>
      <c r="C4445" s="186"/>
      <c r="D4445" s="183"/>
      <c r="E4445" s="184"/>
      <c r="F4445" s="185"/>
      <c r="G4445" s="184"/>
      <c r="H4445" s="193"/>
    </row>
    <row r="4446" spans="1:15">
      <c r="A4446" s="513" t="s">
        <v>4213</v>
      </c>
      <c r="B4446" s="514"/>
      <c r="C4446" s="514"/>
      <c r="D4446" s="514"/>
      <c r="E4446" s="181"/>
      <c r="F4446" s="182" t="s">
        <v>4227</v>
      </c>
      <c r="G4446" s="181" t="s">
        <v>4228</v>
      </c>
      <c r="H4446" s="194"/>
    </row>
    <row r="4447" spans="1:15">
      <c r="A4447" s="204" t="s">
        <v>4096</v>
      </c>
      <c r="B4447" s="62"/>
      <c r="C4447" s="62"/>
      <c r="D4447" s="63"/>
      <c r="E4447" s="68"/>
      <c r="F4447" s="69">
        <v>0</v>
      </c>
      <c r="G4447" s="70" t="e">
        <f>F4447*H4412</f>
        <v>#VALUE!</v>
      </c>
      <c r="H4447" s="193"/>
    </row>
    <row r="4448" spans="1:15">
      <c r="A4448" s="205" t="s">
        <v>4229</v>
      </c>
      <c r="B4448" s="71"/>
      <c r="C4448" s="71"/>
      <c r="D4448" s="72"/>
      <c r="E4448" s="68"/>
      <c r="F4448" s="69">
        <v>0</v>
      </c>
      <c r="G4448" s="70" t="e">
        <f>F4448*H4412</f>
        <v>#VALUE!</v>
      </c>
      <c r="H4448" s="193"/>
    </row>
    <row r="4449" spans="1:14">
      <c r="A4449" s="205" t="s">
        <v>4</v>
      </c>
      <c r="B4449" s="71"/>
      <c r="C4449" s="71"/>
      <c r="D4449" s="72"/>
      <c r="E4449" s="68"/>
      <c r="F4449" s="69">
        <v>0</v>
      </c>
      <c r="G4449" s="70" t="e">
        <f>F4449*H4412</f>
        <v>#VALUE!</v>
      </c>
      <c r="H4449" s="193"/>
    </row>
    <row r="4450" spans="1:14">
      <c r="A4450" s="206"/>
      <c r="B4450" s="73"/>
      <c r="C4450" s="65"/>
      <c r="D4450" s="74"/>
      <c r="E4450" s="75"/>
      <c r="F4450" s="76"/>
      <c r="G4450" s="77"/>
      <c r="H4450" s="195"/>
    </row>
    <row r="4451" spans="1:14">
      <c r="A4451" s="207"/>
      <c r="B4451" s="73"/>
      <c r="C4451" s="73"/>
      <c r="D4451" s="74"/>
      <c r="E4451" s="78"/>
      <c r="F4451" s="515" t="s">
        <v>4230</v>
      </c>
      <c r="G4451" s="516"/>
      <c r="H4451" s="214" t="e">
        <f>H4412+G4447+G4448+G4449</f>
        <v>#VALUE!</v>
      </c>
    </row>
    <row r="4453" spans="1:14">
      <c r="A4453" s="80"/>
      <c r="B4453" s="80"/>
      <c r="C4453" s="80"/>
      <c r="D4453" s="80"/>
      <c r="E4453" s="80"/>
      <c r="F4453" s="80"/>
      <c r="G4453" s="80"/>
      <c r="H4453" s="353"/>
    </row>
    <row r="4454" spans="1:14">
      <c r="A4454" s="537" t="s">
        <v>4214</v>
      </c>
      <c r="B4454" s="538"/>
      <c r="C4454" s="538"/>
      <c r="D4454" s="538"/>
      <c r="E4454" s="538"/>
      <c r="F4454" s="538"/>
      <c r="G4454" s="538"/>
      <c r="H4454" s="539"/>
    </row>
    <row r="4455" spans="1:14">
      <c r="A4455" s="81"/>
      <c r="B4455" s="82"/>
      <c r="C4455" s="82"/>
      <c r="D4455" s="82"/>
      <c r="E4455" s="82"/>
      <c r="F4455" s="83"/>
      <c r="G4455" s="84"/>
      <c r="H4455" s="352">
        <f>ROUND((70/60)/8,4)</f>
        <v>0.14580000000000001</v>
      </c>
      <c r="I4455" s="105"/>
    </row>
    <row r="4456" spans="1:14">
      <c r="A4456" s="540" t="s">
        <v>4209</v>
      </c>
      <c r="B4456" s="542" t="str">
        <f>COSTOS!$C$14</f>
        <v>MODERNIZACION A TECNOLOGIA LED</v>
      </c>
      <c r="C4456" s="542"/>
      <c r="D4456" s="542"/>
      <c r="E4456" s="542"/>
      <c r="F4456" s="542"/>
      <c r="G4456" s="542"/>
      <c r="H4456" s="543" t="s">
        <v>4210</v>
      </c>
    </row>
    <row r="4457" spans="1:14">
      <c r="A4457" s="541"/>
      <c r="B4457" s="542"/>
      <c r="C4457" s="542"/>
      <c r="D4457" s="542"/>
      <c r="E4457" s="542"/>
      <c r="F4457" s="542"/>
      <c r="G4457" s="542"/>
      <c r="H4457" s="543"/>
    </row>
    <row r="4458" spans="1:14">
      <c r="A4458" s="541"/>
      <c r="B4458" s="542"/>
      <c r="C4458" s="542"/>
      <c r="D4458" s="542"/>
      <c r="E4458" s="542"/>
      <c r="F4458" s="542"/>
      <c r="G4458" s="542"/>
      <c r="H4458" s="543"/>
    </row>
    <row r="4459" spans="1:14" ht="15" customHeight="1">
      <c r="A4459" s="541"/>
      <c r="B4459" s="542"/>
      <c r="C4459" s="542"/>
      <c r="D4459" s="542"/>
      <c r="E4459" s="542"/>
      <c r="F4459" s="542"/>
      <c r="G4459" s="542"/>
      <c r="H4459" s="197">
        <f ca="1">TODAY()</f>
        <v>44889</v>
      </c>
      <c r="K4459" t="s">
        <v>4380</v>
      </c>
      <c r="L4459" t="s">
        <v>4381</v>
      </c>
      <c r="M4459" t="s">
        <v>4382</v>
      </c>
      <c r="N4459" t="s">
        <v>4383</v>
      </c>
    </row>
    <row r="4460" spans="1:14" ht="60.75" customHeight="1">
      <c r="A4460" s="209" t="s">
        <v>4211</v>
      </c>
      <c r="B4460" s="544" t="str">
        <f>COSTOS!$D$16</f>
        <v>Luminarias</v>
      </c>
      <c r="C4460" s="544"/>
      <c r="D4460" s="544"/>
      <c r="E4460" s="544"/>
      <c r="F4460" s="544"/>
      <c r="G4460" s="60" t="s">
        <v>4212</v>
      </c>
      <c r="H4460" s="359">
        <v>2.5</v>
      </c>
      <c r="K4460" s="55" t="e">
        <f>H4485</f>
        <v>#VALUE!</v>
      </c>
      <c r="L4460" s="55">
        <f>H4495</f>
        <v>48167.654399999999</v>
      </c>
      <c r="M4460" s="55" t="e">
        <f>H4468</f>
        <v>#VALUE!</v>
      </c>
      <c r="N4460" s="55" t="e">
        <f>H4489</f>
        <v>#VALUE!</v>
      </c>
    </row>
    <row r="4461" spans="1:14" ht="43.2" customHeight="1">
      <c r="A4461" s="210" t="s">
        <v>4213</v>
      </c>
      <c r="B4461" s="545" t="str">
        <f>VLOOKUP(H4460,COSTOS!C:M,2,0)</f>
        <v>Poste de concreto 8mx750kgf</v>
      </c>
      <c r="C4461" s="546"/>
      <c r="D4461" s="546"/>
      <c r="E4461" s="547"/>
      <c r="F4461" s="61" t="s">
        <v>0</v>
      </c>
      <c r="G4461" s="328" t="str">
        <f>VLOOKUP(H4460,COSTOS!C:M,8,0)</f>
        <v>Und</v>
      </c>
      <c r="H4461" s="248"/>
      <c r="I4461" s="278"/>
      <c r="J4461" s="280"/>
      <c r="K4461" s="280"/>
      <c r="L4461" s="280"/>
    </row>
    <row r="4462" spans="1:14">
      <c r="A4462" s="211"/>
      <c r="B4462" s="102"/>
      <c r="C4462" s="102"/>
      <c r="D4462" s="102"/>
      <c r="E4462" s="103"/>
      <c r="F4462" s="104" t="s">
        <v>1</v>
      </c>
      <c r="G4462" s="328">
        <f>VLOOKUP(H4460,COSTOS!C:M,9,0)</f>
        <v>0</v>
      </c>
      <c r="H4462" s="329"/>
      <c r="I4462" s="279"/>
    </row>
    <row r="4463" spans="1:14">
      <c r="A4463" s="212" t="s">
        <v>4215</v>
      </c>
      <c r="B4463" s="65"/>
      <c r="C4463" s="65"/>
      <c r="D4463" s="66"/>
      <c r="E4463" s="190"/>
      <c r="F4463" s="191"/>
      <c r="G4463" s="192" t="s">
        <v>4216</v>
      </c>
      <c r="H4463" s="198" t="e">
        <f>H4468+H4485+H4489+H4495</f>
        <v>#VALUE!</v>
      </c>
    </row>
    <row r="4464" spans="1:14" ht="41.4">
      <c r="A4464" s="548" t="s">
        <v>4213</v>
      </c>
      <c r="B4464" s="548"/>
      <c r="C4464" s="548"/>
      <c r="D4464" s="67" t="s">
        <v>0</v>
      </c>
      <c r="E4464" s="188" t="s">
        <v>4217</v>
      </c>
      <c r="F4464" s="189" t="s">
        <v>4204</v>
      </c>
      <c r="G4464" s="64" t="s">
        <v>2</v>
      </c>
      <c r="H4464" s="199" t="s">
        <v>4218</v>
      </c>
      <c r="K4464" s="281"/>
    </row>
    <row r="4465" spans="1:15">
      <c r="A4465" s="517" t="s">
        <v>3946</v>
      </c>
      <c r="B4465" s="549">
        <f>VLOOKUP(A4465,'Equip, Herr y Transp'!$B$2:$E$738,2,0)</f>
        <v>2</v>
      </c>
      <c r="C4465" s="549"/>
      <c r="D4465" s="85">
        <f>VLOOKUP(A4465,'Equip, Herr y Transp'!$B$2:$E$217,2,0)</f>
        <v>2</v>
      </c>
      <c r="E4465" s="85" t="str">
        <f>VLOOKUP(A4465,'Equip, Herr y Transp'!$B$2:$E$217,3,0)</f>
        <v>EQU</v>
      </c>
      <c r="F4465" s="86">
        <f>H4455</f>
        <v>0.14580000000000001</v>
      </c>
      <c r="G4465" s="112" t="e">
        <f>F4465*E4465</f>
        <v>#VALUE!</v>
      </c>
      <c r="H4465" s="108"/>
    </row>
    <row r="4466" spans="1:15">
      <c r="A4466" s="517" t="s">
        <v>3894</v>
      </c>
      <c r="B4466" s="549">
        <f>VLOOKUP(A4466,'Equip, Herr y Transp'!$B$2:$E$738,2,0)</f>
        <v>4</v>
      </c>
      <c r="C4466" s="549"/>
      <c r="D4466" s="85">
        <f>VLOOKUP(A4466,'Equip, Herr y Transp'!$B$2:$E$217,2,0)</f>
        <v>4</v>
      </c>
      <c r="E4466" s="85" t="str">
        <f>VLOOKUP(A4466,'Equip, Herr y Transp'!$B$2:$E$217,3,0)</f>
        <v>TR</v>
      </c>
      <c r="F4466" s="86">
        <f>H4455</f>
        <v>0.14580000000000001</v>
      </c>
      <c r="G4466" s="112" t="e">
        <f>F4466*E4466</f>
        <v>#VALUE!</v>
      </c>
      <c r="H4466" s="107"/>
    </row>
    <row r="4467" spans="1:15">
      <c r="A4467" s="517" t="s">
        <v>8</v>
      </c>
      <c r="B4467" s="549" t="e">
        <f>VLOOKUP(A4467,'Equip, Herr y Transp'!$B$2:$E$738,2,0)</f>
        <v>#N/A</v>
      </c>
      <c r="C4467" s="549"/>
      <c r="D4467" s="85" t="e">
        <f>VLOOKUP(A4467,'Equip, Herr y Transp'!$B$2:$E$217,2,0)</f>
        <v>#N/A</v>
      </c>
      <c r="E4467" s="85" t="e">
        <f>VLOOKUP(A4467,'Equip, Herr y Transp'!$B$2:$E$217,3,0)</f>
        <v>#N/A</v>
      </c>
      <c r="F4467" s="86"/>
      <c r="G4467" s="112" t="e">
        <f>F4467*E4467</f>
        <v>#N/A</v>
      </c>
      <c r="H4467" s="107"/>
    </row>
    <row r="4468" spans="1:15">
      <c r="A4468" s="520" t="s">
        <v>4099</v>
      </c>
      <c r="B4468" s="521"/>
      <c r="C4468" s="521"/>
      <c r="D4468" s="521"/>
      <c r="E4468" s="521"/>
      <c r="F4468" s="521"/>
      <c r="G4468" s="521"/>
      <c r="H4468" s="87" t="e">
        <f>SUM(G4465:G4467)</f>
        <v>#VALUE!</v>
      </c>
    </row>
    <row r="4469" spans="1:15">
      <c r="A4469" s="550" t="s">
        <v>4219</v>
      </c>
      <c r="B4469" s="551"/>
      <c r="C4469" s="551"/>
      <c r="D4469" s="551"/>
      <c r="E4469" s="551"/>
      <c r="F4469" s="551"/>
      <c r="G4469" s="551"/>
      <c r="H4469" s="552"/>
      <c r="K4469" s="50"/>
      <c r="L4469" s="50"/>
      <c r="M4469" s="50"/>
      <c r="N4469" s="50"/>
      <c r="O4469" s="50"/>
    </row>
    <row r="4470" spans="1:15" ht="30" customHeight="1">
      <c r="A4470" s="553" t="s">
        <v>7</v>
      </c>
      <c r="B4470" s="554"/>
      <c r="C4470" s="99" t="s">
        <v>0</v>
      </c>
      <c r="D4470" s="100" t="s">
        <v>4097</v>
      </c>
      <c r="E4470" s="101" t="s">
        <v>1</v>
      </c>
      <c r="F4470" s="555" t="s">
        <v>4207</v>
      </c>
      <c r="G4470" s="555"/>
      <c r="H4470" s="196"/>
      <c r="K4470" s="50"/>
      <c r="L4470" s="50"/>
      <c r="M4470" s="50"/>
      <c r="N4470" s="50"/>
      <c r="O4470" s="50"/>
    </row>
    <row r="4471" spans="1:15">
      <c r="A4471" s="535" t="s">
        <v>4631</v>
      </c>
      <c r="B4471" s="536"/>
      <c r="C4471" s="88">
        <f>VLOOKUP(A4471,'Materiales '!$C$2:$G$396,3,0)</f>
        <v>4</v>
      </c>
      <c r="D4471" s="89" t="str">
        <f>VLOOKUP(A4471,'Materiales '!$C$2:$G$396,4,0)</f>
        <v>Und</v>
      </c>
      <c r="E4471" s="90">
        <v>1</v>
      </c>
      <c r="F4471" s="508" t="e">
        <f>E4471*D4471</f>
        <v>#VALUE!</v>
      </c>
      <c r="G4471" s="519"/>
      <c r="H4471" s="111"/>
      <c r="I4471">
        <f>E4471*G4462</f>
        <v>0</v>
      </c>
      <c r="J4471" s="57"/>
      <c r="K4471" s="50"/>
      <c r="L4471" s="50"/>
      <c r="M4471" s="50"/>
      <c r="N4471" s="50"/>
      <c r="O4471" s="50"/>
    </row>
    <row r="4472" spans="1:15">
      <c r="A4472" s="535" t="s">
        <v>4617</v>
      </c>
      <c r="B4472" s="536"/>
      <c r="C4472" s="88">
        <f>VLOOKUP(A4472,'Materiales '!$C$2:$G$396,3,0)</f>
        <v>3</v>
      </c>
      <c r="D4472" s="89" t="str">
        <f>VLOOKUP(A4472,'Materiales '!$C$2:$G$396,4,0)</f>
        <v>Rollo</v>
      </c>
      <c r="E4472" s="90">
        <v>0.5</v>
      </c>
      <c r="F4472" s="508" t="e">
        <f t="shared" ref="F4472:F4478" si="262">E4472*D4472</f>
        <v>#VALUE!</v>
      </c>
      <c r="G4472" s="519"/>
      <c r="H4472" s="111"/>
      <c r="I4472">
        <f>E4472*G4462</f>
        <v>0</v>
      </c>
      <c r="J4472" s="57"/>
      <c r="K4472" s="50"/>
      <c r="L4472" s="50"/>
      <c r="M4472" s="50"/>
      <c r="N4472" s="50"/>
      <c r="O4472" s="50"/>
    </row>
    <row r="4473" spans="1:15">
      <c r="A4473" s="517" t="s">
        <v>8</v>
      </c>
      <c r="B4473" s="518">
        <f>VLOOKUP(A4473,'Materiales '!$C$2:$G$396,3,0)</f>
        <v>0</v>
      </c>
      <c r="C4473" s="88">
        <f>VLOOKUP(A4473,'Materiales '!$C$2:$G$396,3,0)</f>
        <v>0</v>
      </c>
      <c r="D4473" s="89" t="str">
        <f>VLOOKUP(A4473,'Materiales '!$C$2:$G$396,4,0)</f>
        <v>-</v>
      </c>
      <c r="E4473" s="90">
        <v>1</v>
      </c>
      <c r="F4473" s="508" t="e">
        <f t="shared" si="262"/>
        <v>#VALUE!</v>
      </c>
      <c r="G4473" s="519"/>
      <c r="H4473" s="111"/>
      <c r="I4473">
        <f>E4473*G4462</f>
        <v>0</v>
      </c>
      <c r="J4473" s="58"/>
      <c r="K4473" s="50"/>
      <c r="L4473" s="50"/>
      <c r="M4473" s="50"/>
      <c r="N4473" s="50"/>
      <c r="O4473" s="50"/>
    </row>
    <row r="4474" spans="1:15">
      <c r="A4474" s="517" t="s">
        <v>8</v>
      </c>
      <c r="B4474" s="518">
        <f>VLOOKUP(A4474,'Materiales '!$C$2:$G$396,3,0)</f>
        <v>0</v>
      </c>
      <c r="C4474" s="88">
        <f>VLOOKUP(A4474,'Materiales '!$C$2:$G$396,3,0)</f>
        <v>0</v>
      </c>
      <c r="D4474" s="89" t="str">
        <f>VLOOKUP(A4474,'Materiales '!$C$2:$G$396,4,0)</f>
        <v>-</v>
      </c>
      <c r="E4474" s="90">
        <v>3</v>
      </c>
      <c r="F4474" s="508" t="e">
        <f t="shared" si="262"/>
        <v>#VALUE!</v>
      </c>
      <c r="G4474" s="519"/>
      <c r="H4474" s="111"/>
      <c r="I4474">
        <f>E4474*G4462</f>
        <v>0</v>
      </c>
      <c r="J4474" s="58"/>
      <c r="K4474" s="50"/>
      <c r="L4474" s="50"/>
      <c r="M4474" s="50"/>
      <c r="N4474" s="50"/>
      <c r="O4474" s="50"/>
    </row>
    <row r="4475" spans="1:15">
      <c r="A4475" s="517" t="s">
        <v>8</v>
      </c>
      <c r="B4475" s="518">
        <f>VLOOKUP(A4475,'Materiales '!$C$2:$G$396,3,0)</f>
        <v>0</v>
      </c>
      <c r="C4475" s="88">
        <f>VLOOKUP(A4475,'Materiales '!$C$2:$G$396,3,0)</f>
        <v>0</v>
      </c>
      <c r="D4475" s="89" t="str">
        <f>VLOOKUP(A4475,'Materiales '!$C$2:$G$396,4,0)</f>
        <v>-</v>
      </c>
      <c r="E4475" s="90">
        <v>2</v>
      </c>
      <c r="F4475" s="508" t="e">
        <f t="shared" si="262"/>
        <v>#VALUE!</v>
      </c>
      <c r="G4475" s="519"/>
      <c r="H4475" s="111"/>
      <c r="I4475">
        <f>E4475*G4462</f>
        <v>0</v>
      </c>
      <c r="J4475" s="58"/>
      <c r="K4475" s="50"/>
      <c r="L4475" s="50"/>
      <c r="M4475" s="50"/>
      <c r="N4475" s="50"/>
      <c r="O4475" s="50"/>
    </row>
    <row r="4476" spans="1:15">
      <c r="A4476" s="517" t="s">
        <v>8</v>
      </c>
      <c r="B4476" s="518">
        <f>VLOOKUP(A4476,'Materiales '!$C$2:$G$396,3,0)</f>
        <v>0</v>
      </c>
      <c r="C4476" s="88">
        <f>VLOOKUP(A4476,'Materiales '!$C$2:$G$396,3,0)</f>
        <v>0</v>
      </c>
      <c r="D4476" s="89" t="str">
        <f>VLOOKUP(A4476,'Materiales '!$C$2:$G$396,4,0)</f>
        <v>-</v>
      </c>
      <c r="E4476" s="90">
        <v>8</v>
      </c>
      <c r="F4476" s="508" t="e">
        <f t="shared" si="262"/>
        <v>#VALUE!</v>
      </c>
      <c r="G4476" s="519"/>
      <c r="H4476" s="111"/>
      <c r="I4476">
        <f>E4476*G4462</f>
        <v>0</v>
      </c>
      <c r="J4476" s="58"/>
      <c r="K4476" s="50"/>
      <c r="L4476" s="50"/>
      <c r="M4476" s="50"/>
      <c r="N4476" s="50"/>
      <c r="O4476" s="50"/>
    </row>
    <row r="4477" spans="1:15">
      <c r="A4477" s="517" t="s">
        <v>8</v>
      </c>
      <c r="B4477" s="518">
        <f>VLOOKUP(A4477,'Materiales '!$C$2:$G$396,3,0)</f>
        <v>0</v>
      </c>
      <c r="C4477" s="88">
        <f>VLOOKUP(A4477,'Materiales '!$C$2:$G$396,3,0)</f>
        <v>0</v>
      </c>
      <c r="D4477" s="89" t="str">
        <f>VLOOKUP(A4477,'Materiales '!$C$2:$G$396,4,0)</f>
        <v>-</v>
      </c>
      <c r="E4477" s="90">
        <v>3</v>
      </c>
      <c r="F4477" s="508" t="e">
        <f t="shared" si="262"/>
        <v>#VALUE!</v>
      </c>
      <c r="G4477" s="519"/>
      <c r="H4477" s="111"/>
      <c r="I4477">
        <f>E4477*G4462</f>
        <v>0</v>
      </c>
      <c r="J4477" s="58"/>
      <c r="K4477" s="50"/>
      <c r="L4477" s="50"/>
      <c r="M4477" s="50"/>
      <c r="N4477" s="50"/>
      <c r="O4477" s="50"/>
    </row>
    <row r="4478" spans="1:15" ht="21.75" customHeight="1">
      <c r="A4478" s="517" t="s">
        <v>8</v>
      </c>
      <c r="B4478" s="518">
        <f>VLOOKUP(A4478,'Materiales '!$C$2:$G$396,3,0)</f>
        <v>0</v>
      </c>
      <c r="C4478" s="88">
        <f>VLOOKUP(A4478,'Materiales '!$C$2:$G$396,3,0)</f>
        <v>0</v>
      </c>
      <c r="D4478" s="89" t="str">
        <f>VLOOKUP(A4478,'Materiales '!$C$2:$G$396,4,0)</f>
        <v>-</v>
      </c>
      <c r="E4478" s="90">
        <v>0.5</v>
      </c>
      <c r="F4478" s="508" t="e">
        <f t="shared" si="262"/>
        <v>#VALUE!</v>
      </c>
      <c r="G4478" s="519"/>
      <c r="H4478" s="111"/>
      <c r="I4478">
        <f>E4478*G4462</f>
        <v>0</v>
      </c>
      <c r="J4478" s="58"/>
      <c r="K4478" s="50"/>
      <c r="L4478" s="50"/>
      <c r="M4478" s="50"/>
      <c r="N4478" s="50"/>
      <c r="O4478" s="50"/>
    </row>
    <row r="4479" spans="1:15">
      <c r="A4479" s="517" t="s">
        <v>8</v>
      </c>
      <c r="B4479" s="518">
        <f>VLOOKUP(A4479,'Materiales '!$C$2:$G$396,3,0)</f>
        <v>0</v>
      </c>
      <c r="C4479" s="88">
        <f>VLOOKUP(A4479,'Materiales '!$C$2:$G$396,3,0)</f>
        <v>0</v>
      </c>
      <c r="D4479" s="89" t="str">
        <f>VLOOKUP(A4479,'Materiales '!$C$2:$G$396,4,0)</f>
        <v>-</v>
      </c>
      <c r="E4479" s="90"/>
      <c r="F4479" s="508" t="e">
        <f>E4479*D4479</f>
        <v>#VALUE!</v>
      </c>
      <c r="G4479" s="519"/>
      <c r="H4479" s="110"/>
      <c r="I4479">
        <f>E4479*G4462</f>
        <v>0</v>
      </c>
      <c r="J4479" s="58"/>
      <c r="K4479" s="50"/>
      <c r="L4479" s="50"/>
      <c r="M4479" s="50"/>
      <c r="N4479" s="50"/>
      <c r="O4479" s="50"/>
    </row>
    <row r="4480" spans="1:15">
      <c r="A4480" s="517" t="s">
        <v>8</v>
      </c>
      <c r="B4480" s="518">
        <f>VLOOKUP(A4480,'Materiales '!$C$2:$G$396,3,0)</f>
        <v>0</v>
      </c>
      <c r="C4480" s="88">
        <f>VLOOKUP(A4480,'Materiales '!$C$2:$G$396,3,0)</f>
        <v>0</v>
      </c>
      <c r="D4480" s="89" t="str">
        <f>VLOOKUP(A4480,'Materiales '!$C$2:$G$396,4,0)</f>
        <v>-</v>
      </c>
      <c r="E4480" s="90"/>
      <c r="F4480" s="508" t="e">
        <f t="shared" ref="F4480:F4483" si="263">E4480*D4480</f>
        <v>#VALUE!</v>
      </c>
      <c r="G4480" s="519"/>
      <c r="H4480" s="111"/>
      <c r="I4480">
        <f>E4480*G4462</f>
        <v>0</v>
      </c>
      <c r="J4480" s="58"/>
      <c r="K4480" s="50"/>
      <c r="L4480" s="50"/>
      <c r="M4480" s="50"/>
      <c r="N4480" s="50"/>
      <c r="O4480" s="50"/>
    </row>
    <row r="4481" spans="1:15">
      <c r="A4481" s="517" t="s">
        <v>8</v>
      </c>
      <c r="B4481" s="518">
        <f>VLOOKUP(A4481,'Materiales '!$C$2:$G$396,3,0)</f>
        <v>0</v>
      </c>
      <c r="C4481" s="88">
        <f>VLOOKUP(A4481,'Materiales '!$C$2:$G$396,3,0)</f>
        <v>0</v>
      </c>
      <c r="D4481" s="89" t="str">
        <f>VLOOKUP(A4481,'Materiales '!$C$2:$G$396,4,0)</f>
        <v>-</v>
      </c>
      <c r="E4481" s="90"/>
      <c r="F4481" s="508" t="e">
        <f t="shared" si="263"/>
        <v>#VALUE!</v>
      </c>
      <c r="G4481" s="519"/>
      <c r="H4481" s="111"/>
      <c r="I4481">
        <f>E4481*G4462</f>
        <v>0</v>
      </c>
      <c r="J4481" s="58"/>
      <c r="K4481" s="50"/>
      <c r="L4481" s="50"/>
      <c r="M4481" s="50"/>
      <c r="N4481" s="50"/>
      <c r="O4481" s="50"/>
    </row>
    <row r="4482" spans="1:15">
      <c r="A4482" s="517" t="s">
        <v>8</v>
      </c>
      <c r="B4482" s="518">
        <f>VLOOKUP(A4482,'Materiales '!$C$2:$G$396,3,0)</f>
        <v>0</v>
      </c>
      <c r="C4482" s="88">
        <f>VLOOKUP(A4482,'Materiales '!$C$2:$G$396,3,0)</f>
        <v>0</v>
      </c>
      <c r="D4482" s="89" t="str">
        <f>VLOOKUP(A4482,'Materiales '!$C$2:$G$396,4,0)</f>
        <v>-</v>
      </c>
      <c r="E4482" s="90"/>
      <c r="F4482" s="508" t="e">
        <f t="shared" si="263"/>
        <v>#VALUE!</v>
      </c>
      <c r="G4482" s="519"/>
      <c r="H4482" s="111"/>
      <c r="I4482">
        <f>E4482*G4462</f>
        <v>0</v>
      </c>
      <c r="J4482" s="58"/>
      <c r="K4482" s="50"/>
      <c r="L4482" s="50"/>
      <c r="M4482" s="50"/>
      <c r="N4482" s="50"/>
      <c r="O4482" s="50"/>
    </row>
    <row r="4483" spans="1:15">
      <c r="A4483" s="517" t="s">
        <v>8</v>
      </c>
      <c r="B4483" s="518">
        <f>VLOOKUP(A4483,'Materiales '!$C$2:$G$396,3,0)</f>
        <v>0</v>
      </c>
      <c r="C4483" s="88">
        <f>VLOOKUP(A4483,'Materiales '!$C$2:$G$396,3,0)</f>
        <v>0</v>
      </c>
      <c r="D4483" s="89" t="str">
        <f>VLOOKUP(A4483,'Materiales '!$C$2:$G$396,4,0)</f>
        <v>-</v>
      </c>
      <c r="E4483" s="90"/>
      <c r="F4483" s="508" t="e">
        <f t="shared" si="263"/>
        <v>#VALUE!</v>
      </c>
      <c r="G4483" s="519"/>
      <c r="H4483" s="111"/>
      <c r="I4483">
        <f>E4483*G4462</f>
        <v>0</v>
      </c>
      <c r="J4483" s="58"/>
      <c r="K4483" s="50"/>
      <c r="L4483" s="50"/>
      <c r="M4483" s="50"/>
      <c r="N4483" s="50"/>
      <c r="O4483" s="50"/>
    </row>
    <row r="4484" spans="1:15">
      <c r="A4484" s="517" t="s">
        <v>8</v>
      </c>
      <c r="B4484" s="518">
        <f>VLOOKUP(A4484,'Materiales '!$C$2:$G$396,3,0)</f>
        <v>0</v>
      </c>
      <c r="C4484" s="88">
        <f>VLOOKUP(A4484,'Materiales '!$C$2:$G$396,3,0)</f>
        <v>0</v>
      </c>
      <c r="D4484" s="89" t="str">
        <f>VLOOKUP(A4484,'Materiales '!$C$2:$G$396,4,0)</f>
        <v>-</v>
      </c>
      <c r="E4484" s="90"/>
      <c r="F4484" s="508" t="e">
        <f>E4484*D4484</f>
        <v>#VALUE!</v>
      </c>
      <c r="G4484" s="519"/>
      <c r="H4484" s="110"/>
      <c r="I4484">
        <f>E4484*G4462</f>
        <v>0</v>
      </c>
      <c r="J4484" s="58"/>
      <c r="K4484" s="50"/>
      <c r="L4484" s="50"/>
      <c r="M4484" s="50"/>
      <c r="N4484" s="50"/>
      <c r="O4484" s="50"/>
    </row>
    <row r="4485" spans="1:15">
      <c r="A4485" s="520" t="s">
        <v>4098</v>
      </c>
      <c r="B4485" s="521"/>
      <c r="C4485" s="521"/>
      <c r="D4485" s="521"/>
      <c r="E4485" s="521"/>
      <c r="F4485" s="521"/>
      <c r="G4485" s="522"/>
      <c r="H4485" s="106" t="e">
        <f>SUM(F4471:F4484)</f>
        <v>#VALUE!</v>
      </c>
      <c r="J4485" s="58"/>
      <c r="K4485" s="50"/>
      <c r="L4485" s="50"/>
      <c r="M4485" s="50"/>
      <c r="N4485" s="50"/>
      <c r="O4485" s="50"/>
    </row>
    <row r="4486" spans="1:15">
      <c r="A4486" s="523" t="s">
        <v>4220</v>
      </c>
      <c r="B4486" s="524"/>
      <c r="C4486" s="524"/>
      <c r="D4486" s="524"/>
      <c r="E4486" s="525"/>
      <c r="F4486" s="524"/>
      <c r="G4486" s="524"/>
      <c r="H4486" s="526"/>
      <c r="J4486" s="58"/>
      <c r="K4486" s="50"/>
      <c r="L4486" s="50"/>
      <c r="M4486" s="50"/>
      <c r="N4486" s="50"/>
      <c r="O4486" s="50"/>
    </row>
    <row r="4487" spans="1:15">
      <c r="A4487" s="527" t="s">
        <v>7</v>
      </c>
      <c r="B4487" s="528"/>
      <c r="C4487" s="98" t="s">
        <v>4221</v>
      </c>
      <c r="D4487" s="97" t="s">
        <v>4222</v>
      </c>
      <c r="E4487" s="187" t="s">
        <v>4223</v>
      </c>
      <c r="F4487" s="529" t="s">
        <v>4207</v>
      </c>
      <c r="G4487" s="529"/>
      <c r="H4487" s="109"/>
      <c r="K4487" s="50"/>
      <c r="L4487" s="50"/>
      <c r="M4487" s="50"/>
      <c r="N4487" s="50"/>
      <c r="O4487" s="50"/>
    </row>
    <row r="4488" spans="1:15">
      <c r="A4488" s="506" t="s">
        <v>3928</v>
      </c>
      <c r="B4488" s="507"/>
      <c r="C4488" s="213">
        <v>1</v>
      </c>
      <c r="D4488" s="92">
        <v>0.03</v>
      </c>
      <c r="E4488" s="93" t="str">
        <f>VLOOKUP(A4488,'Equip, Herr y Transp'!$B$2:$E$217,3,0)</f>
        <v>TR</v>
      </c>
      <c r="F4488" s="530" t="e">
        <f>E4488*D4488*C4488</f>
        <v>#VALUE!</v>
      </c>
      <c r="G4488" s="531"/>
      <c r="H4488" s="107"/>
      <c r="M4488" s="50"/>
    </row>
    <row r="4489" spans="1:15">
      <c r="A4489" s="532" t="s">
        <v>4205</v>
      </c>
      <c r="B4489" s="533"/>
      <c r="C4489" s="533"/>
      <c r="D4489" s="533"/>
      <c r="E4489" s="533"/>
      <c r="F4489" s="533"/>
      <c r="G4489" s="533"/>
      <c r="H4489" s="95" t="e">
        <f>F4488</f>
        <v>#VALUE!</v>
      </c>
    </row>
    <row r="4490" spans="1:15">
      <c r="A4490" s="523" t="s">
        <v>4224</v>
      </c>
      <c r="B4490" s="524"/>
      <c r="C4490" s="524"/>
      <c r="D4490" s="524"/>
      <c r="E4490" s="524"/>
      <c r="F4490" s="524"/>
      <c r="G4490" s="524"/>
      <c r="H4490" s="526"/>
    </row>
    <row r="4491" spans="1:15">
      <c r="A4491" s="527" t="s">
        <v>7</v>
      </c>
      <c r="B4491" s="528"/>
      <c r="C4491" s="96" t="s">
        <v>1</v>
      </c>
      <c r="D4491" s="97" t="s">
        <v>4225</v>
      </c>
      <c r="E4491" s="98" t="s">
        <v>4204</v>
      </c>
      <c r="F4491" s="527" t="s">
        <v>5</v>
      </c>
      <c r="G4491" s="534"/>
      <c r="H4491" s="109"/>
    </row>
    <row r="4492" spans="1:15">
      <c r="A4492" s="506" t="s">
        <v>4191</v>
      </c>
      <c r="B4492" s="507"/>
      <c r="C4492" s="91">
        <v>1</v>
      </c>
      <c r="D4492" s="94">
        <f>VLOOKUP(A4492,'Mano Obra'!$B$2:$T$117,19,0)</f>
        <v>152456</v>
      </c>
      <c r="E4492" s="218">
        <f>H4455</f>
        <v>0.14580000000000001</v>
      </c>
      <c r="F4492" s="508">
        <f>E4492*D4492*C4492</f>
        <v>22228.084800000001</v>
      </c>
      <c r="G4492" s="509"/>
      <c r="H4492" s="111"/>
      <c r="I4492" s="59"/>
      <c r="J4492" s="117">
        <f>((('Mano Obra'!$M$4/30)*F4492)/D4492)*G4462</f>
        <v>0</v>
      </c>
    </row>
    <row r="4493" spans="1:15">
      <c r="A4493" s="510" t="s">
        <v>4192</v>
      </c>
      <c r="B4493" s="511">
        <f>VLOOKUP(A4493,'Mano Obra'!$B$3:$D$290,2,0)</f>
        <v>1900000</v>
      </c>
      <c r="C4493" s="91">
        <v>1</v>
      </c>
      <c r="D4493" s="94">
        <f>VLOOKUP(A4493,'Mano Obra'!$B$2:$T$117,19,0)</f>
        <v>110488</v>
      </c>
      <c r="E4493" s="218">
        <f>H4455</f>
        <v>0.14580000000000001</v>
      </c>
      <c r="F4493" s="508">
        <f t="shared" ref="F4493:F4494" si="264">E4493*D4493*C4493</f>
        <v>16109.150400000002</v>
      </c>
      <c r="G4493" s="509"/>
      <c r="H4493" s="111"/>
      <c r="J4493" s="117">
        <f>((('Mano Obra'!$M$5/30)*F4493)/D4493)*G4462</f>
        <v>0</v>
      </c>
    </row>
    <row r="4494" spans="1:15">
      <c r="A4494" s="510" t="s">
        <v>4181</v>
      </c>
      <c r="B4494" s="511">
        <f>VLOOKUP(A4494,'Mano Obra'!$B$3:$D$290,2,0)</f>
        <v>1000000</v>
      </c>
      <c r="C4494" s="91">
        <v>1</v>
      </c>
      <c r="D4494" s="94">
        <f>VLOOKUP(A4494,'Mano Obra'!$B$2:$T$117,19,0)</f>
        <v>67424</v>
      </c>
      <c r="E4494" s="218">
        <f>H4455</f>
        <v>0.14580000000000001</v>
      </c>
      <c r="F4494" s="508">
        <f t="shared" si="264"/>
        <v>9830.4192000000003</v>
      </c>
      <c r="G4494" s="509"/>
      <c r="H4494" s="110"/>
      <c r="J4494" s="117">
        <f>((('Mano Obra'!$M$6/30)*F4494)/D4494)*G4462</f>
        <v>0</v>
      </c>
    </row>
    <row r="4495" spans="1:15">
      <c r="A4495" s="512" t="s">
        <v>4100</v>
      </c>
      <c r="B4495" s="512"/>
      <c r="C4495" s="512"/>
      <c r="D4495" s="512"/>
      <c r="E4495" s="512"/>
      <c r="F4495" s="512"/>
      <c r="G4495" s="512"/>
      <c r="H4495" s="95">
        <f>SUM(F4492:F4494)</f>
        <v>48167.654399999999</v>
      </c>
      <c r="J4495" s="117"/>
    </row>
    <row r="4496" spans="1:15">
      <c r="A4496" s="208" t="s">
        <v>4226</v>
      </c>
      <c r="B4496" s="186"/>
      <c r="C4496" s="186"/>
      <c r="D4496" s="183"/>
      <c r="E4496" s="184"/>
      <c r="F4496" s="185"/>
      <c r="G4496" s="184"/>
      <c r="H4496" s="193"/>
    </row>
    <row r="4497" spans="1:14">
      <c r="A4497" s="513" t="s">
        <v>4213</v>
      </c>
      <c r="B4497" s="514"/>
      <c r="C4497" s="514"/>
      <c r="D4497" s="514"/>
      <c r="E4497" s="181"/>
      <c r="F4497" s="182" t="s">
        <v>4227</v>
      </c>
      <c r="G4497" s="181" t="s">
        <v>4228</v>
      </c>
      <c r="H4497" s="194"/>
    </row>
    <row r="4498" spans="1:14">
      <c r="A4498" s="204" t="s">
        <v>4096</v>
      </c>
      <c r="B4498" s="62"/>
      <c r="C4498" s="62"/>
      <c r="D4498" s="63"/>
      <c r="E4498" s="68"/>
      <c r="F4498" s="69">
        <v>0</v>
      </c>
      <c r="G4498" s="70" t="e">
        <f>F4498*H4463</f>
        <v>#VALUE!</v>
      </c>
      <c r="H4498" s="193"/>
    </row>
    <row r="4499" spans="1:14">
      <c r="A4499" s="205" t="s">
        <v>4229</v>
      </c>
      <c r="B4499" s="71"/>
      <c r="C4499" s="71"/>
      <c r="D4499" s="72"/>
      <c r="E4499" s="68"/>
      <c r="F4499" s="69">
        <v>0</v>
      </c>
      <c r="G4499" s="70" t="e">
        <f>F4499*H4463</f>
        <v>#VALUE!</v>
      </c>
      <c r="H4499" s="193"/>
    </row>
    <row r="4500" spans="1:14">
      <c r="A4500" s="205" t="s">
        <v>4</v>
      </c>
      <c r="B4500" s="71"/>
      <c r="C4500" s="71"/>
      <c r="D4500" s="72"/>
      <c r="E4500" s="68"/>
      <c r="F4500" s="69">
        <v>0</v>
      </c>
      <c r="G4500" s="70" t="e">
        <f>F4500*H4463</f>
        <v>#VALUE!</v>
      </c>
      <c r="H4500" s="193"/>
    </row>
    <row r="4501" spans="1:14">
      <c r="A4501" s="206"/>
      <c r="B4501" s="73"/>
      <c r="C4501" s="65"/>
      <c r="D4501" s="74"/>
      <c r="E4501" s="75"/>
      <c r="F4501" s="76"/>
      <c r="G4501" s="77"/>
      <c r="H4501" s="195"/>
    </row>
    <row r="4502" spans="1:14">
      <c r="A4502" s="207"/>
      <c r="B4502" s="73"/>
      <c r="C4502" s="73"/>
      <c r="D4502" s="74"/>
      <c r="E4502" s="78"/>
      <c r="F4502" s="515" t="s">
        <v>4230</v>
      </c>
      <c r="G4502" s="516"/>
      <c r="H4502" s="214" t="e">
        <f>H4463+G4498+G4499+G4500</f>
        <v>#VALUE!</v>
      </c>
    </row>
    <row r="4505" spans="1:14">
      <c r="A4505" s="80"/>
      <c r="B4505" s="80"/>
      <c r="C4505" s="80"/>
      <c r="D4505" s="80"/>
      <c r="E4505" s="80"/>
      <c r="F4505" s="80"/>
      <c r="G4505" s="80"/>
      <c r="H4505" s="353"/>
    </row>
    <row r="4506" spans="1:14">
      <c r="A4506" s="537" t="s">
        <v>4214</v>
      </c>
      <c r="B4506" s="538"/>
      <c r="C4506" s="538"/>
      <c r="D4506" s="538"/>
      <c r="E4506" s="538"/>
      <c r="F4506" s="538"/>
      <c r="G4506" s="538"/>
      <c r="H4506" s="539"/>
    </row>
    <row r="4507" spans="1:14">
      <c r="A4507" s="81"/>
      <c r="B4507" s="82"/>
      <c r="C4507" s="82"/>
      <c r="D4507" s="82"/>
      <c r="E4507" s="82"/>
      <c r="F4507" s="83"/>
      <c r="G4507" s="84"/>
      <c r="H4507" s="352">
        <f>ROUND((110/60)/8,4)</f>
        <v>0.22919999999999999</v>
      </c>
      <c r="I4507" s="105"/>
    </row>
    <row r="4508" spans="1:14">
      <c r="A4508" s="540" t="s">
        <v>4209</v>
      </c>
      <c r="B4508" s="542" t="str">
        <f>COSTOS!$C$14</f>
        <v>MODERNIZACION A TECNOLOGIA LED</v>
      </c>
      <c r="C4508" s="542"/>
      <c r="D4508" s="542"/>
      <c r="E4508" s="542"/>
      <c r="F4508" s="542"/>
      <c r="G4508" s="542"/>
      <c r="H4508" s="543" t="s">
        <v>4210</v>
      </c>
    </row>
    <row r="4509" spans="1:14">
      <c r="A4509" s="541"/>
      <c r="B4509" s="542"/>
      <c r="C4509" s="542"/>
      <c r="D4509" s="542"/>
      <c r="E4509" s="542"/>
      <c r="F4509" s="542"/>
      <c r="G4509" s="542"/>
      <c r="H4509" s="543"/>
    </row>
    <row r="4510" spans="1:14">
      <c r="A4510" s="541"/>
      <c r="B4510" s="542"/>
      <c r="C4510" s="542"/>
      <c r="D4510" s="542"/>
      <c r="E4510" s="542"/>
      <c r="F4510" s="542"/>
      <c r="G4510" s="542"/>
      <c r="H4510" s="543"/>
    </row>
    <row r="4511" spans="1:14" ht="15" customHeight="1">
      <c r="A4511" s="541"/>
      <c r="B4511" s="542"/>
      <c r="C4511" s="542"/>
      <c r="D4511" s="542"/>
      <c r="E4511" s="542"/>
      <c r="F4511" s="542"/>
      <c r="G4511" s="542"/>
      <c r="H4511" s="197">
        <f ca="1">TODAY()</f>
        <v>44889</v>
      </c>
      <c r="K4511" t="s">
        <v>4380</v>
      </c>
      <c r="L4511" t="s">
        <v>4381</v>
      </c>
      <c r="M4511" t="s">
        <v>4382</v>
      </c>
      <c r="N4511" t="s">
        <v>4383</v>
      </c>
    </row>
    <row r="4512" spans="1:14" ht="60.75" customHeight="1">
      <c r="A4512" s="209" t="s">
        <v>4211</v>
      </c>
      <c r="B4512" s="544" t="str">
        <f>COSTOS!$D$16</f>
        <v>Luminarias</v>
      </c>
      <c r="C4512" s="544"/>
      <c r="D4512" s="544"/>
      <c r="E4512" s="544"/>
      <c r="F4512" s="544"/>
      <c r="G4512" s="60" t="s">
        <v>4212</v>
      </c>
      <c r="H4512" s="359">
        <v>2.6</v>
      </c>
      <c r="K4512" s="55" t="e">
        <f>H4537</f>
        <v>#VALUE!</v>
      </c>
      <c r="L4512" s="55">
        <f>H4547</f>
        <v>75720.345599999986</v>
      </c>
      <c r="M4512" s="55" t="e">
        <f>H4520</f>
        <v>#VALUE!</v>
      </c>
      <c r="N4512" s="55" t="e">
        <f>H4541</f>
        <v>#VALUE!</v>
      </c>
    </row>
    <row r="4513" spans="1:15" ht="43.2" customHeight="1">
      <c r="A4513" s="210" t="s">
        <v>4213</v>
      </c>
      <c r="B4513" s="545" t="str">
        <f>VLOOKUP(H4512,COSTOS!C:M,2,0)</f>
        <v>Poste metalico de 4 metros para reflectores</v>
      </c>
      <c r="C4513" s="546"/>
      <c r="D4513" s="546"/>
      <c r="E4513" s="547"/>
      <c r="F4513" s="61" t="s">
        <v>0</v>
      </c>
      <c r="G4513" s="328" t="str">
        <f>VLOOKUP(H4512,COSTOS!C:M,8,0)</f>
        <v>Und</v>
      </c>
      <c r="H4513" s="248"/>
      <c r="I4513" s="278"/>
      <c r="J4513" s="280"/>
      <c r="K4513" s="280"/>
      <c r="L4513" s="280"/>
    </row>
    <row r="4514" spans="1:15">
      <c r="A4514" s="211"/>
      <c r="B4514" s="102"/>
      <c r="C4514" s="102"/>
      <c r="D4514" s="102"/>
      <c r="E4514" s="103"/>
      <c r="F4514" s="104" t="s">
        <v>1</v>
      </c>
      <c r="G4514" s="328">
        <f>VLOOKUP(H4512,COSTOS!C:M,9,0)</f>
        <v>0</v>
      </c>
      <c r="H4514" s="329"/>
      <c r="I4514" s="279"/>
    </row>
    <row r="4515" spans="1:15">
      <c r="A4515" s="212" t="s">
        <v>4215</v>
      </c>
      <c r="B4515" s="65"/>
      <c r="C4515" s="65"/>
      <c r="D4515" s="66"/>
      <c r="E4515" s="190"/>
      <c r="F4515" s="191"/>
      <c r="G4515" s="192" t="s">
        <v>4216</v>
      </c>
      <c r="H4515" s="198" t="e">
        <f>H4520+H4537+H4541+H4547</f>
        <v>#VALUE!</v>
      </c>
    </row>
    <row r="4516" spans="1:15" ht="41.4">
      <c r="A4516" s="548" t="s">
        <v>4213</v>
      </c>
      <c r="B4516" s="548"/>
      <c r="C4516" s="548"/>
      <c r="D4516" s="67" t="s">
        <v>0</v>
      </c>
      <c r="E4516" s="188" t="s">
        <v>4217</v>
      </c>
      <c r="F4516" s="189" t="s">
        <v>4204</v>
      </c>
      <c r="G4516" s="64" t="s">
        <v>2</v>
      </c>
      <c r="H4516" s="199" t="s">
        <v>4218</v>
      </c>
      <c r="K4516" s="281"/>
    </row>
    <row r="4517" spans="1:15">
      <c r="A4517" s="517" t="s">
        <v>3946</v>
      </c>
      <c r="B4517" s="549">
        <f>VLOOKUP(A4517,'Equip, Herr y Transp'!$B$2:$E$738,2,0)</f>
        <v>2</v>
      </c>
      <c r="C4517" s="549"/>
      <c r="D4517" s="85">
        <f>VLOOKUP(A4517,'Equip, Herr y Transp'!$B$2:$E$217,2,0)</f>
        <v>2</v>
      </c>
      <c r="E4517" s="85" t="str">
        <f>VLOOKUP(A4517,'Equip, Herr y Transp'!$B$2:$E$217,3,0)</f>
        <v>EQU</v>
      </c>
      <c r="F4517" s="86">
        <f>H4507</f>
        <v>0.22919999999999999</v>
      </c>
      <c r="G4517" s="112" t="e">
        <f>F4517*E4517</f>
        <v>#VALUE!</v>
      </c>
      <c r="H4517" s="108"/>
    </row>
    <row r="4518" spans="1:15">
      <c r="A4518" s="517" t="s">
        <v>3904</v>
      </c>
      <c r="B4518" s="549">
        <f>VLOOKUP(A4518,'Equip, Herr y Transp'!$B$2:$E$738,2,0)</f>
        <v>2</v>
      </c>
      <c r="C4518" s="549"/>
      <c r="D4518" s="85">
        <f>VLOOKUP(A4518,'Equip, Herr y Transp'!$B$2:$E$217,2,0)</f>
        <v>2</v>
      </c>
      <c r="E4518" s="85" t="str">
        <f>VLOOKUP(A4518,'Equip, Herr y Transp'!$B$2:$E$217,3,0)</f>
        <v>EQU</v>
      </c>
      <c r="F4518" s="86">
        <f>H4507</f>
        <v>0.22919999999999999</v>
      </c>
      <c r="G4518" s="112" t="e">
        <f>F4518*E4518</f>
        <v>#VALUE!</v>
      </c>
      <c r="H4518" s="107"/>
    </row>
    <row r="4519" spans="1:15">
      <c r="A4519" s="517" t="s">
        <v>8</v>
      </c>
      <c r="B4519" s="549" t="e">
        <f>VLOOKUP(A4519,'Equip, Herr y Transp'!$B$2:$E$738,2,0)</f>
        <v>#N/A</v>
      </c>
      <c r="C4519" s="549"/>
      <c r="D4519" s="85" t="e">
        <f>VLOOKUP(A4519,'Equip, Herr y Transp'!$B$2:$E$217,2,0)</f>
        <v>#N/A</v>
      </c>
      <c r="E4519" s="85" t="e">
        <f>VLOOKUP(A4519,'Equip, Herr y Transp'!$B$2:$E$217,3,0)</f>
        <v>#N/A</v>
      </c>
      <c r="F4519" s="86"/>
      <c r="G4519" s="112" t="e">
        <f>F4519*E4519</f>
        <v>#N/A</v>
      </c>
      <c r="H4519" s="107"/>
    </row>
    <row r="4520" spans="1:15">
      <c r="A4520" s="520" t="s">
        <v>4099</v>
      </c>
      <c r="B4520" s="521"/>
      <c r="C4520" s="521"/>
      <c r="D4520" s="521"/>
      <c r="E4520" s="521"/>
      <c r="F4520" s="521"/>
      <c r="G4520" s="521"/>
      <c r="H4520" s="87" t="e">
        <f>SUM(G4517:G4519)</f>
        <v>#VALUE!</v>
      </c>
    </row>
    <row r="4521" spans="1:15">
      <c r="A4521" s="550" t="s">
        <v>4219</v>
      </c>
      <c r="B4521" s="551"/>
      <c r="C4521" s="551"/>
      <c r="D4521" s="551"/>
      <c r="E4521" s="551"/>
      <c r="F4521" s="551"/>
      <c r="G4521" s="551"/>
      <c r="H4521" s="552"/>
      <c r="K4521" s="50"/>
      <c r="L4521" s="50"/>
      <c r="M4521" s="50"/>
      <c r="N4521" s="50"/>
      <c r="O4521" s="50"/>
    </row>
    <row r="4522" spans="1:15" ht="30" customHeight="1">
      <c r="A4522" s="553" t="s">
        <v>7</v>
      </c>
      <c r="B4522" s="554"/>
      <c r="C4522" s="99" t="s">
        <v>0</v>
      </c>
      <c r="D4522" s="100" t="s">
        <v>4097</v>
      </c>
      <c r="E4522" s="101" t="s">
        <v>1</v>
      </c>
      <c r="F4522" s="555" t="s">
        <v>4207</v>
      </c>
      <c r="G4522" s="555"/>
      <c r="H4522" s="196"/>
      <c r="K4522" s="50"/>
      <c r="L4522" s="50"/>
      <c r="M4522" s="50"/>
      <c r="N4522" s="50"/>
      <c r="O4522" s="50"/>
    </row>
    <row r="4523" spans="1:15">
      <c r="A4523" s="535" t="s">
        <v>4632</v>
      </c>
      <c r="B4523" s="536"/>
      <c r="C4523" s="88">
        <f>VLOOKUP(A4523,'Materiales '!$C$2:$G$396,3,0)</f>
        <v>4</v>
      </c>
      <c r="D4523" s="89" t="str">
        <f>VLOOKUP(A4523,'Materiales '!$C$2:$G$396,4,0)</f>
        <v>Und</v>
      </c>
      <c r="E4523" s="90">
        <v>1</v>
      </c>
      <c r="F4523" s="508" t="e">
        <f>E4523*D4523</f>
        <v>#VALUE!</v>
      </c>
      <c r="G4523" s="519"/>
      <c r="H4523" s="111"/>
      <c r="I4523">
        <f>E4523*G4514</f>
        <v>0</v>
      </c>
      <c r="J4523" s="57"/>
      <c r="K4523" s="50"/>
      <c r="L4523" s="50"/>
      <c r="M4523" s="50"/>
      <c r="N4523" s="50"/>
      <c r="O4523" s="50"/>
    </row>
    <row r="4524" spans="1:15">
      <c r="A4524" s="535" t="s">
        <v>4617</v>
      </c>
      <c r="B4524" s="536"/>
      <c r="C4524" s="88">
        <f>VLOOKUP(A4524,'Materiales '!$C$2:$G$396,3,0)</f>
        <v>3</v>
      </c>
      <c r="D4524" s="89" t="str">
        <f>VLOOKUP(A4524,'Materiales '!$C$2:$G$396,4,0)</f>
        <v>Rollo</v>
      </c>
      <c r="E4524" s="90">
        <v>0.5</v>
      </c>
      <c r="F4524" s="508" t="e">
        <f t="shared" ref="F4524:F4530" si="265">E4524*D4524</f>
        <v>#VALUE!</v>
      </c>
      <c r="G4524" s="519"/>
      <c r="H4524" s="111"/>
      <c r="I4524">
        <f>E4524*G4514</f>
        <v>0</v>
      </c>
      <c r="J4524" s="57"/>
      <c r="K4524" s="50"/>
      <c r="L4524" s="50"/>
      <c r="M4524" s="50"/>
      <c r="N4524" s="50"/>
      <c r="O4524" s="50"/>
    </row>
    <row r="4525" spans="1:15">
      <c r="A4525" s="517" t="s">
        <v>8</v>
      </c>
      <c r="B4525" s="518">
        <f>VLOOKUP(A4525,'Materiales '!$C$2:$G$396,3,0)</f>
        <v>0</v>
      </c>
      <c r="C4525" s="88">
        <f>VLOOKUP(A4525,'Materiales '!$C$2:$G$396,3,0)</f>
        <v>0</v>
      </c>
      <c r="D4525" s="89" t="str">
        <f>VLOOKUP(A4525,'Materiales '!$C$2:$G$396,4,0)</f>
        <v>-</v>
      </c>
      <c r="E4525" s="90">
        <v>1</v>
      </c>
      <c r="F4525" s="508" t="e">
        <f t="shared" si="265"/>
        <v>#VALUE!</v>
      </c>
      <c r="G4525" s="519"/>
      <c r="H4525" s="111"/>
      <c r="I4525">
        <f>E4525*G4514</f>
        <v>0</v>
      </c>
      <c r="J4525" s="58"/>
      <c r="K4525" s="50"/>
      <c r="L4525" s="50"/>
      <c r="M4525" s="50"/>
      <c r="N4525" s="50"/>
      <c r="O4525" s="50"/>
    </row>
    <row r="4526" spans="1:15">
      <c r="A4526" s="517" t="s">
        <v>8</v>
      </c>
      <c r="B4526" s="518">
        <f>VLOOKUP(A4526,'Materiales '!$C$2:$G$396,3,0)</f>
        <v>0</v>
      </c>
      <c r="C4526" s="88">
        <f>VLOOKUP(A4526,'Materiales '!$C$2:$G$396,3,0)</f>
        <v>0</v>
      </c>
      <c r="D4526" s="89" t="str">
        <f>VLOOKUP(A4526,'Materiales '!$C$2:$G$396,4,0)</f>
        <v>-</v>
      </c>
      <c r="E4526" s="90">
        <v>3</v>
      </c>
      <c r="F4526" s="508" t="e">
        <f t="shared" si="265"/>
        <v>#VALUE!</v>
      </c>
      <c r="G4526" s="519"/>
      <c r="H4526" s="111"/>
      <c r="I4526">
        <f>E4526*G4514</f>
        <v>0</v>
      </c>
      <c r="J4526" s="58"/>
      <c r="K4526" s="50"/>
      <c r="L4526" s="50"/>
      <c r="M4526" s="50"/>
      <c r="N4526" s="50"/>
      <c r="O4526" s="50"/>
    </row>
    <row r="4527" spans="1:15">
      <c r="A4527" s="517" t="s">
        <v>8</v>
      </c>
      <c r="B4527" s="518">
        <f>VLOOKUP(A4527,'Materiales '!$C$2:$G$396,3,0)</f>
        <v>0</v>
      </c>
      <c r="C4527" s="88">
        <f>VLOOKUP(A4527,'Materiales '!$C$2:$G$396,3,0)</f>
        <v>0</v>
      </c>
      <c r="D4527" s="89" t="str">
        <f>VLOOKUP(A4527,'Materiales '!$C$2:$G$396,4,0)</f>
        <v>-</v>
      </c>
      <c r="E4527" s="90">
        <v>2</v>
      </c>
      <c r="F4527" s="508" t="e">
        <f t="shared" si="265"/>
        <v>#VALUE!</v>
      </c>
      <c r="G4527" s="519"/>
      <c r="H4527" s="111"/>
      <c r="I4527">
        <f>E4527*G4514</f>
        <v>0</v>
      </c>
      <c r="J4527" s="58"/>
      <c r="K4527" s="50"/>
      <c r="L4527" s="50"/>
      <c r="M4527" s="50"/>
      <c r="N4527" s="50"/>
      <c r="O4527" s="50"/>
    </row>
    <row r="4528" spans="1:15">
      <c r="A4528" s="517" t="s">
        <v>8</v>
      </c>
      <c r="B4528" s="518">
        <f>VLOOKUP(A4528,'Materiales '!$C$2:$G$396,3,0)</f>
        <v>0</v>
      </c>
      <c r="C4528" s="88">
        <f>VLOOKUP(A4528,'Materiales '!$C$2:$G$396,3,0)</f>
        <v>0</v>
      </c>
      <c r="D4528" s="89" t="str">
        <f>VLOOKUP(A4528,'Materiales '!$C$2:$G$396,4,0)</f>
        <v>-</v>
      </c>
      <c r="E4528" s="90">
        <v>8</v>
      </c>
      <c r="F4528" s="508" t="e">
        <f t="shared" si="265"/>
        <v>#VALUE!</v>
      </c>
      <c r="G4528" s="519"/>
      <c r="H4528" s="111"/>
      <c r="I4528">
        <f>E4528*G4514</f>
        <v>0</v>
      </c>
      <c r="J4528" s="58"/>
      <c r="K4528" s="50"/>
      <c r="L4528" s="50"/>
      <c r="M4528" s="50"/>
      <c r="N4528" s="50"/>
      <c r="O4528" s="50"/>
    </row>
    <row r="4529" spans="1:15">
      <c r="A4529" s="517" t="s">
        <v>8</v>
      </c>
      <c r="B4529" s="518">
        <f>VLOOKUP(A4529,'Materiales '!$C$2:$G$396,3,0)</f>
        <v>0</v>
      </c>
      <c r="C4529" s="88">
        <f>VLOOKUP(A4529,'Materiales '!$C$2:$G$396,3,0)</f>
        <v>0</v>
      </c>
      <c r="D4529" s="89" t="str">
        <f>VLOOKUP(A4529,'Materiales '!$C$2:$G$396,4,0)</f>
        <v>-</v>
      </c>
      <c r="E4529" s="90">
        <v>3</v>
      </c>
      <c r="F4529" s="508" t="e">
        <f t="shared" si="265"/>
        <v>#VALUE!</v>
      </c>
      <c r="G4529" s="519"/>
      <c r="H4529" s="111"/>
      <c r="I4529">
        <f>E4529*G4514</f>
        <v>0</v>
      </c>
      <c r="J4529" s="58"/>
      <c r="K4529" s="50"/>
      <c r="L4529" s="50"/>
      <c r="M4529" s="50"/>
      <c r="N4529" s="50"/>
      <c r="O4529" s="50"/>
    </row>
    <row r="4530" spans="1:15" ht="21.75" customHeight="1">
      <c r="A4530" s="517" t="s">
        <v>8</v>
      </c>
      <c r="B4530" s="518">
        <f>VLOOKUP(A4530,'Materiales '!$C$2:$G$396,3,0)</f>
        <v>0</v>
      </c>
      <c r="C4530" s="88">
        <f>VLOOKUP(A4530,'Materiales '!$C$2:$G$396,3,0)</f>
        <v>0</v>
      </c>
      <c r="D4530" s="89" t="str">
        <f>VLOOKUP(A4530,'Materiales '!$C$2:$G$396,4,0)</f>
        <v>-</v>
      </c>
      <c r="E4530" s="90">
        <v>0.5</v>
      </c>
      <c r="F4530" s="508" t="e">
        <f t="shared" si="265"/>
        <v>#VALUE!</v>
      </c>
      <c r="G4530" s="519"/>
      <c r="H4530" s="111"/>
      <c r="I4530">
        <f>E4530*G4514</f>
        <v>0</v>
      </c>
      <c r="J4530" s="58"/>
      <c r="K4530" s="50"/>
      <c r="L4530" s="50"/>
      <c r="M4530" s="50"/>
      <c r="N4530" s="50"/>
      <c r="O4530" s="50"/>
    </row>
    <row r="4531" spans="1:15">
      <c r="A4531" s="517" t="s">
        <v>8</v>
      </c>
      <c r="B4531" s="518">
        <f>VLOOKUP(A4531,'Materiales '!$C$2:$G$396,3,0)</f>
        <v>0</v>
      </c>
      <c r="C4531" s="88">
        <f>VLOOKUP(A4531,'Materiales '!$C$2:$G$396,3,0)</f>
        <v>0</v>
      </c>
      <c r="D4531" s="89" t="str">
        <f>VLOOKUP(A4531,'Materiales '!$C$2:$G$396,4,0)</f>
        <v>-</v>
      </c>
      <c r="E4531" s="90"/>
      <c r="F4531" s="508" t="e">
        <f>E4531*D4531</f>
        <v>#VALUE!</v>
      </c>
      <c r="G4531" s="519"/>
      <c r="H4531" s="110"/>
      <c r="I4531">
        <f>E4531*G4514</f>
        <v>0</v>
      </c>
      <c r="J4531" s="58"/>
      <c r="K4531" s="50"/>
      <c r="L4531" s="50"/>
      <c r="M4531" s="50"/>
      <c r="N4531" s="50"/>
      <c r="O4531" s="50"/>
    </row>
    <row r="4532" spans="1:15">
      <c r="A4532" s="517" t="s">
        <v>8</v>
      </c>
      <c r="B4532" s="518">
        <f>VLOOKUP(A4532,'Materiales '!$C$2:$G$396,3,0)</f>
        <v>0</v>
      </c>
      <c r="C4532" s="88">
        <f>VLOOKUP(A4532,'Materiales '!$C$2:$G$396,3,0)</f>
        <v>0</v>
      </c>
      <c r="D4532" s="89" t="str">
        <f>VLOOKUP(A4532,'Materiales '!$C$2:$G$396,4,0)</f>
        <v>-</v>
      </c>
      <c r="E4532" s="90"/>
      <c r="F4532" s="508" t="e">
        <f t="shared" ref="F4532:F4535" si="266">E4532*D4532</f>
        <v>#VALUE!</v>
      </c>
      <c r="G4532" s="519"/>
      <c r="H4532" s="111"/>
      <c r="I4532">
        <f>E4532*G4514</f>
        <v>0</v>
      </c>
      <c r="J4532" s="58"/>
      <c r="K4532" s="50"/>
      <c r="L4532" s="50"/>
      <c r="M4532" s="50"/>
      <c r="N4532" s="50"/>
      <c r="O4532" s="50"/>
    </row>
    <row r="4533" spans="1:15">
      <c r="A4533" s="517" t="s">
        <v>8</v>
      </c>
      <c r="B4533" s="518">
        <f>VLOOKUP(A4533,'Materiales '!$C$2:$G$396,3,0)</f>
        <v>0</v>
      </c>
      <c r="C4533" s="88">
        <f>VLOOKUP(A4533,'Materiales '!$C$2:$G$396,3,0)</f>
        <v>0</v>
      </c>
      <c r="D4533" s="89" t="str">
        <f>VLOOKUP(A4533,'Materiales '!$C$2:$G$396,4,0)</f>
        <v>-</v>
      </c>
      <c r="E4533" s="90"/>
      <c r="F4533" s="508" t="e">
        <f t="shared" si="266"/>
        <v>#VALUE!</v>
      </c>
      <c r="G4533" s="519"/>
      <c r="H4533" s="111"/>
      <c r="I4533">
        <f>E4533*G4514</f>
        <v>0</v>
      </c>
      <c r="J4533" s="58"/>
      <c r="K4533" s="50"/>
      <c r="L4533" s="50"/>
      <c r="M4533" s="50"/>
      <c r="N4533" s="50"/>
      <c r="O4533" s="50"/>
    </row>
    <row r="4534" spans="1:15">
      <c r="A4534" s="517" t="s">
        <v>8</v>
      </c>
      <c r="B4534" s="518">
        <f>VLOOKUP(A4534,'Materiales '!$C$2:$G$396,3,0)</f>
        <v>0</v>
      </c>
      <c r="C4534" s="88">
        <f>VLOOKUP(A4534,'Materiales '!$C$2:$G$396,3,0)</f>
        <v>0</v>
      </c>
      <c r="D4534" s="89" t="str">
        <f>VLOOKUP(A4534,'Materiales '!$C$2:$G$396,4,0)</f>
        <v>-</v>
      </c>
      <c r="E4534" s="90"/>
      <c r="F4534" s="508" t="e">
        <f t="shared" si="266"/>
        <v>#VALUE!</v>
      </c>
      <c r="G4534" s="519"/>
      <c r="H4534" s="111"/>
      <c r="I4534">
        <f>E4534*G4514</f>
        <v>0</v>
      </c>
      <c r="J4534" s="58"/>
      <c r="K4534" s="50"/>
      <c r="L4534" s="50"/>
      <c r="M4534" s="50"/>
      <c r="N4534" s="50"/>
      <c r="O4534" s="50"/>
    </row>
    <row r="4535" spans="1:15">
      <c r="A4535" s="517" t="s">
        <v>8</v>
      </c>
      <c r="B4535" s="518">
        <f>VLOOKUP(A4535,'Materiales '!$C$2:$G$396,3,0)</f>
        <v>0</v>
      </c>
      <c r="C4535" s="88">
        <f>VLOOKUP(A4535,'Materiales '!$C$2:$G$396,3,0)</f>
        <v>0</v>
      </c>
      <c r="D4535" s="89" t="str">
        <f>VLOOKUP(A4535,'Materiales '!$C$2:$G$396,4,0)</f>
        <v>-</v>
      </c>
      <c r="E4535" s="90"/>
      <c r="F4535" s="508" t="e">
        <f t="shared" si="266"/>
        <v>#VALUE!</v>
      </c>
      <c r="G4535" s="519"/>
      <c r="H4535" s="111"/>
      <c r="I4535">
        <f>E4535*G4514</f>
        <v>0</v>
      </c>
      <c r="J4535" s="58"/>
      <c r="K4535" s="50"/>
      <c r="L4535" s="50"/>
      <c r="M4535" s="50"/>
      <c r="N4535" s="50"/>
      <c r="O4535" s="50"/>
    </row>
    <row r="4536" spans="1:15">
      <c r="A4536" s="517" t="s">
        <v>8</v>
      </c>
      <c r="B4536" s="518">
        <f>VLOOKUP(A4536,'Materiales '!$C$2:$G$396,3,0)</f>
        <v>0</v>
      </c>
      <c r="C4536" s="88">
        <f>VLOOKUP(A4536,'Materiales '!$C$2:$G$396,3,0)</f>
        <v>0</v>
      </c>
      <c r="D4536" s="89" t="str">
        <f>VLOOKUP(A4536,'Materiales '!$C$2:$G$396,4,0)</f>
        <v>-</v>
      </c>
      <c r="E4536" s="90"/>
      <c r="F4536" s="508" t="e">
        <f>E4536*D4536</f>
        <v>#VALUE!</v>
      </c>
      <c r="G4536" s="519"/>
      <c r="H4536" s="110"/>
      <c r="I4536">
        <f>E4536*G4514</f>
        <v>0</v>
      </c>
      <c r="J4536" s="58"/>
      <c r="K4536" s="50"/>
      <c r="L4536" s="50"/>
      <c r="M4536" s="50"/>
      <c r="N4536" s="50"/>
      <c r="O4536" s="50"/>
    </row>
    <row r="4537" spans="1:15">
      <c r="A4537" s="520" t="s">
        <v>4098</v>
      </c>
      <c r="B4537" s="521"/>
      <c r="C4537" s="521"/>
      <c r="D4537" s="521"/>
      <c r="E4537" s="521"/>
      <c r="F4537" s="521"/>
      <c r="G4537" s="522"/>
      <c r="H4537" s="106" t="e">
        <f>SUM(F4523:F4536)</f>
        <v>#VALUE!</v>
      </c>
      <c r="J4537" s="58"/>
      <c r="K4537" s="50"/>
      <c r="L4537" s="50"/>
      <c r="M4537" s="50"/>
      <c r="N4537" s="50"/>
      <c r="O4537" s="50"/>
    </row>
    <row r="4538" spans="1:15">
      <c r="A4538" s="523" t="s">
        <v>4220</v>
      </c>
      <c r="B4538" s="524"/>
      <c r="C4538" s="524"/>
      <c r="D4538" s="524"/>
      <c r="E4538" s="525"/>
      <c r="F4538" s="524"/>
      <c r="G4538" s="524"/>
      <c r="H4538" s="526"/>
      <c r="J4538" s="58"/>
      <c r="K4538" s="50"/>
      <c r="L4538" s="50"/>
      <c r="M4538" s="50"/>
      <c r="N4538" s="50"/>
      <c r="O4538" s="50"/>
    </row>
    <row r="4539" spans="1:15">
      <c r="A4539" s="527" t="s">
        <v>7</v>
      </c>
      <c r="B4539" s="528"/>
      <c r="C4539" s="98" t="s">
        <v>4221</v>
      </c>
      <c r="D4539" s="97" t="s">
        <v>4222</v>
      </c>
      <c r="E4539" s="187" t="s">
        <v>4223</v>
      </c>
      <c r="F4539" s="529" t="s">
        <v>4207</v>
      </c>
      <c r="G4539" s="529"/>
      <c r="H4539" s="109"/>
      <c r="K4539" s="50"/>
      <c r="L4539" s="50"/>
      <c r="M4539" s="50"/>
      <c r="N4539" s="50"/>
      <c r="O4539" s="50"/>
    </row>
    <row r="4540" spans="1:15">
      <c r="A4540" s="506" t="s">
        <v>3928</v>
      </c>
      <c r="B4540" s="507"/>
      <c r="C4540" s="213">
        <v>1</v>
      </c>
      <c r="D4540" s="92">
        <v>0.03</v>
      </c>
      <c r="E4540" s="93" t="str">
        <f>VLOOKUP(A4540,'Equip, Herr y Transp'!$B$2:$E$217,3,0)</f>
        <v>TR</v>
      </c>
      <c r="F4540" s="530" t="e">
        <f>E4540*D4540*C4540</f>
        <v>#VALUE!</v>
      </c>
      <c r="G4540" s="531"/>
      <c r="H4540" s="107"/>
      <c r="M4540" s="50"/>
    </row>
    <row r="4541" spans="1:15">
      <c r="A4541" s="532" t="s">
        <v>4205</v>
      </c>
      <c r="B4541" s="533"/>
      <c r="C4541" s="533"/>
      <c r="D4541" s="533"/>
      <c r="E4541" s="533"/>
      <c r="F4541" s="533"/>
      <c r="G4541" s="533"/>
      <c r="H4541" s="95" t="e">
        <f>F4540</f>
        <v>#VALUE!</v>
      </c>
    </row>
    <row r="4542" spans="1:15">
      <c r="A4542" s="523" t="s">
        <v>4224</v>
      </c>
      <c r="B4542" s="524"/>
      <c r="C4542" s="524"/>
      <c r="D4542" s="524"/>
      <c r="E4542" s="524"/>
      <c r="F4542" s="524"/>
      <c r="G4542" s="524"/>
      <c r="H4542" s="526"/>
    </row>
    <row r="4543" spans="1:15">
      <c r="A4543" s="527" t="s">
        <v>7</v>
      </c>
      <c r="B4543" s="528"/>
      <c r="C4543" s="96" t="s">
        <v>1</v>
      </c>
      <c r="D4543" s="97" t="s">
        <v>4225</v>
      </c>
      <c r="E4543" s="98" t="s">
        <v>4204</v>
      </c>
      <c r="F4543" s="527" t="s">
        <v>5</v>
      </c>
      <c r="G4543" s="534"/>
      <c r="H4543" s="109"/>
    </row>
    <row r="4544" spans="1:15">
      <c r="A4544" s="506" t="s">
        <v>4191</v>
      </c>
      <c r="B4544" s="507"/>
      <c r="C4544" s="91">
        <v>1</v>
      </c>
      <c r="D4544" s="94">
        <f>VLOOKUP(A4544,'Mano Obra'!$B$2:$T$117,19,0)</f>
        <v>152456</v>
      </c>
      <c r="E4544" s="218">
        <f>H4507</f>
        <v>0.22919999999999999</v>
      </c>
      <c r="F4544" s="508">
        <f>E4544*D4544*C4544</f>
        <v>34942.915199999996</v>
      </c>
      <c r="G4544" s="509"/>
      <c r="H4544" s="111"/>
      <c r="I4544" s="59"/>
      <c r="J4544" s="117">
        <f>((('Mano Obra'!$M$4/30)*F4544)/D4544)*G4514</f>
        <v>0</v>
      </c>
    </row>
    <row r="4545" spans="1:10">
      <c r="A4545" s="510" t="s">
        <v>4192</v>
      </c>
      <c r="B4545" s="511">
        <f>VLOOKUP(A4545,'Mano Obra'!$B$3:$D$290,2,0)</f>
        <v>1900000</v>
      </c>
      <c r="C4545" s="91">
        <v>1</v>
      </c>
      <c r="D4545" s="94">
        <f>VLOOKUP(A4545,'Mano Obra'!$B$2:$T$117,19,0)</f>
        <v>110488</v>
      </c>
      <c r="E4545" s="218">
        <f>H4507</f>
        <v>0.22919999999999999</v>
      </c>
      <c r="F4545" s="508">
        <f t="shared" ref="F4545:F4546" si="267">E4545*D4545*C4545</f>
        <v>25323.849599999998</v>
      </c>
      <c r="G4545" s="509"/>
      <c r="H4545" s="111"/>
      <c r="J4545" s="117">
        <f>((('Mano Obra'!$M$5/30)*F4545)/D4545)*G4514</f>
        <v>0</v>
      </c>
    </row>
    <row r="4546" spans="1:10">
      <c r="A4546" s="510" t="s">
        <v>4181</v>
      </c>
      <c r="B4546" s="511">
        <f>VLOOKUP(A4546,'Mano Obra'!$B$3:$D$290,2,0)</f>
        <v>1000000</v>
      </c>
      <c r="C4546" s="91">
        <v>1</v>
      </c>
      <c r="D4546" s="94">
        <f>VLOOKUP(A4546,'Mano Obra'!$B$2:$T$117,19,0)</f>
        <v>67424</v>
      </c>
      <c r="E4546" s="218">
        <f>H4507</f>
        <v>0.22919999999999999</v>
      </c>
      <c r="F4546" s="508">
        <f t="shared" si="267"/>
        <v>15453.5808</v>
      </c>
      <c r="G4546" s="509"/>
      <c r="H4546" s="110"/>
      <c r="J4546" s="117">
        <f>((('Mano Obra'!$M$6/30)*F4546)/D4546)*G4514</f>
        <v>0</v>
      </c>
    </row>
    <row r="4547" spans="1:10">
      <c r="A4547" s="512" t="s">
        <v>4100</v>
      </c>
      <c r="B4547" s="512"/>
      <c r="C4547" s="512"/>
      <c r="D4547" s="512"/>
      <c r="E4547" s="512"/>
      <c r="F4547" s="512"/>
      <c r="G4547" s="512"/>
      <c r="H4547" s="95">
        <f>SUM(F4544:F4546)</f>
        <v>75720.345599999986</v>
      </c>
      <c r="J4547" s="117"/>
    </row>
    <row r="4548" spans="1:10">
      <c r="A4548" s="208" t="s">
        <v>4226</v>
      </c>
      <c r="B4548" s="186"/>
      <c r="C4548" s="186"/>
      <c r="D4548" s="183"/>
      <c r="E4548" s="184"/>
      <c r="F4548" s="185"/>
      <c r="G4548" s="184"/>
      <c r="H4548" s="193"/>
    </row>
    <row r="4549" spans="1:10">
      <c r="A4549" s="513" t="s">
        <v>4213</v>
      </c>
      <c r="B4549" s="514"/>
      <c r="C4549" s="514"/>
      <c r="D4549" s="514"/>
      <c r="E4549" s="181"/>
      <c r="F4549" s="182" t="s">
        <v>4227</v>
      </c>
      <c r="G4549" s="181" t="s">
        <v>4228</v>
      </c>
      <c r="H4549" s="194"/>
    </row>
    <row r="4550" spans="1:10">
      <c r="A4550" s="204" t="s">
        <v>4096</v>
      </c>
      <c r="B4550" s="62"/>
      <c r="C4550" s="62"/>
      <c r="D4550" s="63"/>
      <c r="E4550" s="68"/>
      <c r="F4550" s="69">
        <v>0</v>
      </c>
      <c r="G4550" s="70" t="e">
        <f>F4550*H4515</f>
        <v>#VALUE!</v>
      </c>
      <c r="H4550" s="193"/>
    </row>
    <row r="4551" spans="1:10">
      <c r="A4551" s="205" t="s">
        <v>4229</v>
      </c>
      <c r="B4551" s="71"/>
      <c r="C4551" s="71"/>
      <c r="D4551" s="72"/>
      <c r="E4551" s="68"/>
      <c r="F4551" s="69">
        <v>0</v>
      </c>
      <c r="G4551" s="70" t="e">
        <f>F4551*H4515</f>
        <v>#VALUE!</v>
      </c>
      <c r="H4551" s="193"/>
    </row>
    <row r="4552" spans="1:10">
      <c r="A4552" s="205" t="s">
        <v>4</v>
      </c>
      <c r="B4552" s="71"/>
      <c r="C4552" s="71"/>
      <c r="D4552" s="72"/>
      <c r="E4552" s="68"/>
      <c r="F4552" s="69">
        <v>0</v>
      </c>
      <c r="G4552" s="70" t="e">
        <f>F4552*H4515</f>
        <v>#VALUE!</v>
      </c>
      <c r="H4552" s="193"/>
    </row>
    <row r="4553" spans="1:10">
      <c r="A4553" s="206"/>
      <c r="B4553" s="73"/>
      <c r="C4553" s="65"/>
      <c r="D4553" s="74"/>
      <c r="E4553" s="75"/>
      <c r="F4553" s="76"/>
      <c r="G4553" s="77"/>
      <c r="H4553" s="195"/>
    </row>
    <row r="4554" spans="1:10">
      <c r="A4554" s="207"/>
      <c r="B4554" s="73"/>
      <c r="C4554" s="73"/>
      <c r="D4554" s="74"/>
      <c r="E4554" s="78"/>
      <c r="F4554" s="515" t="s">
        <v>4230</v>
      </c>
      <c r="G4554" s="516"/>
      <c r="H4554" s="214" t="e">
        <f>H4515+G4550+G4551+G4552</f>
        <v>#VALUE!</v>
      </c>
    </row>
    <row r="4555" spans="1:10">
      <c r="A4555" s="73"/>
      <c r="B4555" s="73"/>
      <c r="C4555" s="73"/>
      <c r="D4555" s="74"/>
      <c r="E4555" s="360"/>
      <c r="F4555" s="361"/>
      <c r="G4555" s="361"/>
      <c r="H4555" s="362"/>
    </row>
    <row r="4556" spans="1:10">
      <c r="A4556" s="80"/>
      <c r="B4556" s="80"/>
      <c r="C4556" s="80"/>
      <c r="D4556" s="80"/>
      <c r="E4556" s="80"/>
      <c r="F4556" s="80"/>
      <c r="G4556" s="80"/>
      <c r="H4556" s="353"/>
    </row>
    <row r="4557" spans="1:10">
      <c r="A4557" s="537" t="s">
        <v>4214</v>
      </c>
      <c r="B4557" s="538"/>
      <c r="C4557" s="538"/>
      <c r="D4557" s="538"/>
      <c r="E4557" s="538"/>
      <c r="F4557" s="538"/>
      <c r="G4557" s="538"/>
      <c r="H4557" s="539"/>
    </row>
    <row r="4558" spans="1:10">
      <c r="A4558" s="81"/>
      <c r="B4558" s="82"/>
      <c r="C4558" s="82"/>
      <c r="D4558" s="82"/>
      <c r="E4558" s="82"/>
      <c r="F4558" s="83"/>
      <c r="G4558" s="84"/>
      <c r="H4558" s="352">
        <f>ROUND((110/60)/8,4)</f>
        <v>0.22919999999999999</v>
      </c>
      <c r="I4558" s="105"/>
    </row>
    <row r="4559" spans="1:10">
      <c r="A4559" s="540" t="s">
        <v>4209</v>
      </c>
      <c r="B4559" s="542" t="str">
        <f>COSTOS!$C$14</f>
        <v>MODERNIZACION A TECNOLOGIA LED</v>
      </c>
      <c r="C4559" s="542"/>
      <c r="D4559" s="542"/>
      <c r="E4559" s="542"/>
      <c r="F4559" s="542"/>
      <c r="G4559" s="542"/>
      <c r="H4559" s="543" t="s">
        <v>4210</v>
      </c>
    </row>
    <row r="4560" spans="1:10">
      <c r="A4560" s="541"/>
      <c r="B4560" s="542"/>
      <c r="C4560" s="542"/>
      <c r="D4560" s="542"/>
      <c r="E4560" s="542"/>
      <c r="F4560" s="542"/>
      <c r="G4560" s="542"/>
      <c r="H4560" s="543"/>
    </row>
    <row r="4561" spans="1:15">
      <c r="A4561" s="541"/>
      <c r="B4561" s="542"/>
      <c r="C4561" s="542"/>
      <c r="D4561" s="542"/>
      <c r="E4561" s="542"/>
      <c r="F4561" s="542"/>
      <c r="G4561" s="542"/>
      <c r="H4561" s="543"/>
    </row>
    <row r="4562" spans="1:15" ht="15" customHeight="1">
      <c r="A4562" s="541"/>
      <c r="B4562" s="542"/>
      <c r="C4562" s="542"/>
      <c r="D4562" s="542"/>
      <c r="E4562" s="542"/>
      <c r="F4562" s="542"/>
      <c r="G4562" s="542"/>
      <c r="H4562" s="197">
        <f ca="1">TODAY()</f>
        <v>44889</v>
      </c>
      <c r="K4562" t="s">
        <v>4380</v>
      </c>
      <c r="L4562" t="s">
        <v>4381</v>
      </c>
      <c r="M4562" t="s">
        <v>4382</v>
      </c>
      <c r="N4562" t="s">
        <v>4383</v>
      </c>
    </row>
    <row r="4563" spans="1:15" ht="60.75" customHeight="1">
      <c r="A4563" s="209" t="s">
        <v>4211</v>
      </c>
      <c r="B4563" s="544" t="str">
        <f>COSTOS!$D$16</f>
        <v>Luminarias</v>
      </c>
      <c r="C4563" s="544"/>
      <c r="D4563" s="544"/>
      <c r="E4563" s="544"/>
      <c r="F4563" s="544"/>
      <c r="G4563" s="60" t="s">
        <v>4212</v>
      </c>
      <c r="H4563" s="359">
        <v>2.7</v>
      </c>
      <c r="K4563" s="55" t="e">
        <f>H4588</f>
        <v>#VALUE!</v>
      </c>
      <c r="L4563" s="55">
        <f>H4598</f>
        <v>75720.345599999986</v>
      </c>
      <c r="M4563" s="55" t="e">
        <f>H4571</f>
        <v>#VALUE!</v>
      </c>
      <c r="N4563" s="55" t="e">
        <f>H4592</f>
        <v>#VALUE!</v>
      </c>
    </row>
    <row r="4564" spans="1:15" ht="43.2" customHeight="1">
      <c r="A4564" s="210" t="s">
        <v>4213</v>
      </c>
      <c r="B4564" s="545" t="str">
        <f>VLOOKUP(H4563,COSTOS!C:M,2,0)</f>
        <v>Poste metalico 5 metros para reflector</v>
      </c>
      <c r="C4564" s="546"/>
      <c r="D4564" s="546"/>
      <c r="E4564" s="547"/>
      <c r="F4564" s="61" t="s">
        <v>0</v>
      </c>
      <c r="G4564" s="328" t="str">
        <f>VLOOKUP(H4563,COSTOS!C:M,8,0)</f>
        <v>Und</v>
      </c>
      <c r="H4564" s="248"/>
      <c r="I4564" s="278"/>
      <c r="J4564" s="280"/>
      <c r="K4564" s="280"/>
      <c r="L4564" s="280"/>
    </row>
    <row r="4565" spans="1:15">
      <c r="A4565" s="211"/>
      <c r="B4565" s="102"/>
      <c r="C4565" s="102"/>
      <c r="D4565" s="102"/>
      <c r="E4565" s="103"/>
      <c r="F4565" s="104" t="s">
        <v>1</v>
      </c>
      <c r="G4565" s="328">
        <f>VLOOKUP(H4563,COSTOS!C:M,9,0)</f>
        <v>0</v>
      </c>
      <c r="H4565" s="329"/>
      <c r="I4565" s="279"/>
    </row>
    <row r="4566" spans="1:15">
      <c r="A4566" s="212" t="s">
        <v>4215</v>
      </c>
      <c r="B4566" s="65"/>
      <c r="C4566" s="65"/>
      <c r="D4566" s="66"/>
      <c r="E4566" s="190"/>
      <c r="F4566" s="191"/>
      <c r="G4566" s="192" t="s">
        <v>4216</v>
      </c>
      <c r="H4566" s="198" t="e">
        <f>H4571+H4588+H4592+H4598</f>
        <v>#VALUE!</v>
      </c>
    </row>
    <row r="4567" spans="1:15" ht="41.4">
      <c r="A4567" s="548" t="s">
        <v>4213</v>
      </c>
      <c r="B4567" s="548"/>
      <c r="C4567" s="548"/>
      <c r="D4567" s="67" t="s">
        <v>0</v>
      </c>
      <c r="E4567" s="188" t="s">
        <v>4217</v>
      </c>
      <c r="F4567" s="189" t="s">
        <v>4204</v>
      </c>
      <c r="G4567" s="64" t="s">
        <v>2</v>
      </c>
      <c r="H4567" s="199" t="s">
        <v>4218</v>
      </c>
      <c r="K4567" s="281"/>
    </row>
    <row r="4568" spans="1:15">
      <c r="A4568" s="517" t="s">
        <v>3946</v>
      </c>
      <c r="B4568" s="549">
        <f>VLOOKUP(A4568,'Equip, Herr y Transp'!$B$2:$E$738,2,0)</f>
        <v>2</v>
      </c>
      <c r="C4568" s="549"/>
      <c r="D4568" s="85">
        <f>VLOOKUP(A4568,'Equip, Herr y Transp'!$B$2:$E$217,2,0)</f>
        <v>2</v>
      </c>
      <c r="E4568" s="85" t="str">
        <f>VLOOKUP(A4568,'Equip, Herr y Transp'!$B$2:$E$217,3,0)</f>
        <v>EQU</v>
      </c>
      <c r="F4568" s="86">
        <f>H4558</f>
        <v>0.22919999999999999</v>
      </c>
      <c r="G4568" s="112" t="e">
        <f>F4568*E4568</f>
        <v>#VALUE!</v>
      </c>
      <c r="H4568" s="108"/>
    </row>
    <row r="4569" spans="1:15">
      <c r="A4569" s="517" t="s">
        <v>3904</v>
      </c>
      <c r="B4569" s="549">
        <f>VLOOKUP(A4569,'Equip, Herr y Transp'!$B$2:$E$738,2,0)</f>
        <v>2</v>
      </c>
      <c r="C4569" s="549"/>
      <c r="D4569" s="85">
        <f>VLOOKUP(A4569,'Equip, Herr y Transp'!$B$2:$E$217,2,0)</f>
        <v>2</v>
      </c>
      <c r="E4569" s="85" t="str">
        <f>VLOOKUP(A4569,'Equip, Herr y Transp'!$B$2:$E$217,3,0)</f>
        <v>EQU</v>
      </c>
      <c r="F4569" s="86">
        <f>H4558</f>
        <v>0.22919999999999999</v>
      </c>
      <c r="G4569" s="112" t="e">
        <f>F4569*E4569</f>
        <v>#VALUE!</v>
      </c>
      <c r="H4569" s="107"/>
    </row>
    <row r="4570" spans="1:15">
      <c r="A4570" s="517" t="s">
        <v>8</v>
      </c>
      <c r="B4570" s="549" t="e">
        <f>VLOOKUP(A4570,'Equip, Herr y Transp'!$B$2:$E$738,2,0)</f>
        <v>#N/A</v>
      </c>
      <c r="C4570" s="549"/>
      <c r="D4570" s="85" t="e">
        <f>VLOOKUP(A4570,'Equip, Herr y Transp'!$B$2:$E$217,2,0)</f>
        <v>#N/A</v>
      </c>
      <c r="E4570" s="85" t="e">
        <f>VLOOKUP(A4570,'Equip, Herr y Transp'!$B$2:$E$217,3,0)</f>
        <v>#N/A</v>
      </c>
      <c r="F4570" s="86"/>
      <c r="G4570" s="112" t="e">
        <f>F4570*E4570</f>
        <v>#N/A</v>
      </c>
      <c r="H4570" s="107"/>
    </row>
    <row r="4571" spans="1:15">
      <c r="A4571" s="520" t="s">
        <v>4099</v>
      </c>
      <c r="B4571" s="521"/>
      <c r="C4571" s="521"/>
      <c r="D4571" s="521"/>
      <c r="E4571" s="521"/>
      <c r="F4571" s="521"/>
      <c r="G4571" s="521"/>
      <c r="H4571" s="87" t="e">
        <f>SUM(G4568:G4570)</f>
        <v>#VALUE!</v>
      </c>
    </row>
    <row r="4572" spans="1:15">
      <c r="A4572" s="550" t="s">
        <v>4219</v>
      </c>
      <c r="B4572" s="551"/>
      <c r="C4572" s="551"/>
      <c r="D4572" s="551"/>
      <c r="E4572" s="551"/>
      <c r="F4572" s="551"/>
      <c r="G4572" s="551"/>
      <c r="H4572" s="552"/>
      <c r="K4572" s="50"/>
      <c r="L4572" s="50"/>
      <c r="M4572" s="50"/>
      <c r="N4572" s="50"/>
      <c r="O4572" s="50"/>
    </row>
    <row r="4573" spans="1:15" ht="30" customHeight="1">
      <c r="A4573" s="553" t="s">
        <v>7</v>
      </c>
      <c r="B4573" s="554"/>
      <c r="C4573" s="99" t="s">
        <v>0</v>
      </c>
      <c r="D4573" s="100" t="s">
        <v>4097</v>
      </c>
      <c r="E4573" s="101" t="s">
        <v>1</v>
      </c>
      <c r="F4573" s="555" t="s">
        <v>4207</v>
      </c>
      <c r="G4573" s="555"/>
      <c r="H4573" s="196"/>
      <c r="K4573" s="50"/>
      <c r="L4573" s="50"/>
      <c r="M4573" s="50"/>
      <c r="N4573" s="50"/>
      <c r="O4573" s="50"/>
    </row>
    <row r="4574" spans="1:15">
      <c r="A4574" s="535" t="s">
        <v>4682</v>
      </c>
      <c r="B4574" s="536"/>
      <c r="C4574" s="88">
        <f>VLOOKUP(A4574,'Materiales '!$C$2:$G$396,3,0)</f>
        <v>4</v>
      </c>
      <c r="D4574" s="89" t="str">
        <f>VLOOKUP(A4574,'Materiales '!$C$2:$G$396,4,0)</f>
        <v>Und</v>
      </c>
      <c r="E4574" s="90">
        <v>1</v>
      </c>
      <c r="F4574" s="508" t="e">
        <f>E4574*D4574</f>
        <v>#VALUE!</v>
      </c>
      <c r="G4574" s="519"/>
      <c r="H4574" s="111"/>
      <c r="I4574">
        <f>E4574*G4565</f>
        <v>0</v>
      </c>
      <c r="J4574" s="57"/>
      <c r="K4574" s="50"/>
      <c r="L4574" s="50"/>
      <c r="M4574" s="50"/>
      <c r="N4574" s="50"/>
      <c r="O4574" s="50"/>
    </row>
    <row r="4575" spans="1:15">
      <c r="A4575" s="535" t="s">
        <v>4617</v>
      </c>
      <c r="B4575" s="536"/>
      <c r="C4575" s="88">
        <f>VLOOKUP(A4575,'Materiales '!$C$2:$G$396,3,0)</f>
        <v>3</v>
      </c>
      <c r="D4575" s="89" t="str">
        <f>VLOOKUP(A4575,'Materiales '!$C$2:$G$396,4,0)</f>
        <v>Rollo</v>
      </c>
      <c r="E4575" s="90">
        <v>0.5</v>
      </c>
      <c r="F4575" s="508" t="e">
        <f t="shared" ref="F4575:F4581" si="268">E4575*D4575</f>
        <v>#VALUE!</v>
      </c>
      <c r="G4575" s="519"/>
      <c r="H4575" s="111"/>
      <c r="I4575">
        <f>E4575*G4565</f>
        <v>0</v>
      </c>
      <c r="J4575" s="57"/>
      <c r="K4575" s="50"/>
      <c r="L4575" s="50"/>
      <c r="M4575" s="50"/>
      <c r="N4575" s="50"/>
      <c r="O4575" s="50"/>
    </row>
    <row r="4576" spans="1:15">
      <c r="A4576" s="517" t="s">
        <v>8</v>
      </c>
      <c r="B4576" s="518">
        <f>VLOOKUP(A4576,'Materiales '!$C$2:$G$396,3,0)</f>
        <v>0</v>
      </c>
      <c r="C4576" s="88">
        <f>VLOOKUP(A4576,'Materiales '!$C$2:$G$396,3,0)</f>
        <v>0</v>
      </c>
      <c r="D4576" s="89" t="str">
        <f>VLOOKUP(A4576,'Materiales '!$C$2:$G$396,4,0)</f>
        <v>-</v>
      </c>
      <c r="E4576" s="90">
        <v>1</v>
      </c>
      <c r="F4576" s="508" t="e">
        <f t="shared" si="268"/>
        <v>#VALUE!</v>
      </c>
      <c r="G4576" s="519"/>
      <c r="H4576" s="111"/>
      <c r="I4576">
        <f>E4576*G4565</f>
        <v>0</v>
      </c>
      <c r="J4576" s="58"/>
      <c r="K4576" s="50"/>
      <c r="L4576" s="50"/>
      <c r="M4576" s="50"/>
      <c r="N4576" s="50"/>
      <c r="O4576" s="50"/>
    </row>
    <row r="4577" spans="1:15">
      <c r="A4577" s="517" t="s">
        <v>8</v>
      </c>
      <c r="B4577" s="518">
        <f>VLOOKUP(A4577,'Materiales '!$C$2:$G$396,3,0)</f>
        <v>0</v>
      </c>
      <c r="C4577" s="88">
        <f>VLOOKUP(A4577,'Materiales '!$C$2:$G$396,3,0)</f>
        <v>0</v>
      </c>
      <c r="D4577" s="89" t="str">
        <f>VLOOKUP(A4577,'Materiales '!$C$2:$G$396,4,0)</f>
        <v>-</v>
      </c>
      <c r="E4577" s="90">
        <v>3</v>
      </c>
      <c r="F4577" s="508" t="e">
        <f t="shared" si="268"/>
        <v>#VALUE!</v>
      </c>
      <c r="G4577" s="519"/>
      <c r="H4577" s="111"/>
      <c r="I4577">
        <f>E4577*G4565</f>
        <v>0</v>
      </c>
      <c r="J4577" s="58"/>
      <c r="K4577" s="50"/>
      <c r="L4577" s="50"/>
      <c r="M4577" s="50"/>
      <c r="N4577" s="50"/>
      <c r="O4577" s="50"/>
    </row>
    <row r="4578" spans="1:15">
      <c r="A4578" s="517" t="s">
        <v>8</v>
      </c>
      <c r="B4578" s="518">
        <f>VLOOKUP(A4578,'Materiales '!$C$2:$G$396,3,0)</f>
        <v>0</v>
      </c>
      <c r="C4578" s="88">
        <f>VLOOKUP(A4578,'Materiales '!$C$2:$G$396,3,0)</f>
        <v>0</v>
      </c>
      <c r="D4578" s="89" t="str">
        <f>VLOOKUP(A4578,'Materiales '!$C$2:$G$396,4,0)</f>
        <v>-</v>
      </c>
      <c r="E4578" s="90">
        <v>2</v>
      </c>
      <c r="F4578" s="508" t="e">
        <f t="shared" si="268"/>
        <v>#VALUE!</v>
      </c>
      <c r="G4578" s="519"/>
      <c r="H4578" s="111"/>
      <c r="I4578">
        <f>E4578*G4565</f>
        <v>0</v>
      </c>
      <c r="J4578" s="58"/>
      <c r="K4578" s="50"/>
      <c r="L4578" s="50"/>
      <c r="M4578" s="50"/>
      <c r="N4578" s="50"/>
      <c r="O4578" s="50"/>
    </row>
    <row r="4579" spans="1:15">
      <c r="A4579" s="517" t="s">
        <v>8</v>
      </c>
      <c r="B4579" s="518">
        <f>VLOOKUP(A4579,'Materiales '!$C$2:$G$396,3,0)</f>
        <v>0</v>
      </c>
      <c r="C4579" s="88">
        <f>VLOOKUP(A4579,'Materiales '!$C$2:$G$396,3,0)</f>
        <v>0</v>
      </c>
      <c r="D4579" s="89" t="str">
        <f>VLOOKUP(A4579,'Materiales '!$C$2:$G$396,4,0)</f>
        <v>-</v>
      </c>
      <c r="E4579" s="90">
        <v>8</v>
      </c>
      <c r="F4579" s="508" t="e">
        <f t="shared" si="268"/>
        <v>#VALUE!</v>
      </c>
      <c r="G4579" s="519"/>
      <c r="H4579" s="111"/>
      <c r="I4579">
        <f>E4579*G4565</f>
        <v>0</v>
      </c>
      <c r="J4579" s="58"/>
      <c r="K4579" s="50"/>
      <c r="L4579" s="50"/>
      <c r="M4579" s="50"/>
      <c r="N4579" s="50"/>
      <c r="O4579" s="50"/>
    </row>
    <row r="4580" spans="1:15">
      <c r="A4580" s="517" t="s">
        <v>8</v>
      </c>
      <c r="B4580" s="518">
        <f>VLOOKUP(A4580,'Materiales '!$C$2:$G$396,3,0)</f>
        <v>0</v>
      </c>
      <c r="C4580" s="88">
        <f>VLOOKUP(A4580,'Materiales '!$C$2:$G$396,3,0)</f>
        <v>0</v>
      </c>
      <c r="D4580" s="89" t="str">
        <f>VLOOKUP(A4580,'Materiales '!$C$2:$G$396,4,0)</f>
        <v>-</v>
      </c>
      <c r="E4580" s="90">
        <v>3</v>
      </c>
      <c r="F4580" s="508" t="e">
        <f t="shared" si="268"/>
        <v>#VALUE!</v>
      </c>
      <c r="G4580" s="519"/>
      <c r="H4580" s="111"/>
      <c r="I4580">
        <f>E4580*G4565</f>
        <v>0</v>
      </c>
      <c r="J4580" s="58"/>
      <c r="K4580" s="50"/>
      <c r="L4580" s="50"/>
      <c r="M4580" s="50"/>
      <c r="N4580" s="50"/>
      <c r="O4580" s="50"/>
    </row>
    <row r="4581" spans="1:15" ht="21.75" customHeight="1">
      <c r="A4581" s="517" t="s">
        <v>8</v>
      </c>
      <c r="B4581" s="518">
        <f>VLOOKUP(A4581,'Materiales '!$C$2:$G$396,3,0)</f>
        <v>0</v>
      </c>
      <c r="C4581" s="88">
        <f>VLOOKUP(A4581,'Materiales '!$C$2:$G$396,3,0)</f>
        <v>0</v>
      </c>
      <c r="D4581" s="89" t="str">
        <f>VLOOKUP(A4581,'Materiales '!$C$2:$G$396,4,0)</f>
        <v>-</v>
      </c>
      <c r="E4581" s="90">
        <v>0.5</v>
      </c>
      <c r="F4581" s="508" t="e">
        <f t="shared" si="268"/>
        <v>#VALUE!</v>
      </c>
      <c r="G4581" s="519"/>
      <c r="H4581" s="111"/>
      <c r="I4581">
        <f>E4581*G4565</f>
        <v>0</v>
      </c>
      <c r="J4581" s="58"/>
      <c r="K4581" s="50"/>
      <c r="L4581" s="50"/>
      <c r="M4581" s="50"/>
      <c r="N4581" s="50"/>
      <c r="O4581" s="50"/>
    </row>
    <row r="4582" spans="1:15">
      <c r="A4582" s="517" t="s">
        <v>8</v>
      </c>
      <c r="B4582" s="518">
        <f>VLOOKUP(A4582,'Materiales '!$C$2:$G$396,3,0)</f>
        <v>0</v>
      </c>
      <c r="C4582" s="88">
        <f>VLOOKUP(A4582,'Materiales '!$C$2:$G$396,3,0)</f>
        <v>0</v>
      </c>
      <c r="D4582" s="89" t="str">
        <f>VLOOKUP(A4582,'Materiales '!$C$2:$G$396,4,0)</f>
        <v>-</v>
      </c>
      <c r="E4582" s="90"/>
      <c r="F4582" s="508" t="e">
        <f>E4582*D4582</f>
        <v>#VALUE!</v>
      </c>
      <c r="G4582" s="519"/>
      <c r="H4582" s="110"/>
      <c r="I4582">
        <f>E4582*G4565</f>
        <v>0</v>
      </c>
      <c r="J4582" s="58"/>
      <c r="K4582" s="50"/>
      <c r="L4582" s="50"/>
      <c r="M4582" s="50"/>
      <c r="N4582" s="50"/>
      <c r="O4582" s="50"/>
    </row>
    <row r="4583" spans="1:15">
      <c r="A4583" s="517" t="s">
        <v>8</v>
      </c>
      <c r="B4583" s="518">
        <f>VLOOKUP(A4583,'Materiales '!$C$2:$G$396,3,0)</f>
        <v>0</v>
      </c>
      <c r="C4583" s="88">
        <f>VLOOKUP(A4583,'Materiales '!$C$2:$G$396,3,0)</f>
        <v>0</v>
      </c>
      <c r="D4583" s="89" t="str">
        <f>VLOOKUP(A4583,'Materiales '!$C$2:$G$396,4,0)</f>
        <v>-</v>
      </c>
      <c r="E4583" s="90"/>
      <c r="F4583" s="508" t="e">
        <f t="shared" ref="F4583:F4586" si="269">E4583*D4583</f>
        <v>#VALUE!</v>
      </c>
      <c r="G4583" s="519"/>
      <c r="H4583" s="111"/>
      <c r="I4583">
        <f>E4583*G4565</f>
        <v>0</v>
      </c>
      <c r="J4583" s="58"/>
      <c r="K4583" s="50"/>
      <c r="L4583" s="50"/>
      <c r="M4583" s="50"/>
      <c r="N4583" s="50"/>
      <c r="O4583" s="50"/>
    </row>
    <row r="4584" spans="1:15">
      <c r="A4584" s="517" t="s">
        <v>8</v>
      </c>
      <c r="B4584" s="518">
        <f>VLOOKUP(A4584,'Materiales '!$C$2:$G$396,3,0)</f>
        <v>0</v>
      </c>
      <c r="C4584" s="88">
        <f>VLOOKUP(A4584,'Materiales '!$C$2:$G$396,3,0)</f>
        <v>0</v>
      </c>
      <c r="D4584" s="89" t="str">
        <f>VLOOKUP(A4584,'Materiales '!$C$2:$G$396,4,0)</f>
        <v>-</v>
      </c>
      <c r="E4584" s="90"/>
      <c r="F4584" s="508" t="e">
        <f t="shared" si="269"/>
        <v>#VALUE!</v>
      </c>
      <c r="G4584" s="519"/>
      <c r="H4584" s="111"/>
      <c r="I4584">
        <f>E4584*G4565</f>
        <v>0</v>
      </c>
      <c r="J4584" s="58"/>
      <c r="K4584" s="50"/>
      <c r="L4584" s="50"/>
      <c r="M4584" s="50"/>
      <c r="N4584" s="50"/>
      <c r="O4584" s="50"/>
    </row>
    <row r="4585" spans="1:15">
      <c r="A4585" s="517" t="s">
        <v>8</v>
      </c>
      <c r="B4585" s="518">
        <f>VLOOKUP(A4585,'Materiales '!$C$2:$G$396,3,0)</f>
        <v>0</v>
      </c>
      <c r="C4585" s="88">
        <f>VLOOKUP(A4585,'Materiales '!$C$2:$G$396,3,0)</f>
        <v>0</v>
      </c>
      <c r="D4585" s="89" t="str">
        <f>VLOOKUP(A4585,'Materiales '!$C$2:$G$396,4,0)</f>
        <v>-</v>
      </c>
      <c r="E4585" s="90"/>
      <c r="F4585" s="508" t="e">
        <f t="shared" si="269"/>
        <v>#VALUE!</v>
      </c>
      <c r="G4585" s="519"/>
      <c r="H4585" s="111"/>
      <c r="I4585">
        <f>E4585*G4565</f>
        <v>0</v>
      </c>
      <c r="J4585" s="58"/>
      <c r="K4585" s="50"/>
      <c r="L4585" s="50"/>
      <c r="M4585" s="50"/>
      <c r="N4585" s="50"/>
      <c r="O4585" s="50"/>
    </row>
    <row r="4586" spans="1:15">
      <c r="A4586" s="517" t="s">
        <v>8</v>
      </c>
      <c r="B4586" s="518">
        <f>VLOOKUP(A4586,'Materiales '!$C$2:$G$396,3,0)</f>
        <v>0</v>
      </c>
      <c r="C4586" s="88">
        <f>VLOOKUP(A4586,'Materiales '!$C$2:$G$396,3,0)</f>
        <v>0</v>
      </c>
      <c r="D4586" s="89" t="str">
        <f>VLOOKUP(A4586,'Materiales '!$C$2:$G$396,4,0)</f>
        <v>-</v>
      </c>
      <c r="E4586" s="90"/>
      <c r="F4586" s="508" t="e">
        <f t="shared" si="269"/>
        <v>#VALUE!</v>
      </c>
      <c r="G4586" s="519"/>
      <c r="H4586" s="111"/>
      <c r="I4586">
        <f>E4586*G4565</f>
        <v>0</v>
      </c>
      <c r="J4586" s="58"/>
      <c r="K4586" s="50"/>
      <c r="L4586" s="50"/>
      <c r="M4586" s="50"/>
      <c r="N4586" s="50"/>
      <c r="O4586" s="50"/>
    </row>
    <row r="4587" spans="1:15">
      <c r="A4587" s="517" t="s">
        <v>8</v>
      </c>
      <c r="B4587" s="518">
        <f>VLOOKUP(A4587,'Materiales '!$C$2:$G$396,3,0)</f>
        <v>0</v>
      </c>
      <c r="C4587" s="88">
        <f>VLOOKUP(A4587,'Materiales '!$C$2:$G$396,3,0)</f>
        <v>0</v>
      </c>
      <c r="D4587" s="89" t="str">
        <f>VLOOKUP(A4587,'Materiales '!$C$2:$G$396,4,0)</f>
        <v>-</v>
      </c>
      <c r="E4587" s="90"/>
      <c r="F4587" s="508" t="e">
        <f>E4587*D4587</f>
        <v>#VALUE!</v>
      </c>
      <c r="G4587" s="519"/>
      <c r="H4587" s="110"/>
      <c r="I4587">
        <f>E4587*G4565</f>
        <v>0</v>
      </c>
      <c r="J4587" s="58"/>
      <c r="K4587" s="50"/>
      <c r="L4587" s="50"/>
      <c r="M4587" s="50"/>
      <c r="N4587" s="50"/>
      <c r="O4587" s="50"/>
    </row>
    <row r="4588" spans="1:15">
      <c r="A4588" s="520" t="s">
        <v>4098</v>
      </c>
      <c r="B4588" s="521"/>
      <c r="C4588" s="521"/>
      <c r="D4588" s="521"/>
      <c r="E4588" s="521"/>
      <c r="F4588" s="521"/>
      <c r="G4588" s="522"/>
      <c r="H4588" s="106" t="e">
        <f>SUM(F4574:F4587)</f>
        <v>#VALUE!</v>
      </c>
      <c r="J4588" s="58"/>
      <c r="K4588" s="50"/>
      <c r="L4588" s="50"/>
      <c r="M4588" s="50"/>
      <c r="N4588" s="50"/>
      <c r="O4588" s="50"/>
    </row>
    <row r="4589" spans="1:15">
      <c r="A4589" s="523" t="s">
        <v>4220</v>
      </c>
      <c r="B4589" s="524"/>
      <c r="C4589" s="524"/>
      <c r="D4589" s="524"/>
      <c r="E4589" s="525"/>
      <c r="F4589" s="524"/>
      <c r="G4589" s="524"/>
      <c r="H4589" s="526"/>
      <c r="J4589" s="58"/>
      <c r="K4589" s="50"/>
      <c r="L4589" s="50"/>
      <c r="M4589" s="50"/>
      <c r="N4589" s="50"/>
      <c r="O4589" s="50"/>
    </row>
    <row r="4590" spans="1:15">
      <c r="A4590" s="527" t="s">
        <v>7</v>
      </c>
      <c r="B4590" s="528"/>
      <c r="C4590" s="98" t="s">
        <v>4221</v>
      </c>
      <c r="D4590" s="97" t="s">
        <v>4222</v>
      </c>
      <c r="E4590" s="187" t="s">
        <v>4223</v>
      </c>
      <c r="F4590" s="529" t="s">
        <v>4207</v>
      </c>
      <c r="G4590" s="529"/>
      <c r="H4590" s="109"/>
      <c r="K4590" s="50"/>
      <c r="L4590" s="50"/>
      <c r="M4590" s="50"/>
      <c r="N4590" s="50"/>
      <c r="O4590" s="50"/>
    </row>
    <row r="4591" spans="1:15">
      <c r="A4591" s="506" t="s">
        <v>3928</v>
      </c>
      <c r="B4591" s="507"/>
      <c r="C4591" s="213">
        <v>1</v>
      </c>
      <c r="D4591" s="92">
        <v>0.03</v>
      </c>
      <c r="E4591" s="93" t="str">
        <f>VLOOKUP(A4591,'Equip, Herr y Transp'!$B$2:$E$217,3,0)</f>
        <v>TR</v>
      </c>
      <c r="F4591" s="530" t="e">
        <f>E4591*D4591*C4591</f>
        <v>#VALUE!</v>
      </c>
      <c r="G4591" s="531"/>
      <c r="H4591" s="107"/>
      <c r="M4591" s="50"/>
    </row>
    <row r="4592" spans="1:15">
      <c r="A4592" s="532" t="s">
        <v>4205</v>
      </c>
      <c r="B4592" s="533"/>
      <c r="C4592" s="533"/>
      <c r="D4592" s="533"/>
      <c r="E4592" s="533"/>
      <c r="F4592" s="533"/>
      <c r="G4592" s="533"/>
      <c r="H4592" s="95" t="e">
        <f>F4591</f>
        <v>#VALUE!</v>
      </c>
    </row>
    <row r="4593" spans="1:10">
      <c r="A4593" s="523" t="s">
        <v>4224</v>
      </c>
      <c r="B4593" s="524"/>
      <c r="C4593" s="524"/>
      <c r="D4593" s="524"/>
      <c r="E4593" s="524"/>
      <c r="F4593" s="524"/>
      <c r="G4593" s="524"/>
      <c r="H4593" s="526"/>
    </row>
    <row r="4594" spans="1:10">
      <c r="A4594" s="527" t="s">
        <v>7</v>
      </c>
      <c r="B4594" s="528"/>
      <c r="C4594" s="96" t="s">
        <v>1</v>
      </c>
      <c r="D4594" s="97" t="s">
        <v>4225</v>
      </c>
      <c r="E4594" s="98" t="s">
        <v>4204</v>
      </c>
      <c r="F4594" s="527" t="s">
        <v>5</v>
      </c>
      <c r="G4594" s="534"/>
      <c r="H4594" s="109"/>
    </row>
    <row r="4595" spans="1:10">
      <c r="A4595" s="506" t="s">
        <v>4191</v>
      </c>
      <c r="B4595" s="507"/>
      <c r="C4595" s="91">
        <v>1</v>
      </c>
      <c r="D4595" s="94">
        <f>VLOOKUP(A4595,'Mano Obra'!$B$2:$T$117,19,0)</f>
        <v>152456</v>
      </c>
      <c r="E4595" s="218">
        <f>H4558</f>
        <v>0.22919999999999999</v>
      </c>
      <c r="F4595" s="508">
        <f>E4595*D4595*C4595</f>
        <v>34942.915199999996</v>
      </c>
      <c r="G4595" s="509"/>
      <c r="H4595" s="111"/>
      <c r="I4595" s="59"/>
      <c r="J4595" s="117">
        <f>((('Mano Obra'!$M$4/30)*F4595)/D4595)*G4565</f>
        <v>0</v>
      </c>
    </row>
    <row r="4596" spans="1:10">
      <c r="A4596" s="510" t="s">
        <v>4192</v>
      </c>
      <c r="B4596" s="511">
        <f>VLOOKUP(A4596,'Mano Obra'!$B$3:$D$290,2,0)</f>
        <v>1900000</v>
      </c>
      <c r="C4596" s="91">
        <v>1</v>
      </c>
      <c r="D4596" s="94">
        <f>VLOOKUP(A4596,'Mano Obra'!$B$2:$T$117,19,0)</f>
        <v>110488</v>
      </c>
      <c r="E4596" s="218">
        <f>H4558</f>
        <v>0.22919999999999999</v>
      </c>
      <c r="F4596" s="508">
        <f t="shared" ref="F4596:F4597" si="270">E4596*D4596*C4596</f>
        <v>25323.849599999998</v>
      </c>
      <c r="G4596" s="509"/>
      <c r="H4596" s="111"/>
      <c r="J4596" s="117">
        <f>((('Mano Obra'!$M$5/30)*F4596)/D4596)*G4565</f>
        <v>0</v>
      </c>
    </row>
    <row r="4597" spans="1:10">
      <c r="A4597" s="510" t="s">
        <v>4181</v>
      </c>
      <c r="B4597" s="511">
        <f>VLOOKUP(A4597,'Mano Obra'!$B$3:$D$290,2,0)</f>
        <v>1000000</v>
      </c>
      <c r="C4597" s="91">
        <v>1</v>
      </c>
      <c r="D4597" s="94">
        <f>VLOOKUP(A4597,'Mano Obra'!$B$2:$T$117,19,0)</f>
        <v>67424</v>
      </c>
      <c r="E4597" s="218">
        <f>H4558</f>
        <v>0.22919999999999999</v>
      </c>
      <c r="F4597" s="508">
        <f t="shared" si="270"/>
        <v>15453.5808</v>
      </c>
      <c r="G4597" s="509"/>
      <c r="H4597" s="110"/>
      <c r="J4597" s="117">
        <f>((('Mano Obra'!$M$6/30)*F4597)/D4597)*G4565</f>
        <v>0</v>
      </c>
    </row>
    <row r="4598" spans="1:10">
      <c r="A4598" s="512" t="s">
        <v>4100</v>
      </c>
      <c r="B4598" s="512"/>
      <c r="C4598" s="512"/>
      <c r="D4598" s="512"/>
      <c r="E4598" s="512"/>
      <c r="F4598" s="512"/>
      <c r="G4598" s="512"/>
      <c r="H4598" s="95">
        <f>SUM(F4595:F4597)</f>
        <v>75720.345599999986</v>
      </c>
      <c r="J4598" s="117"/>
    </row>
    <row r="4599" spans="1:10">
      <c r="A4599" s="208" t="s">
        <v>4226</v>
      </c>
      <c r="B4599" s="186"/>
      <c r="C4599" s="186"/>
      <c r="D4599" s="183"/>
      <c r="E4599" s="184"/>
      <c r="F4599" s="185"/>
      <c r="G4599" s="184"/>
      <c r="H4599" s="193"/>
    </row>
    <row r="4600" spans="1:10">
      <c r="A4600" s="513" t="s">
        <v>4213</v>
      </c>
      <c r="B4600" s="514"/>
      <c r="C4600" s="514"/>
      <c r="D4600" s="514"/>
      <c r="E4600" s="181"/>
      <c r="F4600" s="182" t="s">
        <v>4227</v>
      </c>
      <c r="G4600" s="181" t="s">
        <v>4228</v>
      </c>
      <c r="H4600" s="194"/>
    </row>
    <row r="4601" spans="1:10">
      <c r="A4601" s="204" t="s">
        <v>4096</v>
      </c>
      <c r="B4601" s="62"/>
      <c r="C4601" s="62"/>
      <c r="D4601" s="63"/>
      <c r="E4601" s="68"/>
      <c r="F4601" s="69">
        <v>0</v>
      </c>
      <c r="G4601" s="70" t="e">
        <f>F4601*H4566</f>
        <v>#VALUE!</v>
      </c>
      <c r="H4601" s="193"/>
    </row>
    <row r="4602" spans="1:10">
      <c r="A4602" s="205" t="s">
        <v>4229</v>
      </c>
      <c r="B4602" s="71"/>
      <c r="C4602" s="71"/>
      <c r="D4602" s="72"/>
      <c r="E4602" s="68"/>
      <c r="F4602" s="69">
        <v>0</v>
      </c>
      <c r="G4602" s="70" t="e">
        <f>F4602*H4566</f>
        <v>#VALUE!</v>
      </c>
      <c r="H4602" s="193"/>
    </row>
    <row r="4603" spans="1:10">
      <c r="A4603" s="205" t="s">
        <v>4</v>
      </c>
      <c r="B4603" s="71"/>
      <c r="C4603" s="71"/>
      <c r="D4603" s="72"/>
      <c r="E4603" s="68"/>
      <c r="F4603" s="69">
        <v>0</v>
      </c>
      <c r="G4603" s="70" t="e">
        <f>F4603*H4566</f>
        <v>#VALUE!</v>
      </c>
      <c r="H4603" s="193"/>
    </row>
    <row r="4604" spans="1:10">
      <c r="A4604" s="206"/>
      <c r="B4604" s="73"/>
      <c r="C4604" s="65"/>
      <c r="D4604" s="74"/>
      <c r="E4604" s="75"/>
      <c r="F4604" s="76"/>
      <c r="G4604" s="77"/>
      <c r="H4604" s="195"/>
    </row>
    <row r="4605" spans="1:10">
      <c r="A4605" s="207"/>
      <c r="B4605" s="73"/>
      <c r="C4605" s="73"/>
      <c r="D4605" s="74"/>
      <c r="E4605" s="78"/>
      <c r="F4605" s="515" t="s">
        <v>4230</v>
      </c>
      <c r="G4605" s="516"/>
      <c r="H4605" s="214" t="e">
        <f>H4566+G4601+G4602+G4603</f>
        <v>#VALUE!</v>
      </c>
    </row>
    <row r="4606" spans="1:10">
      <c r="A4606" s="73"/>
      <c r="B4606" s="73"/>
      <c r="C4606" s="73"/>
      <c r="D4606" s="74"/>
      <c r="E4606" s="360"/>
      <c r="F4606" s="361"/>
      <c r="G4606" s="361"/>
      <c r="H4606" s="362"/>
    </row>
    <row r="4607" spans="1:10">
      <c r="A4607" s="80"/>
      <c r="B4607" s="80"/>
      <c r="C4607" s="80"/>
      <c r="D4607" s="80"/>
      <c r="E4607" s="80"/>
      <c r="F4607" s="80"/>
      <c r="G4607" s="80"/>
      <c r="H4607" s="353"/>
    </row>
    <row r="4608" spans="1:10">
      <c r="A4608" s="537" t="s">
        <v>4214</v>
      </c>
      <c r="B4608" s="538"/>
      <c r="C4608" s="538"/>
      <c r="D4608" s="538"/>
      <c r="E4608" s="538"/>
      <c r="F4608" s="538"/>
      <c r="G4608" s="538"/>
      <c r="H4608" s="539"/>
    </row>
    <row r="4609" spans="1:15">
      <c r="A4609" s="81"/>
      <c r="B4609" s="82"/>
      <c r="C4609" s="82"/>
      <c r="D4609" s="82"/>
      <c r="E4609" s="82"/>
      <c r="F4609" s="83"/>
      <c r="G4609" s="84"/>
      <c r="H4609" s="352">
        <f>ROUND((150/60)/8,4)</f>
        <v>0.3125</v>
      </c>
      <c r="I4609" s="105"/>
    </row>
    <row r="4610" spans="1:15">
      <c r="A4610" s="540" t="s">
        <v>4209</v>
      </c>
      <c r="B4610" s="542" t="str">
        <f>COSTOS!$C$14</f>
        <v>MODERNIZACION A TECNOLOGIA LED</v>
      </c>
      <c r="C4610" s="542"/>
      <c r="D4610" s="542"/>
      <c r="E4610" s="542"/>
      <c r="F4610" s="542"/>
      <c r="G4610" s="542"/>
      <c r="H4610" s="543" t="s">
        <v>4210</v>
      </c>
    </row>
    <row r="4611" spans="1:15">
      <c r="A4611" s="541"/>
      <c r="B4611" s="542"/>
      <c r="C4611" s="542"/>
      <c r="D4611" s="542"/>
      <c r="E4611" s="542"/>
      <c r="F4611" s="542"/>
      <c r="G4611" s="542"/>
      <c r="H4611" s="543"/>
    </row>
    <row r="4612" spans="1:15">
      <c r="A4612" s="541"/>
      <c r="B4612" s="542"/>
      <c r="C4612" s="542"/>
      <c r="D4612" s="542"/>
      <c r="E4612" s="542"/>
      <c r="F4612" s="542"/>
      <c r="G4612" s="542"/>
      <c r="H4612" s="543"/>
    </row>
    <row r="4613" spans="1:15" ht="15" customHeight="1">
      <c r="A4613" s="541"/>
      <c r="B4613" s="542"/>
      <c r="C4613" s="542"/>
      <c r="D4613" s="542"/>
      <c r="E4613" s="542"/>
      <c r="F4613" s="542"/>
      <c r="G4613" s="542"/>
      <c r="H4613" s="197">
        <f ca="1">TODAY()</f>
        <v>44889</v>
      </c>
      <c r="K4613" t="s">
        <v>4380</v>
      </c>
      <c r="L4613" t="s">
        <v>4381</v>
      </c>
      <c r="M4613" t="s">
        <v>4382</v>
      </c>
      <c r="N4613" t="s">
        <v>4383</v>
      </c>
    </row>
    <row r="4614" spans="1:15" ht="60.75" customHeight="1">
      <c r="A4614" s="209" t="s">
        <v>4211</v>
      </c>
      <c r="B4614" s="544" t="str">
        <f>COSTOS!$D$16</f>
        <v>Luminarias</v>
      </c>
      <c r="C4614" s="544"/>
      <c r="D4614" s="544"/>
      <c r="E4614" s="544"/>
      <c r="F4614" s="544"/>
      <c r="G4614" s="60" t="s">
        <v>4212</v>
      </c>
      <c r="H4614" s="359">
        <v>2.8</v>
      </c>
      <c r="K4614" s="55" t="e">
        <f>H4639</f>
        <v>#VALUE!</v>
      </c>
      <c r="L4614" s="55">
        <f>H4649</f>
        <v>103240</v>
      </c>
      <c r="M4614" s="55" t="e">
        <f>H4622</f>
        <v>#VALUE!</v>
      </c>
      <c r="N4614" s="55" t="e">
        <f>H4643</f>
        <v>#VALUE!</v>
      </c>
    </row>
    <row r="4615" spans="1:15" ht="43.2" customHeight="1">
      <c r="A4615" s="210" t="s">
        <v>4213</v>
      </c>
      <c r="B4615" s="545" t="str">
        <f>VLOOKUP(H4614,COSTOS!C:M,2,0)</f>
        <v>Poste metalico 8 metros para luminaria cuadruple</v>
      </c>
      <c r="C4615" s="546"/>
      <c r="D4615" s="546"/>
      <c r="E4615" s="547"/>
      <c r="F4615" s="61" t="s">
        <v>0</v>
      </c>
      <c r="G4615" s="328" t="str">
        <f>VLOOKUP(H4614,COSTOS!C:M,8,0)</f>
        <v>Und</v>
      </c>
      <c r="H4615" s="248"/>
      <c r="I4615" s="278"/>
      <c r="J4615" s="280"/>
      <c r="K4615" s="280"/>
      <c r="L4615" s="280"/>
    </row>
    <row r="4616" spans="1:15">
      <c r="A4616" s="211"/>
      <c r="B4616" s="102"/>
      <c r="C4616" s="102"/>
      <c r="D4616" s="102"/>
      <c r="E4616" s="103"/>
      <c r="F4616" s="104" t="s">
        <v>1</v>
      </c>
      <c r="G4616" s="328">
        <f>VLOOKUP(H4614,COSTOS!C:M,9,0)</f>
        <v>0</v>
      </c>
      <c r="H4616" s="329"/>
      <c r="I4616" s="279"/>
    </row>
    <row r="4617" spans="1:15">
      <c r="A4617" s="212" t="s">
        <v>4215</v>
      </c>
      <c r="B4617" s="65"/>
      <c r="C4617" s="65"/>
      <c r="D4617" s="66"/>
      <c r="E4617" s="190"/>
      <c r="F4617" s="191"/>
      <c r="G4617" s="192" t="s">
        <v>4216</v>
      </c>
      <c r="H4617" s="198" t="e">
        <f>H4622+H4639+H4643+H4649</f>
        <v>#VALUE!</v>
      </c>
    </row>
    <row r="4618" spans="1:15" ht="41.4">
      <c r="A4618" s="548" t="s">
        <v>4213</v>
      </c>
      <c r="B4618" s="548"/>
      <c r="C4618" s="548"/>
      <c r="D4618" s="67" t="s">
        <v>0</v>
      </c>
      <c r="E4618" s="188" t="s">
        <v>4217</v>
      </c>
      <c r="F4618" s="189" t="s">
        <v>4204</v>
      </c>
      <c r="G4618" s="64" t="s">
        <v>2</v>
      </c>
      <c r="H4618" s="199" t="s">
        <v>4218</v>
      </c>
      <c r="K4618" s="281"/>
    </row>
    <row r="4619" spans="1:15">
      <c r="A4619" s="517" t="s">
        <v>3946</v>
      </c>
      <c r="B4619" s="549">
        <f>VLOOKUP(A4619,'Equip, Herr y Transp'!$B$2:$E$738,2,0)</f>
        <v>2</v>
      </c>
      <c r="C4619" s="549"/>
      <c r="D4619" s="85">
        <f>VLOOKUP(A4619,'Equip, Herr y Transp'!$B$2:$E$217,2,0)</f>
        <v>2</v>
      </c>
      <c r="E4619" s="85" t="str">
        <f>VLOOKUP(A4619,'Equip, Herr y Transp'!$B$2:$E$217,3,0)</f>
        <v>EQU</v>
      </c>
      <c r="F4619" s="86">
        <f>H4609</f>
        <v>0.3125</v>
      </c>
      <c r="G4619" s="112" t="e">
        <f>F4619*E4619</f>
        <v>#VALUE!</v>
      </c>
      <c r="H4619" s="108"/>
    </row>
    <row r="4620" spans="1:15">
      <c r="A4620" s="517" t="s">
        <v>3894</v>
      </c>
      <c r="B4620" s="549">
        <f>VLOOKUP(A4620,'Equip, Herr y Transp'!$B$2:$E$738,2,0)</f>
        <v>4</v>
      </c>
      <c r="C4620" s="549"/>
      <c r="D4620" s="85">
        <f>VLOOKUP(A4620,'Equip, Herr y Transp'!$B$2:$E$217,2,0)</f>
        <v>4</v>
      </c>
      <c r="E4620" s="85" t="str">
        <f>VLOOKUP(A4620,'Equip, Herr y Transp'!$B$2:$E$217,3,0)</f>
        <v>TR</v>
      </c>
      <c r="F4620" s="86">
        <f>H4609</f>
        <v>0.3125</v>
      </c>
      <c r="G4620" s="112" t="e">
        <f>F4620*E4620</f>
        <v>#VALUE!</v>
      </c>
      <c r="H4620" s="107"/>
    </row>
    <row r="4621" spans="1:15">
      <c r="A4621" s="517" t="s">
        <v>8</v>
      </c>
      <c r="B4621" s="549" t="e">
        <f>VLOOKUP(A4621,'Equip, Herr y Transp'!$B$2:$E$738,2,0)</f>
        <v>#N/A</v>
      </c>
      <c r="C4621" s="549"/>
      <c r="D4621" s="85" t="e">
        <f>VLOOKUP(A4621,'Equip, Herr y Transp'!$B$2:$E$217,2,0)</f>
        <v>#N/A</v>
      </c>
      <c r="E4621" s="85" t="e">
        <f>VLOOKUP(A4621,'Equip, Herr y Transp'!$B$2:$E$217,3,0)</f>
        <v>#N/A</v>
      </c>
      <c r="F4621" s="86"/>
      <c r="G4621" s="112" t="e">
        <f>F4621*E4621</f>
        <v>#N/A</v>
      </c>
      <c r="H4621" s="107"/>
    </row>
    <row r="4622" spans="1:15">
      <c r="A4622" s="520" t="s">
        <v>4099</v>
      </c>
      <c r="B4622" s="521"/>
      <c r="C4622" s="521"/>
      <c r="D4622" s="521"/>
      <c r="E4622" s="521"/>
      <c r="F4622" s="521"/>
      <c r="G4622" s="521"/>
      <c r="H4622" s="87" t="e">
        <f>SUM(G4619:G4621)</f>
        <v>#VALUE!</v>
      </c>
    </row>
    <row r="4623" spans="1:15">
      <c r="A4623" s="550" t="s">
        <v>4219</v>
      </c>
      <c r="B4623" s="551"/>
      <c r="C4623" s="551"/>
      <c r="D4623" s="551"/>
      <c r="E4623" s="551"/>
      <c r="F4623" s="551"/>
      <c r="G4623" s="551"/>
      <c r="H4623" s="552"/>
      <c r="K4623" s="50"/>
      <c r="L4623" s="50"/>
      <c r="M4623" s="50"/>
      <c r="N4623" s="50"/>
      <c r="O4623" s="50"/>
    </row>
    <row r="4624" spans="1:15" ht="30" customHeight="1">
      <c r="A4624" s="553" t="s">
        <v>7</v>
      </c>
      <c r="B4624" s="554"/>
      <c r="C4624" s="99" t="s">
        <v>0</v>
      </c>
      <c r="D4624" s="100" t="s">
        <v>4097</v>
      </c>
      <c r="E4624" s="101" t="s">
        <v>1</v>
      </c>
      <c r="F4624" s="555" t="s">
        <v>4207</v>
      </c>
      <c r="G4624" s="555"/>
      <c r="H4624" s="196"/>
      <c r="K4624" s="50"/>
      <c r="L4624" s="50"/>
      <c r="M4624" s="50"/>
      <c r="N4624" s="50"/>
      <c r="O4624" s="50"/>
    </row>
    <row r="4625" spans="1:15">
      <c r="A4625" s="535" t="s">
        <v>4683</v>
      </c>
      <c r="B4625" s="536"/>
      <c r="C4625" s="88">
        <f>VLOOKUP(A4625,'Materiales '!$C$2:$G$396,3,0)</f>
        <v>4</v>
      </c>
      <c r="D4625" s="89" t="str">
        <f>VLOOKUP(A4625,'Materiales '!$C$2:$G$396,4,0)</f>
        <v>Und</v>
      </c>
      <c r="E4625" s="90">
        <v>1</v>
      </c>
      <c r="F4625" s="508" t="e">
        <f>E4625*D4625</f>
        <v>#VALUE!</v>
      </c>
      <c r="G4625" s="519"/>
      <c r="H4625" s="111"/>
      <c r="I4625">
        <f>E4625*G4616</f>
        <v>0</v>
      </c>
      <c r="J4625" s="57"/>
      <c r="K4625" s="50"/>
      <c r="L4625" s="50"/>
      <c r="M4625" s="50"/>
      <c r="N4625" s="50"/>
      <c r="O4625" s="50"/>
    </row>
    <row r="4626" spans="1:15">
      <c r="A4626" s="535" t="s">
        <v>4617</v>
      </c>
      <c r="B4626" s="536"/>
      <c r="C4626" s="88">
        <f>VLOOKUP(A4626,'Materiales '!$C$2:$G$396,3,0)</f>
        <v>3</v>
      </c>
      <c r="D4626" s="89" t="str">
        <f>VLOOKUP(A4626,'Materiales '!$C$2:$G$396,4,0)</f>
        <v>Rollo</v>
      </c>
      <c r="E4626" s="90">
        <v>0.5</v>
      </c>
      <c r="F4626" s="508" t="e">
        <f t="shared" ref="F4626:F4632" si="271">E4626*D4626</f>
        <v>#VALUE!</v>
      </c>
      <c r="G4626" s="519"/>
      <c r="H4626" s="111"/>
      <c r="I4626">
        <f>E4626*G4616</f>
        <v>0</v>
      </c>
      <c r="J4626" s="57"/>
      <c r="K4626" s="50"/>
      <c r="L4626" s="50"/>
      <c r="M4626" s="50"/>
      <c r="N4626" s="50"/>
      <c r="O4626" s="50"/>
    </row>
    <row r="4627" spans="1:15">
      <c r="A4627" s="517" t="s">
        <v>8</v>
      </c>
      <c r="B4627" s="518">
        <f>VLOOKUP(A4627,'Materiales '!$C$2:$G$396,3,0)</f>
        <v>0</v>
      </c>
      <c r="C4627" s="88">
        <f>VLOOKUP(A4627,'Materiales '!$C$2:$G$396,3,0)</f>
        <v>0</v>
      </c>
      <c r="D4627" s="89" t="str">
        <f>VLOOKUP(A4627,'Materiales '!$C$2:$G$396,4,0)</f>
        <v>-</v>
      </c>
      <c r="E4627" s="90">
        <v>1</v>
      </c>
      <c r="F4627" s="508" t="e">
        <f t="shared" si="271"/>
        <v>#VALUE!</v>
      </c>
      <c r="G4627" s="519"/>
      <c r="H4627" s="111"/>
      <c r="I4627">
        <f>E4627*G4616</f>
        <v>0</v>
      </c>
      <c r="J4627" s="58"/>
      <c r="K4627" s="50"/>
      <c r="L4627" s="50"/>
      <c r="M4627" s="50"/>
      <c r="N4627" s="50"/>
      <c r="O4627" s="50"/>
    </row>
    <row r="4628" spans="1:15">
      <c r="A4628" s="517" t="s">
        <v>8</v>
      </c>
      <c r="B4628" s="518">
        <f>VLOOKUP(A4628,'Materiales '!$C$2:$G$396,3,0)</f>
        <v>0</v>
      </c>
      <c r="C4628" s="88">
        <f>VLOOKUP(A4628,'Materiales '!$C$2:$G$396,3,0)</f>
        <v>0</v>
      </c>
      <c r="D4628" s="89" t="str">
        <f>VLOOKUP(A4628,'Materiales '!$C$2:$G$396,4,0)</f>
        <v>-</v>
      </c>
      <c r="E4628" s="90">
        <v>3</v>
      </c>
      <c r="F4628" s="508" t="e">
        <f t="shared" si="271"/>
        <v>#VALUE!</v>
      </c>
      <c r="G4628" s="519"/>
      <c r="H4628" s="111"/>
      <c r="I4628">
        <f>E4628*G4616</f>
        <v>0</v>
      </c>
      <c r="J4628" s="58"/>
      <c r="K4628" s="50"/>
      <c r="L4628" s="50"/>
      <c r="M4628" s="50"/>
      <c r="N4628" s="50"/>
      <c r="O4628" s="50"/>
    </row>
    <row r="4629" spans="1:15">
      <c r="A4629" s="517" t="s">
        <v>8</v>
      </c>
      <c r="B4629" s="518">
        <f>VLOOKUP(A4629,'Materiales '!$C$2:$G$396,3,0)</f>
        <v>0</v>
      </c>
      <c r="C4629" s="88">
        <f>VLOOKUP(A4629,'Materiales '!$C$2:$G$396,3,0)</f>
        <v>0</v>
      </c>
      <c r="D4629" s="89" t="str">
        <f>VLOOKUP(A4629,'Materiales '!$C$2:$G$396,4,0)</f>
        <v>-</v>
      </c>
      <c r="E4629" s="90">
        <v>2</v>
      </c>
      <c r="F4629" s="508" t="e">
        <f t="shared" si="271"/>
        <v>#VALUE!</v>
      </c>
      <c r="G4629" s="519"/>
      <c r="H4629" s="111"/>
      <c r="I4629">
        <f>E4629*G4616</f>
        <v>0</v>
      </c>
      <c r="J4629" s="58"/>
      <c r="K4629" s="50"/>
      <c r="L4629" s="50"/>
      <c r="M4629" s="50"/>
      <c r="N4629" s="50"/>
      <c r="O4629" s="50"/>
    </row>
    <row r="4630" spans="1:15">
      <c r="A4630" s="517" t="s">
        <v>8</v>
      </c>
      <c r="B4630" s="518">
        <f>VLOOKUP(A4630,'Materiales '!$C$2:$G$396,3,0)</f>
        <v>0</v>
      </c>
      <c r="C4630" s="88">
        <f>VLOOKUP(A4630,'Materiales '!$C$2:$G$396,3,0)</f>
        <v>0</v>
      </c>
      <c r="D4630" s="89" t="str">
        <f>VLOOKUP(A4630,'Materiales '!$C$2:$G$396,4,0)</f>
        <v>-</v>
      </c>
      <c r="E4630" s="90">
        <v>8</v>
      </c>
      <c r="F4630" s="508" t="e">
        <f t="shared" si="271"/>
        <v>#VALUE!</v>
      </c>
      <c r="G4630" s="519"/>
      <c r="H4630" s="111"/>
      <c r="I4630">
        <f>E4630*G4616</f>
        <v>0</v>
      </c>
      <c r="J4630" s="58"/>
      <c r="K4630" s="50"/>
      <c r="L4630" s="50"/>
      <c r="M4630" s="50"/>
      <c r="N4630" s="50"/>
      <c r="O4630" s="50"/>
    </row>
    <row r="4631" spans="1:15">
      <c r="A4631" s="517" t="s">
        <v>8</v>
      </c>
      <c r="B4631" s="518">
        <f>VLOOKUP(A4631,'Materiales '!$C$2:$G$396,3,0)</f>
        <v>0</v>
      </c>
      <c r="C4631" s="88">
        <f>VLOOKUP(A4631,'Materiales '!$C$2:$G$396,3,0)</f>
        <v>0</v>
      </c>
      <c r="D4631" s="89" t="str">
        <f>VLOOKUP(A4631,'Materiales '!$C$2:$G$396,4,0)</f>
        <v>-</v>
      </c>
      <c r="E4631" s="90">
        <v>3</v>
      </c>
      <c r="F4631" s="508" t="e">
        <f t="shared" si="271"/>
        <v>#VALUE!</v>
      </c>
      <c r="G4631" s="519"/>
      <c r="H4631" s="111"/>
      <c r="I4631">
        <f>E4631*G4616</f>
        <v>0</v>
      </c>
      <c r="J4631" s="58"/>
      <c r="K4631" s="50"/>
      <c r="L4631" s="50"/>
      <c r="M4631" s="50"/>
      <c r="N4631" s="50"/>
      <c r="O4631" s="50"/>
    </row>
    <row r="4632" spans="1:15" ht="21.75" customHeight="1">
      <c r="A4632" s="517" t="s">
        <v>8</v>
      </c>
      <c r="B4632" s="518">
        <f>VLOOKUP(A4632,'Materiales '!$C$2:$G$396,3,0)</f>
        <v>0</v>
      </c>
      <c r="C4632" s="88">
        <f>VLOOKUP(A4632,'Materiales '!$C$2:$G$396,3,0)</f>
        <v>0</v>
      </c>
      <c r="D4632" s="89" t="str">
        <f>VLOOKUP(A4632,'Materiales '!$C$2:$G$396,4,0)</f>
        <v>-</v>
      </c>
      <c r="E4632" s="90">
        <v>0.5</v>
      </c>
      <c r="F4632" s="508" t="e">
        <f t="shared" si="271"/>
        <v>#VALUE!</v>
      </c>
      <c r="G4632" s="519"/>
      <c r="H4632" s="111"/>
      <c r="I4632">
        <f>E4632*G4616</f>
        <v>0</v>
      </c>
      <c r="J4632" s="58"/>
      <c r="K4632" s="50"/>
      <c r="L4632" s="50"/>
      <c r="M4632" s="50"/>
      <c r="N4632" s="50"/>
      <c r="O4632" s="50"/>
    </row>
    <row r="4633" spans="1:15">
      <c r="A4633" s="517" t="s">
        <v>8</v>
      </c>
      <c r="B4633" s="518">
        <f>VLOOKUP(A4633,'Materiales '!$C$2:$G$396,3,0)</f>
        <v>0</v>
      </c>
      <c r="C4633" s="88">
        <f>VLOOKUP(A4633,'Materiales '!$C$2:$G$396,3,0)</f>
        <v>0</v>
      </c>
      <c r="D4633" s="89" t="str">
        <f>VLOOKUP(A4633,'Materiales '!$C$2:$G$396,4,0)</f>
        <v>-</v>
      </c>
      <c r="E4633" s="90"/>
      <c r="F4633" s="508" t="e">
        <f>E4633*D4633</f>
        <v>#VALUE!</v>
      </c>
      <c r="G4633" s="519"/>
      <c r="H4633" s="110"/>
      <c r="I4633">
        <f>E4633*G4616</f>
        <v>0</v>
      </c>
      <c r="J4633" s="58"/>
      <c r="K4633" s="50"/>
      <c r="L4633" s="50"/>
      <c r="M4633" s="50"/>
      <c r="N4633" s="50"/>
      <c r="O4633" s="50"/>
    </row>
    <row r="4634" spans="1:15">
      <c r="A4634" s="517" t="s">
        <v>8</v>
      </c>
      <c r="B4634" s="518">
        <f>VLOOKUP(A4634,'Materiales '!$C$2:$G$396,3,0)</f>
        <v>0</v>
      </c>
      <c r="C4634" s="88">
        <f>VLOOKUP(A4634,'Materiales '!$C$2:$G$396,3,0)</f>
        <v>0</v>
      </c>
      <c r="D4634" s="89" t="str">
        <f>VLOOKUP(A4634,'Materiales '!$C$2:$G$396,4,0)</f>
        <v>-</v>
      </c>
      <c r="E4634" s="90"/>
      <c r="F4634" s="508" t="e">
        <f t="shared" ref="F4634:F4637" si="272">E4634*D4634</f>
        <v>#VALUE!</v>
      </c>
      <c r="G4634" s="519"/>
      <c r="H4634" s="111"/>
      <c r="I4634">
        <f>E4634*G4616</f>
        <v>0</v>
      </c>
      <c r="J4634" s="58"/>
      <c r="K4634" s="50"/>
      <c r="L4634" s="50"/>
      <c r="M4634" s="50"/>
      <c r="N4634" s="50"/>
      <c r="O4634" s="50"/>
    </row>
    <row r="4635" spans="1:15">
      <c r="A4635" s="517" t="s">
        <v>8</v>
      </c>
      <c r="B4635" s="518">
        <f>VLOOKUP(A4635,'Materiales '!$C$2:$G$396,3,0)</f>
        <v>0</v>
      </c>
      <c r="C4635" s="88">
        <f>VLOOKUP(A4635,'Materiales '!$C$2:$G$396,3,0)</f>
        <v>0</v>
      </c>
      <c r="D4635" s="89" t="str">
        <f>VLOOKUP(A4635,'Materiales '!$C$2:$G$396,4,0)</f>
        <v>-</v>
      </c>
      <c r="E4635" s="90"/>
      <c r="F4635" s="508" t="e">
        <f t="shared" si="272"/>
        <v>#VALUE!</v>
      </c>
      <c r="G4635" s="519"/>
      <c r="H4635" s="111"/>
      <c r="I4635">
        <f>E4635*G4616</f>
        <v>0</v>
      </c>
      <c r="J4635" s="58"/>
      <c r="K4635" s="50"/>
      <c r="L4635" s="50"/>
      <c r="M4635" s="50"/>
      <c r="N4635" s="50"/>
      <c r="O4635" s="50"/>
    </row>
    <row r="4636" spans="1:15">
      <c r="A4636" s="517" t="s">
        <v>8</v>
      </c>
      <c r="B4636" s="518">
        <f>VLOOKUP(A4636,'Materiales '!$C$2:$G$396,3,0)</f>
        <v>0</v>
      </c>
      <c r="C4636" s="88">
        <f>VLOOKUP(A4636,'Materiales '!$C$2:$G$396,3,0)</f>
        <v>0</v>
      </c>
      <c r="D4636" s="89" t="str">
        <f>VLOOKUP(A4636,'Materiales '!$C$2:$G$396,4,0)</f>
        <v>-</v>
      </c>
      <c r="E4636" s="90"/>
      <c r="F4636" s="508" t="e">
        <f t="shared" si="272"/>
        <v>#VALUE!</v>
      </c>
      <c r="G4636" s="519"/>
      <c r="H4636" s="111"/>
      <c r="I4636">
        <f>E4636*G4616</f>
        <v>0</v>
      </c>
      <c r="J4636" s="58"/>
      <c r="K4636" s="50"/>
      <c r="L4636" s="50"/>
      <c r="M4636" s="50"/>
      <c r="N4636" s="50"/>
      <c r="O4636" s="50"/>
    </row>
    <row r="4637" spans="1:15">
      <c r="A4637" s="517" t="s">
        <v>8</v>
      </c>
      <c r="B4637" s="518">
        <f>VLOOKUP(A4637,'Materiales '!$C$2:$G$396,3,0)</f>
        <v>0</v>
      </c>
      <c r="C4637" s="88">
        <f>VLOOKUP(A4637,'Materiales '!$C$2:$G$396,3,0)</f>
        <v>0</v>
      </c>
      <c r="D4637" s="89" t="str">
        <f>VLOOKUP(A4637,'Materiales '!$C$2:$G$396,4,0)</f>
        <v>-</v>
      </c>
      <c r="E4637" s="90"/>
      <c r="F4637" s="508" t="e">
        <f t="shared" si="272"/>
        <v>#VALUE!</v>
      </c>
      <c r="G4637" s="519"/>
      <c r="H4637" s="111"/>
      <c r="I4637">
        <f>E4637*G4616</f>
        <v>0</v>
      </c>
      <c r="J4637" s="58"/>
      <c r="K4637" s="50"/>
      <c r="L4637" s="50"/>
      <c r="M4637" s="50"/>
      <c r="N4637" s="50"/>
      <c r="O4637" s="50"/>
    </row>
    <row r="4638" spans="1:15">
      <c r="A4638" s="517" t="s">
        <v>8</v>
      </c>
      <c r="B4638" s="518">
        <f>VLOOKUP(A4638,'Materiales '!$C$2:$G$396,3,0)</f>
        <v>0</v>
      </c>
      <c r="C4638" s="88">
        <f>VLOOKUP(A4638,'Materiales '!$C$2:$G$396,3,0)</f>
        <v>0</v>
      </c>
      <c r="D4638" s="89" t="str">
        <f>VLOOKUP(A4638,'Materiales '!$C$2:$G$396,4,0)</f>
        <v>-</v>
      </c>
      <c r="E4638" s="90"/>
      <c r="F4638" s="508" t="e">
        <f>E4638*D4638</f>
        <v>#VALUE!</v>
      </c>
      <c r="G4638" s="519"/>
      <c r="H4638" s="110"/>
      <c r="I4638">
        <f>E4638*G4616</f>
        <v>0</v>
      </c>
      <c r="J4638" s="58"/>
      <c r="K4638" s="50"/>
      <c r="L4638" s="50"/>
      <c r="M4638" s="50"/>
      <c r="N4638" s="50"/>
      <c r="O4638" s="50"/>
    </row>
    <row r="4639" spans="1:15">
      <c r="A4639" s="520" t="s">
        <v>4098</v>
      </c>
      <c r="B4639" s="521"/>
      <c r="C4639" s="521"/>
      <c r="D4639" s="521"/>
      <c r="E4639" s="521"/>
      <c r="F4639" s="521"/>
      <c r="G4639" s="522"/>
      <c r="H4639" s="106" t="e">
        <f>SUM(F4625:F4638)</f>
        <v>#VALUE!</v>
      </c>
      <c r="J4639" s="58"/>
      <c r="K4639" s="50"/>
      <c r="L4639" s="50"/>
      <c r="M4639" s="50"/>
      <c r="N4639" s="50"/>
      <c r="O4639" s="50"/>
    </row>
    <row r="4640" spans="1:15">
      <c r="A4640" s="523" t="s">
        <v>4220</v>
      </c>
      <c r="B4640" s="524"/>
      <c r="C4640" s="524"/>
      <c r="D4640" s="524"/>
      <c r="E4640" s="525"/>
      <c r="F4640" s="524"/>
      <c r="G4640" s="524"/>
      <c r="H4640" s="526"/>
      <c r="J4640" s="58"/>
      <c r="K4640" s="50"/>
      <c r="L4640" s="50"/>
      <c r="M4640" s="50"/>
      <c r="N4640" s="50"/>
      <c r="O4640" s="50"/>
    </row>
    <row r="4641" spans="1:15">
      <c r="A4641" s="527" t="s">
        <v>7</v>
      </c>
      <c r="B4641" s="528"/>
      <c r="C4641" s="98" t="s">
        <v>4221</v>
      </c>
      <c r="D4641" s="97" t="s">
        <v>4222</v>
      </c>
      <c r="E4641" s="187" t="s">
        <v>4223</v>
      </c>
      <c r="F4641" s="529" t="s">
        <v>4207</v>
      </c>
      <c r="G4641" s="529"/>
      <c r="H4641" s="109"/>
      <c r="K4641" s="50"/>
      <c r="L4641" s="50"/>
      <c r="M4641" s="50"/>
      <c r="N4641" s="50"/>
      <c r="O4641" s="50"/>
    </row>
    <row r="4642" spans="1:15">
      <c r="A4642" s="506" t="s">
        <v>3928</v>
      </c>
      <c r="B4642" s="507"/>
      <c r="C4642" s="213">
        <v>1</v>
      </c>
      <c r="D4642" s="92">
        <v>0.03</v>
      </c>
      <c r="E4642" s="93" t="str">
        <f>VLOOKUP(A4642,'Equip, Herr y Transp'!$B$2:$E$217,3,0)</f>
        <v>TR</v>
      </c>
      <c r="F4642" s="530" t="e">
        <f>E4642*D4642*C4642</f>
        <v>#VALUE!</v>
      </c>
      <c r="G4642" s="531"/>
      <c r="H4642" s="107"/>
      <c r="M4642" s="50"/>
    </row>
    <row r="4643" spans="1:15">
      <c r="A4643" s="532" t="s">
        <v>4205</v>
      </c>
      <c r="B4643" s="533"/>
      <c r="C4643" s="533"/>
      <c r="D4643" s="533"/>
      <c r="E4643" s="533"/>
      <c r="F4643" s="533"/>
      <c r="G4643" s="533"/>
      <c r="H4643" s="95" t="e">
        <f>F4642</f>
        <v>#VALUE!</v>
      </c>
    </row>
    <row r="4644" spans="1:15">
      <c r="A4644" s="523" t="s">
        <v>4224</v>
      </c>
      <c r="B4644" s="524"/>
      <c r="C4644" s="524"/>
      <c r="D4644" s="524"/>
      <c r="E4644" s="524"/>
      <c r="F4644" s="524"/>
      <c r="G4644" s="524"/>
      <c r="H4644" s="526"/>
    </row>
    <row r="4645" spans="1:15">
      <c r="A4645" s="527" t="s">
        <v>7</v>
      </c>
      <c r="B4645" s="528"/>
      <c r="C4645" s="96" t="s">
        <v>1</v>
      </c>
      <c r="D4645" s="97" t="s">
        <v>4225</v>
      </c>
      <c r="E4645" s="98" t="s">
        <v>4204</v>
      </c>
      <c r="F4645" s="527" t="s">
        <v>5</v>
      </c>
      <c r="G4645" s="534"/>
      <c r="H4645" s="109"/>
    </row>
    <row r="4646" spans="1:15">
      <c r="A4646" s="506" t="s">
        <v>4191</v>
      </c>
      <c r="B4646" s="507"/>
      <c r="C4646" s="91">
        <v>1</v>
      </c>
      <c r="D4646" s="94">
        <f>VLOOKUP(A4646,'Mano Obra'!$B$2:$T$117,19,0)</f>
        <v>152456</v>
      </c>
      <c r="E4646" s="218">
        <f>H4609</f>
        <v>0.3125</v>
      </c>
      <c r="F4646" s="508">
        <f>E4646*D4646*C4646</f>
        <v>47642.5</v>
      </c>
      <c r="G4646" s="509"/>
      <c r="H4646" s="111"/>
      <c r="I4646" s="59"/>
      <c r="J4646" s="117">
        <f>((('Mano Obra'!$M$4/30)*F4646)/D4646)*G4616</f>
        <v>0</v>
      </c>
    </row>
    <row r="4647" spans="1:15">
      <c r="A4647" s="510" t="s">
        <v>4192</v>
      </c>
      <c r="B4647" s="511">
        <f>VLOOKUP(A4647,'Mano Obra'!$B$3:$D$290,2,0)</f>
        <v>1900000</v>
      </c>
      <c r="C4647" s="91">
        <v>1</v>
      </c>
      <c r="D4647" s="94">
        <f>VLOOKUP(A4647,'Mano Obra'!$B$2:$T$117,19,0)</f>
        <v>110488</v>
      </c>
      <c r="E4647" s="218">
        <f>H4609</f>
        <v>0.3125</v>
      </c>
      <c r="F4647" s="508">
        <f t="shared" ref="F4647:F4648" si="273">E4647*D4647*C4647</f>
        <v>34527.5</v>
      </c>
      <c r="G4647" s="509"/>
      <c r="H4647" s="111"/>
      <c r="J4647" s="117">
        <f>((('Mano Obra'!$M$5/30)*F4647)/D4647)*G4616</f>
        <v>0</v>
      </c>
    </row>
    <row r="4648" spans="1:15">
      <c r="A4648" s="510" t="s">
        <v>4181</v>
      </c>
      <c r="B4648" s="511">
        <f>VLOOKUP(A4648,'Mano Obra'!$B$3:$D$290,2,0)</f>
        <v>1000000</v>
      </c>
      <c r="C4648" s="91">
        <v>1</v>
      </c>
      <c r="D4648" s="94">
        <f>VLOOKUP(A4648,'Mano Obra'!$B$2:$T$117,19,0)</f>
        <v>67424</v>
      </c>
      <c r="E4648" s="218">
        <f>H4609</f>
        <v>0.3125</v>
      </c>
      <c r="F4648" s="508">
        <f t="shared" si="273"/>
        <v>21070</v>
      </c>
      <c r="G4648" s="509"/>
      <c r="H4648" s="110"/>
      <c r="J4648" s="117">
        <f>((('Mano Obra'!$M$6/30)*F4648)/D4648)*G4616</f>
        <v>0</v>
      </c>
    </row>
    <row r="4649" spans="1:15">
      <c r="A4649" s="512" t="s">
        <v>4100</v>
      </c>
      <c r="B4649" s="512"/>
      <c r="C4649" s="512"/>
      <c r="D4649" s="512"/>
      <c r="E4649" s="512"/>
      <c r="F4649" s="512"/>
      <c r="G4649" s="512"/>
      <c r="H4649" s="95">
        <f>SUM(F4646:F4648)</f>
        <v>103240</v>
      </c>
      <c r="J4649" s="117"/>
    </row>
    <row r="4650" spans="1:15">
      <c r="A4650" s="208" t="s">
        <v>4226</v>
      </c>
      <c r="B4650" s="186"/>
      <c r="C4650" s="186"/>
      <c r="D4650" s="183"/>
      <c r="E4650" s="184"/>
      <c r="F4650" s="185"/>
      <c r="G4650" s="184"/>
      <c r="H4650" s="193"/>
    </row>
    <row r="4651" spans="1:15">
      <c r="A4651" s="513" t="s">
        <v>4213</v>
      </c>
      <c r="B4651" s="514"/>
      <c r="C4651" s="514"/>
      <c r="D4651" s="514"/>
      <c r="E4651" s="181"/>
      <c r="F4651" s="182" t="s">
        <v>4227</v>
      </c>
      <c r="G4651" s="181" t="s">
        <v>4228</v>
      </c>
      <c r="H4651" s="194"/>
    </row>
    <row r="4652" spans="1:15">
      <c r="A4652" s="204" t="s">
        <v>4096</v>
      </c>
      <c r="B4652" s="62"/>
      <c r="C4652" s="62"/>
      <c r="D4652" s="63"/>
      <c r="E4652" s="68"/>
      <c r="F4652" s="69">
        <v>0</v>
      </c>
      <c r="G4652" s="70" t="e">
        <f>F4652*H4617</f>
        <v>#VALUE!</v>
      </c>
      <c r="H4652" s="193"/>
    </row>
    <row r="4653" spans="1:15">
      <c r="A4653" s="205" t="s">
        <v>4229</v>
      </c>
      <c r="B4653" s="71"/>
      <c r="C4653" s="71"/>
      <c r="D4653" s="72"/>
      <c r="E4653" s="68"/>
      <c r="F4653" s="69">
        <v>0</v>
      </c>
      <c r="G4653" s="70" t="e">
        <f>F4653*H4617</f>
        <v>#VALUE!</v>
      </c>
      <c r="H4653" s="193"/>
    </row>
    <row r="4654" spans="1:15">
      <c r="A4654" s="205" t="s">
        <v>4</v>
      </c>
      <c r="B4654" s="71"/>
      <c r="C4654" s="71"/>
      <c r="D4654" s="72"/>
      <c r="E4654" s="68"/>
      <c r="F4654" s="69">
        <v>0</v>
      </c>
      <c r="G4654" s="70" t="e">
        <f>F4654*H4617</f>
        <v>#VALUE!</v>
      </c>
      <c r="H4654" s="193"/>
    </row>
    <row r="4655" spans="1:15">
      <c r="A4655" s="206"/>
      <c r="B4655" s="73"/>
      <c r="C4655" s="65"/>
      <c r="D4655" s="74"/>
      <c r="E4655" s="75"/>
      <c r="F4655" s="76"/>
      <c r="G4655" s="77"/>
      <c r="H4655" s="195"/>
    </row>
    <row r="4656" spans="1:15">
      <c r="A4656" s="207"/>
      <c r="B4656" s="73"/>
      <c r="C4656" s="73"/>
      <c r="D4656" s="74"/>
      <c r="E4656" s="78"/>
      <c r="F4656" s="515" t="s">
        <v>4230</v>
      </c>
      <c r="G4656" s="516"/>
      <c r="H4656" s="214" t="e">
        <f>H4617+G4652+G4653+G4654</f>
        <v>#VALUE!</v>
      </c>
    </row>
    <row r="4657" spans="1:14">
      <c r="A4657" s="73"/>
      <c r="B4657" s="73"/>
      <c r="C4657" s="73"/>
      <c r="D4657" s="74"/>
      <c r="E4657" s="360"/>
      <c r="F4657" s="361"/>
      <c r="G4657" s="361"/>
      <c r="H4657" s="362"/>
    </row>
    <row r="4658" spans="1:14">
      <c r="A4658" s="80"/>
      <c r="B4658" s="80"/>
      <c r="C4658" s="80"/>
      <c r="D4658" s="80"/>
      <c r="E4658" s="80"/>
      <c r="F4658" s="80"/>
      <c r="G4658" s="80"/>
      <c r="H4658" s="353"/>
    </row>
    <row r="4659" spans="1:14">
      <c r="A4659" s="537" t="s">
        <v>4214</v>
      </c>
      <c r="B4659" s="538"/>
      <c r="C4659" s="538"/>
      <c r="D4659" s="538"/>
      <c r="E4659" s="538"/>
      <c r="F4659" s="538"/>
      <c r="G4659" s="538"/>
      <c r="H4659" s="539"/>
    </row>
    <row r="4660" spans="1:14">
      <c r="A4660" s="81"/>
      <c r="B4660" s="82"/>
      <c r="C4660" s="82"/>
      <c r="D4660" s="82"/>
      <c r="E4660" s="82"/>
      <c r="F4660" s="83"/>
      <c r="G4660" s="84"/>
      <c r="H4660" s="352">
        <f>ROUND((60/60)/8,4)</f>
        <v>0.125</v>
      </c>
      <c r="I4660" s="105"/>
    </row>
    <row r="4661" spans="1:14">
      <c r="A4661" s="540" t="s">
        <v>4209</v>
      </c>
      <c r="B4661" s="542" t="str">
        <f>COSTOS!$C$14</f>
        <v>MODERNIZACION A TECNOLOGIA LED</v>
      </c>
      <c r="C4661" s="542"/>
      <c r="D4661" s="542"/>
      <c r="E4661" s="542"/>
      <c r="F4661" s="542"/>
      <c r="G4661" s="542"/>
      <c r="H4661" s="543" t="s">
        <v>4210</v>
      </c>
    </row>
    <row r="4662" spans="1:14">
      <c r="A4662" s="541"/>
      <c r="B4662" s="542"/>
      <c r="C4662" s="542"/>
      <c r="D4662" s="542"/>
      <c r="E4662" s="542"/>
      <c r="F4662" s="542"/>
      <c r="G4662" s="542"/>
      <c r="H4662" s="543"/>
    </row>
    <row r="4663" spans="1:14">
      <c r="A4663" s="541"/>
      <c r="B4663" s="542"/>
      <c r="C4663" s="542"/>
      <c r="D4663" s="542"/>
      <c r="E4663" s="542"/>
      <c r="F4663" s="542"/>
      <c r="G4663" s="542"/>
      <c r="H4663" s="543"/>
    </row>
    <row r="4664" spans="1:14" ht="15" customHeight="1">
      <c r="A4664" s="541"/>
      <c r="B4664" s="542"/>
      <c r="C4664" s="542"/>
      <c r="D4664" s="542"/>
      <c r="E4664" s="542"/>
      <c r="F4664" s="542"/>
      <c r="G4664" s="542"/>
      <c r="H4664" s="197">
        <f ca="1">TODAY()</f>
        <v>44889</v>
      </c>
      <c r="K4664" t="s">
        <v>4380</v>
      </c>
      <c r="L4664" t="s">
        <v>4381</v>
      </c>
      <c r="M4664" t="s">
        <v>4382</v>
      </c>
      <c r="N4664" t="s">
        <v>4383</v>
      </c>
    </row>
    <row r="4665" spans="1:14" ht="60.75" customHeight="1">
      <c r="A4665" s="209" t="s">
        <v>4211</v>
      </c>
      <c r="B4665" s="544" t="str">
        <f>COSTOS!$D$16</f>
        <v>Luminarias</v>
      </c>
      <c r="C4665" s="544"/>
      <c r="D4665" s="544"/>
      <c r="E4665" s="544"/>
      <c r="F4665" s="544"/>
      <c r="G4665" s="60" t="s">
        <v>4212</v>
      </c>
      <c r="H4665" s="359">
        <v>2.9</v>
      </c>
      <c r="K4665" s="55" t="e">
        <f>H4690</f>
        <v>#VALUE!</v>
      </c>
      <c r="L4665" s="55">
        <f>H4700</f>
        <v>41296</v>
      </c>
      <c r="M4665" s="55" t="e">
        <f>H4673</f>
        <v>#VALUE!</v>
      </c>
      <c r="N4665" s="55" t="e">
        <f>H4694</f>
        <v>#VALUE!</v>
      </c>
    </row>
    <row r="4666" spans="1:14" ht="43.2" customHeight="1">
      <c r="A4666" s="210" t="s">
        <v>4213</v>
      </c>
      <c r="B4666" s="545" t="str">
        <f>VLOOKUP(H4665,COSTOS!C:M,2,0)</f>
        <v>Poste metalico 12 metros para reflector</v>
      </c>
      <c r="C4666" s="546"/>
      <c r="D4666" s="546"/>
      <c r="E4666" s="547"/>
      <c r="F4666" s="61" t="s">
        <v>0</v>
      </c>
      <c r="G4666" s="328" t="str">
        <f>VLOOKUP(H4665,COSTOS!C:M,8,0)</f>
        <v>Und</v>
      </c>
      <c r="H4666" s="248"/>
      <c r="I4666" s="278"/>
      <c r="J4666" s="280"/>
      <c r="K4666" s="280"/>
      <c r="L4666" s="280"/>
    </row>
    <row r="4667" spans="1:14">
      <c r="A4667" s="211"/>
      <c r="B4667" s="102"/>
      <c r="C4667" s="102"/>
      <c r="D4667" s="102"/>
      <c r="E4667" s="103"/>
      <c r="F4667" s="104" t="s">
        <v>1</v>
      </c>
      <c r="G4667" s="328">
        <f>VLOOKUP(H4665,COSTOS!C:M,9,0)</f>
        <v>0</v>
      </c>
      <c r="H4667" s="329"/>
      <c r="I4667" s="279"/>
    </row>
    <row r="4668" spans="1:14">
      <c r="A4668" s="212" t="s">
        <v>4215</v>
      </c>
      <c r="B4668" s="65"/>
      <c r="C4668" s="65"/>
      <c r="D4668" s="66"/>
      <c r="E4668" s="190"/>
      <c r="F4668" s="191"/>
      <c r="G4668" s="192" t="s">
        <v>4216</v>
      </c>
      <c r="H4668" s="198" t="e">
        <f>H4673+H4690+H4694+H4700</f>
        <v>#VALUE!</v>
      </c>
    </row>
    <row r="4669" spans="1:14" ht="41.4">
      <c r="A4669" s="548" t="s">
        <v>4213</v>
      </c>
      <c r="B4669" s="548"/>
      <c r="C4669" s="548"/>
      <c r="D4669" s="67" t="s">
        <v>0</v>
      </c>
      <c r="E4669" s="188" t="s">
        <v>4217</v>
      </c>
      <c r="F4669" s="189" t="s">
        <v>4204</v>
      </c>
      <c r="G4669" s="64" t="s">
        <v>2</v>
      </c>
      <c r="H4669" s="199" t="s">
        <v>4218</v>
      </c>
      <c r="K4669" s="281"/>
    </row>
    <row r="4670" spans="1:14">
      <c r="A4670" s="517" t="s">
        <v>3946</v>
      </c>
      <c r="B4670" s="549">
        <f>VLOOKUP(A4670,'Equip, Herr y Transp'!$B$2:$E$738,2,0)</f>
        <v>2</v>
      </c>
      <c r="C4670" s="549"/>
      <c r="D4670" s="85">
        <f>VLOOKUP(A4670,'Equip, Herr y Transp'!$B$2:$E$217,2,0)</f>
        <v>2</v>
      </c>
      <c r="E4670" s="85" t="str">
        <f>VLOOKUP(A4670,'Equip, Herr y Transp'!$B$2:$E$217,3,0)</f>
        <v>EQU</v>
      </c>
      <c r="F4670" s="86">
        <f>H4660</f>
        <v>0.125</v>
      </c>
      <c r="G4670" s="112" t="e">
        <f>F4670*E4670</f>
        <v>#VALUE!</v>
      </c>
      <c r="H4670" s="108"/>
    </row>
    <row r="4671" spans="1:14">
      <c r="A4671" s="517" t="s">
        <v>3894</v>
      </c>
      <c r="B4671" s="549">
        <f>VLOOKUP(A4671,'Equip, Herr y Transp'!$B$2:$E$738,2,0)</f>
        <v>4</v>
      </c>
      <c r="C4671" s="549"/>
      <c r="D4671" s="85">
        <f>VLOOKUP(A4671,'Equip, Herr y Transp'!$B$2:$E$217,2,0)</f>
        <v>4</v>
      </c>
      <c r="E4671" s="85" t="str">
        <f>VLOOKUP(A4671,'Equip, Herr y Transp'!$B$2:$E$217,3,0)</f>
        <v>TR</v>
      </c>
      <c r="F4671" s="86">
        <f>H4660</f>
        <v>0.125</v>
      </c>
      <c r="G4671" s="112" t="e">
        <f>F4671*E4671</f>
        <v>#VALUE!</v>
      </c>
      <c r="H4671" s="107"/>
    </row>
    <row r="4672" spans="1:14">
      <c r="A4672" s="517" t="s">
        <v>8</v>
      </c>
      <c r="B4672" s="549" t="e">
        <f>VLOOKUP(A4672,'Equip, Herr y Transp'!$B$2:$E$738,2,0)</f>
        <v>#N/A</v>
      </c>
      <c r="C4672" s="549"/>
      <c r="D4672" s="85" t="e">
        <f>VLOOKUP(A4672,'Equip, Herr y Transp'!$B$2:$E$217,2,0)</f>
        <v>#N/A</v>
      </c>
      <c r="E4672" s="85" t="e">
        <f>VLOOKUP(A4672,'Equip, Herr y Transp'!$B$2:$E$217,3,0)</f>
        <v>#N/A</v>
      </c>
      <c r="F4672" s="86"/>
      <c r="G4672" s="112" t="e">
        <f>F4672*E4672</f>
        <v>#N/A</v>
      </c>
      <c r="H4672" s="107"/>
    </row>
    <row r="4673" spans="1:15">
      <c r="A4673" s="520" t="s">
        <v>4099</v>
      </c>
      <c r="B4673" s="521"/>
      <c r="C4673" s="521"/>
      <c r="D4673" s="521"/>
      <c r="E4673" s="521"/>
      <c r="F4673" s="521"/>
      <c r="G4673" s="521"/>
      <c r="H4673" s="87" t="e">
        <f>SUM(G4670:G4672)</f>
        <v>#VALUE!</v>
      </c>
    </row>
    <row r="4674" spans="1:15">
      <c r="A4674" s="550" t="s">
        <v>4219</v>
      </c>
      <c r="B4674" s="551"/>
      <c r="C4674" s="551"/>
      <c r="D4674" s="551"/>
      <c r="E4674" s="551"/>
      <c r="F4674" s="551"/>
      <c r="G4674" s="551"/>
      <c r="H4674" s="552"/>
      <c r="K4674" s="50"/>
      <c r="L4674" s="50"/>
      <c r="M4674" s="50"/>
      <c r="N4674" s="50"/>
      <c r="O4674" s="50"/>
    </row>
    <row r="4675" spans="1:15" ht="30" customHeight="1">
      <c r="A4675" s="553" t="s">
        <v>7</v>
      </c>
      <c r="B4675" s="554"/>
      <c r="C4675" s="99" t="s">
        <v>0</v>
      </c>
      <c r="D4675" s="100" t="s">
        <v>4097</v>
      </c>
      <c r="E4675" s="101" t="s">
        <v>1</v>
      </c>
      <c r="F4675" s="555" t="s">
        <v>4207</v>
      </c>
      <c r="G4675" s="555"/>
      <c r="H4675" s="196"/>
      <c r="K4675" s="50"/>
      <c r="L4675" s="50"/>
      <c r="M4675" s="50"/>
      <c r="N4675" s="50"/>
      <c r="O4675" s="50"/>
    </row>
    <row r="4676" spans="1:15">
      <c r="A4676" s="535" t="s">
        <v>4684</v>
      </c>
      <c r="B4676" s="536"/>
      <c r="C4676" s="88">
        <f>VLOOKUP(A4676,'Materiales '!$C$2:$G$396,3,0)</f>
        <v>4</v>
      </c>
      <c r="D4676" s="89" t="str">
        <f>VLOOKUP(A4676,'Materiales '!$C$2:$G$396,4,0)</f>
        <v>Und</v>
      </c>
      <c r="E4676" s="90">
        <v>1</v>
      </c>
      <c r="F4676" s="508" t="e">
        <f>E4676*D4676</f>
        <v>#VALUE!</v>
      </c>
      <c r="G4676" s="519"/>
      <c r="H4676" s="111"/>
      <c r="I4676">
        <f>E4676*G4667</f>
        <v>0</v>
      </c>
      <c r="J4676" s="57"/>
      <c r="K4676" s="50"/>
      <c r="L4676" s="50"/>
      <c r="M4676" s="50"/>
      <c r="N4676" s="50"/>
      <c r="O4676" s="50"/>
    </row>
    <row r="4677" spans="1:15">
      <c r="A4677" s="535" t="s">
        <v>4617</v>
      </c>
      <c r="B4677" s="536"/>
      <c r="C4677" s="88">
        <f>VLOOKUP(A4677,'Materiales '!$C$2:$G$396,3,0)</f>
        <v>3</v>
      </c>
      <c r="D4677" s="89" t="str">
        <f>VLOOKUP(A4677,'Materiales '!$C$2:$G$396,4,0)</f>
        <v>Rollo</v>
      </c>
      <c r="E4677" s="90">
        <v>0.5</v>
      </c>
      <c r="F4677" s="508" t="e">
        <f t="shared" ref="F4677:F4683" si="274">E4677*D4677</f>
        <v>#VALUE!</v>
      </c>
      <c r="G4677" s="519"/>
      <c r="H4677" s="111"/>
      <c r="I4677">
        <f>E4677*G4667</f>
        <v>0</v>
      </c>
      <c r="J4677" s="57"/>
      <c r="K4677" s="50"/>
      <c r="L4677" s="50"/>
      <c r="M4677" s="50"/>
      <c r="N4677" s="50"/>
      <c r="O4677" s="50"/>
    </row>
    <row r="4678" spans="1:15">
      <c r="A4678" s="517" t="s">
        <v>8</v>
      </c>
      <c r="B4678" s="518">
        <f>VLOOKUP(A4678,'Materiales '!$C$2:$G$396,3,0)</f>
        <v>0</v>
      </c>
      <c r="C4678" s="88">
        <f>VLOOKUP(A4678,'Materiales '!$C$2:$G$396,3,0)</f>
        <v>0</v>
      </c>
      <c r="D4678" s="89" t="str">
        <f>VLOOKUP(A4678,'Materiales '!$C$2:$G$396,4,0)</f>
        <v>-</v>
      </c>
      <c r="E4678" s="90">
        <v>1</v>
      </c>
      <c r="F4678" s="508" t="e">
        <f t="shared" si="274"/>
        <v>#VALUE!</v>
      </c>
      <c r="G4678" s="519"/>
      <c r="H4678" s="111"/>
      <c r="I4678">
        <f>E4678*G4667</f>
        <v>0</v>
      </c>
      <c r="J4678" s="58"/>
      <c r="K4678" s="50"/>
      <c r="L4678" s="50"/>
      <c r="M4678" s="50"/>
      <c r="N4678" s="50"/>
      <c r="O4678" s="50"/>
    </row>
    <row r="4679" spans="1:15">
      <c r="A4679" s="517" t="s">
        <v>8</v>
      </c>
      <c r="B4679" s="518">
        <f>VLOOKUP(A4679,'Materiales '!$C$2:$G$396,3,0)</f>
        <v>0</v>
      </c>
      <c r="C4679" s="88">
        <f>VLOOKUP(A4679,'Materiales '!$C$2:$G$396,3,0)</f>
        <v>0</v>
      </c>
      <c r="D4679" s="89" t="str">
        <f>VLOOKUP(A4679,'Materiales '!$C$2:$G$396,4,0)</f>
        <v>-</v>
      </c>
      <c r="E4679" s="90">
        <v>3</v>
      </c>
      <c r="F4679" s="508" t="e">
        <f t="shared" si="274"/>
        <v>#VALUE!</v>
      </c>
      <c r="G4679" s="519"/>
      <c r="H4679" s="111"/>
      <c r="I4679">
        <f>E4679*G4667</f>
        <v>0</v>
      </c>
      <c r="J4679" s="58"/>
      <c r="K4679" s="50"/>
      <c r="L4679" s="50"/>
      <c r="M4679" s="50"/>
      <c r="N4679" s="50"/>
      <c r="O4679" s="50"/>
    </row>
    <row r="4680" spans="1:15">
      <c r="A4680" s="517" t="s">
        <v>8</v>
      </c>
      <c r="B4680" s="518">
        <f>VLOOKUP(A4680,'Materiales '!$C$2:$G$396,3,0)</f>
        <v>0</v>
      </c>
      <c r="C4680" s="88">
        <f>VLOOKUP(A4680,'Materiales '!$C$2:$G$396,3,0)</f>
        <v>0</v>
      </c>
      <c r="D4680" s="89" t="str">
        <f>VLOOKUP(A4680,'Materiales '!$C$2:$G$396,4,0)</f>
        <v>-</v>
      </c>
      <c r="E4680" s="90">
        <v>2</v>
      </c>
      <c r="F4680" s="508" t="e">
        <f t="shared" si="274"/>
        <v>#VALUE!</v>
      </c>
      <c r="G4680" s="519"/>
      <c r="H4680" s="111"/>
      <c r="I4680">
        <f>E4680*G4667</f>
        <v>0</v>
      </c>
      <c r="J4680" s="58"/>
      <c r="K4680" s="50"/>
      <c r="L4680" s="50"/>
      <c r="M4680" s="50"/>
      <c r="N4680" s="50"/>
      <c r="O4680" s="50"/>
    </row>
    <row r="4681" spans="1:15">
      <c r="A4681" s="517" t="s">
        <v>8</v>
      </c>
      <c r="B4681" s="518">
        <f>VLOOKUP(A4681,'Materiales '!$C$2:$G$396,3,0)</f>
        <v>0</v>
      </c>
      <c r="C4681" s="88">
        <f>VLOOKUP(A4681,'Materiales '!$C$2:$G$396,3,0)</f>
        <v>0</v>
      </c>
      <c r="D4681" s="89" t="str">
        <f>VLOOKUP(A4681,'Materiales '!$C$2:$G$396,4,0)</f>
        <v>-</v>
      </c>
      <c r="E4681" s="90">
        <v>8</v>
      </c>
      <c r="F4681" s="508" t="e">
        <f t="shared" si="274"/>
        <v>#VALUE!</v>
      </c>
      <c r="G4681" s="519"/>
      <c r="H4681" s="111"/>
      <c r="I4681">
        <f>E4681*G4667</f>
        <v>0</v>
      </c>
      <c r="J4681" s="58"/>
      <c r="K4681" s="50"/>
      <c r="L4681" s="50"/>
      <c r="M4681" s="50"/>
      <c r="N4681" s="50"/>
      <c r="O4681" s="50"/>
    </row>
    <row r="4682" spans="1:15">
      <c r="A4682" s="517" t="s">
        <v>8</v>
      </c>
      <c r="B4682" s="518">
        <f>VLOOKUP(A4682,'Materiales '!$C$2:$G$396,3,0)</f>
        <v>0</v>
      </c>
      <c r="C4682" s="88">
        <f>VLOOKUP(A4682,'Materiales '!$C$2:$G$396,3,0)</f>
        <v>0</v>
      </c>
      <c r="D4682" s="89" t="str">
        <f>VLOOKUP(A4682,'Materiales '!$C$2:$G$396,4,0)</f>
        <v>-</v>
      </c>
      <c r="E4682" s="90">
        <v>3</v>
      </c>
      <c r="F4682" s="508" t="e">
        <f t="shared" si="274"/>
        <v>#VALUE!</v>
      </c>
      <c r="G4682" s="519"/>
      <c r="H4682" s="111"/>
      <c r="I4682">
        <f>E4682*G4667</f>
        <v>0</v>
      </c>
      <c r="J4682" s="58"/>
      <c r="K4682" s="50"/>
      <c r="L4682" s="50"/>
      <c r="M4682" s="50"/>
      <c r="N4682" s="50"/>
      <c r="O4682" s="50"/>
    </row>
    <row r="4683" spans="1:15" ht="21.75" customHeight="1">
      <c r="A4683" s="517" t="s">
        <v>8</v>
      </c>
      <c r="B4683" s="518">
        <f>VLOOKUP(A4683,'Materiales '!$C$2:$G$396,3,0)</f>
        <v>0</v>
      </c>
      <c r="C4683" s="88">
        <f>VLOOKUP(A4683,'Materiales '!$C$2:$G$396,3,0)</f>
        <v>0</v>
      </c>
      <c r="D4683" s="89" t="str">
        <f>VLOOKUP(A4683,'Materiales '!$C$2:$G$396,4,0)</f>
        <v>-</v>
      </c>
      <c r="E4683" s="90">
        <v>0.5</v>
      </c>
      <c r="F4683" s="508" t="e">
        <f t="shared" si="274"/>
        <v>#VALUE!</v>
      </c>
      <c r="G4683" s="519"/>
      <c r="H4683" s="111"/>
      <c r="I4683">
        <f>E4683*G4667</f>
        <v>0</v>
      </c>
      <c r="J4683" s="58"/>
      <c r="K4683" s="50"/>
      <c r="L4683" s="50"/>
      <c r="M4683" s="50"/>
      <c r="N4683" s="50"/>
      <c r="O4683" s="50"/>
    </row>
    <row r="4684" spans="1:15">
      <c r="A4684" s="517" t="s">
        <v>8</v>
      </c>
      <c r="B4684" s="518">
        <f>VLOOKUP(A4684,'Materiales '!$C$2:$G$396,3,0)</f>
        <v>0</v>
      </c>
      <c r="C4684" s="88">
        <f>VLOOKUP(A4684,'Materiales '!$C$2:$G$396,3,0)</f>
        <v>0</v>
      </c>
      <c r="D4684" s="89" t="str">
        <f>VLOOKUP(A4684,'Materiales '!$C$2:$G$396,4,0)</f>
        <v>-</v>
      </c>
      <c r="E4684" s="90"/>
      <c r="F4684" s="508" t="e">
        <f>E4684*D4684</f>
        <v>#VALUE!</v>
      </c>
      <c r="G4684" s="519"/>
      <c r="H4684" s="110"/>
      <c r="I4684">
        <f>E4684*G4667</f>
        <v>0</v>
      </c>
      <c r="J4684" s="58"/>
      <c r="K4684" s="50"/>
      <c r="L4684" s="50"/>
      <c r="M4684" s="50"/>
      <c r="N4684" s="50"/>
      <c r="O4684" s="50"/>
    </row>
    <row r="4685" spans="1:15">
      <c r="A4685" s="517" t="s">
        <v>8</v>
      </c>
      <c r="B4685" s="518">
        <f>VLOOKUP(A4685,'Materiales '!$C$2:$G$396,3,0)</f>
        <v>0</v>
      </c>
      <c r="C4685" s="88">
        <f>VLOOKUP(A4685,'Materiales '!$C$2:$G$396,3,0)</f>
        <v>0</v>
      </c>
      <c r="D4685" s="89" t="str">
        <f>VLOOKUP(A4685,'Materiales '!$C$2:$G$396,4,0)</f>
        <v>-</v>
      </c>
      <c r="E4685" s="90"/>
      <c r="F4685" s="508" t="e">
        <f t="shared" ref="F4685:F4688" si="275">E4685*D4685</f>
        <v>#VALUE!</v>
      </c>
      <c r="G4685" s="519"/>
      <c r="H4685" s="111"/>
      <c r="I4685">
        <f>E4685*G4667</f>
        <v>0</v>
      </c>
      <c r="J4685" s="58"/>
      <c r="K4685" s="50"/>
      <c r="L4685" s="50"/>
      <c r="M4685" s="50"/>
      <c r="N4685" s="50"/>
      <c r="O4685" s="50"/>
    </row>
    <row r="4686" spans="1:15">
      <c r="A4686" s="517" t="s">
        <v>8</v>
      </c>
      <c r="B4686" s="518">
        <f>VLOOKUP(A4686,'Materiales '!$C$2:$G$396,3,0)</f>
        <v>0</v>
      </c>
      <c r="C4686" s="88">
        <f>VLOOKUP(A4686,'Materiales '!$C$2:$G$396,3,0)</f>
        <v>0</v>
      </c>
      <c r="D4686" s="89" t="str">
        <f>VLOOKUP(A4686,'Materiales '!$C$2:$G$396,4,0)</f>
        <v>-</v>
      </c>
      <c r="E4686" s="90"/>
      <c r="F4686" s="508" t="e">
        <f t="shared" si="275"/>
        <v>#VALUE!</v>
      </c>
      <c r="G4686" s="519"/>
      <c r="H4686" s="111"/>
      <c r="I4686">
        <f>E4686*G4667</f>
        <v>0</v>
      </c>
      <c r="J4686" s="58"/>
      <c r="K4686" s="50"/>
      <c r="L4686" s="50"/>
      <c r="M4686" s="50"/>
      <c r="N4686" s="50"/>
      <c r="O4686" s="50"/>
    </row>
    <row r="4687" spans="1:15">
      <c r="A4687" s="517" t="s">
        <v>8</v>
      </c>
      <c r="B4687" s="518">
        <f>VLOOKUP(A4687,'Materiales '!$C$2:$G$396,3,0)</f>
        <v>0</v>
      </c>
      <c r="C4687" s="88">
        <f>VLOOKUP(A4687,'Materiales '!$C$2:$G$396,3,0)</f>
        <v>0</v>
      </c>
      <c r="D4687" s="89" t="str">
        <f>VLOOKUP(A4687,'Materiales '!$C$2:$G$396,4,0)</f>
        <v>-</v>
      </c>
      <c r="E4687" s="90"/>
      <c r="F4687" s="508" t="e">
        <f t="shared" si="275"/>
        <v>#VALUE!</v>
      </c>
      <c r="G4687" s="519"/>
      <c r="H4687" s="111"/>
      <c r="I4687">
        <f>E4687*G4667</f>
        <v>0</v>
      </c>
      <c r="J4687" s="58"/>
      <c r="K4687" s="50"/>
      <c r="L4687" s="50"/>
      <c r="M4687" s="50"/>
      <c r="N4687" s="50"/>
      <c r="O4687" s="50"/>
    </row>
    <row r="4688" spans="1:15">
      <c r="A4688" s="517" t="s">
        <v>8</v>
      </c>
      <c r="B4688" s="518">
        <f>VLOOKUP(A4688,'Materiales '!$C$2:$G$396,3,0)</f>
        <v>0</v>
      </c>
      <c r="C4688" s="88">
        <f>VLOOKUP(A4688,'Materiales '!$C$2:$G$396,3,0)</f>
        <v>0</v>
      </c>
      <c r="D4688" s="89" t="str">
        <f>VLOOKUP(A4688,'Materiales '!$C$2:$G$396,4,0)</f>
        <v>-</v>
      </c>
      <c r="E4688" s="90"/>
      <c r="F4688" s="508" t="e">
        <f t="shared" si="275"/>
        <v>#VALUE!</v>
      </c>
      <c r="G4688" s="519"/>
      <c r="H4688" s="111"/>
      <c r="I4688">
        <f>E4688*G4667</f>
        <v>0</v>
      </c>
      <c r="J4688" s="58"/>
      <c r="K4688" s="50"/>
      <c r="L4688" s="50"/>
      <c r="M4688" s="50"/>
      <c r="N4688" s="50"/>
      <c r="O4688" s="50"/>
    </row>
    <row r="4689" spans="1:15">
      <c r="A4689" s="517" t="s">
        <v>8</v>
      </c>
      <c r="B4689" s="518">
        <f>VLOOKUP(A4689,'Materiales '!$C$2:$G$396,3,0)</f>
        <v>0</v>
      </c>
      <c r="C4689" s="88">
        <f>VLOOKUP(A4689,'Materiales '!$C$2:$G$396,3,0)</f>
        <v>0</v>
      </c>
      <c r="D4689" s="89" t="str">
        <f>VLOOKUP(A4689,'Materiales '!$C$2:$G$396,4,0)</f>
        <v>-</v>
      </c>
      <c r="E4689" s="90"/>
      <c r="F4689" s="508" t="e">
        <f>E4689*D4689</f>
        <v>#VALUE!</v>
      </c>
      <c r="G4689" s="519"/>
      <c r="H4689" s="110"/>
      <c r="I4689">
        <f>E4689*G4667</f>
        <v>0</v>
      </c>
      <c r="J4689" s="58"/>
      <c r="K4689" s="50"/>
      <c r="L4689" s="50"/>
      <c r="M4689" s="50"/>
      <c r="N4689" s="50"/>
      <c r="O4689" s="50"/>
    </row>
    <row r="4690" spans="1:15">
      <c r="A4690" s="520" t="s">
        <v>4098</v>
      </c>
      <c r="B4690" s="521"/>
      <c r="C4690" s="521"/>
      <c r="D4690" s="521"/>
      <c r="E4690" s="521"/>
      <c r="F4690" s="521"/>
      <c r="G4690" s="522"/>
      <c r="H4690" s="106" t="e">
        <f>SUM(F4676:F4689)</f>
        <v>#VALUE!</v>
      </c>
      <c r="J4690" s="58"/>
      <c r="K4690" s="50"/>
      <c r="L4690" s="50"/>
      <c r="M4690" s="50"/>
      <c r="N4690" s="50"/>
      <c r="O4690" s="50"/>
    </row>
    <row r="4691" spans="1:15">
      <c r="A4691" s="523" t="s">
        <v>4220</v>
      </c>
      <c r="B4691" s="524"/>
      <c r="C4691" s="524"/>
      <c r="D4691" s="524"/>
      <c r="E4691" s="525"/>
      <c r="F4691" s="524"/>
      <c r="G4691" s="524"/>
      <c r="H4691" s="526"/>
      <c r="J4691" s="58"/>
      <c r="K4691" s="50"/>
      <c r="L4691" s="50"/>
      <c r="M4691" s="50"/>
      <c r="N4691" s="50"/>
      <c r="O4691" s="50"/>
    </row>
    <row r="4692" spans="1:15">
      <c r="A4692" s="527" t="s">
        <v>7</v>
      </c>
      <c r="B4692" s="528"/>
      <c r="C4692" s="98" t="s">
        <v>4221</v>
      </c>
      <c r="D4692" s="97" t="s">
        <v>4222</v>
      </c>
      <c r="E4692" s="187" t="s">
        <v>4223</v>
      </c>
      <c r="F4692" s="529" t="s">
        <v>4207</v>
      </c>
      <c r="G4692" s="529"/>
      <c r="H4692" s="109"/>
      <c r="K4692" s="50"/>
      <c r="L4692" s="50"/>
      <c r="M4692" s="50"/>
      <c r="N4692" s="50"/>
      <c r="O4692" s="50"/>
    </row>
    <row r="4693" spans="1:15">
      <c r="A4693" s="506" t="s">
        <v>3928</v>
      </c>
      <c r="B4693" s="507"/>
      <c r="C4693" s="213">
        <v>1</v>
      </c>
      <c r="D4693" s="92">
        <v>0.03</v>
      </c>
      <c r="E4693" s="93" t="str">
        <f>VLOOKUP(A4693,'Equip, Herr y Transp'!$B$2:$E$217,3,0)</f>
        <v>TR</v>
      </c>
      <c r="F4693" s="530" t="e">
        <f>E4693*D4693*C4693</f>
        <v>#VALUE!</v>
      </c>
      <c r="G4693" s="531"/>
      <c r="H4693" s="107"/>
      <c r="M4693" s="50"/>
    </row>
    <row r="4694" spans="1:15">
      <c r="A4694" s="532" t="s">
        <v>4205</v>
      </c>
      <c r="B4694" s="533"/>
      <c r="C4694" s="533"/>
      <c r="D4694" s="533"/>
      <c r="E4694" s="533"/>
      <c r="F4694" s="533"/>
      <c r="G4694" s="533"/>
      <c r="H4694" s="95" t="e">
        <f>F4693</f>
        <v>#VALUE!</v>
      </c>
    </row>
    <row r="4695" spans="1:15">
      <c r="A4695" s="523" t="s">
        <v>4224</v>
      </c>
      <c r="B4695" s="524"/>
      <c r="C4695" s="524"/>
      <c r="D4695" s="524"/>
      <c r="E4695" s="524"/>
      <c r="F4695" s="524"/>
      <c r="G4695" s="524"/>
      <c r="H4695" s="526"/>
    </row>
    <row r="4696" spans="1:15">
      <c r="A4696" s="527" t="s">
        <v>7</v>
      </c>
      <c r="B4696" s="528"/>
      <c r="C4696" s="96" t="s">
        <v>1</v>
      </c>
      <c r="D4696" s="97" t="s">
        <v>4225</v>
      </c>
      <c r="E4696" s="98" t="s">
        <v>4204</v>
      </c>
      <c r="F4696" s="527" t="s">
        <v>5</v>
      </c>
      <c r="G4696" s="534"/>
      <c r="H4696" s="109"/>
    </row>
    <row r="4697" spans="1:15">
      <c r="A4697" s="506" t="s">
        <v>4191</v>
      </c>
      <c r="B4697" s="507"/>
      <c r="C4697" s="91">
        <v>1</v>
      </c>
      <c r="D4697" s="94">
        <f>VLOOKUP(A4697,'Mano Obra'!$B$2:$T$117,19,0)</f>
        <v>152456</v>
      </c>
      <c r="E4697" s="218">
        <f>H4660</f>
        <v>0.125</v>
      </c>
      <c r="F4697" s="508">
        <f>E4697*D4697*C4697</f>
        <v>19057</v>
      </c>
      <c r="G4697" s="509"/>
      <c r="H4697" s="111"/>
      <c r="I4697" s="59"/>
      <c r="J4697" s="117">
        <f>((('Mano Obra'!$M$4/30)*F4697)/D4697)*G4667</f>
        <v>0</v>
      </c>
    </row>
    <row r="4698" spans="1:15">
      <c r="A4698" s="510" t="s">
        <v>4192</v>
      </c>
      <c r="B4698" s="511">
        <f>VLOOKUP(A4698,'Mano Obra'!$B$3:$D$290,2,0)</f>
        <v>1900000</v>
      </c>
      <c r="C4698" s="91">
        <v>1</v>
      </c>
      <c r="D4698" s="94">
        <f>VLOOKUP(A4698,'Mano Obra'!$B$2:$T$117,19,0)</f>
        <v>110488</v>
      </c>
      <c r="E4698" s="218">
        <f>H4660</f>
        <v>0.125</v>
      </c>
      <c r="F4698" s="508">
        <f t="shared" ref="F4698:F4699" si="276">E4698*D4698*C4698</f>
        <v>13811</v>
      </c>
      <c r="G4698" s="509"/>
      <c r="H4698" s="111"/>
      <c r="J4698" s="117">
        <f>((('Mano Obra'!$M$5/30)*F4698)/D4698)*G4667</f>
        <v>0</v>
      </c>
    </row>
    <row r="4699" spans="1:15">
      <c r="A4699" s="510" t="s">
        <v>4181</v>
      </c>
      <c r="B4699" s="511">
        <f>VLOOKUP(A4699,'Mano Obra'!$B$3:$D$290,2,0)</f>
        <v>1000000</v>
      </c>
      <c r="C4699" s="91">
        <v>1</v>
      </c>
      <c r="D4699" s="94">
        <f>VLOOKUP(A4699,'Mano Obra'!$B$2:$T$117,19,0)</f>
        <v>67424</v>
      </c>
      <c r="E4699" s="218">
        <f>H4660</f>
        <v>0.125</v>
      </c>
      <c r="F4699" s="508">
        <f t="shared" si="276"/>
        <v>8428</v>
      </c>
      <c r="G4699" s="509"/>
      <c r="H4699" s="110"/>
      <c r="J4699" s="117">
        <f>((('Mano Obra'!$M$6/30)*F4699)/D4699)*G4667</f>
        <v>0</v>
      </c>
    </row>
    <row r="4700" spans="1:15">
      <c r="A4700" s="512" t="s">
        <v>4100</v>
      </c>
      <c r="B4700" s="512"/>
      <c r="C4700" s="512"/>
      <c r="D4700" s="512"/>
      <c r="E4700" s="512"/>
      <c r="F4700" s="512"/>
      <c r="G4700" s="512"/>
      <c r="H4700" s="95">
        <f>SUM(F4697:F4699)</f>
        <v>41296</v>
      </c>
      <c r="J4700" s="117"/>
    </row>
    <row r="4701" spans="1:15">
      <c r="A4701" s="208" t="s">
        <v>4226</v>
      </c>
      <c r="B4701" s="186"/>
      <c r="C4701" s="186"/>
      <c r="D4701" s="183"/>
      <c r="E4701" s="184"/>
      <c r="F4701" s="185"/>
      <c r="G4701" s="184"/>
      <c r="H4701" s="193"/>
    </row>
    <row r="4702" spans="1:15">
      <c r="A4702" s="513" t="s">
        <v>4213</v>
      </c>
      <c r="B4702" s="514"/>
      <c r="C4702" s="514"/>
      <c r="D4702" s="514"/>
      <c r="E4702" s="181"/>
      <c r="F4702" s="182" t="s">
        <v>4227</v>
      </c>
      <c r="G4702" s="181" t="s">
        <v>4228</v>
      </c>
      <c r="H4702" s="194"/>
    </row>
    <row r="4703" spans="1:15">
      <c r="A4703" s="204" t="s">
        <v>4096</v>
      </c>
      <c r="B4703" s="62"/>
      <c r="C4703" s="62"/>
      <c r="D4703" s="63"/>
      <c r="E4703" s="68"/>
      <c r="F4703" s="69">
        <v>0</v>
      </c>
      <c r="G4703" s="70" t="e">
        <f>F4703*H4668</f>
        <v>#VALUE!</v>
      </c>
      <c r="H4703" s="193"/>
    </row>
    <row r="4704" spans="1:15">
      <c r="A4704" s="205" t="s">
        <v>4229</v>
      </c>
      <c r="B4704" s="71"/>
      <c r="C4704" s="71"/>
      <c r="D4704" s="72"/>
      <c r="E4704" s="68"/>
      <c r="F4704" s="69">
        <v>0</v>
      </c>
      <c r="G4704" s="70" t="e">
        <f>F4704*H4668</f>
        <v>#VALUE!</v>
      </c>
      <c r="H4704" s="193"/>
    </row>
    <row r="4705" spans="1:14">
      <c r="A4705" s="205" t="s">
        <v>4</v>
      </c>
      <c r="B4705" s="71"/>
      <c r="C4705" s="71"/>
      <c r="D4705" s="72"/>
      <c r="E4705" s="68"/>
      <c r="F4705" s="69">
        <v>0</v>
      </c>
      <c r="G4705" s="70" t="e">
        <f>F4705*H4668</f>
        <v>#VALUE!</v>
      </c>
      <c r="H4705" s="193"/>
    </row>
    <row r="4706" spans="1:14">
      <c r="A4706" s="206"/>
      <c r="B4706" s="73"/>
      <c r="C4706" s="65"/>
      <c r="D4706" s="74"/>
      <c r="E4706" s="75"/>
      <c r="F4706" s="76"/>
      <c r="G4706" s="77"/>
      <c r="H4706" s="195"/>
    </row>
    <row r="4707" spans="1:14">
      <c r="A4707" s="207"/>
      <c r="B4707" s="73"/>
      <c r="C4707" s="73"/>
      <c r="D4707" s="74"/>
      <c r="E4707" s="78"/>
      <c r="F4707" s="515" t="s">
        <v>4230</v>
      </c>
      <c r="G4707" s="516"/>
      <c r="H4707" s="214" t="e">
        <f>H4668+G4703+G4704+G4705</f>
        <v>#VALUE!</v>
      </c>
    </row>
    <row r="4708" spans="1:14">
      <c r="A4708" s="73"/>
      <c r="B4708" s="73"/>
      <c r="C4708" s="73"/>
      <c r="D4708" s="74"/>
      <c r="E4708" s="360"/>
      <c r="F4708" s="361"/>
      <c r="G4708" s="361"/>
      <c r="H4708" s="362"/>
    </row>
    <row r="4709" spans="1:14">
      <c r="A4709" s="80"/>
      <c r="B4709" s="80"/>
      <c r="C4709" s="80"/>
      <c r="D4709" s="80"/>
      <c r="E4709" s="80"/>
      <c r="F4709" s="80"/>
      <c r="G4709" s="80"/>
      <c r="H4709" s="353"/>
    </row>
    <row r="4710" spans="1:14">
      <c r="A4710" s="537" t="s">
        <v>4214</v>
      </c>
      <c r="B4710" s="538"/>
      <c r="C4710" s="538"/>
      <c r="D4710" s="538"/>
      <c r="E4710" s="538"/>
      <c r="F4710" s="538"/>
      <c r="G4710" s="538"/>
      <c r="H4710" s="539"/>
    </row>
    <row r="4711" spans="1:14">
      <c r="A4711" s="81"/>
      <c r="B4711" s="82"/>
      <c r="C4711" s="82"/>
      <c r="D4711" s="82"/>
      <c r="E4711" s="82"/>
      <c r="F4711" s="83"/>
      <c r="G4711" s="84"/>
      <c r="H4711" s="352">
        <f>ROUND((60/60)/8,4)</f>
        <v>0.125</v>
      </c>
      <c r="I4711" s="105"/>
    </row>
    <row r="4712" spans="1:14">
      <c r="A4712" s="540" t="s">
        <v>4209</v>
      </c>
      <c r="B4712" s="542" t="str">
        <f>COSTOS!$C$14</f>
        <v>MODERNIZACION A TECNOLOGIA LED</v>
      </c>
      <c r="C4712" s="542"/>
      <c r="D4712" s="542"/>
      <c r="E4712" s="542"/>
      <c r="F4712" s="542"/>
      <c r="G4712" s="542"/>
      <c r="H4712" s="543" t="s">
        <v>4210</v>
      </c>
    </row>
    <row r="4713" spans="1:14">
      <c r="A4713" s="541"/>
      <c r="B4713" s="542"/>
      <c r="C4713" s="542"/>
      <c r="D4713" s="542"/>
      <c r="E4713" s="542"/>
      <c r="F4713" s="542"/>
      <c r="G4713" s="542"/>
      <c r="H4713" s="543"/>
    </row>
    <row r="4714" spans="1:14">
      <c r="A4714" s="541"/>
      <c r="B4714" s="542"/>
      <c r="C4714" s="542"/>
      <c r="D4714" s="542"/>
      <c r="E4714" s="542"/>
      <c r="F4714" s="542"/>
      <c r="G4714" s="542"/>
      <c r="H4714" s="543"/>
    </row>
    <row r="4715" spans="1:14" ht="15" customHeight="1">
      <c r="A4715" s="541"/>
      <c r="B4715" s="542"/>
      <c r="C4715" s="542"/>
      <c r="D4715" s="542"/>
      <c r="E4715" s="542"/>
      <c r="F4715" s="542"/>
      <c r="G4715" s="542"/>
      <c r="H4715" s="197">
        <f ca="1">TODAY()</f>
        <v>44889</v>
      </c>
      <c r="K4715" t="s">
        <v>4380</v>
      </c>
      <c r="L4715" t="s">
        <v>4381</v>
      </c>
      <c r="M4715" t="s">
        <v>4382</v>
      </c>
      <c r="N4715" t="s">
        <v>4383</v>
      </c>
    </row>
    <row r="4716" spans="1:14" ht="60.75" customHeight="1">
      <c r="A4716" s="209" t="s">
        <v>4211</v>
      </c>
      <c r="B4716" s="544" t="str">
        <f>COSTOS!$D$16</f>
        <v>Luminarias</v>
      </c>
      <c r="C4716" s="544"/>
      <c r="D4716" s="544"/>
      <c r="E4716" s="544"/>
      <c r="F4716" s="544"/>
      <c r="G4716" s="60" t="s">
        <v>4212</v>
      </c>
      <c r="H4716" s="363">
        <v>2.11</v>
      </c>
      <c r="K4716" s="55" t="e">
        <f>H4741</f>
        <v>#VALUE!</v>
      </c>
      <c r="L4716" s="55">
        <f>H4751</f>
        <v>41296</v>
      </c>
      <c r="M4716" s="55" t="e">
        <f>H4724</f>
        <v>#VALUE!</v>
      </c>
      <c r="N4716" s="55" t="e">
        <f>H4745</f>
        <v>#VALUE!</v>
      </c>
    </row>
    <row r="4717" spans="1:14" ht="43.2" customHeight="1">
      <c r="A4717" s="210" t="s">
        <v>4213</v>
      </c>
      <c r="B4717" s="545" t="str">
        <f>VLOOKUP(H4716,COSTOS!C:M,2,0)</f>
        <v>Poste metalico 6 metros para luminaria</v>
      </c>
      <c r="C4717" s="546"/>
      <c r="D4717" s="546"/>
      <c r="E4717" s="547"/>
      <c r="F4717" s="61" t="s">
        <v>0</v>
      </c>
      <c r="G4717" s="328" t="str">
        <f>VLOOKUP(H4716,COSTOS!C:M,8,0)</f>
        <v>Und</v>
      </c>
      <c r="H4717" s="248"/>
      <c r="I4717" s="278"/>
      <c r="J4717" s="280"/>
      <c r="K4717" s="280"/>
      <c r="L4717" s="280"/>
    </row>
    <row r="4718" spans="1:14">
      <c r="A4718" s="211"/>
      <c r="B4718" s="102"/>
      <c r="C4718" s="102"/>
      <c r="D4718" s="102"/>
      <c r="E4718" s="103"/>
      <c r="F4718" s="104" t="s">
        <v>1</v>
      </c>
      <c r="G4718" s="328">
        <f>VLOOKUP(H4716,COSTOS!C:M,9,0)</f>
        <v>0</v>
      </c>
      <c r="H4718" s="329"/>
      <c r="I4718" s="279"/>
    </row>
    <row r="4719" spans="1:14">
      <c r="A4719" s="212" t="s">
        <v>4215</v>
      </c>
      <c r="B4719" s="65"/>
      <c r="C4719" s="65"/>
      <c r="D4719" s="66"/>
      <c r="E4719" s="190"/>
      <c r="F4719" s="191"/>
      <c r="G4719" s="192" t="s">
        <v>4216</v>
      </c>
      <c r="H4719" s="198" t="e">
        <f>H4724+H4741+H4745+H4751</f>
        <v>#VALUE!</v>
      </c>
    </row>
    <row r="4720" spans="1:14" ht="41.4">
      <c r="A4720" s="548" t="s">
        <v>4213</v>
      </c>
      <c r="B4720" s="548"/>
      <c r="C4720" s="548"/>
      <c r="D4720" s="67" t="s">
        <v>0</v>
      </c>
      <c r="E4720" s="188" t="s">
        <v>4217</v>
      </c>
      <c r="F4720" s="189" t="s">
        <v>4204</v>
      </c>
      <c r="G4720" s="64" t="s">
        <v>2</v>
      </c>
      <c r="H4720" s="199" t="s">
        <v>4218</v>
      </c>
      <c r="K4720" s="281"/>
    </row>
    <row r="4721" spans="1:15">
      <c r="A4721" s="517" t="s">
        <v>3946</v>
      </c>
      <c r="B4721" s="549">
        <f>VLOOKUP(A4721,'Equip, Herr y Transp'!$B$2:$E$738,2,0)</f>
        <v>2</v>
      </c>
      <c r="C4721" s="549"/>
      <c r="D4721" s="85">
        <f>VLOOKUP(A4721,'Equip, Herr y Transp'!$B$2:$E$217,2,0)</f>
        <v>2</v>
      </c>
      <c r="E4721" s="85" t="str">
        <f>VLOOKUP(A4721,'Equip, Herr y Transp'!$B$2:$E$217,3,0)</f>
        <v>EQU</v>
      </c>
      <c r="F4721" s="86">
        <f>H4711</f>
        <v>0.125</v>
      </c>
      <c r="G4721" s="112" t="e">
        <f>F4721*E4721</f>
        <v>#VALUE!</v>
      </c>
      <c r="H4721" s="108"/>
    </row>
    <row r="4722" spans="1:15">
      <c r="A4722" s="517" t="s">
        <v>3894</v>
      </c>
      <c r="B4722" s="549">
        <f>VLOOKUP(A4722,'Equip, Herr y Transp'!$B$2:$E$738,2,0)</f>
        <v>4</v>
      </c>
      <c r="C4722" s="549"/>
      <c r="D4722" s="85">
        <f>VLOOKUP(A4722,'Equip, Herr y Transp'!$B$2:$E$217,2,0)</f>
        <v>4</v>
      </c>
      <c r="E4722" s="85" t="str">
        <f>VLOOKUP(A4722,'Equip, Herr y Transp'!$B$2:$E$217,3,0)</f>
        <v>TR</v>
      </c>
      <c r="F4722" s="86">
        <f>H4711</f>
        <v>0.125</v>
      </c>
      <c r="G4722" s="112" t="e">
        <f>F4722*E4722</f>
        <v>#VALUE!</v>
      </c>
      <c r="H4722" s="107"/>
    </row>
    <row r="4723" spans="1:15">
      <c r="A4723" s="517" t="s">
        <v>8</v>
      </c>
      <c r="B4723" s="549" t="e">
        <f>VLOOKUP(A4723,'Equip, Herr y Transp'!$B$2:$E$738,2,0)</f>
        <v>#N/A</v>
      </c>
      <c r="C4723" s="549"/>
      <c r="D4723" s="85" t="e">
        <f>VLOOKUP(A4723,'Equip, Herr y Transp'!$B$2:$E$217,2,0)</f>
        <v>#N/A</v>
      </c>
      <c r="E4723" s="85" t="e">
        <f>VLOOKUP(A4723,'Equip, Herr y Transp'!$B$2:$E$217,3,0)</f>
        <v>#N/A</v>
      </c>
      <c r="F4723" s="86"/>
      <c r="G4723" s="112" t="e">
        <f>F4723*E4723</f>
        <v>#N/A</v>
      </c>
      <c r="H4723" s="107"/>
    </row>
    <row r="4724" spans="1:15">
      <c r="A4724" s="520" t="s">
        <v>4099</v>
      </c>
      <c r="B4724" s="521"/>
      <c r="C4724" s="521"/>
      <c r="D4724" s="521"/>
      <c r="E4724" s="521"/>
      <c r="F4724" s="521"/>
      <c r="G4724" s="521"/>
      <c r="H4724" s="87" t="e">
        <f>SUM(G4721:G4723)</f>
        <v>#VALUE!</v>
      </c>
    </row>
    <row r="4725" spans="1:15">
      <c r="A4725" s="550" t="s">
        <v>4219</v>
      </c>
      <c r="B4725" s="551"/>
      <c r="C4725" s="551"/>
      <c r="D4725" s="551"/>
      <c r="E4725" s="551"/>
      <c r="F4725" s="551"/>
      <c r="G4725" s="551"/>
      <c r="H4725" s="552"/>
      <c r="K4725" s="50"/>
      <c r="L4725" s="50"/>
      <c r="M4725" s="50"/>
      <c r="N4725" s="50"/>
      <c r="O4725" s="50"/>
    </row>
    <row r="4726" spans="1:15" ht="30" customHeight="1">
      <c r="A4726" s="553" t="s">
        <v>7</v>
      </c>
      <c r="B4726" s="554"/>
      <c r="C4726" s="99" t="s">
        <v>0</v>
      </c>
      <c r="D4726" s="100" t="s">
        <v>4097</v>
      </c>
      <c r="E4726" s="101" t="s">
        <v>1</v>
      </c>
      <c r="F4726" s="555" t="s">
        <v>4207</v>
      </c>
      <c r="G4726" s="555"/>
      <c r="H4726" s="196"/>
      <c r="K4726" s="50"/>
      <c r="L4726" s="50"/>
      <c r="M4726" s="50"/>
      <c r="N4726" s="50"/>
      <c r="O4726" s="50"/>
    </row>
    <row r="4727" spans="1:15">
      <c r="A4727" s="535" t="s">
        <v>4726</v>
      </c>
      <c r="B4727" s="536"/>
      <c r="C4727" s="88">
        <f>VLOOKUP(A4727,'Materiales '!$C$2:$G$396,3,0)</f>
        <v>4</v>
      </c>
      <c r="D4727" s="89" t="str">
        <f>VLOOKUP(A4727,'Materiales '!$C$2:$G$396,4,0)</f>
        <v>Und</v>
      </c>
      <c r="E4727" s="90">
        <v>1</v>
      </c>
      <c r="F4727" s="508" t="e">
        <f>E4727*D4727</f>
        <v>#VALUE!</v>
      </c>
      <c r="G4727" s="519"/>
      <c r="H4727" s="111"/>
      <c r="I4727">
        <f>E4727*G4718</f>
        <v>0</v>
      </c>
      <c r="J4727" s="57"/>
      <c r="K4727" s="50"/>
      <c r="L4727" s="50"/>
      <c r="M4727" s="50"/>
      <c r="N4727" s="50"/>
      <c r="O4727" s="50"/>
    </row>
    <row r="4728" spans="1:15">
      <c r="A4728" s="535" t="s">
        <v>4617</v>
      </c>
      <c r="B4728" s="536"/>
      <c r="C4728" s="88">
        <f>VLOOKUP(A4728,'Materiales '!$C$2:$G$396,3,0)</f>
        <v>3</v>
      </c>
      <c r="D4728" s="89" t="str">
        <f>VLOOKUP(A4728,'Materiales '!$C$2:$G$396,4,0)</f>
        <v>Rollo</v>
      </c>
      <c r="E4728" s="90">
        <v>0.5</v>
      </c>
      <c r="F4728" s="508" t="e">
        <f t="shared" ref="F4728:F4734" si="277">E4728*D4728</f>
        <v>#VALUE!</v>
      </c>
      <c r="G4728" s="519"/>
      <c r="H4728" s="111"/>
      <c r="I4728">
        <f>E4728*G4718</f>
        <v>0</v>
      </c>
      <c r="J4728" s="57"/>
      <c r="K4728" s="50"/>
      <c r="L4728" s="50"/>
      <c r="M4728" s="50"/>
      <c r="N4728" s="50"/>
      <c r="O4728" s="50"/>
    </row>
    <row r="4729" spans="1:15">
      <c r="A4729" s="517" t="s">
        <v>8</v>
      </c>
      <c r="B4729" s="518">
        <f>VLOOKUP(A4729,'Materiales '!$C$2:$G$396,3,0)</f>
        <v>0</v>
      </c>
      <c r="C4729" s="88">
        <f>VLOOKUP(A4729,'Materiales '!$C$2:$G$396,3,0)</f>
        <v>0</v>
      </c>
      <c r="D4729" s="89" t="str">
        <f>VLOOKUP(A4729,'Materiales '!$C$2:$G$396,4,0)</f>
        <v>-</v>
      </c>
      <c r="E4729" s="90">
        <v>1</v>
      </c>
      <c r="F4729" s="508" t="e">
        <f t="shared" si="277"/>
        <v>#VALUE!</v>
      </c>
      <c r="G4729" s="519"/>
      <c r="H4729" s="111"/>
      <c r="I4729">
        <f>E4729*G4718</f>
        <v>0</v>
      </c>
      <c r="J4729" s="58"/>
      <c r="K4729" s="50"/>
      <c r="L4729" s="50"/>
      <c r="M4729" s="50"/>
      <c r="N4729" s="50"/>
      <c r="O4729" s="50"/>
    </row>
    <row r="4730" spans="1:15">
      <c r="A4730" s="517" t="s">
        <v>8</v>
      </c>
      <c r="B4730" s="518">
        <f>VLOOKUP(A4730,'Materiales '!$C$2:$G$396,3,0)</f>
        <v>0</v>
      </c>
      <c r="C4730" s="88">
        <f>VLOOKUP(A4730,'Materiales '!$C$2:$G$396,3,0)</f>
        <v>0</v>
      </c>
      <c r="D4730" s="89" t="str">
        <f>VLOOKUP(A4730,'Materiales '!$C$2:$G$396,4,0)</f>
        <v>-</v>
      </c>
      <c r="E4730" s="90">
        <v>3</v>
      </c>
      <c r="F4730" s="508" t="e">
        <f t="shared" si="277"/>
        <v>#VALUE!</v>
      </c>
      <c r="G4730" s="519"/>
      <c r="H4730" s="111"/>
      <c r="I4730">
        <f>E4730*G4718</f>
        <v>0</v>
      </c>
      <c r="J4730" s="58"/>
      <c r="K4730" s="50"/>
      <c r="L4730" s="50"/>
      <c r="M4730" s="50"/>
      <c r="N4730" s="50"/>
      <c r="O4730" s="50"/>
    </row>
    <row r="4731" spans="1:15">
      <c r="A4731" s="517" t="s">
        <v>8</v>
      </c>
      <c r="B4731" s="518">
        <f>VLOOKUP(A4731,'Materiales '!$C$2:$G$396,3,0)</f>
        <v>0</v>
      </c>
      <c r="C4731" s="88">
        <f>VLOOKUP(A4731,'Materiales '!$C$2:$G$396,3,0)</f>
        <v>0</v>
      </c>
      <c r="D4731" s="89" t="str">
        <f>VLOOKUP(A4731,'Materiales '!$C$2:$G$396,4,0)</f>
        <v>-</v>
      </c>
      <c r="E4731" s="90">
        <v>2</v>
      </c>
      <c r="F4731" s="508" t="e">
        <f t="shared" si="277"/>
        <v>#VALUE!</v>
      </c>
      <c r="G4731" s="519"/>
      <c r="H4731" s="111"/>
      <c r="I4731">
        <f>E4731*G4718</f>
        <v>0</v>
      </c>
      <c r="J4731" s="58"/>
      <c r="K4731" s="50"/>
      <c r="L4731" s="50"/>
      <c r="M4731" s="50"/>
      <c r="N4731" s="50"/>
      <c r="O4731" s="50"/>
    </row>
    <row r="4732" spans="1:15">
      <c r="A4732" s="517" t="s">
        <v>8</v>
      </c>
      <c r="B4732" s="518">
        <f>VLOOKUP(A4732,'Materiales '!$C$2:$G$396,3,0)</f>
        <v>0</v>
      </c>
      <c r="C4732" s="88">
        <f>VLOOKUP(A4732,'Materiales '!$C$2:$G$396,3,0)</f>
        <v>0</v>
      </c>
      <c r="D4732" s="89" t="str">
        <f>VLOOKUP(A4732,'Materiales '!$C$2:$G$396,4,0)</f>
        <v>-</v>
      </c>
      <c r="E4732" s="90">
        <v>8</v>
      </c>
      <c r="F4732" s="508" t="e">
        <f t="shared" si="277"/>
        <v>#VALUE!</v>
      </c>
      <c r="G4732" s="519"/>
      <c r="H4732" s="111"/>
      <c r="I4732">
        <f>E4732*G4718</f>
        <v>0</v>
      </c>
      <c r="J4732" s="58"/>
      <c r="K4732" s="50"/>
      <c r="L4732" s="50"/>
      <c r="M4732" s="50"/>
      <c r="N4732" s="50"/>
      <c r="O4732" s="50"/>
    </row>
    <row r="4733" spans="1:15">
      <c r="A4733" s="517" t="s">
        <v>8</v>
      </c>
      <c r="B4733" s="518">
        <f>VLOOKUP(A4733,'Materiales '!$C$2:$G$396,3,0)</f>
        <v>0</v>
      </c>
      <c r="C4733" s="88">
        <f>VLOOKUP(A4733,'Materiales '!$C$2:$G$396,3,0)</f>
        <v>0</v>
      </c>
      <c r="D4733" s="89" t="str">
        <f>VLOOKUP(A4733,'Materiales '!$C$2:$G$396,4,0)</f>
        <v>-</v>
      </c>
      <c r="E4733" s="90">
        <v>3</v>
      </c>
      <c r="F4733" s="508" t="e">
        <f t="shared" si="277"/>
        <v>#VALUE!</v>
      </c>
      <c r="G4733" s="519"/>
      <c r="H4733" s="111"/>
      <c r="I4733">
        <f>E4733*G4718</f>
        <v>0</v>
      </c>
      <c r="J4733" s="58"/>
      <c r="K4733" s="50"/>
      <c r="L4733" s="50"/>
      <c r="M4733" s="50"/>
      <c r="N4733" s="50"/>
      <c r="O4733" s="50"/>
    </row>
    <row r="4734" spans="1:15" ht="21.75" customHeight="1">
      <c r="A4734" s="517" t="s">
        <v>8</v>
      </c>
      <c r="B4734" s="518">
        <f>VLOOKUP(A4734,'Materiales '!$C$2:$G$396,3,0)</f>
        <v>0</v>
      </c>
      <c r="C4734" s="88">
        <f>VLOOKUP(A4734,'Materiales '!$C$2:$G$396,3,0)</f>
        <v>0</v>
      </c>
      <c r="D4734" s="89" t="str">
        <f>VLOOKUP(A4734,'Materiales '!$C$2:$G$396,4,0)</f>
        <v>-</v>
      </c>
      <c r="E4734" s="90">
        <v>0.5</v>
      </c>
      <c r="F4734" s="508" t="e">
        <f t="shared" si="277"/>
        <v>#VALUE!</v>
      </c>
      <c r="G4734" s="519"/>
      <c r="H4734" s="111"/>
      <c r="I4734">
        <f>E4734*G4718</f>
        <v>0</v>
      </c>
      <c r="J4734" s="58"/>
      <c r="K4734" s="50"/>
      <c r="L4734" s="50"/>
      <c r="M4734" s="50"/>
      <c r="N4734" s="50"/>
      <c r="O4734" s="50"/>
    </row>
    <row r="4735" spans="1:15">
      <c r="A4735" s="517" t="s">
        <v>8</v>
      </c>
      <c r="B4735" s="518">
        <f>VLOOKUP(A4735,'Materiales '!$C$2:$G$396,3,0)</f>
        <v>0</v>
      </c>
      <c r="C4735" s="88">
        <f>VLOOKUP(A4735,'Materiales '!$C$2:$G$396,3,0)</f>
        <v>0</v>
      </c>
      <c r="D4735" s="89" t="str">
        <f>VLOOKUP(A4735,'Materiales '!$C$2:$G$396,4,0)</f>
        <v>-</v>
      </c>
      <c r="E4735" s="90"/>
      <c r="F4735" s="508" t="e">
        <f>E4735*D4735</f>
        <v>#VALUE!</v>
      </c>
      <c r="G4735" s="519"/>
      <c r="H4735" s="110"/>
      <c r="I4735">
        <f>E4735*G4718</f>
        <v>0</v>
      </c>
      <c r="J4735" s="58"/>
      <c r="K4735" s="50"/>
      <c r="L4735" s="50"/>
      <c r="M4735" s="50"/>
      <c r="N4735" s="50"/>
      <c r="O4735" s="50"/>
    </row>
    <row r="4736" spans="1:15">
      <c r="A4736" s="517" t="s">
        <v>8</v>
      </c>
      <c r="B4736" s="518">
        <f>VLOOKUP(A4736,'Materiales '!$C$2:$G$396,3,0)</f>
        <v>0</v>
      </c>
      <c r="C4736" s="88">
        <f>VLOOKUP(A4736,'Materiales '!$C$2:$G$396,3,0)</f>
        <v>0</v>
      </c>
      <c r="D4736" s="89" t="str">
        <f>VLOOKUP(A4736,'Materiales '!$C$2:$G$396,4,0)</f>
        <v>-</v>
      </c>
      <c r="E4736" s="90"/>
      <c r="F4736" s="508" t="e">
        <f t="shared" ref="F4736:F4739" si="278">E4736*D4736</f>
        <v>#VALUE!</v>
      </c>
      <c r="G4736" s="519"/>
      <c r="H4736" s="111"/>
      <c r="I4736">
        <f>E4736*G4718</f>
        <v>0</v>
      </c>
      <c r="J4736" s="58"/>
      <c r="K4736" s="50"/>
      <c r="L4736" s="50"/>
      <c r="M4736" s="50"/>
      <c r="N4736" s="50"/>
      <c r="O4736" s="50"/>
    </row>
    <row r="4737" spans="1:15">
      <c r="A4737" s="517" t="s">
        <v>8</v>
      </c>
      <c r="B4737" s="518">
        <f>VLOOKUP(A4737,'Materiales '!$C$2:$G$396,3,0)</f>
        <v>0</v>
      </c>
      <c r="C4737" s="88">
        <f>VLOOKUP(A4737,'Materiales '!$C$2:$G$396,3,0)</f>
        <v>0</v>
      </c>
      <c r="D4737" s="89" t="str">
        <f>VLOOKUP(A4737,'Materiales '!$C$2:$G$396,4,0)</f>
        <v>-</v>
      </c>
      <c r="E4737" s="90"/>
      <c r="F4737" s="508" t="e">
        <f t="shared" si="278"/>
        <v>#VALUE!</v>
      </c>
      <c r="G4737" s="519"/>
      <c r="H4737" s="111"/>
      <c r="I4737">
        <f>E4737*G4718</f>
        <v>0</v>
      </c>
      <c r="J4737" s="58"/>
      <c r="K4737" s="50"/>
      <c r="L4737" s="50"/>
      <c r="M4737" s="50"/>
      <c r="N4737" s="50"/>
      <c r="O4737" s="50"/>
    </row>
    <row r="4738" spans="1:15">
      <c r="A4738" s="517" t="s">
        <v>8</v>
      </c>
      <c r="B4738" s="518">
        <f>VLOOKUP(A4738,'Materiales '!$C$2:$G$396,3,0)</f>
        <v>0</v>
      </c>
      <c r="C4738" s="88">
        <f>VLOOKUP(A4738,'Materiales '!$C$2:$G$396,3,0)</f>
        <v>0</v>
      </c>
      <c r="D4738" s="89" t="str">
        <f>VLOOKUP(A4738,'Materiales '!$C$2:$G$396,4,0)</f>
        <v>-</v>
      </c>
      <c r="E4738" s="90"/>
      <c r="F4738" s="508" t="e">
        <f t="shared" si="278"/>
        <v>#VALUE!</v>
      </c>
      <c r="G4738" s="519"/>
      <c r="H4738" s="111"/>
      <c r="I4738">
        <f>E4738*G4718</f>
        <v>0</v>
      </c>
      <c r="J4738" s="58"/>
      <c r="K4738" s="50"/>
      <c r="L4738" s="50"/>
      <c r="M4738" s="50"/>
      <c r="N4738" s="50"/>
      <c r="O4738" s="50"/>
    </row>
    <row r="4739" spans="1:15">
      <c r="A4739" s="517" t="s">
        <v>8</v>
      </c>
      <c r="B4739" s="518">
        <f>VLOOKUP(A4739,'Materiales '!$C$2:$G$396,3,0)</f>
        <v>0</v>
      </c>
      <c r="C4739" s="88">
        <f>VLOOKUP(A4739,'Materiales '!$C$2:$G$396,3,0)</f>
        <v>0</v>
      </c>
      <c r="D4739" s="89" t="str">
        <f>VLOOKUP(A4739,'Materiales '!$C$2:$G$396,4,0)</f>
        <v>-</v>
      </c>
      <c r="E4739" s="90"/>
      <c r="F4739" s="508" t="e">
        <f t="shared" si="278"/>
        <v>#VALUE!</v>
      </c>
      <c r="G4739" s="519"/>
      <c r="H4739" s="111"/>
      <c r="I4739">
        <f>E4739*G4718</f>
        <v>0</v>
      </c>
      <c r="J4739" s="58"/>
      <c r="K4739" s="50"/>
      <c r="L4739" s="50"/>
      <c r="M4739" s="50"/>
      <c r="N4739" s="50"/>
      <c r="O4739" s="50"/>
    </row>
    <row r="4740" spans="1:15">
      <c r="A4740" s="517" t="s">
        <v>8</v>
      </c>
      <c r="B4740" s="518">
        <f>VLOOKUP(A4740,'Materiales '!$C$2:$G$396,3,0)</f>
        <v>0</v>
      </c>
      <c r="C4740" s="88">
        <f>VLOOKUP(A4740,'Materiales '!$C$2:$G$396,3,0)</f>
        <v>0</v>
      </c>
      <c r="D4740" s="89" t="str">
        <f>VLOOKUP(A4740,'Materiales '!$C$2:$G$396,4,0)</f>
        <v>-</v>
      </c>
      <c r="E4740" s="90"/>
      <c r="F4740" s="508" t="e">
        <f>E4740*D4740</f>
        <v>#VALUE!</v>
      </c>
      <c r="G4740" s="519"/>
      <c r="H4740" s="110"/>
      <c r="I4740">
        <f>E4740*G4718</f>
        <v>0</v>
      </c>
      <c r="J4740" s="58"/>
      <c r="K4740" s="50"/>
      <c r="L4740" s="50"/>
      <c r="M4740" s="50"/>
      <c r="N4740" s="50"/>
      <c r="O4740" s="50"/>
    </row>
    <row r="4741" spans="1:15">
      <c r="A4741" s="520" t="s">
        <v>4098</v>
      </c>
      <c r="B4741" s="521"/>
      <c r="C4741" s="521"/>
      <c r="D4741" s="521"/>
      <c r="E4741" s="521"/>
      <c r="F4741" s="521"/>
      <c r="G4741" s="522"/>
      <c r="H4741" s="106" t="e">
        <f>SUM(F4727:F4740)</f>
        <v>#VALUE!</v>
      </c>
      <c r="J4741" s="58"/>
      <c r="K4741" s="50"/>
      <c r="L4741" s="50"/>
      <c r="M4741" s="50"/>
      <c r="N4741" s="50"/>
      <c r="O4741" s="50"/>
    </row>
    <row r="4742" spans="1:15">
      <c r="A4742" s="523" t="s">
        <v>4220</v>
      </c>
      <c r="B4742" s="524"/>
      <c r="C4742" s="524"/>
      <c r="D4742" s="524"/>
      <c r="E4742" s="525"/>
      <c r="F4742" s="524"/>
      <c r="G4742" s="524"/>
      <c r="H4742" s="526"/>
      <c r="J4742" s="58"/>
      <c r="K4742" s="50"/>
      <c r="L4742" s="50"/>
      <c r="M4742" s="50"/>
      <c r="N4742" s="50"/>
      <c r="O4742" s="50"/>
    </row>
    <row r="4743" spans="1:15">
      <c r="A4743" s="527" t="s">
        <v>7</v>
      </c>
      <c r="B4743" s="528"/>
      <c r="C4743" s="98" t="s">
        <v>4221</v>
      </c>
      <c r="D4743" s="97" t="s">
        <v>4222</v>
      </c>
      <c r="E4743" s="187" t="s">
        <v>4223</v>
      </c>
      <c r="F4743" s="529" t="s">
        <v>4207</v>
      </c>
      <c r="G4743" s="529"/>
      <c r="H4743" s="109"/>
      <c r="K4743" s="50"/>
      <c r="L4743" s="50"/>
      <c r="M4743" s="50"/>
      <c r="N4743" s="50"/>
      <c r="O4743" s="50"/>
    </row>
    <row r="4744" spans="1:15">
      <c r="A4744" s="506" t="s">
        <v>3928</v>
      </c>
      <c r="B4744" s="507"/>
      <c r="C4744" s="213">
        <v>1</v>
      </c>
      <c r="D4744" s="92">
        <v>0.03</v>
      </c>
      <c r="E4744" s="93" t="str">
        <f>VLOOKUP(A4744,'Equip, Herr y Transp'!$B$2:$E$217,3,0)</f>
        <v>TR</v>
      </c>
      <c r="F4744" s="530" t="e">
        <f>E4744*D4744*C4744</f>
        <v>#VALUE!</v>
      </c>
      <c r="G4744" s="531"/>
      <c r="H4744" s="107"/>
      <c r="M4744" s="50"/>
    </row>
    <row r="4745" spans="1:15">
      <c r="A4745" s="532" t="s">
        <v>4205</v>
      </c>
      <c r="B4745" s="533"/>
      <c r="C4745" s="533"/>
      <c r="D4745" s="533"/>
      <c r="E4745" s="533"/>
      <c r="F4745" s="533"/>
      <c r="G4745" s="533"/>
      <c r="H4745" s="95" t="e">
        <f>F4744</f>
        <v>#VALUE!</v>
      </c>
    </row>
    <row r="4746" spans="1:15">
      <c r="A4746" s="523" t="s">
        <v>4224</v>
      </c>
      <c r="B4746" s="524"/>
      <c r="C4746" s="524"/>
      <c r="D4746" s="524"/>
      <c r="E4746" s="524"/>
      <c r="F4746" s="524"/>
      <c r="G4746" s="524"/>
      <c r="H4746" s="526"/>
    </row>
    <row r="4747" spans="1:15">
      <c r="A4747" s="527" t="s">
        <v>7</v>
      </c>
      <c r="B4747" s="528"/>
      <c r="C4747" s="96" t="s">
        <v>1</v>
      </c>
      <c r="D4747" s="97" t="s">
        <v>4225</v>
      </c>
      <c r="E4747" s="98" t="s">
        <v>4204</v>
      </c>
      <c r="F4747" s="527" t="s">
        <v>5</v>
      </c>
      <c r="G4747" s="534"/>
      <c r="H4747" s="109"/>
    </row>
    <row r="4748" spans="1:15">
      <c r="A4748" s="506" t="s">
        <v>4191</v>
      </c>
      <c r="B4748" s="507"/>
      <c r="C4748" s="91">
        <v>1</v>
      </c>
      <c r="D4748" s="94">
        <f>VLOOKUP(A4748,'Mano Obra'!$B$2:$T$117,19,0)</f>
        <v>152456</v>
      </c>
      <c r="E4748" s="218">
        <f>H4711</f>
        <v>0.125</v>
      </c>
      <c r="F4748" s="508">
        <f>E4748*D4748*C4748</f>
        <v>19057</v>
      </c>
      <c r="G4748" s="509"/>
      <c r="H4748" s="111"/>
      <c r="I4748" s="59"/>
      <c r="J4748" s="117">
        <f>((('Mano Obra'!$M$4/30)*F4748)/D4748)*G4718</f>
        <v>0</v>
      </c>
    </row>
    <row r="4749" spans="1:15">
      <c r="A4749" s="510" t="s">
        <v>4192</v>
      </c>
      <c r="B4749" s="511">
        <f>VLOOKUP(A4749,'Mano Obra'!$B$3:$D$290,2,0)</f>
        <v>1900000</v>
      </c>
      <c r="C4749" s="91">
        <v>1</v>
      </c>
      <c r="D4749" s="94">
        <f>VLOOKUP(A4749,'Mano Obra'!$B$2:$T$117,19,0)</f>
        <v>110488</v>
      </c>
      <c r="E4749" s="218">
        <f>H4711</f>
        <v>0.125</v>
      </c>
      <c r="F4749" s="508">
        <f t="shared" ref="F4749:F4750" si="279">E4749*D4749*C4749</f>
        <v>13811</v>
      </c>
      <c r="G4749" s="509"/>
      <c r="H4749" s="111"/>
      <c r="J4749" s="117">
        <f>((('Mano Obra'!$M$5/30)*F4749)/D4749)*G4718</f>
        <v>0</v>
      </c>
    </row>
    <row r="4750" spans="1:15">
      <c r="A4750" s="510" t="s">
        <v>4181</v>
      </c>
      <c r="B4750" s="511">
        <f>VLOOKUP(A4750,'Mano Obra'!$B$3:$D$290,2,0)</f>
        <v>1000000</v>
      </c>
      <c r="C4750" s="91">
        <v>1</v>
      </c>
      <c r="D4750" s="94">
        <f>VLOOKUP(A4750,'Mano Obra'!$B$2:$T$117,19,0)</f>
        <v>67424</v>
      </c>
      <c r="E4750" s="218">
        <f>H4711</f>
        <v>0.125</v>
      </c>
      <c r="F4750" s="508">
        <f t="shared" si="279"/>
        <v>8428</v>
      </c>
      <c r="G4750" s="509"/>
      <c r="H4750" s="110"/>
      <c r="J4750" s="117">
        <f>((('Mano Obra'!$M$6/30)*F4750)/D4750)*G4718</f>
        <v>0</v>
      </c>
    </row>
    <row r="4751" spans="1:15">
      <c r="A4751" s="512" t="s">
        <v>4100</v>
      </c>
      <c r="B4751" s="512"/>
      <c r="C4751" s="512"/>
      <c r="D4751" s="512"/>
      <c r="E4751" s="512"/>
      <c r="F4751" s="512"/>
      <c r="G4751" s="512"/>
      <c r="H4751" s="95">
        <f>SUM(F4748:F4750)</f>
        <v>41296</v>
      </c>
      <c r="J4751" s="117"/>
    </row>
    <row r="4752" spans="1:15">
      <c r="A4752" s="208" t="s">
        <v>4226</v>
      </c>
      <c r="B4752" s="186"/>
      <c r="C4752" s="186"/>
      <c r="D4752" s="183"/>
      <c r="E4752" s="184"/>
      <c r="F4752" s="185"/>
      <c r="G4752" s="184"/>
      <c r="H4752" s="193"/>
    </row>
    <row r="4753" spans="1:14">
      <c r="A4753" s="513" t="s">
        <v>4213</v>
      </c>
      <c r="B4753" s="514"/>
      <c r="C4753" s="514"/>
      <c r="D4753" s="514"/>
      <c r="E4753" s="181"/>
      <c r="F4753" s="182" t="s">
        <v>4227</v>
      </c>
      <c r="G4753" s="181" t="s">
        <v>4228</v>
      </c>
      <c r="H4753" s="194"/>
    </row>
    <row r="4754" spans="1:14">
      <c r="A4754" s="204" t="s">
        <v>4096</v>
      </c>
      <c r="B4754" s="62"/>
      <c r="C4754" s="62"/>
      <c r="D4754" s="63"/>
      <c r="E4754" s="68"/>
      <c r="F4754" s="69">
        <v>0</v>
      </c>
      <c r="G4754" s="70" t="e">
        <f>F4754*H4719</f>
        <v>#VALUE!</v>
      </c>
      <c r="H4754" s="193"/>
    </row>
    <row r="4755" spans="1:14">
      <c r="A4755" s="205" t="s">
        <v>4229</v>
      </c>
      <c r="B4755" s="71"/>
      <c r="C4755" s="71"/>
      <c r="D4755" s="72"/>
      <c r="E4755" s="68"/>
      <c r="F4755" s="69">
        <v>0</v>
      </c>
      <c r="G4755" s="70" t="e">
        <f>F4755*H4719</f>
        <v>#VALUE!</v>
      </c>
      <c r="H4755" s="193"/>
    </row>
    <row r="4756" spans="1:14">
      <c r="A4756" s="205" t="s">
        <v>4</v>
      </c>
      <c r="B4756" s="71"/>
      <c r="C4756" s="71"/>
      <c r="D4756" s="72"/>
      <c r="E4756" s="68"/>
      <c r="F4756" s="69">
        <v>0</v>
      </c>
      <c r="G4756" s="70" t="e">
        <f>F4756*H4719</f>
        <v>#VALUE!</v>
      </c>
      <c r="H4756" s="193"/>
    </row>
    <row r="4757" spans="1:14">
      <c r="A4757" s="206"/>
      <c r="B4757" s="73"/>
      <c r="C4757" s="65"/>
      <c r="D4757" s="74"/>
      <c r="E4757" s="75"/>
      <c r="F4757" s="76"/>
      <c r="G4757" s="77"/>
      <c r="H4757" s="195"/>
    </row>
    <row r="4758" spans="1:14">
      <c r="A4758" s="207"/>
      <c r="B4758" s="73"/>
      <c r="C4758" s="73"/>
      <c r="D4758" s="74"/>
      <c r="E4758" s="78"/>
      <c r="F4758" s="515" t="s">
        <v>4230</v>
      </c>
      <c r="G4758" s="516"/>
      <c r="H4758" s="214" t="e">
        <f>H4719+G4754+G4755+G4756</f>
        <v>#VALUE!</v>
      </c>
    </row>
    <row r="4759" spans="1:14">
      <c r="A4759" s="73"/>
      <c r="B4759" s="73"/>
      <c r="C4759" s="73"/>
      <c r="D4759" s="74"/>
      <c r="E4759" s="360"/>
      <c r="F4759" s="361"/>
      <c r="G4759" s="361"/>
      <c r="H4759" s="362"/>
    </row>
    <row r="4760" spans="1:14">
      <c r="A4760" s="80"/>
      <c r="B4760" s="80"/>
      <c r="C4760" s="80"/>
      <c r="D4760" s="80"/>
      <c r="E4760" s="80"/>
      <c r="F4760" s="80"/>
      <c r="G4760" s="80"/>
      <c r="H4760" s="353"/>
    </row>
    <row r="4761" spans="1:14">
      <c r="A4761" s="537" t="s">
        <v>4214</v>
      </c>
      <c r="B4761" s="538"/>
      <c r="C4761" s="538"/>
      <c r="D4761" s="538"/>
      <c r="E4761" s="538"/>
      <c r="F4761" s="538"/>
      <c r="G4761" s="538"/>
      <c r="H4761" s="539"/>
    </row>
    <row r="4762" spans="1:14">
      <c r="A4762" s="81"/>
      <c r="B4762" s="82"/>
      <c r="C4762" s="82"/>
      <c r="D4762" s="82"/>
      <c r="E4762" s="82"/>
      <c r="F4762" s="83"/>
      <c r="G4762" s="84"/>
      <c r="H4762" s="352">
        <f>ROUND((70/60)/8,4)</f>
        <v>0.14580000000000001</v>
      </c>
      <c r="I4762" s="105"/>
    </row>
    <row r="4763" spans="1:14">
      <c r="A4763" s="540" t="s">
        <v>4209</v>
      </c>
      <c r="B4763" s="542" t="str">
        <f>COSTOS!$C$14</f>
        <v>MODERNIZACION A TECNOLOGIA LED</v>
      </c>
      <c r="C4763" s="542"/>
      <c r="D4763" s="542"/>
      <c r="E4763" s="542"/>
      <c r="F4763" s="542"/>
      <c r="G4763" s="542"/>
      <c r="H4763" s="543" t="s">
        <v>4210</v>
      </c>
    </row>
    <row r="4764" spans="1:14">
      <c r="A4764" s="541"/>
      <c r="B4764" s="542"/>
      <c r="C4764" s="542"/>
      <c r="D4764" s="542"/>
      <c r="E4764" s="542"/>
      <c r="F4764" s="542"/>
      <c r="G4764" s="542"/>
      <c r="H4764" s="543"/>
    </row>
    <row r="4765" spans="1:14">
      <c r="A4765" s="541"/>
      <c r="B4765" s="542"/>
      <c r="C4765" s="542"/>
      <c r="D4765" s="542"/>
      <c r="E4765" s="542"/>
      <c r="F4765" s="542"/>
      <c r="G4765" s="542"/>
      <c r="H4765" s="543"/>
    </row>
    <row r="4766" spans="1:14" ht="15" customHeight="1">
      <c r="A4766" s="541"/>
      <c r="B4766" s="542"/>
      <c r="C4766" s="542"/>
      <c r="D4766" s="542"/>
      <c r="E4766" s="542"/>
      <c r="F4766" s="542"/>
      <c r="G4766" s="542"/>
      <c r="H4766" s="197">
        <f ca="1">TODAY()</f>
        <v>44889</v>
      </c>
      <c r="K4766" t="s">
        <v>4380</v>
      </c>
      <c r="L4766" t="s">
        <v>4381</v>
      </c>
      <c r="M4766" t="s">
        <v>4382</v>
      </c>
      <c r="N4766" t="s">
        <v>4383</v>
      </c>
    </row>
    <row r="4767" spans="1:14" ht="60.75" customHeight="1">
      <c r="A4767" s="209" t="s">
        <v>4211</v>
      </c>
      <c r="B4767" s="544" t="str">
        <f>COSTOS!$D$16</f>
        <v>Luminarias</v>
      </c>
      <c r="C4767" s="544"/>
      <c r="D4767" s="544"/>
      <c r="E4767" s="544"/>
      <c r="F4767" s="544"/>
      <c r="G4767" s="60" t="s">
        <v>4212</v>
      </c>
      <c r="H4767" s="363">
        <v>2.12</v>
      </c>
      <c r="K4767" s="55" t="e">
        <f>H4792</f>
        <v>#VALUE!</v>
      </c>
      <c r="L4767" s="55">
        <f>H4802</f>
        <v>48167.654399999999</v>
      </c>
      <c r="M4767" s="55" t="e">
        <f>H4775</f>
        <v>#VALUE!</v>
      </c>
      <c r="N4767" s="55" t="e">
        <f>H4796</f>
        <v>#VALUE!</v>
      </c>
    </row>
    <row r="4768" spans="1:14" ht="43.2" customHeight="1">
      <c r="A4768" s="210" t="s">
        <v>4213</v>
      </c>
      <c r="B4768" s="545" t="str">
        <f>VLOOKUP(H4767,COSTOS!C:M,2,0)</f>
        <v>Poste de concreto 12 metros x 750kg.f</v>
      </c>
      <c r="C4768" s="546"/>
      <c r="D4768" s="546"/>
      <c r="E4768" s="547"/>
      <c r="F4768" s="61" t="s">
        <v>0</v>
      </c>
      <c r="G4768" s="328" t="str">
        <f>VLOOKUP(H4767,COSTOS!C:M,8,0)</f>
        <v>Und</v>
      </c>
      <c r="H4768" s="248"/>
      <c r="I4768" s="278"/>
      <c r="J4768" s="280"/>
      <c r="K4768" s="280"/>
      <c r="L4768" s="280"/>
    </row>
    <row r="4769" spans="1:15">
      <c r="A4769" s="211"/>
      <c r="B4769" s="102"/>
      <c r="C4769" s="102"/>
      <c r="D4769" s="102"/>
      <c r="E4769" s="103"/>
      <c r="F4769" s="104" t="s">
        <v>1</v>
      </c>
      <c r="G4769" s="328">
        <f>VLOOKUP(H4767,COSTOS!C:M,9,0)</f>
        <v>0</v>
      </c>
      <c r="H4769" s="329"/>
      <c r="I4769" s="279"/>
    </row>
    <row r="4770" spans="1:15">
      <c r="A4770" s="212" t="s">
        <v>4215</v>
      </c>
      <c r="B4770" s="65"/>
      <c r="C4770" s="65"/>
      <c r="D4770" s="66"/>
      <c r="E4770" s="190"/>
      <c r="F4770" s="191"/>
      <c r="G4770" s="192" t="s">
        <v>4216</v>
      </c>
      <c r="H4770" s="198" t="e">
        <f>H4775+H4792+H4796+H4802</f>
        <v>#VALUE!</v>
      </c>
    </row>
    <row r="4771" spans="1:15" ht="41.4">
      <c r="A4771" s="548" t="s">
        <v>4213</v>
      </c>
      <c r="B4771" s="548"/>
      <c r="C4771" s="548"/>
      <c r="D4771" s="67" t="s">
        <v>0</v>
      </c>
      <c r="E4771" s="188" t="s">
        <v>4217</v>
      </c>
      <c r="F4771" s="189" t="s">
        <v>4204</v>
      </c>
      <c r="G4771" s="64" t="s">
        <v>2</v>
      </c>
      <c r="H4771" s="199" t="s">
        <v>4218</v>
      </c>
      <c r="K4771" s="281"/>
    </row>
    <row r="4772" spans="1:15">
      <c r="A4772" s="517" t="s">
        <v>3946</v>
      </c>
      <c r="B4772" s="549">
        <f>VLOOKUP(A4772,'Equip, Herr y Transp'!$B$2:$E$738,2,0)</f>
        <v>2</v>
      </c>
      <c r="C4772" s="549"/>
      <c r="D4772" s="85">
        <f>VLOOKUP(A4772,'Equip, Herr y Transp'!$B$2:$E$217,2,0)</f>
        <v>2</v>
      </c>
      <c r="E4772" s="85" t="str">
        <f>VLOOKUP(A4772,'Equip, Herr y Transp'!$B$2:$E$217,3,0)</f>
        <v>EQU</v>
      </c>
      <c r="F4772" s="86">
        <f>H4762</f>
        <v>0.14580000000000001</v>
      </c>
      <c r="G4772" s="112" t="e">
        <f>F4772*E4772</f>
        <v>#VALUE!</v>
      </c>
      <c r="H4772" s="108"/>
    </row>
    <row r="4773" spans="1:15">
      <c r="A4773" s="517" t="s">
        <v>3894</v>
      </c>
      <c r="B4773" s="549">
        <f>VLOOKUP(A4773,'Equip, Herr y Transp'!$B$2:$E$738,2,0)</f>
        <v>4</v>
      </c>
      <c r="C4773" s="549"/>
      <c r="D4773" s="85">
        <f>VLOOKUP(A4773,'Equip, Herr y Transp'!$B$2:$E$217,2,0)</f>
        <v>4</v>
      </c>
      <c r="E4773" s="85" t="str">
        <f>VLOOKUP(A4773,'Equip, Herr y Transp'!$B$2:$E$217,3,0)</f>
        <v>TR</v>
      </c>
      <c r="F4773" s="86">
        <f>H4762</f>
        <v>0.14580000000000001</v>
      </c>
      <c r="G4773" s="112" t="e">
        <f>F4773*E4773</f>
        <v>#VALUE!</v>
      </c>
      <c r="H4773" s="107"/>
    </row>
    <row r="4774" spans="1:15">
      <c r="A4774" s="517" t="s">
        <v>8</v>
      </c>
      <c r="B4774" s="549" t="e">
        <f>VLOOKUP(A4774,'Equip, Herr y Transp'!$B$2:$E$738,2,0)</f>
        <v>#N/A</v>
      </c>
      <c r="C4774" s="549"/>
      <c r="D4774" s="85" t="e">
        <f>VLOOKUP(A4774,'Equip, Herr y Transp'!$B$2:$E$217,2,0)</f>
        <v>#N/A</v>
      </c>
      <c r="E4774" s="85" t="e">
        <f>VLOOKUP(A4774,'Equip, Herr y Transp'!$B$2:$E$217,3,0)</f>
        <v>#N/A</v>
      </c>
      <c r="F4774" s="86"/>
      <c r="G4774" s="112" t="e">
        <f>F4774*E4774</f>
        <v>#N/A</v>
      </c>
      <c r="H4774" s="107"/>
    </row>
    <row r="4775" spans="1:15">
      <c r="A4775" s="520" t="s">
        <v>4099</v>
      </c>
      <c r="B4775" s="521"/>
      <c r="C4775" s="521"/>
      <c r="D4775" s="521"/>
      <c r="E4775" s="521"/>
      <c r="F4775" s="521"/>
      <c r="G4775" s="521"/>
      <c r="H4775" s="87" t="e">
        <f>SUM(G4772:G4774)</f>
        <v>#VALUE!</v>
      </c>
    </row>
    <row r="4776" spans="1:15">
      <c r="A4776" s="550" t="s">
        <v>4219</v>
      </c>
      <c r="B4776" s="551"/>
      <c r="C4776" s="551"/>
      <c r="D4776" s="551"/>
      <c r="E4776" s="551"/>
      <c r="F4776" s="551"/>
      <c r="G4776" s="551"/>
      <c r="H4776" s="552"/>
      <c r="K4776" s="50"/>
      <c r="L4776" s="50"/>
      <c r="M4776" s="50"/>
      <c r="N4776" s="50"/>
      <c r="O4776" s="50"/>
    </row>
    <row r="4777" spans="1:15" ht="30" customHeight="1">
      <c r="A4777" s="553" t="s">
        <v>7</v>
      </c>
      <c r="B4777" s="554"/>
      <c r="C4777" s="99" t="s">
        <v>0</v>
      </c>
      <c r="D4777" s="100" t="s">
        <v>4097</v>
      </c>
      <c r="E4777" s="101" t="s">
        <v>1</v>
      </c>
      <c r="F4777" s="555" t="s">
        <v>4207</v>
      </c>
      <c r="G4777" s="555"/>
      <c r="H4777" s="196"/>
      <c r="K4777" s="50"/>
      <c r="L4777" s="50"/>
      <c r="M4777" s="50"/>
      <c r="N4777" s="50"/>
      <c r="O4777" s="50"/>
    </row>
    <row r="4778" spans="1:15">
      <c r="A4778" s="535" t="s">
        <v>4555</v>
      </c>
      <c r="B4778" s="536"/>
      <c r="C4778" s="88">
        <f>VLOOKUP(A4778,'Materiales '!$C$2:$G$396,3,0)</f>
        <v>4</v>
      </c>
      <c r="D4778" s="89" t="str">
        <f>VLOOKUP(A4778,'Materiales '!$C$2:$G$396,4,0)</f>
        <v>Und</v>
      </c>
      <c r="E4778" s="90">
        <v>1</v>
      </c>
      <c r="F4778" s="508" t="e">
        <f>E4778*D4778</f>
        <v>#VALUE!</v>
      </c>
      <c r="G4778" s="519"/>
      <c r="H4778" s="111"/>
      <c r="I4778">
        <f>E4778*G4769</f>
        <v>0</v>
      </c>
      <c r="J4778" s="57"/>
      <c r="K4778" s="50"/>
      <c r="L4778" s="50"/>
      <c r="M4778" s="50"/>
      <c r="N4778" s="50"/>
      <c r="O4778" s="50"/>
    </row>
    <row r="4779" spans="1:15">
      <c r="A4779" s="535" t="s">
        <v>4617</v>
      </c>
      <c r="B4779" s="536"/>
      <c r="C4779" s="88">
        <f>VLOOKUP(A4779,'Materiales '!$C$2:$G$396,3,0)</f>
        <v>3</v>
      </c>
      <c r="D4779" s="89" t="str">
        <f>VLOOKUP(A4779,'Materiales '!$C$2:$G$396,4,0)</f>
        <v>Rollo</v>
      </c>
      <c r="E4779" s="90">
        <v>0.5</v>
      </c>
      <c r="F4779" s="508" t="e">
        <f t="shared" ref="F4779:F4785" si="280">E4779*D4779</f>
        <v>#VALUE!</v>
      </c>
      <c r="G4779" s="519"/>
      <c r="H4779" s="111"/>
      <c r="I4779">
        <f>E4779*G4769</f>
        <v>0</v>
      </c>
      <c r="J4779" s="57"/>
      <c r="K4779" s="50"/>
      <c r="L4779" s="50"/>
      <c r="M4779" s="50"/>
      <c r="N4779" s="50"/>
      <c r="O4779" s="50"/>
    </row>
    <row r="4780" spans="1:15">
      <c r="A4780" s="517" t="s">
        <v>8</v>
      </c>
      <c r="B4780" s="518">
        <f>VLOOKUP(A4780,'Materiales '!$C$2:$G$396,3,0)</f>
        <v>0</v>
      </c>
      <c r="C4780" s="88">
        <f>VLOOKUP(A4780,'Materiales '!$C$2:$G$396,3,0)</f>
        <v>0</v>
      </c>
      <c r="D4780" s="89" t="str">
        <f>VLOOKUP(A4780,'Materiales '!$C$2:$G$396,4,0)</f>
        <v>-</v>
      </c>
      <c r="E4780" s="90">
        <v>1</v>
      </c>
      <c r="F4780" s="508" t="e">
        <f t="shared" si="280"/>
        <v>#VALUE!</v>
      </c>
      <c r="G4780" s="519"/>
      <c r="H4780" s="111"/>
      <c r="I4780">
        <f>E4780*G4769</f>
        <v>0</v>
      </c>
      <c r="J4780" s="58"/>
      <c r="K4780" s="50"/>
      <c r="L4780" s="50"/>
      <c r="M4780" s="50"/>
      <c r="N4780" s="50"/>
      <c r="O4780" s="50"/>
    </row>
    <row r="4781" spans="1:15">
      <c r="A4781" s="517" t="s">
        <v>8</v>
      </c>
      <c r="B4781" s="518">
        <f>VLOOKUP(A4781,'Materiales '!$C$2:$G$396,3,0)</f>
        <v>0</v>
      </c>
      <c r="C4781" s="88">
        <f>VLOOKUP(A4781,'Materiales '!$C$2:$G$396,3,0)</f>
        <v>0</v>
      </c>
      <c r="D4781" s="89" t="str">
        <f>VLOOKUP(A4781,'Materiales '!$C$2:$G$396,4,0)</f>
        <v>-</v>
      </c>
      <c r="E4781" s="90">
        <v>3</v>
      </c>
      <c r="F4781" s="508" t="e">
        <f t="shared" si="280"/>
        <v>#VALUE!</v>
      </c>
      <c r="G4781" s="519"/>
      <c r="H4781" s="111"/>
      <c r="I4781">
        <f>E4781*G4769</f>
        <v>0</v>
      </c>
      <c r="J4781" s="58"/>
      <c r="K4781" s="50"/>
      <c r="L4781" s="50"/>
      <c r="M4781" s="50"/>
      <c r="N4781" s="50"/>
      <c r="O4781" s="50"/>
    </row>
    <row r="4782" spans="1:15">
      <c r="A4782" s="517" t="s">
        <v>8</v>
      </c>
      <c r="B4782" s="518">
        <f>VLOOKUP(A4782,'Materiales '!$C$2:$G$396,3,0)</f>
        <v>0</v>
      </c>
      <c r="C4782" s="88">
        <f>VLOOKUP(A4782,'Materiales '!$C$2:$G$396,3,0)</f>
        <v>0</v>
      </c>
      <c r="D4782" s="89" t="str">
        <f>VLOOKUP(A4782,'Materiales '!$C$2:$G$396,4,0)</f>
        <v>-</v>
      </c>
      <c r="E4782" s="90">
        <v>2</v>
      </c>
      <c r="F4782" s="508" t="e">
        <f t="shared" si="280"/>
        <v>#VALUE!</v>
      </c>
      <c r="G4782" s="519"/>
      <c r="H4782" s="111"/>
      <c r="I4782">
        <f>E4782*G4769</f>
        <v>0</v>
      </c>
      <c r="J4782" s="58"/>
      <c r="K4782" s="50"/>
      <c r="L4782" s="50"/>
      <c r="M4782" s="50"/>
      <c r="N4782" s="50"/>
      <c r="O4782" s="50"/>
    </row>
    <row r="4783" spans="1:15">
      <c r="A4783" s="517" t="s">
        <v>8</v>
      </c>
      <c r="B4783" s="518">
        <f>VLOOKUP(A4783,'Materiales '!$C$2:$G$396,3,0)</f>
        <v>0</v>
      </c>
      <c r="C4783" s="88">
        <f>VLOOKUP(A4783,'Materiales '!$C$2:$G$396,3,0)</f>
        <v>0</v>
      </c>
      <c r="D4783" s="89" t="str">
        <f>VLOOKUP(A4783,'Materiales '!$C$2:$G$396,4,0)</f>
        <v>-</v>
      </c>
      <c r="E4783" s="90">
        <v>8</v>
      </c>
      <c r="F4783" s="508" t="e">
        <f t="shared" si="280"/>
        <v>#VALUE!</v>
      </c>
      <c r="G4783" s="519"/>
      <c r="H4783" s="111"/>
      <c r="I4783">
        <f>E4783*G4769</f>
        <v>0</v>
      </c>
      <c r="J4783" s="58"/>
      <c r="K4783" s="50"/>
      <c r="L4783" s="50"/>
      <c r="M4783" s="50"/>
      <c r="N4783" s="50"/>
      <c r="O4783" s="50"/>
    </row>
    <row r="4784" spans="1:15">
      <c r="A4784" s="517" t="s">
        <v>8</v>
      </c>
      <c r="B4784" s="518">
        <f>VLOOKUP(A4784,'Materiales '!$C$2:$G$396,3,0)</f>
        <v>0</v>
      </c>
      <c r="C4784" s="88">
        <f>VLOOKUP(A4784,'Materiales '!$C$2:$G$396,3,0)</f>
        <v>0</v>
      </c>
      <c r="D4784" s="89" t="str">
        <f>VLOOKUP(A4784,'Materiales '!$C$2:$G$396,4,0)</f>
        <v>-</v>
      </c>
      <c r="E4784" s="90">
        <v>3</v>
      </c>
      <c r="F4784" s="508" t="e">
        <f t="shared" si="280"/>
        <v>#VALUE!</v>
      </c>
      <c r="G4784" s="519"/>
      <c r="H4784" s="111"/>
      <c r="I4784">
        <f>E4784*G4769</f>
        <v>0</v>
      </c>
      <c r="J4784" s="58"/>
      <c r="K4784" s="50"/>
      <c r="L4784" s="50"/>
      <c r="M4784" s="50"/>
      <c r="N4784" s="50"/>
      <c r="O4784" s="50"/>
    </row>
    <row r="4785" spans="1:15" ht="21.75" customHeight="1">
      <c r="A4785" s="517" t="s">
        <v>8</v>
      </c>
      <c r="B4785" s="518">
        <f>VLOOKUP(A4785,'Materiales '!$C$2:$G$396,3,0)</f>
        <v>0</v>
      </c>
      <c r="C4785" s="88">
        <f>VLOOKUP(A4785,'Materiales '!$C$2:$G$396,3,0)</f>
        <v>0</v>
      </c>
      <c r="D4785" s="89" t="str">
        <f>VLOOKUP(A4785,'Materiales '!$C$2:$G$396,4,0)</f>
        <v>-</v>
      </c>
      <c r="E4785" s="90">
        <v>0.5</v>
      </c>
      <c r="F4785" s="508" t="e">
        <f t="shared" si="280"/>
        <v>#VALUE!</v>
      </c>
      <c r="G4785" s="519"/>
      <c r="H4785" s="111"/>
      <c r="I4785">
        <f>E4785*G4769</f>
        <v>0</v>
      </c>
      <c r="J4785" s="58"/>
      <c r="K4785" s="50"/>
      <c r="L4785" s="50"/>
      <c r="M4785" s="50"/>
      <c r="N4785" s="50"/>
      <c r="O4785" s="50"/>
    </row>
    <row r="4786" spans="1:15">
      <c r="A4786" s="517" t="s">
        <v>8</v>
      </c>
      <c r="B4786" s="518">
        <f>VLOOKUP(A4786,'Materiales '!$C$2:$G$396,3,0)</f>
        <v>0</v>
      </c>
      <c r="C4786" s="88">
        <f>VLOOKUP(A4786,'Materiales '!$C$2:$G$396,3,0)</f>
        <v>0</v>
      </c>
      <c r="D4786" s="89" t="str">
        <f>VLOOKUP(A4786,'Materiales '!$C$2:$G$396,4,0)</f>
        <v>-</v>
      </c>
      <c r="E4786" s="90"/>
      <c r="F4786" s="508" t="e">
        <f>E4786*D4786</f>
        <v>#VALUE!</v>
      </c>
      <c r="G4786" s="519"/>
      <c r="H4786" s="110"/>
      <c r="I4786">
        <f>E4786*G4769</f>
        <v>0</v>
      </c>
      <c r="J4786" s="58"/>
      <c r="K4786" s="50"/>
      <c r="L4786" s="50"/>
      <c r="M4786" s="50"/>
      <c r="N4786" s="50"/>
      <c r="O4786" s="50"/>
    </row>
    <row r="4787" spans="1:15">
      <c r="A4787" s="517" t="s">
        <v>8</v>
      </c>
      <c r="B4787" s="518">
        <f>VLOOKUP(A4787,'Materiales '!$C$2:$G$396,3,0)</f>
        <v>0</v>
      </c>
      <c r="C4787" s="88">
        <f>VLOOKUP(A4787,'Materiales '!$C$2:$G$396,3,0)</f>
        <v>0</v>
      </c>
      <c r="D4787" s="89" t="str">
        <f>VLOOKUP(A4787,'Materiales '!$C$2:$G$396,4,0)</f>
        <v>-</v>
      </c>
      <c r="E4787" s="90"/>
      <c r="F4787" s="508" t="e">
        <f t="shared" ref="F4787:F4790" si="281">E4787*D4787</f>
        <v>#VALUE!</v>
      </c>
      <c r="G4787" s="519"/>
      <c r="H4787" s="111"/>
      <c r="I4787">
        <f>E4787*G4769</f>
        <v>0</v>
      </c>
      <c r="J4787" s="58"/>
      <c r="K4787" s="50"/>
      <c r="L4787" s="50"/>
      <c r="M4787" s="50"/>
      <c r="N4787" s="50"/>
      <c r="O4787" s="50"/>
    </row>
    <row r="4788" spans="1:15">
      <c r="A4788" s="517" t="s">
        <v>8</v>
      </c>
      <c r="B4788" s="518">
        <f>VLOOKUP(A4788,'Materiales '!$C$2:$G$396,3,0)</f>
        <v>0</v>
      </c>
      <c r="C4788" s="88">
        <f>VLOOKUP(A4788,'Materiales '!$C$2:$G$396,3,0)</f>
        <v>0</v>
      </c>
      <c r="D4788" s="89" t="str">
        <f>VLOOKUP(A4788,'Materiales '!$C$2:$G$396,4,0)</f>
        <v>-</v>
      </c>
      <c r="E4788" s="90"/>
      <c r="F4788" s="508" t="e">
        <f t="shared" si="281"/>
        <v>#VALUE!</v>
      </c>
      <c r="G4788" s="519"/>
      <c r="H4788" s="111"/>
      <c r="I4788">
        <f>E4788*G4769</f>
        <v>0</v>
      </c>
      <c r="J4788" s="58"/>
      <c r="K4788" s="50"/>
      <c r="L4788" s="50"/>
      <c r="M4788" s="50"/>
      <c r="N4788" s="50"/>
      <c r="O4788" s="50"/>
    </row>
    <row r="4789" spans="1:15">
      <c r="A4789" s="517" t="s">
        <v>8</v>
      </c>
      <c r="B4789" s="518">
        <f>VLOOKUP(A4789,'Materiales '!$C$2:$G$396,3,0)</f>
        <v>0</v>
      </c>
      <c r="C4789" s="88">
        <f>VLOOKUP(A4789,'Materiales '!$C$2:$G$396,3,0)</f>
        <v>0</v>
      </c>
      <c r="D4789" s="89" t="str">
        <f>VLOOKUP(A4789,'Materiales '!$C$2:$G$396,4,0)</f>
        <v>-</v>
      </c>
      <c r="E4789" s="90"/>
      <c r="F4789" s="508" t="e">
        <f t="shared" si="281"/>
        <v>#VALUE!</v>
      </c>
      <c r="G4789" s="519"/>
      <c r="H4789" s="111"/>
      <c r="I4789">
        <f>E4789*G4769</f>
        <v>0</v>
      </c>
      <c r="J4789" s="58"/>
      <c r="K4789" s="50"/>
      <c r="L4789" s="50"/>
      <c r="M4789" s="50"/>
      <c r="N4789" s="50"/>
      <c r="O4789" s="50"/>
    </row>
    <row r="4790" spans="1:15">
      <c r="A4790" s="517" t="s">
        <v>8</v>
      </c>
      <c r="B4790" s="518">
        <f>VLOOKUP(A4790,'Materiales '!$C$2:$G$396,3,0)</f>
        <v>0</v>
      </c>
      <c r="C4790" s="88">
        <f>VLOOKUP(A4790,'Materiales '!$C$2:$G$396,3,0)</f>
        <v>0</v>
      </c>
      <c r="D4790" s="89" t="str">
        <f>VLOOKUP(A4790,'Materiales '!$C$2:$G$396,4,0)</f>
        <v>-</v>
      </c>
      <c r="E4790" s="90"/>
      <c r="F4790" s="508" t="e">
        <f t="shared" si="281"/>
        <v>#VALUE!</v>
      </c>
      <c r="G4790" s="519"/>
      <c r="H4790" s="111"/>
      <c r="I4790">
        <f>E4790*G4769</f>
        <v>0</v>
      </c>
      <c r="J4790" s="58"/>
      <c r="K4790" s="50"/>
      <c r="L4790" s="50"/>
      <c r="M4790" s="50"/>
      <c r="N4790" s="50"/>
      <c r="O4790" s="50"/>
    </row>
    <row r="4791" spans="1:15">
      <c r="A4791" s="517" t="s">
        <v>8</v>
      </c>
      <c r="B4791" s="518">
        <f>VLOOKUP(A4791,'Materiales '!$C$2:$G$396,3,0)</f>
        <v>0</v>
      </c>
      <c r="C4791" s="88">
        <f>VLOOKUP(A4791,'Materiales '!$C$2:$G$396,3,0)</f>
        <v>0</v>
      </c>
      <c r="D4791" s="89" t="str">
        <f>VLOOKUP(A4791,'Materiales '!$C$2:$G$396,4,0)</f>
        <v>-</v>
      </c>
      <c r="E4791" s="90"/>
      <c r="F4791" s="508" t="e">
        <f>E4791*D4791</f>
        <v>#VALUE!</v>
      </c>
      <c r="G4791" s="519"/>
      <c r="H4791" s="110"/>
      <c r="I4791">
        <f>E4791*G4769</f>
        <v>0</v>
      </c>
      <c r="J4791" s="58"/>
      <c r="K4791" s="50"/>
      <c r="L4791" s="50"/>
      <c r="M4791" s="50"/>
      <c r="N4791" s="50"/>
      <c r="O4791" s="50"/>
    </row>
    <row r="4792" spans="1:15">
      <c r="A4792" s="520" t="s">
        <v>4098</v>
      </c>
      <c r="B4792" s="521"/>
      <c r="C4792" s="521"/>
      <c r="D4792" s="521"/>
      <c r="E4792" s="521"/>
      <c r="F4792" s="521"/>
      <c r="G4792" s="522"/>
      <c r="H4792" s="106" t="e">
        <f>SUM(F4778:F4791)</f>
        <v>#VALUE!</v>
      </c>
      <c r="J4792" s="58"/>
      <c r="K4792" s="50"/>
      <c r="L4792" s="50"/>
      <c r="M4792" s="50"/>
      <c r="N4792" s="50"/>
      <c r="O4792" s="50"/>
    </row>
    <row r="4793" spans="1:15">
      <c r="A4793" s="523" t="s">
        <v>4220</v>
      </c>
      <c r="B4793" s="524"/>
      <c r="C4793" s="524"/>
      <c r="D4793" s="524"/>
      <c r="E4793" s="525"/>
      <c r="F4793" s="524"/>
      <c r="G4793" s="524"/>
      <c r="H4793" s="526"/>
      <c r="J4793" s="58"/>
      <c r="K4793" s="50"/>
      <c r="L4793" s="50"/>
      <c r="M4793" s="50"/>
      <c r="N4793" s="50"/>
      <c r="O4793" s="50"/>
    </row>
    <row r="4794" spans="1:15">
      <c r="A4794" s="527" t="s">
        <v>7</v>
      </c>
      <c r="B4794" s="528"/>
      <c r="C4794" s="98" t="s">
        <v>4221</v>
      </c>
      <c r="D4794" s="97" t="s">
        <v>4222</v>
      </c>
      <c r="E4794" s="187" t="s">
        <v>4223</v>
      </c>
      <c r="F4794" s="529" t="s">
        <v>4207</v>
      </c>
      <c r="G4794" s="529"/>
      <c r="H4794" s="109"/>
      <c r="K4794" s="50"/>
      <c r="L4794" s="50"/>
      <c r="M4794" s="50"/>
      <c r="N4794" s="50"/>
      <c r="O4794" s="50"/>
    </row>
    <row r="4795" spans="1:15">
      <c r="A4795" s="506" t="s">
        <v>3928</v>
      </c>
      <c r="B4795" s="507"/>
      <c r="C4795" s="213">
        <v>1</v>
      </c>
      <c r="D4795" s="92">
        <v>0.03</v>
      </c>
      <c r="E4795" s="93" t="str">
        <f>VLOOKUP(A4795,'Equip, Herr y Transp'!$B$2:$E$217,3,0)</f>
        <v>TR</v>
      </c>
      <c r="F4795" s="530" t="e">
        <f>E4795*D4795*C4795</f>
        <v>#VALUE!</v>
      </c>
      <c r="G4795" s="531"/>
      <c r="H4795" s="107"/>
      <c r="M4795" s="50"/>
    </row>
    <row r="4796" spans="1:15">
      <c r="A4796" s="532" t="s">
        <v>4205</v>
      </c>
      <c r="B4796" s="533"/>
      <c r="C4796" s="533"/>
      <c r="D4796" s="533"/>
      <c r="E4796" s="533"/>
      <c r="F4796" s="533"/>
      <c r="G4796" s="533"/>
      <c r="H4796" s="95" t="e">
        <f>F4795</f>
        <v>#VALUE!</v>
      </c>
    </row>
    <row r="4797" spans="1:15">
      <c r="A4797" s="523" t="s">
        <v>4224</v>
      </c>
      <c r="B4797" s="524"/>
      <c r="C4797" s="524"/>
      <c r="D4797" s="524"/>
      <c r="E4797" s="524"/>
      <c r="F4797" s="524"/>
      <c r="G4797" s="524"/>
      <c r="H4797" s="526"/>
    </row>
    <row r="4798" spans="1:15">
      <c r="A4798" s="527" t="s">
        <v>7</v>
      </c>
      <c r="B4798" s="528"/>
      <c r="C4798" s="96" t="s">
        <v>1</v>
      </c>
      <c r="D4798" s="97" t="s">
        <v>4225</v>
      </c>
      <c r="E4798" s="98" t="s">
        <v>4204</v>
      </c>
      <c r="F4798" s="527" t="s">
        <v>5</v>
      </c>
      <c r="G4798" s="534"/>
      <c r="H4798" s="109"/>
    </row>
    <row r="4799" spans="1:15">
      <c r="A4799" s="506" t="s">
        <v>4191</v>
      </c>
      <c r="B4799" s="507"/>
      <c r="C4799" s="91">
        <v>1</v>
      </c>
      <c r="D4799" s="94">
        <f>VLOOKUP(A4799,'Mano Obra'!$B$2:$T$117,19,0)</f>
        <v>152456</v>
      </c>
      <c r="E4799" s="218">
        <f>H4762</f>
        <v>0.14580000000000001</v>
      </c>
      <c r="F4799" s="508">
        <f>E4799*D4799*C4799</f>
        <v>22228.084800000001</v>
      </c>
      <c r="G4799" s="509"/>
      <c r="H4799" s="111"/>
      <c r="I4799" s="59"/>
      <c r="J4799" s="117">
        <f>((('Mano Obra'!$M$4/30)*F4799)/D4799)*G4769</f>
        <v>0</v>
      </c>
    </row>
    <row r="4800" spans="1:15">
      <c r="A4800" s="510" t="s">
        <v>4192</v>
      </c>
      <c r="B4800" s="511">
        <f>VLOOKUP(A4800,'Mano Obra'!$B$3:$D$290,2,0)</f>
        <v>1900000</v>
      </c>
      <c r="C4800" s="91">
        <v>1</v>
      </c>
      <c r="D4800" s="94">
        <f>VLOOKUP(A4800,'Mano Obra'!$B$2:$T$117,19,0)</f>
        <v>110488</v>
      </c>
      <c r="E4800" s="218">
        <f>H4762</f>
        <v>0.14580000000000001</v>
      </c>
      <c r="F4800" s="508">
        <f t="shared" ref="F4800:F4801" si="282">E4800*D4800*C4800</f>
        <v>16109.150400000002</v>
      </c>
      <c r="G4800" s="509"/>
      <c r="H4800" s="111"/>
      <c r="J4800" s="117">
        <f>((('Mano Obra'!$M$5/30)*F4800)/D4800)*G4769</f>
        <v>0</v>
      </c>
    </row>
    <row r="4801" spans="1:10">
      <c r="A4801" s="510" t="s">
        <v>4181</v>
      </c>
      <c r="B4801" s="511">
        <f>VLOOKUP(A4801,'Mano Obra'!$B$3:$D$290,2,0)</f>
        <v>1000000</v>
      </c>
      <c r="C4801" s="91">
        <v>1</v>
      </c>
      <c r="D4801" s="94">
        <f>VLOOKUP(A4801,'Mano Obra'!$B$2:$T$117,19,0)</f>
        <v>67424</v>
      </c>
      <c r="E4801" s="218">
        <f>H4762</f>
        <v>0.14580000000000001</v>
      </c>
      <c r="F4801" s="508">
        <f t="shared" si="282"/>
        <v>9830.4192000000003</v>
      </c>
      <c r="G4801" s="509"/>
      <c r="H4801" s="110"/>
      <c r="J4801" s="117">
        <f>((('Mano Obra'!$M$6/30)*F4801)/D4801)*G4769</f>
        <v>0</v>
      </c>
    </row>
    <row r="4802" spans="1:10">
      <c r="A4802" s="512" t="s">
        <v>4100</v>
      </c>
      <c r="B4802" s="512"/>
      <c r="C4802" s="512"/>
      <c r="D4802" s="512"/>
      <c r="E4802" s="512"/>
      <c r="F4802" s="512"/>
      <c r="G4802" s="512"/>
      <c r="H4802" s="95">
        <f>SUM(F4799:F4801)</f>
        <v>48167.654399999999</v>
      </c>
      <c r="J4802" s="117"/>
    </row>
    <row r="4803" spans="1:10">
      <c r="A4803" s="208" t="s">
        <v>4226</v>
      </c>
      <c r="B4803" s="186"/>
      <c r="C4803" s="186"/>
      <c r="D4803" s="183"/>
      <c r="E4803" s="184"/>
      <c r="F4803" s="185"/>
      <c r="G4803" s="184"/>
      <c r="H4803" s="193"/>
    </row>
    <row r="4804" spans="1:10">
      <c r="A4804" s="513" t="s">
        <v>4213</v>
      </c>
      <c r="B4804" s="514"/>
      <c r="C4804" s="514"/>
      <c r="D4804" s="514"/>
      <c r="E4804" s="181"/>
      <c r="F4804" s="182" t="s">
        <v>4227</v>
      </c>
      <c r="G4804" s="181" t="s">
        <v>4228</v>
      </c>
      <c r="H4804" s="194"/>
    </row>
    <row r="4805" spans="1:10">
      <c r="A4805" s="204" t="s">
        <v>4096</v>
      </c>
      <c r="B4805" s="62"/>
      <c r="C4805" s="62"/>
      <c r="D4805" s="63"/>
      <c r="E4805" s="68"/>
      <c r="F4805" s="69">
        <v>0</v>
      </c>
      <c r="G4805" s="70" t="e">
        <f>F4805*H4770</f>
        <v>#VALUE!</v>
      </c>
      <c r="H4805" s="193"/>
    </row>
    <row r="4806" spans="1:10">
      <c r="A4806" s="205" t="s">
        <v>4229</v>
      </c>
      <c r="B4806" s="71"/>
      <c r="C4806" s="71"/>
      <c r="D4806" s="72"/>
      <c r="E4806" s="68"/>
      <c r="F4806" s="69">
        <v>0</v>
      </c>
      <c r="G4806" s="70" t="e">
        <f>F4806*H4770</f>
        <v>#VALUE!</v>
      </c>
      <c r="H4806" s="193"/>
    </row>
    <row r="4807" spans="1:10">
      <c r="A4807" s="205" t="s">
        <v>4</v>
      </c>
      <c r="B4807" s="71"/>
      <c r="C4807" s="71"/>
      <c r="D4807" s="72"/>
      <c r="E4807" s="68"/>
      <c r="F4807" s="69">
        <v>0</v>
      </c>
      <c r="G4807" s="70" t="e">
        <f>F4807*H4770</f>
        <v>#VALUE!</v>
      </c>
      <c r="H4807" s="193"/>
    </row>
    <row r="4808" spans="1:10">
      <c r="A4808" s="206"/>
      <c r="B4808" s="73"/>
      <c r="C4808" s="65"/>
      <c r="D4808" s="74"/>
      <c r="E4808" s="75"/>
      <c r="F4808" s="76"/>
      <c r="G4808" s="77"/>
      <c r="H4808" s="195"/>
    </row>
    <row r="4809" spans="1:10">
      <c r="A4809" s="207"/>
      <c r="B4809" s="73"/>
      <c r="C4809" s="73"/>
      <c r="D4809" s="74"/>
      <c r="E4809" s="78"/>
      <c r="F4809" s="515" t="s">
        <v>4230</v>
      </c>
      <c r="G4809" s="516"/>
      <c r="H4809" s="214" t="e">
        <f>H4770+G4805+G4806+G4807</f>
        <v>#VALUE!</v>
      </c>
    </row>
    <row r="4810" spans="1:10">
      <c r="A4810" s="73"/>
      <c r="B4810" s="73"/>
      <c r="C4810" s="73"/>
      <c r="D4810" s="74"/>
      <c r="E4810" s="360"/>
      <c r="F4810" s="361"/>
      <c r="G4810" s="361"/>
      <c r="H4810" s="362"/>
    </row>
    <row r="4811" spans="1:10">
      <c r="A4811" s="80"/>
      <c r="B4811" s="80"/>
      <c r="C4811" s="80"/>
      <c r="D4811" s="80"/>
      <c r="E4811" s="80"/>
      <c r="F4811" s="80"/>
      <c r="G4811" s="80"/>
      <c r="H4811" s="353"/>
    </row>
    <row r="4812" spans="1:10">
      <c r="A4812" s="537" t="s">
        <v>4214</v>
      </c>
      <c r="B4812" s="538"/>
      <c r="C4812" s="538"/>
      <c r="D4812" s="538"/>
      <c r="E4812" s="538"/>
      <c r="F4812" s="538"/>
      <c r="G4812" s="538"/>
      <c r="H4812" s="539"/>
    </row>
    <row r="4813" spans="1:10">
      <c r="A4813" s="81"/>
      <c r="B4813" s="82"/>
      <c r="C4813" s="82"/>
      <c r="D4813" s="82"/>
      <c r="E4813" s="82"/>
      <c r="F4813" s="83"/>
      <c r="G4813" s="84"/>
      <c r="H4813" s="352">
        <f>ROUND((70/60)/8,4)</f>
        <v>0.14580000000000001</v>
      </c>
      <c r="I4813" s="105"/>
    </row>
    <row r="4814" spans="1:10">
      <c r="A4814" s="540" t="s">
        <v>4209</v>
      </c>
      <c r="B4814" s="542" t="str">
        <f>COSTOS!$C$14</f>
        <v>MODERNIZACION A TECNOLOGIA LED</v>
      </c>
      <c r="C4814" s="542"/>
      <c r="D4814" s="542"/>
      <c r="E4814" s="542"/>
      <c r="F4814" s="542"/>
      <c r="G4814" s="542"/>
      <c r="H4814" s="543" t="s">
        <v>4210</v>
      </c>
    </row>
    <row r="4815" spans="1:10">
      <c r="A4815" s="541"/>
      <c r="B4815" s="542"/>
      <c r="C4815" s="542"/>
      <c r="D4815" s="542"/>
      <c r="E4815" s="542"/>
      <c r="F4815" s="542"/>
      <c r="G4815" s="542"/>
      <c r="H4815" s="543"/>
    </row>
    <row r="4816" spans="1:10">
      <c r="A4816" s="541"/>
      <c r="B4816" s="542"/>
      <c r="C4816" s="542"/>
      <c r="D4816" s="542"/>
      <c r="E4816" s="542"/>
      <c r="F4816" s="542"/>
      <c r="G4816" s="542"/>
      <c r="H4816" s="543"/>
    </row>
    <row r="4817" spans="1:15" ht="15" customHeight="1">
      <c r="A4817" s="541"/>
      <c r="B4817" s="542"/>
      <c r="C4817" s="542"/>
      <c r="D4817" s="542"/>
      <c r="E4817" s="542"/>
      <c r="F4817" s="542"/>
      <c r="G4817" s="542"/>
      <c r="H4817" s="197">
        <f ca="1">TODAY()</f>
        <v>44889</v>
      </c>
      <c r="K4817" t="s">
        <v>4380</v>
      </c>
      <c r="L4817" t="s">
        <v>4381</v>
      </c>
      <c r="M4817" t="s">
        <v>4382</v>
      </c>
      <c r="N4817" t="s">
        <v>4383</v>
      </c>
    </row>
    <row r="4818" spans="1:15" ht="60.75" customHeight="1">
      <c r="A4818" s="209" t="s">
        <v>4211</v>
      </c>
      <c r="B4818" s="544" t="str">
        <f>COSTOS!$D$16</f>
        <v>Luminarias</v>
      </c>
      <c r="C4818" s="544"/>
      <c r="D4818" s="544"/>
      <c r="E4818" s="544"/>
      <c r="F4818" s="544"/>
      <c r="G4818" s="60" t="s">
        <v>4212</v>
      </c>
      <c r="H4818" s="363">
        <v>2.13</v>
      </c>
      <c r="K4818" s="55" t="e">
        <f>H4843</f>
        <v>#VALUE!</v>
      </c>
      <c r="L4818" s="55">
        <f>H4853</f>
        <v>48167.654399999999</v>
      </c>
      <c r="M4818" s="55" t="e">
        <f>H4826</f>
        <v>#VALUE!</v>
      </c>
      <c r="N4818" s="55" t="e">
        <f>H4847</f>
        <v>#VALUE!</v>
      </c>
    </row>
    <row r="4819" spans="1:15" ht="43.2" customHeight="1">
      <c r="A4819" s="210" t="s">
        <v>4213</v>
      </c>
      <c r="B4819" s="545" t="str">
        <f>VLOOKUP(H4818,COSTOS!C:M,2,0)</f>
        <v>Poste de concreto 12 metros x 1050kg.f</v>
      </c>
      <c r="C4819" s="546"/>
      <c r="D4819" s="546"/>
      <c r="E4819" s="547"/>
      <c r="F4819" s="61" t="s">
        <v>0</v>
      </c>
      <c r="G4819" s="328" t="str">
        <f>VLOOKUP(H4818,COSTOS!C:M,8,0)</f>
        <v>Und</v>
      </c>
      <c r="H4819" s="248"/>
      <c r="I4819" s="278"/>
      <c r="J4819" s="280"/>
      <c r="K4819" s="280"/>
      <c r="L4819" s="280"/>
    </row>
    <row r="4820" spans="1:15">
      <c r="A4820" s="211"/>
      <c r="B4820" s="102"/>
      <c r="C4820" s="102"/>
      <c r="D4820" s="102"/>
      <c r="E4820" s="103"/>
      <c r="F4820" s="104" t="s">
        <v>1</v>
      </c>
      <c r="G4820" s="328">
        <f>VLOOKUP(H4818,COSTOS!C:M,9,0)</f>
        <v>0</v>
      </c>
      <c r="H4820" s="329"/>
      <c r="I4820" s="279"/>
    </row>
    <row r="4821" spans="1:15">
      <c r="A4821" s="212" t="s">
        <v>4215</v>
      </c>
      <c r="B4821" s="65"/>
      <c r="C4821" s="65"/>
      <c r="D4821" s="66"/>
      <c r="E4821" s="190"/>
      <c r="F4821" s="191"/>
      <c r="G4821" s="192" t="s">
        <v>4216</v>
      </c>
      <c r="H4821" s="198" t="e">
        <f>H4826+H4843+H4847+H4853</f>
        <v>#VALUE!</v>
      </c>
    </row>
    <row r="4822" spans="1:15" ht="41.4">
      <c r="A4822" s="548" t="s">
        <v>4213</v>
      </c>
      <c r="B4822" s="548"/>
      <c r="C4822" s="548"/>
      <c r="D4822" s="67" t="s">
        <v>0</v>
      </c>
      <c r="E4822" s="188" t="s">
        <v>4217</v>
      </c>
      <c r="F4822" s="189" t="s">
        <v>4204</v>
      </c>
      <c r="G4822" s="64" t="s">
        <v>2</v>
      </c>
      <c r="H4822" s="199" t="s">
        <v>4218</v>
      </c>
      <c r="K4822" s="281"/>
    </row>
    <row r="4823" spans="1:15">
      <c r="A4823" s="517" t="s">
        <v>3946</v>
      </c>
      <c r="B4823" s="549">
        <f>VLOOKUP(A4823,'Equip, Herr y Transp'!$B$2:$E$738,2,0)</f>
        <v>2</v>
      </c>
      <c r="C4823" s="549"/>
      <c r="D4823" s="85">
        <f>VLOOKUP(A4823,'Equip, Herr y Transp'!$B$2:$E$217,2,0)</f>
        <v>2</v>
      </c>
      <c r="E4823" s="85" t="str">
        <f>VLOOKUP(A4823,'Equip, Herr y Transp'!$B$2:$E$217,3,0)</f>
        <v>EQU</v>
      </c>
      <c r="F4823" s="86">
        <f>H4813</f>
        <v>0.14580000000000001</v>
      </c>
      <c r="G4823" s="112" t="e">
        <f>F4823*E4823</f>
        <v>#VALUE!</v>
      </c>
      <c r="H4823" s="108"/>
    </row>
    <row r="4824" spans="1:15">
      <c r="A4824" s="517" t="s">
        <v>3894</v>
      </c>
      <c r="B4824" s="549">
        <f>VLOOKUP(A4824,'Equip, Herr y Transp'!$B$2:$E$738,2,0)</f>
        <v>4</v>
      </c>
      <c r="C4824" s="549"/>
      <c r="D4824" s="85">
        <f>VLOOKUP(A4824,'Equip, Herr y Transp'!$B$2:$E$217,2,0)</f>
        <v>4</v>
      </c>
      <c r="E4824" s="85" t="str">
        <f>VLOOKUP(A4824,'Equip, Herr y Transp'!$B$2:$E$217,3,0)</f>
        <v>TR</v>
      </c>
      <c r="F4824" s="86">
        <f>H4813</f>
        <v>0.14580000000000001</v>
      </c>
      <c r="G4824" s="112" t="e">
        <f>F4824*E4824</f>
        <v>#VALUE!</v>
      </c>
      <c r="H4824" s="107"/>
    </row>
    <row r="4825" spans="1:15">
      <c r="A4825" s="517" t="s">
        <v>8</v>
      </c>
      <c r="B4825" s="549" t="e">
        <f>VLOOKUP(A4825,'Equip, Herr y Transp'!$B$2:$E$738,2,0)</f>
        <v>#N/A</v>
      </c>
      <c r="C4825" s="549"/>
      <c r="D4825" s="85" t="e">
        <f>VLOOKUP(A4825,'Equip, Herr y Transp'!$B$2:$E$217,2,0)</f>
        <v>#N/A</v>
      </c>
      <c r="E4825" s="85" t="e">
        <f>VLOOKUP(A4825,'Equip, Herr y Transp'!$B$2:$E$217,3,0)</f>
        <v>#N/A</v>
      </c>
      <c r="F4825" s="86"/>
      <c r="G4825" s="112" t="e">
        <f>F4825*E4825</f>
        <v>#N/A</v>
      </c>
      <c r="H4825" s="107"/>
    </row>
    <row r="4826" spans="1:15">
      <c r="A4826" s="520" t="s">
        <v>4099</v>
      </c>
      <c r="B4826" s="521"/>
      <c r="C4826" s="521"/>
      <c r="D4826" s="521"/>
      <c r="E4826" s="521"/>
      <c r="F4826" s="521"/>
      <c r="G4826" s="521"/>
      <c r="H4826" s="87" t="e">
        <f>SUM(G4823:G4825)</f>
        <v>#VALUE!</v>
      </c>
    </row>
    <row r="4827" spans="1:15">
      <c r="A4827" s="550" t="s">
        <v>4219</v>
      </c>
      <c r="B4827" s="551"/>
      <c r="C4827" s="551"/>
      <c r="D4827" s="551"/>
      <c r="E4827" s="551"/>
      <c r="F4827" s="551"/>
      <c r="G4827" s="551"/>
      <c r="H4827" s="552"/>
      <c r="K4827" s="50"/>
      <c r="L4827" s="50"/>
      <c r="M4827" s="50"/>
      <c r="N4827" s="50"/>
      <c r="O4827" s="50"/>
    </row>
    <row r="4828" spans="1:15" ht="30" customHeight="1">
      <c r="A4828" s="553" t="s">
        <v>7</v>
      </c>
      <c r="B4828" s="554"/>
      <c r="C4828" s="99" t="s">
        <v>0</v>
      </c>
      <c r="D4828" s="100" t="s">
        <v>4097</v>
      </c>
      <c r="E4828" s="101" t="s">
        <v>1</v>
      </c>
      <c r="F4828" s="555" t="s">
        <v>4207</v>
      </c>
      <c r="G4828" s="555"/>
      <c r="H4828" s="196"/>
      <c r="K4828" s="50"/>
      <c r="L4828" s="50"/>
      <c r="M4828" s="50"/>
      <c r="N4828" s="50"/>
      <c r="O4828" s="50"/>
    </row>
    <row r="4829" spans="1:15">
      <c r="A4829" s="535" t="s">
        <v>4556</v>
      </c>
      <c r="B4829" s="536"/>
      <c r="C4829" s="88">
        <f>VLOOKUP(A4829,'Materiales '!$C$2:$G$396,3,0)</f>
        <v>4</v>
      </c>
      <c r="D4829" s="89" t="str">
        <f>VLOOKUP(A4829,'Materiales '!$C$2:$G$396,4,0)</f>
        <v>Und</v>
      </c>
      <c r="E4829" s="90">
        <v>1</v>
      </c>
      <c r="F4829" s="508" t="e">
        <f>E4829*D4829</f>
        <v>#VALUE!</v>
      </c>
      <c r="G4829" s="519"/>
      <c r="H4829" s="111"/>
      <c r="I4829">
        <f>E4829*G4820</f>
        <v>0</v>
      </c>
      <c r="J4829" s="57"/>
      <c r="K4829" s="50"/>
      <c r="L4829" s="50"/>
      <c r="M4829" s="50"/>
      <c r="N4829" s="50"/>
      <c r="O4829" s="50"/>
    </row>
    <row r="4830" spans="1:15">
      <c r="A4830" s="535" t="s">
        <v>4617</v>
      </c>
      <c r="B4830" s="536"/>
      <c r="C4830" s="88">
        <f>VLOOKUP(A4830,'Materiales '!$C$2:$G$396,3,0)</f>
        <v>3</v>
      </c>
      <c r="D4830" s="89" t="str">
        <f>VLOOKUP(A4830,'Materiales '!$C$2:$G$396,4,0)</f>
        <v>Rollo</v>
      </c>
      <c r="E4830" s="90">
        <v>0.5</v>
      </c>
      <c r="F4830" s="508" t="e">
        <f t="shared" ref="F4830:F4836" si="283">E4830*D4830</f>
        <v>#VALUE!</v>
      </c>
      <c r="G4830" s="519"/>
      <c r="H4830" s="111"/>
      <c r="I4830">
        <f>E4830*G4820</f>
        <v>0</v>
      </c>
      <c r="J4830" s="57"/>
      <c r="K4830" s="50"/>
      <c r="L4830" s="50"/>
      <c r="M4830" s="50"/>
      <c r="N4830" s="50"/>
      <c r="O4830" s="50"/>
    </row>
    <row r="4831" spans="1:15">
      <c r="A4831" s="517" t="s">
        <v>8</v>
      </c>
      <c r="B4831" s="518">
        <f>VLOOKUP(A4831,'Materiales '!$C$2:$G$396,3,0)</f>
        <v>0</v>
      </c>
      <c r="C4831" s="88">
        <f>VLOOKUP(A4831,'Materiales '!$C$2:$G$396,3,0)</f>
        <v>0</v>
      </c>
      <c r="D4831" s="89" t="str">
        <f>VLOOKUP(A4831,'Materiales '!$C$2:$G$396,4,0)</f>
        <v>-</v>
      </c>
      <c r="E4831" s="90">
        <v>1</v>
      </c>
      <c r="F4831" s="508" t="e">
        <f t="shared" si="283"/>
        <v>#VALUE!</v>
      </c>
      <c r="G4831" s="519"/>
      <c r="H4831" s="111"/>
      <c r="I4831">
        <f>E4831*G4820</f>
        <v>0</v>
      </c>
      <c r="J4831" s="58"/>
      <c r="K4831" s="50"/>
      <c r="L4831" s="50"/>
      <c r="M4831" s="50"/>
      <c r="N4831" s="50"/>
      <c r="O4831" s="50"/>
    </row>
    <row r="4832" spans="1:15">
      <c r="A4832" s="517" t="s">
        <v>8</v>
      </c>
      <c r="B4832" s="518">
        <f>VLOOKUP(A4832,'Materiales '!$C$2:$G$396,3,0)</f>
        <v>0</v>
      </c>
      <c r="C4832" s="88">
        <f>VLOOKUP(A4832,'Materiales '!$C$2:$G$396,3,0)</f>
        <v>0</v>
      </c>
      <c r="D4832" s="89" t="str">
        <f>VLOOKUP(A4832,'Materiales '!$C$2:$G$396,4,0)</f>
        <v>-</v>
      </c>
      <c r="E4832" s="90">
        <v>3</v>
      </c>
      <c r="F4832" s="508" t="e">
        <f t="shared" si="283"/>
        <v>#VALUE!</v>
      </c>
      <c r="G4832" s="519"/>
      <c r="H4832" s="111"/>
      <c r="I4832">
        <f>E4832*G4820</f>
        <v>0</v>
      </c>
      <c r="J4832" s="58"/>
      <c r="K4832" s="50"/>
      <c r="L4832" s="50"/>
      <c r="M4832" s="50"/>
      <c r="N4832" s="50"/>
      <c r="O4832" s="50"/>
    </row>
    <row r="4833" spans="1:15">
      <c r="A4833" s="517" t="s">
        <v>8</v>
      </c>
      <c r="B4833" s="518">
        <f>VLOOKUP(A4833,'Materiales '!$C$2:$G$396,3,0)</f>
        <v>0</v>
      </c>
      <c r="C4833" s="88">
        <f>VLOOKUP(A4833,'Materiales '!$C$2:$G$396,3,0)</f>
        <v>0</v>
      </c>
      <c r="D4833" s="89" t="str">
        <f>VLOOKUP(A4833,'Materiales '!$C$2:$G$396,4,0)</f>
        <v>-</v>
      </c>
      <c r="E4833" s="90">
        <v>2</v>
      </c>
      <c r="F4833" s="508" t="e">
        <f t="shared" si="283"/>
        <v>#VALUE!</v>
      </c>
      <c r="G4833" s="519"/>
      <c r="H4833" s="111"/>
      <c r="I4833">
        <f>E4833*G4820</f>
        <v>0</v>
      </c>
      <c r="J4833" s="58"/>
      <c r="K4833" s="50"/>
      <c r="L4833" s="50"/>
      <c r="M4833" s="50"/>
      <c r="N4833" s="50"/>
      <c r="O4833" s="50"/>
    </row>
    <row r="4834" spans="1:15">
      <c r="A4834" s="517" t="s">
        <v>8</v>
      </c>
      <c r="B4834" s="518">
        <f>VLOOKUP(A4834,'Materiales '!$C$2:$G$396,3,0)</f>
        <v>0</v>
      </c>
      <c r="C4834" s="88">
        <f>VLOOKUP(A4834,'Materiales '!$C$2:$G$396,3,0)</f>
        <v>0</v>
      </c>
      <c r="D4834" s="89" t="str">
        <f>VLOOKUP(A4834,'Materiales '!$C$2:$G$396,4,0)</f>
        <v>-</v>
      </c>
      <c r="E4834" s="90">
        <v>8</v>
      </c>
      <c r="F4834" s="508" t="e">
        <f t="shared" si="283"/>
        <v>#VALUE!</v>
      </c>
      <c r="G4834" s="519"/>
      <c r="H4834" s="111"/>
      <c r="I4834">
        <f>E4834*G4820</f>
        <v>0</v>
      </c>
      <c r="J4834" s="58"/>
      <c r="K4834" s="50"/>
      <c r="L4834" s="50"/>
      <c r="M4834" s="50"/>
      <c r="N4834" s="50"/>
      <c r="O4834" s="50"/>
    </row>
    <row r="4835" spans="1:15">
      <c r="A4835" s="517" t="s">
        <v>8</v>
      </c>
      <c r="B4835" s="518">
        <f>VLOOKUP(A4835,'Materiales '!$C$2:$G$396,3,0)</f>
        <v>0</v>
      </c>
      <c r="C4835" s="88">
        <f>VLOOKUP(A4835,'Materiales '!$C$2:$G$396,3,0)</f>
        <v>0</v>
      </c>
      <c r="D4835" s="89" t="str">
        <f>VLOOKUP(A4835,'Materiales '!$C$2:$G$396,4,0)</f>
        <v>-</v>
      </c>
      <c r="E4835" s="90">
        <v>3</v>
      </c>
      <c r="F4835" s="508" t="e">
        <f t="shared" si="283"/>
        <v>#VALUE!</v>
      </c>
      <c r="G4835" s="519"/>
      <c r="H4835" s="111"/>
      <c r="I4835">
        <f>E4835*G4820</f>
        <v>0</v>
      </c>
      <c r="J4835" s="58"/>
      <c r="K4835" s="50"/>
      <c r="L4835" s="50"/>
      <c r="M4835" s="50"/>
      <c r="N4835" s="50"/>
      <c r="O4835" s="50"/>
    </row>
    <row r="4836" spans="1:15" ht="21.75" customHeight="1">
      <c r="A4836" s="517" t="s">
        <v>8</v>
      </c>
      <c r="B4836" s="518">
        <f>VLOOKUP(A4836,'Materiales '!$C$2:$G$396,3,0)</f>
        <v>0</v>
      </c>
      <c r="C4836" s="88">
        <f>VLOOKUP(A4836,'Materiales '!$C$2:$G$396,3,0)</f>
        <v>0</v>
      </c>
      <c r="D4836" s="89" t="str">
        <f>VLOOKUP(A4836,'Materiales '!$C$2:$G$396,4,0)</f>
        <v>-</v>
      </c>
      <c r="E4836" s="90">
        <v>0.5</v>
      </c>
      <c r="F4836" s="508" t="e">
        <f t="shared" si="283"/>
        <v>#VALUE!</v>
      </c>
      <c r="G4836" s="519"/>
      <c r="H4836" s="111"/>
      <c r="I4836">
        <f>E4836*G4820</f>
        <v>0</v>
      </c>
      <c r="J4836" s="58"/>
      <c r="K4836" s="50"/>
      <c r="L4836" s="50"/>
      <c r="M4836" s="50"/>
      <c r="N4836" s="50"/>
      <c r="O4836" s="50"/>
    </row>
    <row r="4837" spans="1:15">
      <c r="A4837" s="517" t="s">
        <v>8</v>
      </c>
      <c r="B4837" s="518">
        <f>VLOOKUP(A4837,'Materiales '!$C$2:$G$396,3,0)</f>
        <v>0</v>
      </c>
      <c r="C4837" s="88">
        <f>VLOOKUP(A4837,'Materiales '!$C$2:$G$396,3,0)</f>
        <v>0</v>
      </c>
      <c r="D4837" s="89" t="str">
        <f>VLOOKUP(A4837,'Materiales '!$C$2:$G$396,4,0)</f>
        <v>-</v>
      </c>
      <c r="E4837" s="90"/>
      <c r="F4837" s="508" t="e">
        <f>E4837*D4837</f>
        <v>#VALUE!</v>
      </c>
      <c r="G4837" s="519"/>
      <c r="H4837" s="110"/>
      <c r="I4837">
        <f>E4837*G4820</f>
        <v>0</v>
      </c>
      <c r="J4837" s="58"/>
      <c r="K4837" s="50"/>
      <c r="L4837" s="50"/>
      <c r="M4837" s="50"/>
      <c r="N4837" s="50"/>
      <c r="O4837" s="50"/>
    </row>
    <row r="4838" spans="1:15">
      <c r="A4838" s="517" t="s">
        <v>8</v>
      </c>
      <c r="B4838" s="518">
        <f>VLOOKUP(A4838,'Materiales '!$C$2:$G$396,3,0)</f>
        <v>0</v>
      </c>
      <c r="C4838" s="88">
        <f>VLOOKUP(A4838,'Materiales '!$C$2:$G$396,3,0)</f>
        <v>0</v>
      </c>
      <c r="D4838" s="89" t="str">
        <f>VLOOKUP(A4838,'Materiales '!$C$2:$G$396,4,0)</f>
        <v>-</v>
      </c>
      <c r="E4838" s="90"/>
      <c r="F4838" s="508" t="e">
        <f t="shared" ref="F4838:F4841" si="284">E4838*D4838</f>
        <v>#VALUE!</v>
      </c>
      <c r="G4838" s="519"/>
      <c r="H4838" s="111"/>
      <c r="I4838">
        <f>E4838*G4820</f>
        <v>0</v>
      </c>
      <c r="J4838" s="58"/>
      <c r="K4838" s="50"/>
      <c r="L4838" s="50"/>
      <c r="M4838" s="50"/>
      <c r="N4838" s="50"/>
      <c r="O4838" s="50"/>
    </row>
    <row r="4839" spans="1:15">
      <c r="A4839" s="517" t="s">
        <v>8</v>
      </c>
      <c r="B4839" s="518">
        <f>VLOOKUP(A4839,'Materiales '!$C$2:$G$396,3,0)</f>
        <v>0</v>
      </c>
      <c r="C4839" s="88">
        <f>VLOOKUP(A4839,'Materiales '!$C$2:$G$396,3,0)</f>
        <v>0</v>
      </c>
      <c r="D4839" s="89" t="str">
        <f>VLOOKUP(A4839,'Materiales '!$C$2:$G$396,4,0)</f>
        <v>-</v>
      </c>
      <c r="E4839" s="90"/>
      <c r="F4839" s="508" t="e">
        <f t="shared" si="284"/>
        <v>#VALUE!</v>
      </c>
      <c r="G4839" s="519"/>
      <c r="H4839" s="111"/>
      <c r="I4839">
        <f>E4839*G4820</f>
        <v>0</v>
      </c>
      <c r="J4839" s="58"/>
      <c r="K4839" s="50"/>
      <c r="L4839" s="50"/>
      <c r="M4839" s="50"/>
      <c r="N4839" s="50"/>
      <c r="O4839" s="50"/>
    </row>
    <row r="4840" spans="1:15">
      <c r="A4840" s="517" t="s">
        <v>8</v>
      </c>
      <c r="B4840" s="518">
        <f>VLOOKUP(A4840,'Materiales '!$C$2:$G$396,3,0)</f>
        <v>0</v>
      </c>
      <c r="C4840" s="88">
        <f>VLOOKUP(A4840,'Materiales '!$C$2:$G$396,3,0)</f>
        <v>0</v>
      </c>
      <c r="D4840" s="89" t="str">
        <f>VLOOKUP(A4840,'Materiales '!$C$2:$G$396,4,0)</f>
        <v>-</v>
      </c>
      <c r="E4840" s="90"/>
      <c r="F4840" s="508" t="e">
        <f t="shared" si="284"/>
        <v>#VALUE!</v>
      </c>
      <c r="G4840" s="519"/>
      <c r="H4840" s="111"/>
      <c r="I4840">
        <f>E4840*G4820</f>
        <v>0</v>
      </c>
      <c r="J4840" s="58"/>
      <c r="K4840" s="50"/>
      <c r="L4840" s="50"/>
      <c r="M4840" s="50"/>
      <c r="N4840" s="50"/>
      <c r="O4840" s="50"/>
    </row>
    <row r="4841" spans="1:15">
      <c r="A4841" s="517" t="s">
        <v>8</v>
      </c>
      <c r="B4841" s="518">
        <f>VLOOKUP(A4841,'Materiales '!$C$2:$G$396,3,0)</f>
        <v>0</v>
      </c>
      <c r="C4841" s="88">
        <f>VLOOKUP(A4841,'Materiales '!$C$2:$G$396,3,0)</f>
        <v>0</v>
      </c>
      <c r="D4841" s="89" t="str">
        <f>VLOOKUP(A4841,'Materiales '!$C$2:$G$396,4,0)</f>
        <v>-</v>
      </c>
      <c r="E4841" s="90"/>
      <c r="F4841" s="508" t="e">
        <f t="shared" si="284"/>
        <v>#VALUE!</v>
      </c>
      <c r="G4841" s="519"/>
      <c r="H4841" s="111"/>
      <c r="I4841">
        <f>E4841*G4820</f>
        <v>0</v>
      </c>
      <c r="J4841" s="58"/>
      <c r="K4841" s="50"/>
      <c r="L4841" s="50"/>
      <c r="M4841" s="50"/>
      <c r="N4841" s="50"/>
      <c r="O4841" s="50"/>
    </row>
    <row r="4842" spans="1:15">
      <c r="A4842" s="517" t="s">
        <v>8</v>
      </c>
      <c r="B4842" s="518">
        <f>VLOOKUP(A4842,'Materiales '!$C$2:$G$396,3,0)</f>
        <v>0</v>
      </c>
      <c r="C4842" s="88">
        <f>VLOOKUP(A4842,'Materiales '!$C$2:$G$396,3,0)</f>
        <v>0</v>
      </c>
      <c r="D4842" s="89" t="str">
        <f>VLOOKUP(A4842,'Materiales '!$C$2:$G$396,4,0)</f>
        <v>-</v>
      </c>
      <c r="E4842" s="90"/>
      <c r="F4842" s="508" t="e">
        <f>E4842*D4842</f>
        <v>#VALUE!</v>
      </c>
      <c r="G4842" s="519"/>
      <c r="H4842" s="110"/>
      <c r="I4842">
        <f>E4842*G4820</f>
        <v>0</v>
      </c>
      <c r="J4842" s="58"/>
      <c r="K4842" s="50"/>
      <c r="L4842" s="50"/>
      <c r="M4842" s="50"/>
      <c r="N4842" s="50"/>
      <c r="O4842" s="50"/>
    </row>
    <row r="4843" spans="1:15">
      <c r="A4843" s="520" t="s">
        <v>4098</v>
      </c>
      <c r="B4843" s="521"/>
      <c r="C4843" s="521"/>
      <c r="D4843" s="521"/>
      <c r="E4843" s="521"/>
      <c r="F4843" s="521"/>
      <c r="G4843" s="522"/>
      <c r="H4843" s="106" t="e">
        <f>SUM(F4829:F4842)</f>
        <v>#VALUE!</v>
      </c>
      <c r="J4843" s="58"/>
      <c r="K4843" s="50"/>
      <c r="L4843" s="50"/>
      <c r="M4843" s="50"/>
      <c r="N4843" s="50"/>
      <c r="O4843" s="50"/>
    </row>
    <row r="4844" spans="1:15">
      <c r="A4844" s="523" t="s">
        <v>4220</v>
      </c>
      <c r="B4844" s="524"/>
      <c r="C4844" s="524"/>
      <c r="D4844" s="524"/>
      <c r="E4844" s="525"/>
      <c r="F4844" s="524"/>
      <c r="G4844" s="524"/>
      <c r="H4844" s="526"/>
      <c r="J4844" s="58"/>
      <c r="K4844" s="50"/>
      <c r="L4844" s="50"/>
      <c r="M4844" s="50"/>
      <c r="N4844" s="50"/>
      <c r="O4844" s="50"/>
    </row>
    <row r="4845" spans="1:15">
      <c r="A4845" s="527" t="s">
        <v>7</v>
      </c>
      <c r="B4845" s="528"/>
      <c r="C4845" s="98" t="s">
        <v>4221</v>
      </c>
      <c r="D4845" s="97" t="s">
        <v>4222</v>
      </c>
      <c r="E4845" s="187" t="s">
        <v>4223</v>
      </c>
      <c r="F4845" s="529" t="s">
        <v>4207</v>
      </c>
      <c r="G4845" s="529"/>
      <c r="H4845" s="109"/>
      <c r="K4845" s="50"/>
      <c r="L4845" s="50"/>
      <c r="M4845" s="50"/>
      <c r="N4845" s="50"/>
      <c r="O4845" s="50"/>
    </row>
    <row r="4846" spans="1:15">
      <c r="A4846" s="506" t="s">
        <v>3928</v>
      </c>
      <c r="B4846" s="507"/>
      <c r="C4846" s="213">
        <v>1</v>
      </c>
      <c r="D4846" s="92">
        <v>0.03</v>
      </c>
      <c r="E4846" s="93" t="str">
        <f>VLOOKUP(A4846,'Equip, Herr y Transp'!$B$2:$E$217,3,0)</f>
        <v>TR</v>
      </c>
      <c r="F4846" s="530" t="e">
        <f>E4846*D4846*C4846</f>
        <v>#VALUE!</v>
      </c>
      <c r="G4846" s="531"/>
      <c r="H4846" s="107"/>
      <c r="M4846" s="50"/>
    </row>
    <row r="4847" spans="1:15">
      <c r="A4847" s="532" t="s">
        <v>4205</v>
      </c>
      <c r="B4847" s="533"/>
      <c r="C4847" s="533"/>
      <c r="D4847" s="533"/>
      <c r="E4847" s="533"/>
      <c r="F4847" s="533"/>
      <c r="G4847" s="533"/>
      <c r="H4847" s="95" t="e">
        <f>F4846</f>
        <v>#VALUE!</v>
      </c>
    </row>
    <row r="4848" spans="1:15">
      <c r="A4848" s="523" t="s">
        <v>4224</v>
      </c>
      <c r="B4848" s="524"/>
      <c r="C4848" s="524"/>
      <c r="D4848" s="524"/>
      <c r="E4848" s="524"/>
      <c r="F4848" s="524"/>
      <c r="G4848" s="524"/>
      <c r="H4848" s="526"/>
    </row>
    <row r="4849" spans="1:10">
      <c r="A4849" s="527" t="s">
        <v>7</v>
      </c>
      <c r="B4849" s="528"/>
      <c r="C4849" s="96" t="s">
        <v>1</v>
      </c>
      <c r="D4849" s="97" t="s">
        <v>4225</v>
      </c>
      <c r="E4849" s="98" t="s">
        <v>4204</v>
      </c>
      <c r="F4849" s="527" t="s">
        <v>5</v>
      </c>
      <c r="G4849" s="534"/>
      <c r="H4849" s="109"/>
    </row>
    <row r="4850" spans="1:10">
      <c r="A4850" s="506" t="s">
        <v>4191</v>
      </c>
      <c r="B4850" s="507"/>
      <c r="C4850" s="91">
        <v>1</v>
      </c>
      <c r="D4850" s="94">
        <f>VLOOKUP(A4850,'Mano Obra'!$B$2:$T$117,19,0)</f>
        <v>152456</v>
      </c>
      <c r="E4850" s="218">
        <f>H4813</f>
        <v>0.14580000000000001</v>
      </c>
      <c r="F4850" s="508">
        <f>E4850*D4850*C4850</f>
        <v>22228.084800000001</v>
      </c>
      <c r="G4850" s="509"/>
      <c r="H4850" s="111"/>
      <c r="I4850" s="59"/>
      <c r="J4850" s="117">
        <f>((('Mano Obra'!$M$4/30)*F4850)/D4850)*G4820</f>
        <v>0</v>
      </c>
    </row>
    <row r="4851" spans="1:10">
      <c r="A4851" s="510" t="s">
        <v>4192</v>
      </c>
      <c r="B4851" s="511">
        <f>VLOOKUP(A4851,'Mano Obra'!$B$3:$D$290,2,0)</f>
        <v>1900000</v>
      </c>
      <c r="C4851" s="91">
        <v>1</v>
      </c>
      <c r="D4851" s="94">
        <f>VLOOKUP(A4851,'Mano Obra'!$B$2:$T$117,19,0)</f>
        <v>110488</v>
      </c>
      <c r="E4851" s="218">
        <f>H4813</f>
        <v>0.14580000000000001</v>
      </c>
      <c r="F4851" s="508">
        <f t="shared" ref="F4851:F4852" si="285">E4851*D4851*C4851</f>
        <v>16109.150400000002</v>
      </c>
      <c r="G4851" s="509"/>
      <c r="H4851" s="111"/>
      <c r="J4851" s="117">
        <f>((('Mano Obra'!$M$5/30)*F4851)/D4851)*G4820</f>
        <v>0</v>
      </c>
    </row>
    <row r="4852" spans="1:10">
      <c r="A4852" s="510" t="s">
        <v>4181</v>
      </c>
      <c r="B4852" s="511">
        <f>VLOOKUP(A4852,'Mano Obra'!$B$3:$D$290,2,0)</f>
        <v>1000000</v>
      </c>
      <c r="C4852" s="91">
        <v>1</v>
      </c>
      <c r="D4852" s="94">
        <f>VLOOKUP(A4852,'Mano Obra'!$B$2:$T$117,19,0)</f>
        <v>67424</v>
      </c>
      <c r="E4852" s="218">
        <f>H4813</f>
        <v>0.14580000000000001</v>
      </c>
      <c r="F4852" s="508">
        <f t="shared" si="285"/>
        <v>9830.4192000000003</v>
      </c>
      <c r="G4852" s="509"/>
      <c r="H4852" s="110"/>
      <c r="J4852" s="117">
        <f>((('Mano Obra'!$M$6/30)*F4852)/D4852)*G4820</f>
        <v>0</v>
      </c>
    </row>
    <row r="4853" spans="1:10">
      <c r="A4853" s="512" t="s">
        <v>4100</v>
      </c>
      <c r="B4853" s="512"/>
      <c r="C4853" s="512"/>
      <c r="D4853" s="512"/>
      <c r="E4853" s="512"/>
      <c r="F4853" s="512"/>
      <c r="G4853" s="512"/>
      <c r="H4853" s="95">
        <f>SUM(F4850:F4852)</f>
        <v>48167.654399999999</v>
      </c>
      <c r="J4853" s="117"/>
    </row>
    <row r="4854" spans="1:10">
      <c r="A4854" s="208" t="s">
        <v>4226</v>
      </c>
      <c r="B4854" s="186"/>
      <c r="C4854" s="186"/>
      <c r="D4854" s="183"/>
      <c r="E4854" s="184"/>
      <c r="F4854" s="185"/>
      <c r="G4854" s="184"/>
      <c r="H4854" s="193"/>
    </row>
    <row r="4855" spans="1:10">
      <c r="A4855" s="513" t="s">
        <v>4213</v>
      </c>
      <c r="B4855" s="514"/>
      <c r="C4855" s="514"/>
      <c r="D4855" s="514"/>
      <c r="E4855" s="181"/>
      <c r="F4855" s="182" t="s">
        <v>4227</v>
      </c>
      <c r="G4855" s="181" t="s">
        <v>4228</v>
      </c>
      <c r="H4855" s="194"/>
    </row>
    <row r="4856" spans="1:10">
      <c r="A4856" s="204" t="s">
        <v>4096</v>
      </c>
      <c r="B4856" s="62"/>
      <c r="C4856" s="62"/>
      <c r="D4856" s="63"/>
      <c r="E4856" s="68"/>
      <c r="F4856" s="69">
        <v>0</v>
      </c>
      <c r="G4856" s="70" t="e">
        <f>F4856*H4821</f>
        <v>#VALUE!</v>
      </c>
      <c r="H4856" s="193"/>
    </row>
    <row r="4857" spans="1:10">
      <c r="A4857" s="205" t="s">
        <v>4229</v>
      </c>
      <c r="B4857" s="71"/>
      <c r="C4857" s="71"/>
      <c r="D4857" s="72"/>
      <c r="E4857" s="68"/>
      <c r="F4857" s="69">
        <v>0</v>
      </c>
      <c r="G4857" s="70" t="e">
        <f>F4857*H4821</f>
        <v>#VALUE!</v>
      </c>
      <c r="H4857" s="193"/>
    </row>
    <row r="4858" spans="1:10">
      <c r="A4858" s="205" t="s">
        <v>4</v>
      </c>
      <c r="B4858" s="71"/>
      <c r="C4858" s="71"/>
      <c r="D4858" s="72"/>
      <c r="E4858" s="68"/>
      <c r="F4858" s="69">
        <v>0</v>
      </c>
      <c r="G4858" s="70" t="e">
        <f>F4858*H4821</f>
        <v>#VALUE!</v>
      </c>
      <c r="H4858" s="193"/>
    </row>
    <row r="4859" spans="1:10">
      <c r="A4859" s="206"/>
      <c r="B4859" s="73"/>
      <c r="C4859" s="65"/>
      <c r="D4859" s="74"/>
      <c r="E4859" s="75"/>
      <c r="F4859" s="76"/>
      <c r="G4859" s="77"/>
      <c r="H4859" s="195"/>
    </row>
    <row r="4860" spans="1:10">
      <c r="A4860" s="207"/>
      <c r="B4860" s="73"/>
      <c r="C4860" s="73"/>
      <c r="D4860" s="74"/>
      <c r="E4860" s="78"/>
      <c r="F4860" s="515" t="s">
        <v>4230</v>
      </c>
      <c r="G4860" s="516"/>
      <c r="H4860" s="214" t="e">
        <f>H4821+G4856+G4857+G4858</f>
        <v>#VALUE!</v>
      </c>
    </row>
    <row r="4861" spans="1:10">
      <c r="A4861" s="73"/>
      <c r="B4861" s="73"/>
      <c r="C4861" s="73"/>
      <c r="D4861" s="74"/>
      <c r="E4861" s="360"/>
      <c r="F4861" s="361"/>
      <c r="G4861" s="361"/>
      <c r="H4861" s="362"/>
    </row>
    <row r="4862" spans="1:10">
      <c r="A4862" s="80"/>
      <c r="B4862" s="80"/>
      <c r="C4862" s="80"/>
      <c r="D4862" s="80"/>
      <c r="E4862" s="80"/>
      <c r="F4862" s="80"/>
      <c r="G4862" s="80"/>
      <c r="H4862" s="353"/>
    </row>
    <row r="4863" spans="1:10">
      <c r="A4863" s="537" t="s">
        <v>4214</v>
      </c>
      <c r="B4863" s="538"/>
      <c r="C4863" s="538"/>
      <c r="D4863" s="538"/>
      <c r="E4863" s="538"/>
      <c r="F4863" s="538"/>
      <c r="G4863" s="538"/>
      <c r="H4863" s="539"/>
    </row>
    <row r="4864" spans="1:10">
      <c r="A4864" s="81"/>
      <c r="B4864" s="82"/>
      <c r="C4864" s="82"/>
      <c r="D4864" s="82"/>
      <c r="E4864" s="82"/>
      <c r="F4864" s="83"/>
      <c r="G4864" s="84"/>
      <c r="H4864" s="352">
        <f>ROUND((70/60)/8,4)</f>
        <v>0.14580000000000001</v>
      </c>
      <c r="I4864" s="105"/>
    </row>
    <row r="4865" spans="1:15">
      <c r="A4865" s="540" t="s">
        <v>4209</v>
      </c>
      <c r="B4865" s="542" t="str">
        <f>COSTOS!$C$14</f>
        <v>MODERNIZACION A TECNOLOGIA LED</v>
      </c>
      <c r="C4865" s="542"/>
      <c r="D4865" s="542"/>
      <c r="E4865" s="542"/>
      <c r="F4865" s="542"/>
      <c r="G4865" s="542"/>
      <c r="H4865" s="543" t="s">
        <v>4210</v>
      </c>
    </row>
    <row r="4866" spans="1:15">
      <c r="A4866" s="541"/>
      <c r="B4866" s="542"/>
      <c r="C4866" s="542"/>
      <c r="D4866" s="542"/>
      <c r="E4866" s="542"/>
      <c r="F4866" s="542"/>
      <c r="G4866" s="542"/>
      <c r="H4866" s="543"/>
    </row>
    <row r="4867" spans="1:15">
      <c r="A4867" s="541"/>
      <c r="B4867" s="542"/>
      <c r="C4867" s="542"/>
      <c r="D4867" s="542"/>
      <c r="E4867" s="542"/>
      <c r="F4867" s="542"/>
      <c r="G4867" s="542"/>
      <c r="H4867" s="543"/>
    </row>
    <row r="4868" spans="1:15" ht="15" customHeight="1">
      <c r="A4868" s="541"/>
      <c r="B4868" s="542"/>
      <c r="C4868" s="542"/>
      <c r="D4868" s="542"/>
      <c r="E4868" s="542"/>
      <c r="F4868" s="542"/>
      <c r="G4868" s="542"/>
      <c r="H4868" s="197">
        <f ca="1">TODAY()</f>
        <v>44889</v>
      </c>
      <c r="K4868" t="s">
        <v>4380</v>
      </c>
      <c r="L4868" t="s">
        <v>4381</v>
      </c>
      <c r="M4868" t="s">
        <v>4382</v>
      </c>
      <c r="N4868" t="s">
        <v>4383</v>
      </c>
    </row>
    <row r="4869" spans="1:15" ht="60.75" customHeight="1">
      <c r="A4869" s="209" t="s">
        <v>4211</v>
      </c>
      <c r="B4869" s="544" t="str">
        <f>COSTOS!$D$16</f>
        <v>Luminarias</v>
      </c>
      <c r="C4869" s="544"/>
      <c r="D4869" s="544"/>
      <c r="E4869" s="544"/>
      <c r="F4869" s="544"/>
      <c r="G4869" s="60" t="s">
        <v>4212</v>
      </c>
      <c r="H4869" s="363">
        <v>2.14</v>
      </c>
      <c r="K4869" s="55" t="e">
        <f>H4894</f>
        <v>#VALUE!</v>
      </c>
      <c r="L4869" s="55">
        <f>H4904</f>
        <v>48167.654399999999</v>
      </c>
      <c r="M4869" s="55" t="e">
        <f>H4877</f>
        <v>#VALUE!</v>
      </c>
      <c r="N4869" s="55" t="e">
        <f>H4898</f>
        <v>#VALUE!</v>
      </c>
    </row>
    <row r="4870" spans="1:15" ht="43.2" customHeight="1">
      <c r="A4870" s="210" t="s">
        <v>4213</v>
      </c>
      <c r="B4870" s="545" t="str">
        <f>VLOOKUP(H4869,COSTOS!C:M,2,0)</f>
        <v>Poste de concreto 12 metros x 510kg.f</v>
      </c>
      <c r="C4870" s="546"/>
      <c r="D4870" s="546"/>
      <c r="E4870" s="547"/>
      <c r="F4870" s="61" t="s">
        <v>0</v>
      </c>
      <c r="G4870" s="328" t="str">
        <f>VLOOKUP(H4869,COSTOS!C:M,8,0)</f>
        <v>Und</v>
      </c>
      <c r="H4870" s="248"/>
      <c r="I4870" s="278"/>
      <c r="J4870" s="280"/>
      <c r="K4870" s="280"/>
      <c r="L4870" s="280"/>
    </row>
    <row r="4871" spans="1:15">
      <c r="A4871" s="211"/>
      <c r="B4871" s="102"/>
      <c r="C4871" s="102"/>
      <c r="D4871" s="102"/>
      <c r="E4871" s="103"/>
      <c r="F4871" s="104" t="s">
        <v>1</v>
      </c>
      <c r="G4871" s="328">
        <f>VLOOKUP(H4869,COSTOS!C:M,9,0)</f>
        <v>0</v>
      </c>
      <c r="H4871" s="329"/>
      <c r="I4871" s="279"/>
    </row>
    <row r="4872" spans="1:15">
      <c r="A4872" s="212" t="s">
        <v>4215</v>
      </c>
      <c r="B4872" s="65"/>
      <c r="C4872" s="65"/>
      <c r="D4872" s="66"/>
      <c r="E4872" s="190"/>
      <c r="F4872" s="191"/>
      <c r="G4872" s="192" t="s">
        <v>4216</v>
      </c>
      <c r="H4872" s="198" t="e">
        <f>H4877+H4894+H4898+H4904</f>
        <v>#VALUE!</v>
      </c>
    </row>
    <row r="4873" spans="1:15" ht="41.4">
      <c r="A4873" s="548" t="s">
        <v>4213</v>
      </c>
      <c r="B4873" s="548"/>
      <c r="C4873" s="548"/>
      <c r="D4873" s="67" t="s">
        <v>0</v>
      </c>
      <c r="E4873" s="188" t="s">
        <v>4217</v>
      </c>
      <c r="F4873" s="189" t="s">
        <v>4204</v>
      </c>
      <c r="G4873" s="64" t="s">
        <v>2</v>
      </c>
      <c r="H4873" s="199" t="s">
        <v>4218</v>
      </c>
      <c r="K4873" s="281"/>
    </row>
    <row r="4874" spans="1:15">
      <c r="A4874" s="517" t="s">
        <v>3946</v>
      </c>
      <c r="B4874" s="549">
        <f>VLOOKUP(A4874,'Equip, Herr y Transp'!$B$2:$E$738,2,0)</f>
        <v>2</v>
      </c>
      <c r="C4874" s="549"/>
      <c r="D4874" s="85">
        <f>VLOOKUP(A4874,'Equip, Herr y Transp'!$B$2:$E$217,2,0)</f>
        <v>2</v>
      </c>
      <c r="E4874" s="85" t="str">
        <f>VLOOKUP(A4874,'Equip, Herr y Transp'!$B$2:$E$217,3,0)</f>
        <v>EQU</v>
      </c>
      <c r="F4874" s="86">
        <f>H4864</f>
        <v>0.14580000000000001</v>
      </c>
      <c r="G4874" s="112" t="e">
        <f>F4874*E4874</f>
        <v>#VALUE!</v>
      </c>
      <c r="H4874" s="108"/>
    </row>
    <row r="4875" spans="1:15">
      <c r="A4875" s="517" t="s">
        <v>3894</v>
      </c>
      <c r="B4875" s="549">
        <f>VLOOKUP(A4875,'Equip, Herr y Transp'!$B$2:$E$738,2,0)</f>
        <v>4</v>
      </c>
      <c r="C4875" s="549"/>
      <c r="D4875" s="85">
        <f>VLOOKUP(A4875,'Equip, Herr y Transp'!$B$2:$E$217,2,0)</f>
        <v>4</v>
      </c>
      <c r="E4875" s="85" t="str">
        <f>VLOOKUP(A4875,'Equip, Herr y Transp'!$B$2:$E$217,3,0)</f>
        <v>TR</v>
      </c>
      <c r="F4875" s="86">
        <f>H4864</f>
        <v>0.14580000000000001</v>
      </c>
      <c r="G4875" s="112" t="e">
        <f>F4875*E4875</f>
        <v>#VALUE!</v>
      </c>
      <c r="H4875" s="107"/>
    </row>
    <row r="4876" spans="1:15">
      <c r="A4876" s="517" t="s">
        <v>8</v>
      </c>
      <c r="B4876" s="549" t="e">
        <f>VLOOKUP(A4876,'Equip, Herr y Transp'!$B$2:$E$738,2,0)</f>
        <v>#N/A</v>
      </c>
      <c r="C4876" s="549"/>
      <c r="D4876" s="85" t="e">
        <f>VLOOKUP(A4876,'Equip, Herr y Transp'!$B$2:$E$217,2,0)</f>
        <v>#N/A</v>
      </c>
      <c r="E4876" s="85" t="e">
        <f>VLOOKUP(A4876,'Equip, Herr y Transp'!$B$2:$E$217,3,0)</f>
        <v>#N/A</v>
      </c>
      <c r="F4876" s="86"/>
      <c r="G4876" s="112" t="e">
        <f>F4876*E4876</f>
        <v>#N/A</v>
      </c>
      <c r="H4876" s="107"/>
    </row>
    <row r="4877" spans="1:15">
      <c r="A4877" s="520" t="s">
        <v>4099</v>
      </c>
      <c r="B4877" s="521"/>
      <c r="C4877" s="521"/>
      <c r="D4877" s="521"/>
      <c r="E4877" s="521"/>
      <c r="F4877" s="521"/>
      <c r="G4877" s="521"/>
      <c r="H4877" s="87" t="e">
        <f>SUM(G4874:G4876)</f>
        <v>#VALUE!</v>
      </c>
    </row>
    <row r="4878" spans="1:15">
      <c r="A4878" s="550" t="s">
        <v>4219</v>
      </c>
      <c r="B4878" s="551"/>
      <c r="C4878" s="551"/>
      <c r="D4878" s="551"/>
      <c r="E4878" s="551"/>
      <c r="F4878" s="551"/>
      <c r="G4878" s="551"/>
      <c r="H4878" s="552"/>
      <c r="K4878" s="50"/>
      <c r="L4878" s="50"/>
      <c r="M4878" s="50"/>
      <c r="N4878" s="50"/>
      <c r="O4878" s="50"/>
    </row>
    <row r="4879" spans="1:15" ht="30" customHeight="1">
      <c r="A4879" s="553" t="s">
        <v>7</v>
      </c>
      <c r="B4879" s="554"/>
      <c r="C4879" s="99" t="s">
        <v>0</v>
      </c>
      <c r="D4879" s="100" t="s">
        <v>4097</v>
      </c>
      <c r="E4879" s="101" t="s">
        <v>1</v>
      </c>
      <c r="F4879" s="555" t="s">
        <v>4207</v>
      </c>
      <c r="G4879" s="555"/>
      <c r="H4879" s="196"/>
      <c r="K4879" s="50"/>
      <c r="L4879" s="50"/>
      <c r="M4879" s="50"/>
      <c r="N4879" s="50"/>
      <c r="O4879" s="50"/>
    </row>
    <row r="4880" spans="1:15">
      <c r="A4880" s="535" t="s">
        <v>4739</v>
      </c>
      <c r="B4880" s="536"/>
      <c r="C4880" s="88">
        <f>VLOOKUP(A4880,'Materiales '!$C$2:$G$396,3,0)</f>
        <v>4</v>
      </c>
      <c r="D4880" s="89" t="str">
        <f>VLOOKUP(A4880,'Materiales '!$C$2:$G$396,4,0)</f>
        <v>Und</v>
      </c>
      <c r="E4880" s="90">
        <v>1</v>
      </c>
      <c r="F4880" s="508" t="e">
        <f>E4880*D4880</f>
        <v>#VALUE!</v>
      </c>
      <c r="G4880" s="519"/>
      <c r="H4880" s="111"/>
      <c r="I4880">
        <f>E4880*G4871</f>
        <v>0</v>
      </c>
      <c r="J4880" s="57"/>
      <c r="K4880" s="50"/>
      <c r="L4880" s="50"/>
      <c r="M4880" s="50"/>
      <c r="N4880" s="50"/>
      <c r="O4880" s="50"/>
    </row>
    <row r="4881" spans="1:15">
      <c r="A4881" s="535" t="s">
        <v>4617</v>
      </c>
      <c r="B4881" s="536"/>
      <c r="C4881" s="88">
        <f>VLOOKUP(A4881,'Materiales '!$C$2:$G$396,3,0)</f>
        <v>3</v>
      </c>
      <c r="D4881" s="89" t="str">
        <f>VLOOKUP(A4881,'Materiales '!$C$2:$G$396,4,0)</f>
        <v>Rollo</v>
      </c>
      <c r="E4881" s="90">
        <v>0.5</v>
      </c>
      <c r="F4881" s="508" t="e">
        <f t="shared" ref="F4881:F4887" si="286">E4881*D4881</f>
        <v>#VALUE!</v>
      </c>
      <c r="G4881" s="519"/>
      <c r="H4881" s="111"/>
      <c r="I4881">
        <f>E4881*G4871</f>
        <v>0</v>
      </c>
      <c r="J4881" s="57"/>
      <c r="K4881" s="50"/>
      <c r="L4881" s="50"/>
      <c r="M4881" s="50"/>
      <c r="N4881" s="50"/>
      <c r="O4881" s="50"/>
    </row>
    <row r="4882" spans="1:15">
      <c r="A4882" s="517" t="s">
        <v>8</v>
      </c>
      <c r="B4882" s="518">
        <f>VLOOKUP(A4882,'Materiales '!$C$2:$G$396,3,0)</f>
        <v>0</v>
      </c>
      <c r="C4882" s="88">
        <f>VLOOKUP(A4882,'Materiales '!$C$2:$G$396,3,0)</f>
        <v>0</v>
      </c>
      <c r="D4882" s="89" t="str">
        <f>VLOOKUP(A4882,'Materiales '!$C$2:$G$396,4,0)</f>
        <v>-</v>
      </c>
      <c r="E4882" s="90">
        <v>1</v>
      </c>
      <c r="F4882" s="508" t="e">
        <f t="shared" si="286"/>
        <v>#VALUE!</v>
      </c>
      <c r="G4882" s="519"/>
      <c r="H4882" s="111"/>
      <c r="I4882">
        <f>E4882*G4871</f>
        <v>0</v>
      </c>
      <c r="J4882" s="58"/>
      <c r="K4882" s="50"/>
      <c r="L4882" s="50"/>
      <c r="M4882" s="50"/>
      <c r="N4882" s="50"/>
      <c r="O4882" s="50"/>
    </row>
    <row r="4883" spans="1:15">
      <c r="A4883" s="517" t="s">
        <v>8</v>
      </c>
      <c r="B4883" s="518">
        <f>VLOOKUP(A4883,'Materiales '!$C$2:$G$396,3,0)</f>
        <v>0</v>
      </c>
      <c r="C4883" s="88">
        <f>VLOOKUP(A4883,'Materiales '!$C$2:$G$396,3,0)</f>
        <v>0</v>
      </c>
      <c r="D4883" s="89" t="str">
        <f>VLOOKUP(A4883,'Materiales '!$C$2:$G$396,4,0)</f>
        <v>-</v>
      </c>
      <c r="E4883" s="90">
        <v>3</v>
      </c>
      <c r="F4883" s="508" t="e">
        <f t="shared" si="286"/>
        <v>#VALUE!</v>
      </c>
      <c r="G4883" s="519"/>
      <c r="H4883" s="111"/>
      <c r="I4883">
        <f>E4883*G4871</f>
        <v>0</v>
      </c>
      <c r="J4883" s="58"/>
      <c r="K4883" s="50"/>
      <c r="L4883" s="50"/>
      <c r="M4883" s="50"/>
      <c r="N4883" s="50"/>
      <c r="O4883" s="50"/>
    </row>
    <row r="4884" spans="1:15">
      <c r="A4884" s="517" t="s">
        <v>8</v>
      </c>
      <c r="B4884" s="518">
        <f>VLOOKUP(A4884,'Materiales '!$C$2:$G$396,3,0)</f>
        <v>0</v>
      </c>
      <c r="C4884" s="88">
        <f>VLOOKUP(A4884,'Materiales '!$C$2:$G$396,3,0)</f>
        <v>0</v>
      </c>
      <c r="D4884" s="89" t="str">
        <f>VLOOKUP(A4884,'Materiales '!$C$2:$G$396,4,0)</f>
        <v>-</v>
      </c>
      <c r="E4884" s="90">
        <v>2</v>
      </c>
      <c r="F4884" s="508" t="e">
        <f t="shared" si="286"/>
        <v>#VALUE!</v>
      </c>
      <c r="G4884" s="519"/>
      <c r="H4884" s="111"/>
      <c r="I4884">
        <f>E4884*G4871</f>
        <v>0</v>
      </c>
      <c r="J4884" s="58"/>
      <c r="K4884" s="50"/>
      <c r="L4884" s="50"/>
      <c r="M4884" s="50"/>
      <c r="N4884" s="50"/>
      <c r="O4884" s="50"/>
    </row>
    <row r="4885" spans="1:15">
      <c r="A4885" s="517" t="s">
        <v>8</v>
      </c>
      <c r="B4885" s="518">
        <f>VLOOKUP(A4885,'Materiales '!$C$2:$G$396,3,0)</f>
        <v>0</v>
      </c>
      <c r="C4885" s="88">
        <f>VLOOKUP(A4885,'Materiales '!$C$2:$G$396,3,0)</f>
        <v>0</v>
      </c>
      <c r="D4885" s="89" t="str">
        <f>VLOOKUP(A4885,'Materiales '!$C$2:$G$396,4,0)</f>
        <v>-</v>
      </c>
      <c r="E4885" s="90">
        <v>8</v>
      </c>
      <c r="F4885" s="508" t="e">
        <f t="shared" si="286"/>
        <v>#VALUE!</v>
      </c>
      <c r="G4885" s="519"/>
      <c r="H4885" s="111"/>
      <c r="I4885">
        <f>E4885*G4871</f>
        <v>0</v>
      </c>
      <c r="J4885" s="58"/>
      <c r="K4885" s="50"/>
      <c r="L4885" s="50"/>
      <c r="M4885" s="50"/>
      <c r="N4885" s="50"/>
      <c r="O4885" s="50"/>
    </row>
    <row r="4886" spans="1:15">
      <c r="A4886" s="517" t="s">
        <v>8</v>
      </c>
      <c r="B4886" s="518">
        <f>VLOOKUP(A4886,'Materiales '!$C$2:$G$396,3,0)</f>
        <v>0</v>
      </c>
      <c r="C4886" s="88">
        <f>VLOOKUP(A4886,'Materiales '!$C$2:$G$396,3,0)</f>
        <v>0</v>
      </c>
      <c r="D4886" s="89" t="str">
        <f>VLOOKUP(A4886,'Materiales '!$C$2:$G$396,4,0)</f>
        <v>-</v>
      </c>
      <c r="E4886" s="90">
        <v>3</v>
      </c>
      <c r="F4886" s="508" t="e">
        <f t="shared" si="286"/>
        <v>#VALUE!</v>
      </c>
      <c r="G4886" s="519"/>
      <c r="H4886" s="111"/>
      <c r="I4886">
        <f>E4886*G4871</f>
        <v>0</v>
      </c>
      <c r="J4886" s="58"/>
      <c r="K4886" s="50"/>
      <c r="L4886" s="50"/>
      <c r="M4886" s="50"/>
      <c r="N4886" s="50"/>
      <c r="O4886" s="50"/>
    </row>
    <row r="4887" spans="1:15" ht="21.75" customHeight="1">
      <c r="A4887" s="517" t="s">
        <v>8</v>
      </c>
      <c r="B4887" s="518">
        <f>VLOOKUP(A4887,'Materiales '!$C$2:$G$396,3,0)</f>
        <v>0</v>
      </c>
      <c r="C4887" s="88">
        <f>VLOOKUP(A4887,'Materiales '!$C$2:$G$396,3,0)</f>
        <v>0</v>
      </c>
      <c r="D4887" s="89" t="str">
        <f>VLOOKUP(A4887,'Materiales '!$C$2:$G$396,4,0)</f>
        <v>-</v>
      </c>
      <c r="E4887" s="90">
        <v>0.5</v>
      </c>
      <c r="F4887" s="508" t="e">
        <f t="shared" si="286"/>
        <v>#VALUE!</v>
      </c>
      <c r="G4887" s="519"/>
      <c r="H4887" s="111"/>
      <c r="I4887">
        <f>E4887*G4871</f>
        <v>0</v>
      </c>
      <c r="J4887" s="58"/>
      <c r="K4887" s="50"/>
      <c r="L4887" s="50"/>
      <c r="M4887" s="50"/>
      <c r="N4887" s="50"/>
      <c r="O4887" s="50"/>
    </row>
    <row r="4888" spans="1:15">
      <c r="A4888" s="517" t="s">
        <v>8</v>
      </c>
      <c r="B4888" s="518">
        <f>VLOOKUP(A4888,'Materiales '!$C$2:$G$396,3,0)</f>
        <v>0</v>
      </c>
      <c r="C4888" s="88">
        <f>VLOOKUP(A4888,'Materiales '!$C$2:$G$396,3,0)</f>
        <v>0</v>
      </c>
      <c r="D4888" s="89" t="str">
        <f>VLOOKUP(A4888,'Materiales '!$C$2:$G$396,4,0)</f>
        <v>-</v>
      </c>
      <c r="E4888" s="90"/>
      <c r="F4888" s="508" t="e">
        <f>E4888*D4888</f>
        <v>#VALUE!</v>
      </c>
      <c r="G4888" s="519"/>
      <c r="H4888" s="110"/>
      <c r="I4888">
        <f>E4888*G4871</f>
        <v>0</v>
      </c>
      <c r="J4888" s="58"/>
      <c r="K4888" s="50"/>
      <c r="L4888" s="50"/>
      <c r="M4888" s="50"/>
      <c r="N4888" s="50"/>
      <c r="O4888" s="50"/>
    </row>
    <row r="4889" spans="1:15">
      <c r="A4889" s="517" t="s">
        <v>8</v>
      </c>
      <c r="B4889" s="518">
        <f>VLOOKUP(A4889,'Materiales '!$C$2:$G$396,3,0)</f>
        <v>0</v>
      </c>
      <c r="C4889" s="88">
        <f>VLOOKUP(A4889,'Materiales '!$C$2:$G$396,3,0)</f>
        <v>0</v>
      </c>
      <c r="D4889" s="89" t="str">
        <f>VLOOKUP(A4889,'Materiales '!$C$2:$G$396,4,0)</f>
        <v>-</v>
      </c>
      <c r="E4889" s="90"/>
      <c r="F4889" s="508" t="e">
        <f t="shared" ref="F4889:F4892" si="287">E4889*D4889</f>
        <v>#VALUE!</v>
      </c>
      <c r="G4889" s="519"/>
      <c r="H4889" s="111"/>
      <c r="I4889">
        <f>E4889*G4871</f>
        <v>0</v>
      </c>
      <c r="J4889" s="58"/>
      <c r="K4889" s="50"/>
      <c r="L4889" s="50"/>
      <c r="M4889" s="50"/>
      <c r="N4889" s="50"/>
      <c r="O4889" s="50"/>
    </row>
    <row r="4890" spans="1:15">
      <c r="A4890" s="517" t="s">
        <v>8</v>
      </c>
      <c r="B4890" s="518">
        <f>VLOOKUP(A4890,'Materiales '!$C$2:$G$396,3,0)</f>
        <v>0</v>
      </c>
      <c r="C4890" s="88">
        <f>VLOOKUP(A4890,'Materiales '!$C$2:$G$396,3,0)</f>
        <v>0</v>
      </c>
      <c r="D4890" s="89" t="str">
        <f>VLOOKUP(A4890,'Materiales '!$C$2:$G$396,4,0)</f>
        <v>-</v>
      </c>
      <c r="E4890" s="90"/>
      <c r="F4890" s="508" t="e">
        <f t="shared" si="287"/>
        <v>#VALUE!</v>
      </c>
      <c r="G4890" s="519"/>
      <c r="H4890" s="111"/>
      <c r="I4890">
        <f>E4890*G4871</f>
        <v>0</v>
      </c>
      <c r="J4890" s="58"/>
      <c r="K4890" s="50"/>
      <c r="L4890" s="50"/>
      <c r="M4890" s="50"/>
      <c r="N4890" s="50"/>
      <c r="O4890" s="50"/>
    </row>
    <row r="4891" spans="1:15">
      <c r="A4891" s="517" t="s">
        <v>8</v>
      </c>
      <c r="B4891" s="518">
        <f>VLOOKUP(A4891,'Materiales '!$C$2:$G$396,3,0)</f>
        <v>0</v>
      </c>
      <c r="C4891" s="88">
        <f>VLOOKUP(A4891,'Materiales '!$C$2:$G$396,3,0)</f>
        <v>0</v>
      </c>
      <c r="D4891" s="89" t="str">
        <f>VLOOKUP(A4891,'Materiales '!$C$2:$G$396,4,0)</f>
        <v>-</v>
      </c>
      <c r="E4891" s="90"/>
      <c r="F4891" s="508" t="e">
        <f t="shared" si="287"/>
        <v>#VALUE!</v>
      </c>
      <c r="G4891" s="519"/>
      <c r="H4891" s="111"/>
      <c r="I4891">
        <f>E4891*G4871</f>
        <v>0</v>
      </c>
      <c r="J4891" s="58"/>
      <c r="K4891" s="50"/>
      <c r="L4891" s="50"/>
      <c r="M4891" s="50"/>
      <c r="N4891" s="50"/>
      <c r="O4891" s="50"/>
    </row>
    <row r="4892" spans="1:15">
      <c r="A4892" s="517" t="s">
        <v>8</v>
      </c>
      <c r="B4892" s="518">
        <f>VLOOKUP(A4892,'Materiales '!$C$2:$G$396,3,0)</f>
        <v>0</v>
      </c>
      <c r="C4892" s="88">
        <f>VLOOKUP(A4892,'Materiales '!$C$2:$G$396,3,0)</f>
        <v>0</v>
      </c>
      <c r="D4892" s="89" t="str">
        <f>VLOOKUP(A4892,'Materiales '!$C$2:$G$396,4,0)</f>
        <v>-</v>
      </c>
      <c r="E4892" s="90"/>
      <c r="F4892" s="508" t="e">
        <f t="shared" si="287"/>
        <v>#VALUE!</v>
      </c>
      <c r="G4892" s="519"/>
      <c r="H4892" s="111"/>
      <c r="I4892">
        <f>E4892*G4871</f>
        <v>0</v>
      </c>
      <c r="J4892" s="58"/>
      <c r="K4892" s="50"/>
      <c r="L4892" s="50"/>
      <c r="M4892" s="50"/>
      <c r="N4892" s="50"/>
      <c r="O4892" s="50"/>
    </row>
    <row r="4893" spans="1:15">
      <c r="A4893" s="517" t="s">
        <v>8</v>
      </c>
      <c r="B4893" s="518">
        <f>VLOOKUP(A4893,'Materiales '!$C$2:$G$396,3,0)</f>
        <v>0</v>
      </c>
      <c r="C4893" s="88">
        <f>VLOOKUP(A4893,'Materiales '!$C$2:$G$396,3,0)</f>
        <v>0</v>
      </c>
      <c r="D4893" s="89" t="str">
        <f>VLOOKUP(A4893,'Materiales '!$C$2:$G$396,4,0)</f>
        <v>-</v>
      </c>
      <c r="E4893" s="90"/>
      <c r="F4893" s="508" t="e">
        <f>E4893*D4893</f>
        <v>#VALUE!</v>
      </c>
      <c r="G4893" s="519"/>
      <c r="H4893" s="110"/>
      <c r="I4893">
        <f>E4893*G4871</f>
        <v>0</v>
      </c>
      <c r="J4893" s="58"/>
      <c r="K4893" s="50"/>
      <c r="L4893" s="50"/>
      <c r="M4893" s="50"/>
      <c r="N4893" s="50"/>
      <c r="O4893" s="50"/>
    </row>
    <row r="4894" spans="1:15">
      <c r="A4894" s="520" t="s">
        <v>4098</v>
      </c>
      <c r="B4894" s="521"/>
      <c r="C4894" s="521"/>
      <c r="D4894" s="521"/>
      <c r="E4894" s="521"/>
      <c r="F4894" s="521"/>
      <c r="G4894" s="522"/>
      <c r="H4894" s="106" t="e">
        <f>SUM(F4880:F4893)</f>
        <v>#VALUE!</v>
      </c>
      <c r="J4894" s="58"/>
      <c r="K4894" s="50"/>
      <c r="L4894" s="50"/>
      <c r="M4894" s="50"/>
      <c r="N4894" s="50"/>
      <c r="O4894" s="50"/>
    </row>
    <row r="4895" spans="1:15">
      <c r="A4895" s="523" t="s">
        <v>4220</v>
      </c>
      <c r="B4895" s="524"/>
      <c r="C4895" s="524"/>
      <c r="D4895" s="524"/>
      <c r="E4895" s="525"/>
      <c r="F4895" s="524"/>
      <c r="G4895" s="524"/>
      <c r="H4895" s="526"/>
      <c r="J4895" s="58"/>
      <c r="K4895" s="50"/>
      <c r="L4895" s="50"/>
      <c r="M4895" s="50"/>
      <c r="N4895" s="50"/>
      <c r="O4895" s="50"/>
    </row>
    <row r="4896" spans="1:15">
      <c r="A4896" s="527" t="s">
        <v>7</v>
      </c>
      <c r="B4896" s="528"/>
      <c r="C4896" s="98" t="s">
        <v>4221</v>
      </c>
      <c r="D4896" s="97" t="s">
        <v>4222</v>
      </c>
      <c r="E4896" s="187" t="s">
        <v>4223</v>
      </c>
      <c r="F4896" s="529" t="s">
        <v>4207</v>
      </c>
      <c r="G4896" s="529"/>
      <c r="H4896" s="109"/>
      <c r="K4896" s="50"/>
      <c r="L4896" s="50"/>
      <c r="M4896" s="50"/>
      <c r="N4896" s="50"/>
      <c r="O4896" s="50"/>
    </row>
    <row r="4897" spans="1:13">
      <c r="A4897" s="506" t="s">
        <v>3928</v>
      </c>
      <c r="B4897" s="507"/>
      <c r="C4897" s="213">
        <v>1</v>
      </c>
      <c r="D4897" s="92">
        <v>0.03</v>
      </c>
      <c r="E4897" s="93" t="str">
        <f>VLOOKUP(A4897,'Equip, Herr y Transp'!$B$2:$E$217,3,0)</f>
        <v>TR</v>
      </c>
      <c r="F4897" s="530" t="e">
        <f>E4897*D4897*C4897</f>
        <v>#VALUE!</v>
      </c>
      <c r="G4897" s="531"/>
      <c r="H4897" s="107"/>
      <c r="M4897" s="50"/>
    </row>
    <row r="4898" spans="1:13">
      <c r="A4898" s="532" t="s">
        <v>4205</v>
      </c>
      <c r="B4898" s="533"/>
      <c r="C4898" s="533"/>
      <c r="D4898" s="533"/>
      <c r="E4898" s="533"/>
      <c r="F4898" s="533"/>
      <c r="G4898" s="533"/>
      <c r="H4898" s="95" t="e">
        <f>F4897</f>
        <v>#VALUE!</v>
      </c>
    </row>
    <row r="4899" spans="1:13">
      <c r="A4899" s="523" t="s">
        <v>4224</v>
      </c>
      <c r="B4899" s="524"/>
      <c r="C4899" s="524"/>
      <c r="D4899" s="524"/>
      <c r="E4899" s="524"/>
      <c r="F4899" s="524"/>
      <c r="G4899" s="524"/>
      <c r="H4899" s="526"/>
    </row>
    <row r="4900" spans="1:13">
      <c r="A4900" s="527" t="s">
        <v>7</v>
      </c>
      <c r="B4900" s="528"/>
      <c r="C4900" s="96" t="s">
        <v>1</v>
      </c>
      <c r="D4900" s="97" t="s">
        <v>4225</v>
      </c>
      <c r="E4900" s="98" t="s">
        <v>4204</v>
      </c>
      <c r="F4900" s="527" t="s">
        <v>5</v>
      </c>
      <c r="G4900" s="534"/>
      <c r="H4900" s="109"/>
    </row>
    <row r="4901" spans="1:13">
      <c r="A4901" s="506" t="s">
        <v>4191</v>
      </c>
      <c r="B4901" s="507"/>
      <c r="C4901" s="91">
        <v>1</v>
      </c>
      <c r="D4901" s="94">
        <f>VLOOKUP(A4901,'Mano Obra'!$B$2:$T$117,19,0)</f>
        <v>152456</v>
      </c>
      <c r="E4901" s="218">
        <f>H4864</f>
        <v>0.14580000000000001</v>
      </c>
      <c r="F4901" s="508">
        <f>E4901*D4901*C4901</f>
        <v>22228.084800000001</v>
      </c>
      <c r="G4901" s="509"/>
      <c r="H4901" s="111"/>
      <c r="I4901" s="59"/>
      <c r="J4901" s="117">
        <f>((('Mano Obra'!$M$4/30)*F4901)/D4901)*G4871</f>
        <v>0</v>
      </c>
    </row>
    <row r="4902" spans="1:13">
      <c r="A4902" s="510" t="s">
        <v>4192</v>
      </c>
      <c r="B4902" s="511">
        <f>VLOOKUP(A4902,'Mano Obra'!$B$3:$D$290,2,0)</f>
        <v>1900000</v>
      </c>
      <c r="C4902" s="91">
        <v>1</v>
      </c>
      <c r="D4902" s="94">
        <f>VLOOKUP(A4902,'Mano Obra'!$B$2:$T$117,19,0)</f>
        <v>110488</v>
      </c>
      <c r="E4902" s="218">
        <f>H4864</f>
        <v>0.14580000000000001</v>
      </c>
      <c r="F4902" s="508">
        <f t="shared" ref="F4902:F4903" si="288">E4902*D4902*C4902</f>
        <v>16109.150400000002</v>
      </c>
      <c r="G4902" s="509"/>
      <c r="H4902" s="111"/>
      <c r="J4902" s="117">
        <f>((('Mano Obra'!$M$5/30)*F4902)/D4902)*G4871</f>
        <v>0</v>
      </c>
    </row>
    <row r="4903" spans="1:13">
      <c r="A4903" s="510" t="s">
        <v>4181</v>
      </c>
      <c r="B4903" s="511">
        <f>VLOOKUP(A4903,'Mano Obra'!$B$3:$D$290,2,0)</f>
        <v>1000000</v>
      </c>
      <c r="C4903" s="91">
        <v>1</v>
      </c>
      <c r="D4903" s="94">
        <f>VLOOKUP(A4903,'Mano Obra'!$B$2:$T$117,19,0)</f>
        <v>67424</v>
      </c>
      <c r="E4903" s="218">
        <f>H4864</f>
        <v>0.14580000000000001</v>
      </c>
      <c r="F4903" s="508">
        <f t="shared" si="288"/>
        <v>9830.4192000000003</v>
      </c>
      <c r="G4903" s="509"/>
      <c r="H4903" s="110"/>
      <c r="J4903" s="117">
        <f>((('Mano Obra'!$M$6/30)*F4903)/D4903)*G4871</f>
        <v>0</v>
      </c>
    </row>
    <row r="4904" spans="1:13">
      <c r="A4904" s="512" t="s">
        <v>4100</v>
      </c>
      <c r="B4904" s="512"/>
      <c r="C4904" s="512"/>
      <c r="D4904" s="512"/>
      <c r="E4904" s="512"/>
      <c r="F4904" s="512"/>
      <c r="G4904" s="512"/>
      <c r="H4904" s="95">
        <f>SUM(F4901:F4903)</f>
        <v>48167.654399999999</v>
      </c>
      <c r="J4904" s="117"/>
    </row>
    <row r="4905" spans="1:13">
      <c r="A4905" s="208" t="s">
        <v>4226</v>
      </c>
      <c r="B4905" s="186"/>
      <c r="C4905" s="186"/>
      <c r="D4905" s="183"/>
      <c r="E4905" s="184"/>
      <c r="F4905" s="185"/>
      <c r="G4905" s="184"/>
      <c r="H4905" s="193"/>
    </row>
    <row r="4906" spans="1:13">
      <c r="A4906" s="513" t="s">
        <v>4213</v>
      </c>
      <c r="B4906" s="514"/>
      <c r="C4906" s="514"/>
      <c r="D4906" s="514"/>
      <c r="E4906" s="181"/>
      <c r="F4906" s="182" t="s">
        <v>4227</v>
      </c>
      <c r="G4906" s="181" t="s">
        <v>4228</v>
      </c>
      <c r="H4906" s="194"/>
    </row>
    <row r="4907" spans="1:13">
      <c r="A4907" s="204" t="s">
        <v>4096</v>
      </c>
      <c r="B4907" s="62"/>
      <c r="C4907" s="62"/>
      <c r="D4907" s="63"/>
      <c r="E4907" s="68"/>
      <c r="F4907" s="69">
        <v>0</v>
      </c>
      <c r="G4907" s="70" t="e">
        <f>F4907*H4872</f>
        <v>#VALUE!</v>
      </c>
      <c r="H4907" s="193"/>
    </row>
    <row r="4908" spans="1:13">
      <c r="A4908" s="205" t="s">
        <v>4229</v>
      </c>
      <c r="B4908" s="71"/>
      <c r="C4908" s="71"/>
      <c r="D4908" s="72"/>
      <c r="E4908" s="68"/>
      <c r="F4908" s="69">
        <v>0</v>
      </c>
      <c r="G4908" s="70" t="e">
        <f>F4908*H4872</f>
        <v>#VALUE!</v>
      </c>
      <c r="H4908" s="193"/>
    </row>
    <row r="4909" spans="1:13">
      <c r="A4909" s="205" t="s">
        <v>4</v>
      </c>
      <c r="B4909" s="71"/>
      <c r="C4909" s="71"/>
      <c r="D4909" s="72"/>
      <c r="E4909" s="68"/>
      <c r="F4909" s="69">
        <v>0</v>
      </c>
      <c r="G4909" s="70" t="e">
        <f>F4909*H4872</f>
        <v>#VALUE!</v>
      </c>
      <c r="H4909" s="193"/>
    </row>
    <row r="4910" spans="1:13">
      <c r="A4910" s="206"/>
      <c r="B4910" s="73"/>
      <c r="C4910" s="65"/>
      <c r="D4910" s="74"/>
      <c r="E4910" s="75"/>
      <c r="F4910" s="76"/>
      <c r="G4910" s="77"/>
      <c r="H4910" s="195"/>
    </row>
    <row r="4911" spans="1:13">
      <c r="A4911" s="207"/>
      <c r="B4911" s="73"/>
      <c r="C4911" s="73"/>
      <c r="D4911" s="74"/>
      <c r="E4911" s="78"/>
      <c r="F4911" s="515" t="s">
        <v>4230</v>
      </c>
      <c r="G4911" s="516"/>
      <c r="H4911" s="214" t="e">
        <f>H4872+G4907+G4908+G4909</f>
        <v>#VALUE!</v>
      </c>
    </row>
    <row r="4912" spans="1:13">
      <c r="A4912" s="73"/>
      <c r="B4912" s="73"/>
      <c r="C4912" s="73"/>
      <c r="D4912" s="74"/>
      <c r="E4912" s="360"/>
      <c r="F4912" s="361"/>
      <c r="G4912" s="361"/>
      <c r="H4912" s="362"/>
    </row>
    <row r="4913" spans="1:14">
      <c r="A4913" s="80"/>
      <c r="B4913" s="80"/>
      <c r="C4913" s="80"/>
      <c r="D4913" s="80"/>
      <c r="E4913" s="80"/>
      <c r="F4913" s="80"/>
      <c r="G4913" s="80"/>
      <c r="H4913" s="353"/>
    </row>
    <row r="4914" spans="1:14">
      <c r="A4914" s="537" t="s">
        <v>4214</v>
      </c>
      <c r="B4914" s="538"/>
      <c r="C4914" s="538"/>
      <c r="D4914" s="538"/>
      <c r="E4914" s="538"/>
      <c r="F4914" s="538"/>
      <c r="G4914" s="538"/>
      <c r="H4914" s="539"/>
    </row>
    <row r="4915" spans="1:14">
      <c r="A4915" s="81"/>
      <c r="B4915" s="82"/>
      <c r="C4915" s="82"/>
      <c r="D4915" s="82"/>
      <c r="E4915" s="82"/>
      <c r="F4915" s="83"/>
      <c r="G4915" s="84"/>
      <c r="H4915" s="352">
        <f>ROUND((60/60)/8,4)</f>
        <v>0.125</v>
      </c>
      <c r="I4915" s="105"/>
    </row>
    <row r="4916" spans="1:14">
      <c r="A4916" s="540" t="s">
        <v>4209</v>
      </c>
      <c r="B4916" s="542" t="str">
        <f>COSTOS!$C$14</f>
        <v>MODERNIZACION A TECNOLOGIA LED</v>
      </c>
      <c r="C4916" s="542"/>
      <c r="D4916" s="542"/>
      <c r="E4916" s="542"/>
      <c r="F4916" s="542"/>
      <c r="G4916" s="542"/>
      <c r="H4916" s="543" t="s">
        <v>4210</v>
      </c>
    </row>
    <row r="4917" spans="1:14">
      <c r="A4917" s="541"/>
      <c r="B4917" s="542"/>
      <c r="C4917" s="542"/>
      <c r="D4917" s="542"/>
      <c r="E4917" s="542"/>
      <c r="F4917" s="542"/>
      <c r="G4917" s="542"/>
      <c r="H4917" s="543"/>
    </row>
    <row r="4918" spans="1:14">
      <c r="A4918" s="541"/>
      <c r="B4918" s="542"/>
      <c r="C4918" s="542"/>
      <c r="D4918" s="542"/>
      <c r="E4918" s="542"/>
      <c r="F4918" s="542"/>
      <c r="G4918" s="542"/>
      <c r="H4918" s="543"/>
    </row>
    <row r="4919" spans="1:14" ht="15" customHeight="1">
      <c r="A4919" s="541"/>
      <c r="B4919" s="542"/>
      <c r="C4919" s="542"/>
      <c r="D4919" s="542"/>
      <c r="E4919" s="542"/>
      <c r="F4919" s="542"/>
      <c r="G4919" s="542"/>
      <c r="H4919" s="197">
        <f ca="1">TODAY()</f>
        <v>44889</v>
      </c>
      <c r="K4919" t="s">
        <v>4380</v>
      </c>
      <c r="L4919" t="s">
        <v>4381</v>
      </c>
      <c r="M4919" t="s">
        <v>4382</v>
      </c>
      <c r="N4919" t="s">
        <v>4383</v>
      </c>
    </row>
    <row r="4920" spans="1:14" ht="60.75" customHeight="1">
      <c r="A4920" s="209" t="s">
        <v>4211</v>
      </c>
      <c r="B4920" s="544" t="str">
        <f>COSTOS!$D$16</f>
        <v>Luminarias</v>
      </c>
      <c r="C4920" s="544"/>
      <c r="D4920" s="544"/>
      <c r="E4920" s="544"/>
      <c r="F4920" s="544"/>
      <c r="G4920" s="60" t="s">
        <v>4212</v>
      </c>
      <c r="H4920" s="363">
        <v>2.15</v>
      </c>
      <c r="K4920" s="55" t="e">
        <f>H4945</f>
        <v>#VALUE!</v>
      </c>
      <c r="L4920" s="55">
        <f>H4955</f>
        <v>41296</v>
      </c>
      <c r="M4920" s="55" t="e">
        <f>H4928</f>
        <v>#VALUE!</v>
      </c>
      <c r="N4920" s="55" t="e">
        <f>H4949</f>
        <v>#VALUE!</v>
      </c>
    </row>
    <row r="4921" spans="1:14" ht="43.2" customHeight="1">
      <c r="A4921" s="210" t="s">
        <v>4213</v>
      </c>
      <c r="B4921" s="545" t="str">
        <f>VLOOKUP(H4920,COSTOS!C:M,2,0)</f>
        <v>Poste de Metal de 10m</v>
      </c>
      <c r="C4921" s="546"/>
      <c r="D4921" s="546"/>
      <c r="E4921" s="547"/>
      <c r="F4921" s="61" t="s">
        <v>0</v>
      </c>
      <c r="G4921" s="328" t="str">
        <f>VLOOKUP(H4920,COSTOS!C:M,8,0)</f>
        <v>Und</v>
      </c>
      <c r="H4921" s="248"/>
      <c r="I4921" s="278"/>
      <c r="J4921" s="280"/>
      <c r="K4921" s="280"/>
      <c r="L4921" s="280"/>
    </row>
    <row r="4922" spans="1:14">
      <c r="A4922" s="211"/>
      <c r="B4922" s="102"/>
      <c r="C4922" s="102"/>
      <c r="D4922" s="102"/>
      <c r="E4922" s="103"/>
      <c r="F4922" s="104" t="s">
        <v>1</v>
      </c>
      <c r="G4922" s="328">
        <f>VLOOKUP(H4920,COSTOS!C:M,9,0)</f>
        <v>0</v>
      </c>
      <c r="H4922" s="329"/>
      <c r="I4922" s="279"/>
    </row>
    <row r="4923" spans="1:14">
      <c r="A4923" s="212" t="s">
        <v>4215</v>
      </c>
      <c r="B4923" s="65"/>
      <c r="C4923" s="65"/>
      <c r="D4923" s="66"/>
      <c r="E4923" s="190"/>
      <c r="F4923" s="191"/>
      <c r="G4923" s="192" t="s">
        <v>4216</v>
      </c>
      <c r="H4923" s="198" t="e">
        <f>H4928+H4945+H4949+H4955</f>
        <v>#VALUE!</v>
      </c>
    </row>
    <row r="4924" spans="1:14" ht="41.4">
      <c r="A4924" s="548" t="s">
        <v>4213</v>
      </c>
      <c r="B4924" s="548"/>
      <c r="C4924" s="548"/>
      <c r="D4924" s="67" t="s">
        <v>0</v>
      </c>
      <c r="E4924" s="188" t="s">
        <v>4217</v>
      </c>
      <c r="F4924" s="189" t="s">
        <v>4204</v>
      </c>
      <c r="G4924" s="64" t="s">
        <v>2</v>
      </c>
      <c r="H4924" s="199" t="s">
        <v>4218</v>
      </c>
      <c r="K4924" s="281"/>
    </row>
    <row r="4925" spans="1:14">
      <c r="A4925" s="517" t="s">
        <v>3946</v>
      </c>
      <c r="B4925" s="549">
        <f>VLOOKUP(A4925,'Equip, Herr y Transp'!$B$2:$E$738,2,0)</f>
        <v>2</v>
      </c>
      <c r="C4925" s="549"/>
      <c r="D4925" s="85">
        <f>VLOOKUP(A4925,'Equip, Herr y Transp'!$B$2:$E$217,2,0)</f>
        <v>2</v>
      </c>
      <c r="E4925" s="85" t="str">
        <f>VLOOKUP(A4925,'Equip, Herr y Transp'!$B$2:$E$217,3,0)</f>
        <v>EQU</v>
      </c>
      <c r="F4925" s="86">
        <f>H4915</f>
        <v>0.125</v>
      </c>
      <c r="G4925" s="112" t="e">
        <f>F4925*E4925</f>
        <v>#VALUE!</v>
      </c>
      <c r="H4925" s="108"/>
    </row>
    <row r="4926" spans="1:14">
      <c r="A4926" s="517" t="s">
        <v>3894</v>
      </c>
      <c r="B4926" s="549">
        <f>VLOOKUP(A4926,'Equip, Herr y Transp'!$B$2:$E$738,2,0)</f>
        <v>4</v>
      </c>
      <c r="C4926" s="549"/>
      <c r="D4926" s="85">
        <f>VLOOKUP(A4926,'Equip, Herr y Transp'!$B$2:$E$217,2,0)</f>
        <v>4</v>
      </c>
      <c r="E4926" s="85" t="str">
        <f>VLOOKUP(A4926,'Equip, Herr y Transp'!$B$2:$E$217,3,0)</f>
        <v>TR</v>
      </c>
      <c r="F4926" s="86">
        <f>H4915</f>
        <v>0.125</v>
      </c>
      <c r="G4926" s="112" t="e">
        <f>F4926*E4926</f>
        <v>#VALUE!</v>
      </c>
      <c r="H4926" s="107"/>
    </row>
    <row r="4927" spans="1:14">
      <c r="A4927" s="517" t="s">
        <v>8</v>
      </c>
      <c r="B4927" s="549" t="e">
        <f>VLOOKUP(A4927,'Equip, Herr y Transp'!$B$2:$E$738,2,0)</f>
        <v>#N/A</v>
      </c>
      <c r="C4927" s="549"/>
      <c r="D4927" s="85" t="e">
        <f>VLOOKUP(A4927,'Equip, Herr y Transp'!$B$2:$E$217,2,0)</f>
        <v>#N/A</v>
      </c>
      <c r="E4927" s="85" t="e">
        <f>VLOOKUP(A4927,'Equip, Herr y Transp'!$B$2:$E$217,3,0)</f>
        <v>#N/A</v>
      </c>
      <c r="F4927" s="86"/>
      <c r="G4927" s="112" t="e">
        <f>F4927*E4927</f>
        <v>#N/A</v>
      </c>
      <c r="H4927" s="107"/>
    </row>
    <row r="4928" spans="1:14">
      <c r="A4928" s="520" t="s">
        <v>4099</v>
      </c>
      <c r="B4928" s="521"/>
      <c r="C4928" s="521"/>
      <c r="D4928" s="521"/>
      <c r="E4928" s="521"/>
      <c r="F4928" s="521"/>
      <c r="G4928" s="521"/>
      <c r="H4928" s="87" t="e">
        <f>SUM(G4925:G4927)</f>
        <v>#VALUE!</v>
      </c>
    </row>
    <row r="4929" spans="1:15">
      <c r="A4929" s="550" t="s">
        <v>4219</v>
      </c>
      <c r="B4929" s="551"/>
      <c r="C4929" s="551"/>
      <c r="D4929" s="551"/>
      <c r="E4929" s="551"/>
      <c r="F4929" s="551"/>
      <c r="G4929" s="551"/>
      <c r="H4929" s="552"/>
      <c r="K4929" s="50"/>
      <c r="L4929" s="50"/>
      <c r="M4929" s="50"/>
      <c r="N4929" s="50"/>
      <c r="O4929" s="50"/>
    </row>
    <row r="4930" spans="1:15" ht="30" customHeight="1">
      <c r="A4930" s="553" t="s">
        <v>7</v>
      </c>
      <c r="B4930" s="554"/>
      <c r="C4930" s="99" t="s">
        <v>0</v>
      </c>
      <c r="D4930" s="100" t="s">
        <v>4097</v>
      </c>
      <c r="E4930" s="101" t="s">
        <v>1</v>
      </c>
      <c r="F4930" s="555" t="s">
        <v>4207</v>
      </c>
      <c r="G4930" s="555"/>
      <c r="H4930" s="196"/>
      <c r="K4930" s="50"/>
      <c r="L4930" s="50"/>
      <c r="M4930" s="50"/>
      <c r="N4930" s="50"/>
      <c r="O4930" s="50"/>
    </row>
    <row r="4931" spans="1:15">
      <c r="A4931" s="535" t="s">
        <v>4741</v>
      </c>
      <c r="B4931" s="536"/>
      <c r="C4931" s="88">
        <f>VLOOKUP(A4931,'Materiales '!$C$2:$G$396,3,0)</f>
        <v>4</v>
      </c>
      <c r="D4931" s="89" t="str">
        <f>VLOOKUP(A4931,'Materiales '!$C$2:$G$396,4,0)</f>
        <v>Und</v>
      </c>
      <c r="E4931" s="90">
        <v>1</v>
      </c>
      <c r="F4931" s="508" t="e">
        <f>E4931*D4931</f>
        <v>#VALUE!</v>
      </c>
      <c r="G4931" s="519"/>
      <c r="H4931" s="111"/>
      <c r="I4931">
        <f>E4931*G4922</f>
        <v>0</v>
      </c>
      <c r="J4931" s="57"/>
      <c r="K4931" s="50"/>
      <c r="L4931" s="50"/>
      <c r="M4931" s="50"/>
      <c r="N4931" s="50"/>
      <c r="O4931" s="50"/>
    </row>
    <row r="4932" spans="1:15">
      <c r="A4932" s="535" t="s">
        <v>4617</v>
      </c>
      <c r="B4932" s="536"/>
      <c r="C4932" s="88">
        <f>VLOOKUP(A4932,'Materiales '!$C$2:$G$396,3,0)</f>
        <v>3</v>
      </c>
      <c r="D4932" s="89" t="str">
        <f>VLOOKUP(A4932,'Materiales '!$C$2:$G$396,4,0)</f>
        <v>Rollo</v>
      </c>
      <c r="E4932" s="90">
        <v>0.5</v>
      </c>
      <c r="F4932" s="508" t="e">
        <f t="shared" ref="F4932:F4938" si="289">E4932*D4932</f>
        <v>#VALUE!</v>
      </c>
      <c r="G4932" s="519"/>
      <c r="H4932" s="111"/>
      <c r="I4932">
        <f>E4932*G4922</f>
        <v>0</v>
      </c>
      <c r="J4932" s="57"/>
      <c r="K4932" s="50"/>
      <c r="L4932" s="50"/>
      <c r="M4932" s="50"/>
      <c r="N4932" s="50"/>
      <c r="O4932" s="50"/>
    </row>
    <row r="4933" spans="1:15">
      <c r="A4933" s="517" t="s">
        <v>8</v>
      </c>
      <c r="B4933" s="518">
        <f>VLOOKUP(A4933,'Materiales '!$C$2:$G$396,3,0)</f>
        <v>0</v>
      </c>
      <c r="C4933" s="88">
        <f>VLOOKUP(A4933,'Materiales '!$C$2:$G$396,3,0)</f>
        <v>0</v>
      </c>
      <c r="D4933" s="89" t="str">
        <f>VLOOKUP(A4933,'Materiales '!$C$2:$G$396,4,0)</f>
        <v>-</v>
      </c>
      <c r="E4933" s="90">
        <v>1</v>
      </c>
      <c r="F4933" s="508" t="e">
        <f t="shared" si="289"/>
        <v>#VALUE!</v>
      </c>
      <c r="G4933" s="519"/>
      <c r="H4933" s="111"/>
      <c r="I4933">
        <f>E4933*G4922</f>
        <v>0</v>
      </c>
      <c r="J4933" s="58"/>
      <c r="K4933" s="50"/>
      <c r="L4933" s="50"/>
      <c r="M4933" s="50"/>
      <c r="N4933" s="50"/>
      <c r="O4933" s="50"/>
    </row>
    <row r="4934" spans="1:15">
      <c r="A4934" s="517" t="s">
        <v>8</v>
      </c>
      <c r="B4934" s="518">
        <f>VLOOKUP(A4934,'Materiales '!$C$2:$G$396,3,0)</f>
        <v>0</v>
      </c>
      <c r="C4934" s="88">
        <f>VLOOKUP(A4934,'Materiales '!$C$2:$G$396,3,0)</f>
        <v>0</v>
      </c>
      <c r="D4934" s="89" t="str">
        <f>VLOOKUP(A4934,'Materiales '!$C$2:$G$396,4,0)</f>
        <v>-</v>
      </c>
      <c r="E4934" s="90">
        <v>3</v>
      </c>
      <c r="F4934" s="508" t="e">
        <f t="shared" si="289"/>
        <v>#VALUE!</v>
      </c>
      <c r="G4934" s="519"/>
      <c r="H4934" s="111"/>
      <c r="I4934">
        <f>E4934*G4922</f>
        <v>0</v>
      </c>
      <c r="J4934" s="58"/>
      <c r="K4934" s="50"/>
      <c r="L4934" s="50"/>
      <c r="M4934" s="50"/>
      <c r="N4934" s="50"/>
      <c r="O4934" s="50"/>
    </row>
    <row r="4935" spans="1:15">
      <c r="A4935" s="517" t="s">
        <v>8</v>
      </c>
      <c r="B4935" s="518">
        <f>VLOOKUP(A4935,'Materiales '!$C$2:$G$396,3,0)</f>
        <v>0</v>
      </c>
      <c r="C4935" s="88">
        <f>VLOOKUP(A4935,'Materiales '!$C$2:$G$396,3,0)</f>
        <v>0</v>
      </c>
      <c r="D4935" s="89" t="str">
        <f>VLOOKUP(A4935,'Materiales '!$C$2:$G$396,4,0)</f>
        <v>-</v>
      </c>
      <c r="E4935" s="90">
        <v>2</v>
      </c>
      <c r="F4935" s="508" t="e">
        <f t="shared" si="289"/>
        <v>#VALUE!</v>
      </c>
      <c r="G4935" s="519"/>
      <c r="H4935" s="111"/>
      <c r="I4935">
        <f>E4935*G4922</f>
        <v>0</v>
      </c>
      <c r="J4935" s="58"/>
      <c r="K4935" s="50"/>
      <c r="L4935" s="50"/>
      <c r="M4935" s="50"/>
      <c r="N4935" s="50"/>
      <c r="O4935" s="50"/>
    </row>
    <row r="4936" spans="1:15">
      <c r="A4936" s="517" t="s">
        <v>8</v>
      </c>
      <c r="B4936" s="518">
        <f>VLOOKUP(A4936,'Materiales '!$C$2:$G$396,3,0)</f>
        <v>0</v>
      </c>
      <c r="C4936" s="88">
        <f>VLOOKUP(A4936,'Materiales '!$C$2:$G$396,3,0)</f>
        <v>0</v>
      </c>
      <c r="D4936" s="89" t="str">
        <f>VLOOKUP(A4936,'Materiales '!$C$2:$G$396,4,0)</f>
        <v>-</v>
      </c>
      <c r="E4936" s="90">
        <v>8</v>
      </c>
      <c r="F4936" s="508" t="e">
        <f t="shared" si="289"/>
        <v>#VALUE!</v>
      </c>
      <c r="G4936" s="519"/>
      <c r="H4936" s="111"/>
      <c r="I4936">
        <f>E4936*G4922</f>
        <v>0</v>
      </c>
      <c r="J4936" s="58"/>
      <c r="K4936" s="50"/>
      <c r="L4936" s="50"/>
      <c r="M4936" s="50"/>
      <c r="N4936" s="50"/>
      <c r="O4936" s="50"/>
    </row>
    <row r="4937" spans="1:15">
      <c r="A4937" s="517" t="s">
        <v>8</v>
      </c>
      <c r="B4937" s="518">
        <f>VLOOKUP(A4937,'Materiales '!$C$2:$G$396,3,0)</f>
        <v>0</v>
      </c>
      <c r="C4937" s="88">
        <f>VLOOKUP(A4937,'Materiales '!$C$2:$G$396,3,0)</f>
        <v>0</v>
      </c>
      <c r="D4937" s="89" t="str">
        <f>VLOOKUP(A4937,'Materiales '!$C$2:$G$396,4,0)</f>
        <v>-</v>
      </c>
      <c r="E4937" s="90">
        <v>3</v>
      </c>
      <c r="F4937" s="508" t="e">
        <f t="shared" si="289"/>
        <v>#VALUE!</v>
      </c>
      <c r="G4937" s="519"/>
      <c r="H4937" s="111"/>
      <c r="I4937">
        <f>E4937*G4922</f>
        <v>0</v>
      </c>
      <c r="J4937" s="58"/>
      <c r="K4937" s="50"/>
      <c r="L4937" s="50"/>
      <c r="M4937" s="50"/>
      <c r="N4937" s="50"/>
      <c r="O4937" s="50"/>
    </row>
    <row r="4938" spans="1:15" ht="21.75" customHeight="1">
      <c r="A4938" s="517" t="s">
        <v>8</v>
      </c>
      <c r="B4938" s="518">
        <f>VLOOKUP(A4938,'Materiales '!$C$2:$G$396,3,0)</f>
        <v>0</v>
      </c>
      <c r="C4938" s="88">
        <f>VLOOKUP(A4938,'Materiales '!$C$2:$G$396,3,0)</f>
        <v>0</v>
      </c>
      <c r="D4938" s="89" t="str">
        <f>VLOOKUP(A4938,'Materiales '!$C$2:$G$396,4,0)</f>
        <v>-</v>
      </c>
      <c r="E4938" s="90">
        <v>0.5</v>
      </c>
      <c r="F4938" s="508" t="e">
        <f t="shared" si="289"/>
        <v>#VALUE!</v>
      </c>
      <c r="G4938" s="519"/>
      <c r="H4938" s="111"/>
      <c r="I4938">
        <f>E4938*G4922</f>
        <v>0</v>
      </c>
      <c r="J4938" s="58"/>
      <c r="K4938" s="50"/>
      <c r="L4938" s="50"/>
      <c r="M4938" s="50"/>
      <c r="N4938" s="50"/>
      <c r="O4938" s="50"/>
    </row>
    <row r="4939" spans="1:15">
      <c r="A4939" s="517" t="s">
        <v>8</v>
      </c>
      <c r="B4939" s="518">
        <f>VLOOKUP(A4939,'Materiales '!$C$2:$G$396,3,0)</f>
        <v>0</v>
      </c>
      <c r="C4939" s="88">
        <f>VLOOKUP(A4939,'Materiales '!$C$2:$G$396,3,0)</f>
        <v>0</v>
      </c>
      <c r="D4939" s="89" t="str">
        <f>VLOOKUP(A4939,'Materiales '!$C$2:$G$396,4,0)</f>
        <v>-</v>
      </c>
      <c r="E4939" s="90"/>
      <c r="F4939" s="508" t="e">
        <f>E4939*D4939</f>
        <v>#VALUE!</v>
      </c>
      <c r="G4939" s="519"/>
      <c r="H4939" s="110"/>
      <c r="I4939">
        <f>E4939*G4922</f>
        <v>0</v>
      </c>
      <c r="J4939" s="58"/>
      <c r="K4939" s="50"/>
      <c r="L4939" s="50"/>
      <c r="M4939" s="50"/>
      <c r="N4939" s="50"/>
      <c r="O4939" s="50"/>
    </row>
    <row r="4940" spans="1:15">
      <c r="A4940" s="517" t="s">
        <v>8</v>
      </c>
      <c r="B4940" s="518">
        <f>VLOOKUP(A4940,'Materiales '!$C$2:$G$396,3,0)</f>
        <v>0</v>
      </c>
      <c r="C4940" s="88">
        <f>VLOOKUP(A4940,'Materiales '!$C$2:$G$396,3,0)</f>
        <v>0</v>
      </c>
      <c r="D4940" s="89" t="str">
        <f>VLOOKUP(A4940,'Materiales '!$C$2:$G$396,4,0)</f>
        <v>-</v>
      </c>
      <c r="E4940" s="90"/>
      <c r="F4940" s="508" t="e">
        <f t="shared" ref="F4940:F4943" si="290">E4940*D4940</f>
        <v>#VALUE!</v>
      </c>
      <c r="G4940" s="519"/>
      <c r="H4940" s="111"/>
      <c r="I4940">
        <f>E4940*G4922</f>
        <v>0</v>
      </c>
      <c r="J4940" s="58"/>
      <c r="K4940" s="50"/>
      <c r="L4940" s="50"/>
      <c r="M4940" s="50"/>
      <c r="N4940" s="50"/>
      <c r="O4940" s="50"/>
    </row>
    <row r="4941" spans="1:15">
      <c r="A4941" s="517" t="s">
        <v>8</v>
      </c>
      <c r="B4941" s="518">
        <f>VLOOKUP(A4941,'Materiales '!$C$2:$G$396,3,0)</f>
        <v>0</v>
      </c>
      <c r="C4941" s="88">
        <f>VLOOKUP(A4941,'Materiales '!$C$2:$G$396,3,0)</f>
        <v>0</v>
      </c>
      <c r="D4941" s="89" t="str">
        <f>VLOOKUP(A4941,'Materiales '!$C$2:$G$396,4,0)</f>
        <v>-</v>
      </c>
      <c r="E4941" s="90"/>
      <c r="F4941" s="508" t="e">
        <f t="shared" si="290"/>
        <v>#VALUE!</v>
      </c>
      <c r="G4941" s="519"/>
      <c r="H4941" s="111"/>
      <c r="I4941">
        <f>E4941*G4922</f>
        <v>0</v>
      </c>
      <c r="J4941" s="58"/>
      <c r="K4941" s="50"/>
      <c r="L4941" s="50"/>
      <c r="M4941" s="50"/>
      <c r="N4941" s="50"/>
      <c r="O4941" s="50"/>
    </row>
    <row r="4942" spans="1:15">
      <c r="A4942" s="517" t="s">
        <v>8</v>
      </c>
      <c r="B4942" s="518">
        <f>VLOOKUP(A4942,'Materiales '!$C$2:$G$396,3,0)</f>
        <v>0</v>
      </c>
      <c r="C4942" s="88">
        <f>VLOOKUP(A4942,'Materiales '!$C$2:$G$396,3,0)</f>
        <v>0</v>
      </c>
      <c r="D4942" s="89" t="str">
        <f>VLOOKUP(A4942,'Materiales '!$C$2:$G$396,4,0)</f>
        <v>-</v>
      </c>
      <c r="E4942" s="90"/>
      <c r="F4942" s="508" t="e">
        <f t="shared" si="290"/>
        <v>#VALUE!</v>
      </c>
      <c r="G4942" s="519"/>
      <c r="H4942" s="111"/>
      <c r="I4942">
        <f>E4942*G4922</f>
        <v>0</v>
      </c>
      <c r="J4942" s="58"/>
      <c r="K4942" s="50"/>
      <c r="L4942" s="50"/>
      <c r="M4942" s="50"/>
      <c r="N4942" s="50"/>
      <c r="O4942" s="50"/>
    </row>
    <row r="4943" spans="1:15">
      <c r="A4943" s="517" t="s">
        <v>8</v>
      </c>
      <c r="B4943" s="518">
        <f>VLOOKUP(A4943,'Materiales '!$C$2:$G$396,3,0)</f>
        <v>0</v>
      </c>
      <c r="C4943" s="88">
        <f>VLOOKUP(A4943,'Materiales '!$C$2:$G$396,3,0)</f>
        <v>0</v>
      </c>
      <c r="D4943" s="89" t="str">
        <f>VLOOKUP(A4943,'Materiales '!$C$2:$G$396,4,0)</f>
        <v>-</v>
      </c>
      <c r="E4943" s="90"/>
      <c r="F4943" s="508" t="e">
        <f t="shared" si="290"/>
        <v>#VALUE!</v>
      </c>
      <c r="G4943" s="519"/>
      <c r="H4943" s="111"/>
      <c r="I4943">
        <f>E4943*G4922</f>
        <v>0</v>
      </c>
      <c r="J4943" s="58"/>
      <c r="K4943" s="50"/>
      <c r="L4943" s="50"/>
      <c r="M4943" s="50"/>
      <c r="N4943" s="50"/>
      <c r="O4943" s="50"/>
    </row>
    <row r="4944" spans="1:15">
      <c r="A4944" s="517" t="s">
        <v>8</v>
      </c>
      <c r="B4944" s="518">
        <f>VLOOKUP(A4944,'Materiales '!$C$2:$G$396,3,0)</f>
        <v>0</v>
      </c>
      <c r="C4944" s="88">
        <f>VLOOKUP(A4944,'Materiales '!$C$2:$G$396,3,0)</f>
        <v>0</v>
      </c>
      <c r="D4944" s="89" t="str">
        <f>VLOOKUP(A4944,'Materiales '!$C$2:$G$396,4,0)</f>
        <v>-</v>
      </c>
      <c r="E4944" s="90"/>
      <c r="F4944" s="508" t="e">
        <f>E4944*D4944</f>
        <v>#VALUE!</v>
      </c>
      <c r="G4944" s="519"/>
      <c r="H4944" s="110"/>
      <c r="I4944">
        <f>E4944*G4922</f>
        <v>0</v>
      </c>
      <c r="J4944" s="58"/>
      <c r="K4944" s="50"/>
      <c r="L4944" s="50"/>
      <c r="M4944" s="50"/>
      <c r="N4944" s="50"/>
      <c r="O4944" s="50"/>
    </row>
    <row r="4945" spans="1:15">
      <c r="A4945" s="520" t="s">
        <v>4098</v>
      </c>
      <c r="B4945" s="521"/>
      <c r="C4945" s="521"/>
      <c r="D4945" s="521"/>
      <c r="E4945" s="521"/>
      <c r="F4945" s="521"/>
      <c r="G4945" s="522"/>
      <c r="H4945" s="106" t="e">
        <f>SUM(F4931:F4944)</f>
        <v>#VALUE!</v>
      </c>
      <c r="J4945" s="58"/>
      <c r="K4945" s="50"/>
      <c r="L4945" s="50"/>
      <c r="M4945" s="50"/>
      <c r="N4945" s="50"/>
      <c r="O4945" s="50"/>
    </row>
    <row r="4946" spans="1:15">
      <c r="A4946" s="523" t="s">
        <v>4220</v>
      </c>
      <c r="B4946" s="524"/>
      <c r="C4946" s="524"/>
      <c r="D4946" s="524"/>
      <c r="E4946" s="525"/>
      <c r="F4946" s="524"/>
      <c r="G4946" s="524"/>
      <c r="H4946" s="526"/>
      <c r="J4946" s="58"/>
      <c r="K4946" s="50"/>
      <c r="L4946" s="50"/>
      <c r="M4946" s="50"/>
      <c r="N4946" s="50"/>
      <c r="O4946" s="50"/>
    </row>
    <row r="4947" spans="1:15">
      <c r="A4947" s="527" t="s">
        <v>7</v>
      </c>
      <c r="B4947" s="528"/>
      <c r="C4947" s="98" t="s">
        <v>4221</v>
      </c>
      <c r="D4947" s="97" t="s">
        <v>4222</v>
      </c>
      <c r="E4947" s="187" t="s">
        <v>4223</v>
      </c>
      <c r="F4947" s="529" t="s">
        <v>4207</v>
      </c>
      <c r="G4947" s="529"/>
      <c r="H4947" s="109"/>
      <c r="K4947" s="50"/>
      <c r="L4947" s="50"/>
      <c r="M4947" s="50"/>
      <c r="N4947" s="50"/>
      <c r="O4947" s="50"/>
    </row>
    <row r="4948" spans="1:15">
      <c r="A4948" s="506" t="s">
        <v>3928</v>
      </c>
      <c r="B4948" s="507"/>
      <c r="C4948" s="213">
        <v>1</v>
      </c>
      <c r="D4948" s="92">
        <v>0.03</v>
      </c>
      <c r="E4948" s="93" t="str">
        <f>VLOOKUP(A4948,'Equip, Herr y Transp'!$B$2:$E$217,3,0)</f>
        <v>TR</v>
      </c>
      <c r="F4948" s="530" t="e">
        <f>E4948*D4948*C4948</f>
        <v>#VALUE!</v>
      </c>
      <c r="G4948" s="531"/>
      <c r="H4948" s="107"/>
      <c r="M4948" s="50"/>
    </row>
    <row r="4949" spans="1:15">
      <c r="A4949" s="532" t="s">
        <v>4205</v>
      </c>
      <c r="B4949" s="533"/>
      <c r="C4949" s="533"/>
      <c r="D4949" s="533"/>
      <c r="E4949" s="533"/>
      <c r="F4949" s="533"/>
      <c r="G4949" s="533"/>
      <c r="H4949" s="95" t="e">
        <f>F4948</f>
        <v>#VALUE!</v>
      </c>
    </row>
    <row r="4950" spans="1:15">
      <c r="A4950" s="523" t="s">
        <v>4224</v>
      </c>
      <c r="B4950" s="524"/>
      <c r="C4950" s="524"/>
      <c r="D4950" s="524"/>
      <c r="E4950" s="524"/>
      <c r="F4950" s="524"/>
      <c r="G4950" s="524"/>
      <c r="H4950" s="526"/>
    </row>
    <row r="4951" spans="1:15">
      <c r="A4951" s="527" t="s">
        <v>7</v>
      </c>
      <c r="B4951" s="528"/>
      <c r="C4951" s="96" t="s">
        <v>1</v>
      </c>
      <c r="D4951" s="97" t="s">
        <v>4225</v>
      </c>
      <c r="E4951" s="98" t="s">
        <v>4204</v>
      </c>
      <c r="F4951" s="527" t="s">
        <v>5</v>
      </c>
      <c r="G4951" s="534"/>
      <c r="H4951" s="109"/>
    </row>
    <row r="4952" spans="1:15">
      <c r="A4952" s="506" t="s">
        <v>4191</v>
      </c>
      <c r="B4952" s="507"/>
      <c r="C4952" s="91">
        <v>1</v>
      </c>
      <c r="D4952" s="94">
        <f>VLOOKUP(A4952,'Mano Obra'!$B$2:$T$117,19,0)</f>
        <v>152456</v>
      </c>
      <c r="E4952" s="218">
        <f>H4915</f>
        <v>0.125</v>
      </c>
      <c r="F4952" s="508">
        <f>E4952*D4952*C4952</f>
        <v>19057</v>
      </c>
      <c r="G4952" s="509"/>
      <c r="H4952" s="111"/>
      <c r="I4952" s="59"/>
      <c r="J4952" s="117">
        <f>((('Mano Obra'!$M$4/30)*F4952)/D4952)*G4922</f>
        <v>0</v>
      </c>
    </row>
    <row r="4953" spans="1:15">
      <c r="A4953" s="510" t="s">
        <v>4192</v>
      </c>
      <c r="B4953" s="511">
        <f>VLOOKUP(A4953,'Mano Obra'!$B$3:$D$290,2,0)</f>
        <v>1900000</v>
      </c>
      <c r="C4953" s="91">
        <v>1</v>
      </c>
      <c r="D4953" s="94">
        <f>VLOOKUP(A4953,'Mano Obra'!$B$2:$T$117,19,0)</f>
        <v>110488</v>
      </c>
      <c r="E4953" s="218">
        <f>H4915</f>
        <v>0.125</v>
      </c>
      <c r="F4953" s="508">
        <f t="shared" ref="F4953:F4954" si="291">E4953*D4953*C4953</f>
        <v>13811</v>
      </c>
      <c r="G4953" s="509"/>
      <c r="H4953" s="111"/>
      <c r="J4953" s="117">
        <f>((('Mano Obra'!$M$5/30)*F4953)/D4953)*G4922</f>
        <v>0</v>
      </c>
    </row>
    <row r="4954" spans="1:15">
      <c r="A4954" s="510" t="s">
        <v>4181</v>
      </c>
      <c r="B4954" s="511">
        <f>VLOOKUP(A4954,'Mano Obra'!$B$3:$D$290,2,0)</f>
        <v>1000000</v>
      </c>
      <c r="C4954" s="91">
        <v>1</v>
      </c>
      <c r="D4954" s="94">
        <f>VLOOKUP(A4954,'Mano Obra'!$B$2:$T$117,19,0)</f>
        <v>67424</v>
      </c>
      <c r="E4954" s="218">
        <f>H4915</f>
        <v>0.125</v>
      </c>
      <c r="F4954" s="508">
        <f t="shared" si="291"/>
        <v>8428</v>
      </c>
      <c r="G4954" s="509"/>
      <c r="H4954" s="110"/>
      <c r="J4954" s="117">
        <f>((('Mano Obra'!$M$6/30)*F4954)/D4954)*G4922</f>
        <v>0</v>
      </c>
    </row>
    <row r="4955" spans="1:15">
      <c r="A4955" s="512" t="s">
        <v>4100</v>
      </c>
      <c r="B4955" s="512"/>
      <c r="C4955" s="512"/>
      <c r="D4955" s="512"/>
      <c r="E4955" s="512"/>
      <c r="F4955" s="512"/>
      <c r="G4955" s="512"/>
      <c r="H4955" s="95">
        <f>SUM(F4952:F4954)</f>
        <v>41296</v>
      </c>
      <c r="J4955" s="117"/>
    </row>
    <row r="4956" spans="1:15">
      <c r="A4956" s="208" t="s">
        <v>4226</v>
      </c>
      <c r="B4956" s="186"/>
      <c r="C4956" s="186"/>
      <c r="D4956" s="183"/>
      <c r="E4956" s="184"/>
      <c r="F4956" s="185"/>
      <c r="G4956" s="184"/>
      <c r="H4956" s="193"/>
    </row>
    <row r="4957" spans="1:15">
      <c r="A4957" s="513" t="s">
        <v>4213</v>
      </c>
      <c r="B4957" s="514"/>
      <c r="C4957" s="514"/>
      <c r="D4957" s="514"/>
      <c r="E4957" s="181"/>
      <c r="F4957" s="182" t="s">
        <v>4227</v>
      </c>
      <c r="G4957" s="181" t="s">
        <v>4228</v>
      </c>
      <c r="H4957" s="194"/>
    </row>
    <row r="4958" spans="1:15">
      <c r="A4958" s="204" t="s">
        <v>4096</v>
      </c>
      <c r="B4958" s="62"/>
      <c r="C4958" s="62"/>
      <c r="D4958" s="63"/>
      <c r="E4958" s="68"/>
      <c r="F4958" s="69">
        <v>0</v>
      </c>
      <c r="G4958" s="70" t="e">
        <f>F4958*H4923</f>
        <v>#VALUE!</v>
      </c>
      <c r="H4958" s="193"/>
    </row>
    <row r="4959" spans="1:15">
      <c r="A4959" s="205" t="s">
        <v>4229</v>
      </c>
      <c r="B4959" s="71"/>
      <c r="C4959" s="71"/>
      <c r="D4959" s="72"/>
      <c r="E4959" s="68"/>
      <c r="F4959" s="69">
        <v>0</v>
      </c>
      <c r="G4959" s="70" t="e">
        <f>F4959*H4923</f>
        <v>#VALUE!</v>
      </c>
      <c r="H4959" s="193"/>
    </row>
    <row r="4960" spans="1:15">
      <c r="A4960" s="205" t="s">
        <v>4</v>
      </c>
      <c r="B4960" s="71"/>
      <c r="C4960" s="71"/>
      <c r="D4960" s="72"/>
      <c r="E4960" s="68"/>
      <c r="F4960" s="69">
        <v>0</v>
      </c>
      <c r="G4960" s="70" t="e">
        <f>F4960*H4923</f>
        <v>#VALUE!</v>
      </c>
      <c r="H4960" s="193"/>
    </row>
    <row r="4961" spans="1:14">
      <c r="A4961" s="206"/>
      <c r="B4961" s="73"/>
      <c r="C4961" s="65"/>
      <c r="D4961" s="74"/>
      <c r="E4961" s="75"/>
      <c r="F4961" s="76"/>
      <c r="G4961" s="77"/>
      <c r="H4961" s="195"/>
    </row>
    <row r="4962" spans="1:14">
      <c r="A4962" s="207"/>
      <c r="B4962" s="73"/>
      <c r="C4962" s="73"/>
      <c r="D4962" s="74"/>
      <c r="E4962" s="78"/>
      <c r="F4962" s="515" t="s">
        <v>4230</v>
      </c>
      <c r="G4962" s="516"/>
      <c r="H4962" s="214" t="e">
        <f>H4923+G4958+G4959+G4960</f>
        <v>#VALUE!</v>
      </c>
    </row>
    <row r="4963" spans="1:14">
      <c r="A4963" s="73"/>
      <c r="B4963" s="73"/>
      <c r="C4963" s="73"/>
      <c r="D4963" s="74"/>
      <c r="E4963" s="360"/>
      <c r="F4963" s="361"/>
      <c r="G4963" s="361"/>
      <c r="H4963" s="362"/>
    </row>
    <row r="4964" spans="1:14">
      <c r="A4964" s="80"/>
      <c r="B4964" s="80"/>
      <c r="C4964" s="80"/>
      <c r="D4964" s="80"/>
      <c r="E4964" s="80"/>
      <c r="F4964" s="80"/>
      <c r="G4964" s="80"/>
      <c r="H4964" s="353"/>
    </row>
    <row r="4965" spans="1:14">
      <c r="A4965" s="537" t="s">
        <v>4214</v>
      </c>
      <c r="B4965" s="538"/>
      <c r="C4965" s="538"/>
      <c r="D4965" s="538"/>
      <c r="E4965" s="538"/>
      <c r="F4965" s="538"/>
      <c r="G4965" s="538"/>
      <c r="H4965" s="539"/>
    </row>
    <row r="4966" spans="1:14">
      <c r="A4966" s="81"/>
      <c r="B4966" s="82"/>
      <c r="C4966" s="82"/>
      <c r="D4966" s="82"/>
      <c r="E4966" s="82"/>
      <c r="F4966" s="83"/>
      <c r="G4966" s="84"/>
      <c r="H4966" s="352">
        <f>ROUND((70/60)/8,4)</f>
        <v>0.14580000000000001</v>
      </c>
      <c r="I4966" s="105"/>
    </row>
    <row r="4967" spans="1:14">
      <c r="A4967" s="540" t="s">
        <v>4209</v>
      </c>
      <c r="B4967" s="542" t="str">
        <f>COSTOS!$C$14</f>
        <v>MODERNIZACION A TECNOLOGIA LED</v>
      </c>
      <c r="C4967" s="542"/>
      <c r="D4967" s="542"/>
      <c r="E4967" s="542"/>
      <c r="F4967" s="542"/>
      <c r="G4967" s="542"/>
      <c r="H4967" s="543" t="s">
        <v>4210</v>
      </c>
    </row>
    <row r="4968" spans="1:14">
      <c r="A4968" s="541"/>
      <c r="B4968" s="542"/>
      <c r="C4968" s="542"/>
      <c r="D4968" s="542"/>
      <c r="E4968" s="542"/>
      <c r="F4968" s="542"/>
      <c r="G4968" s="542"/>
      <c r="H4968" s="543"/>
    </row>
    <row r="4969" spans="1:14">
      <c r="A4969" s="541"/>
      <c r="B4969" s="542"/>
      <c r="C4969" s="542"/>
      <c r="D4969" s="542"/>
      <c r="E4969" s="542"/>
      <c r="F4969" s="542"/>
      <c r="G4969" s="542"/>
      <c r="H4969" s="543"/>
    </row>
    <row r="4970" spans="1:14" ht="15" customHeight="1">
      <c r="A4970" s="541"/>
      <c r="B4970" s="542"/>
      <c r="C4970" s="542"/>
      <c r="D4970" s="542"/>
      <c r="E4970" s="542"/>
      <c r="F4970" s="542"/>
      <c r="G4970" s="542"/>
      <c r="H4970" s="197">
        <f ca="1">TODAY()</f>
        <v>44889</v>
      </c>
      <c r="K4970" t="s">
        <v>4380</v>
      </c>
      <c r="L4970" t="s">
        <v>4381</v>
      </c>
      <c r="M4970" t="s">
        <v>4382</v>
      </c>
      <c r="N4970" t="s">
        <v>4383</v>
      </c>
    </row>
    <row r="4971" spans="1:14" ht="60.75" customHeight="1">
      <c r="A4971" s="209" t="s">
        <v>4211</v>
      </c>
      <c r="B4971" s="544" t="str">
        <f>COSTOS!$D$16</f>
        <v>Luminarias</v>
      </c>
      <c r="C4971" s="544"/>
      <c r="D4971" s="544"/>
      <c r="E4971" s="544"/>
      <c r="F4971" s="544"/>
      <c r="G4971" s="60" t="s">
        <v>4212</v>
      </c>
      <c r="H4971" s="363">
        <v>2.16</v>
      </c>
      <c r="K4971" s="55" t="e">
        <f>H4996</f>
        <v>#VALUE!</v>
      </c>
      <c r="L4971" s="55">
        <f>H5006</f>
        <v>48167.654399999999</v>
      </c>
      <c r="M4971" s="55" t="e">
        <f>H4979</f>
        <v>#VALUE!</v>
      </c>
      <c r="N4971" s="55" t="e">
        <f>H5000</f>
        <v>#VALUE!</v>
      </c>
    </row>
    <row r="4972" spans="1:14" ht="43.2" customHeight="1">
      <c r="A4972" s="210" t="s">
        <v>4213</v>
      </c>
      <c r="B4972" s="545" t="str">
        <f>VLOOKUP(H4971,COSTOS!C:M,2,0)</f>
        <v xml:space="preserve">Poste de Fibra de 12 m x 510KgF </v>
      </c>
      <c r="C4972" s="546"/>
      <c r="D4972" s="546"/>
      <c r="E4972" s="547"/>
      <c r="F4972" s="61" t="s">
        <v>0</v>
      </c>
      <c r="G4972" s="328" t="str">
        <f>VLOOKUP(H4971,COSTOS!C:M,8,0)</f>
        <v>Und</v>
      </c>
      <c r="H4972" s="248"/>
      <c r="I4972" s="278"/>
      <c r="J4972" s="280"/>
      <c r="K4972" s="280"/>
      <c r="L4972" s="280"/>
    </row>
    <row r="4973" spans="1:14">
      <c r="A4973" s="211"/>
      <c r="B4973" s="102"/>
      <c r="C4973" s="102"/>
      <c r="D4973" s="102"/>
      <c r="E4973" s="103"/>
      <c r="F4973" s="104" t="s">
        <v>1</v>
      </c>
      <c r="G4973" s="328">
        <f>VLOOKUP(H4971,COSTOS!C:M,9,0)</f>
        <v>0</v>
      </c>
      <c r="H4973" s="329"/>
      <c r="I4973" s="279"/>
    </row>
    <row r="4974" spans="1:14">
      <c r="A4974" s="212" t="s">
        <v>4215</v>
      </c>
      <c r="B4974" s="65"/>
      <c r="C4974" s="65"/>
      <c r="D4974" s="66"/>
      <c r="E4974" s="190"/>
      <c r="F4974" s="191"/>
      <c r="G4974" s="192" t="s">
        <v>4216</v>
      </c>
      <c r="H4974" s="198" t="e">
        <f>H4979+H4996+H5000+H5006</f>
        <v>#VALUE!</v>
      </c>
    </row>
    <row r="4975" spans="1:14" ht="41.4">
      <c r="A4975" s="548" t="s">
        <v>4213</v>
      </c>
      <c r="B4975" s="548"/>
      <c r="C4975" s="548"/>
      <c r="D4975" s="67" t="s">
        <v>0</v>
      </c>
      <c r="E4975" s="188" t="s">
        <v>4217</v>
      </c>
      <c r="F4975" s="189" t="s">
        <v>4204</v>
      </c>
      <c r="G4975" s="64" t="s">
        <v>2</v>
      </c>
      <c r="H4975" s="199" t="s">
        <v>4218</v>
      </c>
      <c r="K4975" s="281"/>
    </row>
    <row r="4976" spans="1:14">
      <c r="A4976" s="517" t="s">
        <v>3946</v>
      </c>
      <c r="B4976" s="549">
        <f>VLOOKUP(A4976,'Equip, Herr y Transp'!$B$2:$E$738,2,0)</f>
        <v>2</v>
      </c>
      <c r="C4976" s="549"/>
      <c r="D4976" s="85">
        <f>VLOOKUP(A4976,'Equip, Herr y Transp'!$B$2:$E$217,2,0)</f>
        <v>2</v>
      </c>
      <c r="E4976" s="85" t="str">
        <f>VLOOKUP(A4976,'Equip, Herr y Transp'!$B$2:$E$217,3,0)</f>
        <v>EQU</v>
      </c>
      <c r="F4976" s="86">
        <f>H4966</f>
        <v>0.14580000000000001</v>
      </c>
      <c r="G4976" s="112" t="e">
        <f>F4976*E4976</f>
        <v>#VALUE!</v>
      </c>
      <c r="H4976" s="108"/>
    </row>
    <row r="4977" spans="1:15">
      <c r="A4977" s="517" t="s">
        <v>3894</v>
      </c>
      <c r="B4977" s="549">
        <f>VLOOKUP(A4977,'Equip, Herr y Transp'!$B$2:$E$738,2,0)</f>
        <v>4</v>
      </c>
      <c r="C4977" s="549"/>
      <c r="D4977" s="85">
        <f>VLOOKUP(A4977,'Equip, Herr y Transp'!$B$2:$E$217,2,0)</f>
        <v>4</v>
      </c>
      <c r="E4977" s="85" t="str">
        <f>VLOOKUP(A4977,'Equip, Herr y Transp'!$B$2:$E$217,3,0)</f>
        <v>TR</v>
      </c>
      <c r="F4977" s="86">
        <f>H4966</f>
        <v>0.14580000000000001</v>
      </c>
      <c r="G4977" s="112" t="e">
        <f>F4977*E4977</f>
        <v>#VALUE!</v>
      </c>
      <c r="H4977" s="107"/>
    </row>
    <row r="4978" spans="1:15">
      <c r="A4978" s="517" t="s">
        <v>8</v>
      </c>
      <c r="B4978" s="549" t="e">
        <f>VLOOKUP(A4978,'Equip, Herr y Transp'!$B$2:$E$738,2,0)</f>
        <v>#N/A</v>
      </c>
      <c r="C4978" s="549"/>
      <c r="D4978" s="85" t="e">
        <f>VLOOKUP(A4978,'Equip, Herr y Transp'!$B$2:$E$217,2,0)</f>
        <v>#N/A</v>
      </c>
      <c r="E4978" s="85" t="e">
        <f>VLOOKUP(A4978,'Equip, Herr y Transp'!$B$2:$E$217,3,0)</f>
        <v>#N/A</v>
      </c>
      <c r="F4978" s="86"/>
      <c r="G4978" s="112" t="e">
        <f>F4978*E4978</f>
        <v>#N/A</v>
      </c>
      <c r="H4978" s="107"/>
    </row>
    <row r="4979" spans="1:15">
      <c r="A4979" s="520" t="s">
        <v>4099</v>
      </c>
      <c r="B4979" s="521"/>
      <c r="C4979" s="521"/>
      <c r="D4979" s="521"/>
      <c r="E4979" s="521"/>
      <c r="F4979" s="521"/>
      <c r="G4979" s="521"/>
      <c r="H4979" s="87" t="e">
        <f>SUM(G4976:G4978)</f>
        <v>#VALUE!</v>
      </c>
    </row>
    <row r="4980" spans="1:15">
      <c r="A4980" s="550" t="s">
        <v>4219</v>
      </c>
      <c r="B4980" s="551"/>
      <c r="C4980" s="551"/>
      <c r="D4980" s="551"/>
      <c r="E4980" s="551"/>
      <c r="F4980" s="551"/>
      <c r="G4980" s="551"/>
      <c r="H4980" s="552"/>
      <c r="K4980" s="50"/>
      <c r="L4980" s="50"/>
      <c r="M4980" s="50"/>
      <c r="N4980" s="50"/>
      <c r="O4980" s="50"/>
    </row>
    <row r="4981" spans="1:15" ht="30" customHeight="1">
      <c r="A4981" s="553" t="s">
        <v>7</v>
      </c>
      <c r="B4981" s="554"/>
      <c r="C4981" s="99" t="s">
        <v>0</v>
      </c>
      <c r="D4981" s="100" t="s">
        <v>4097</v>
      </c>
      <c r="E4981" s="101" t="s">
        <v>1</v>
      </c>
      <c r="F4981" s="555" t="s">
        <v>4207</v>
      </c>
      <c r="G4981" s="555"/>
      <c r="H4981" s="196"/>
      <c r="K4981" s="50"/>
      <c r="L4981" s="50"/>
      <c r="M4981" s="50"/>
      <c r="N4981" s="50"/>
      <c r="O4981" s="50"/>
    </row>
    <row r="4982" spans="1:15">
      <c r="A4982" s="535" t="s">
        <v>4551</v>
      </c>
      <c r="B4982" s="536"/>
      <c r="C4982" s="88">
        <f>VLOOKUP(A4982,'Materiales '!$C$2:$G$396,3,0)</f>
        <v>4</v>
      </c>
      <c r="D4982" s="89" t="str">
        <f>VLOOKUP(A4982,'Materiales '!$C$2:$G$396,4,0)</f>
        <v>Und</v>
      </c>
      <c r="E4982" s="90">
        <v>1</v>
      </c>
      <c r="F4982" s="508" t="e">
        <f>E4982*D4982</f>
        <v>#VALUE!</v>
      </c>
      <c r="G4982" s="519"/>
      <c r="H4982" s="111"/>
      <c r="I4982">
        <f>E4982*G4973</f>
        <v>0</v>
      </c>
      <c r="J4982" s="57"/>
      <c r="K4982" s="50"/>
      <c r="L4982" s="50"/>
      <c r="M4982" s="50"/>
      <c r="N4982" s="50"/>
      <c r="O4982" s="50"/>
    </row>
    <row r="4983" spans="1:15">
      <c r="A4983" s="535" t="s">
        <v>4617</v>
      </c>
      <c r="B4983" s="536"/>
      <c r="C4983" s="88">
        <f>VLOOKUP(A4983,'Materiales '!$C$2:$G$396,3,0)</f>
        <v>3</v>
      </c>
      <c r="D4983" s="89" t="str">
        <f>VLOOKUP(A4983,'Materiales '!$C$2:$G$396,4,0)</f>
        <v>Rollo</v>
      </c>
      <c r="E4983" s="90">
        <v>0.5</v>
      </c>
      <c r="F4983" s="508" t="e">
        <f t="shared" ref="F4983:F4989" si="292">E4983*D4983</f>
        <v>#VALUE!</v>
      </c>
      <c r="G4983" s="519"/>
      <c r="H4983" s="111"/>
      <c r="I4983">
        <f>E4983*G4973</f>
        <v>0</v>
      </c>
      <c r="J4983" s="57"/>
      <c r="K4983" s="50"/>
      <c r="L4983" s="50"/>
      <c r="M4983" s="50"/>
      <c r="N4983" s="50"/>
      <c r="O4983" s="50"/>
    </row>
    <row r="4984" spans="1:15">
      <c r="A4984" s="517" t="s">
        <v>8</v>
      </c>
      <c r="B4984" s="518">
        <f>VLOOKUP(A4984,'Materiales '!$C$2:$G$396,3,0)</f>
        <v>0</v>
      </c>
      <c r="C4984" s="88">
        <f>VLOOKUP(A4984,'Materiales '!$C$2:$G$396,3,0)</f>
        <v>0</v>
      </c>
      <c r="D4984" s="89" t="str">
        <f>VLOOKUP(A4984,'Materiales '!$C$2:$G$396,4,0)</f>
        <v>-</v>
      </c>
      <c r="E4984" s="90">
        <v>1</v>
      </c>
      <c r="F4984" s="508" t="e">
        <f t="shared" si="292"/>
        <v>#VALUE!</v>
      </c>
      <c r="G4984" s="519"/>
      <c r="H4984" s="111"/>
      <c r="I4984">
        <f>E4984*G4973</f>
        <v>0</v>
      </c>
      <c r="J4984" s="58"/>
      <c r="K4984" s="50"/>
      <c r="L4984" s="50"/>
      <c r="M4984" s="50"/>
      <c r="N4984" s="50"/>
      <c r="O4984" s="50"/>
    </row>
    <row r="4985" spans="1:15">
      <c r="A4985" s="517" t="s">
        <v>8</v>
      </c>
      <c r="B4985" s="518">
        <f>VLOOKUP(A4985,'Materiales '!$C$2:$G$396,3,0)</f>
        <v>0</v>
      </c>
      <c r="C4985" s="88">
        <f>VLOOKUP(A4985,'Materiales '!$C$2:$G$396,3,0)</f>
        <v>0</v>
      </c>
      <c r="D4985" s="89" t="str">
        <f>VLOOKUP(A4985,'Materiales '!$C$2:$G$396,4,0)</f>
        <v>-</v>
      </c>
      <c r="E4985" s="90">
        <v>3</v>
      </c>
      <c r="F4985" s="508" t="e">
        <f t="shared" si="292"/>
        <v>#VALUE!</v>
      </c>
      <c r="G4985" s="519"/>
      <c r="H4985" s="111"/>
      <c r="I4985">
        <f>E4985*G4973</f>
        <v>0</v>
      </c>
      <c r="J4985" s="58"/>
      <c r="K4985" s="50"/>
      <c r="L4985" s="50"/>
      <c r="M4985" s="50"/>
      <c r="N4985" s="50"/>
      <c r="O4985" s="50"/>
    </row>
    <row r="4986" spans="1:15">
      <c r="A4986" s="517" t="s">
        <v>8</v>
      </c>
      <c r="B4986" s="518">
        <f>VLOOKUP(A4986,'Materiales '!$C$2:$G$396,3,0)</f>
        <v>0</v>
      </c>
      <c r="C4986" s="88">
        <f>VLOOKUP(A4986,'Materiales '!$C$2:$G$396,3,0)</f>
        <v>0</v>
      </c>
      <c r="D4986" s="89" t="str">
        <f>VLOOKUP(A4986,'Materiales '!$C$2:$G$396,4,0)</f>
        <v>-</v>
      </c>
      <c r="E4986" s="90">
        <v>2</v>
      </c>
      <c r="F4986" s="508" t="e">
        <f t="shared" si="292"/>
        <v>#VALUE!</v>
      </c>
      <c r="G4986" s="519"/>
      <c r="H4986" s="111"/>
      <c r="I4986">
        <f>E4986*G4973</f>
        <v>0</v>
      </c>
      <c r="J4986" s="58"/>
      <c r="K4986" s="50"/>
      <c r="L4986" s="50"/>
      <c r="M4986" s="50"/>
      <c r="N4986" s="50"/>
      <c r="O4986" s="50"/>
    </row>
    <row r="4987" spans="1:15">
      <c r="A4987" s="517" t="s">
        <v>8</v>
      </c>
      <c r="B4987" s="518">
        <f>VLOOKUP(A4987,'Materiales '!$C$2:$G$396,3,0)</f>
        <v>0</v>
      </c>
      <c r="C4987" s="88">
        <f>VLOOKUP(A4987,'Materiales '!$C$2:$G$396,3,0)</f>
        <v>0</v>
      </c>
      <c r="D4987" s="89" t="str">
        <f>VLOOKUP(A4987,'Materiales '!$C$2:$G$396,4,0)</f>
        <v>-</v>
      </c>
      <c r="E4987" s="90">
        <v>8</v>
      </c>
      <c r="F4987" s="508" t="e">
        <f t="shared" si="292"/>
        <v>#VALUE!</v>
      </c>
      <c r="G4987" s="519"/>
      <c r="H4987" s="111"/>
      <c r="I4987">
        <f>E4987*G4973</f>
        <v>0</v>
      </c>
      <c r="J4987" s="58"/>
      <c r="K4987" s="50"/>
      <c r="L4987" s="50"/>
      <c r="M4987" s="50"/>
      <c r="N4987" s="50"/>
      <c r="O4987" s="50"/>
    </row>
    <row r="4988" spans="1:15">
      <c r="A4988" s="517" t="s">
        <v>8</v>
      </c>
      <c r="B4988" s="518">
        <f>VLOOKUP(A4988,'Materiales '!$C$2:$G$396,3,0)</f>
        <v>0</v>
      </c>
      <c r="C4988" s="88">
        <f>VLOOKUP(A4988,'Materiales '!$C$2:$G$396,3,0)</f>
        <v>0</v>
      </c>
      <c r="D4988" s="89" t="str">
        <f>VLOOKUP(A4988,'Materiales '!$C$2:$G$396,4,0)</f>
        <v>-</v>
      </c>
      <c r="E4988" s="90">
        <v>3</v>
      </c>
      <c r="F4988" s="508" t="e">
        <f t="shared" si="292"/>
        <v>#VALUE!</v>
      </c>
      <c r="G4988" s="519"/>
      <c r="H4988" s="111"/>
      <c r="I4988">
        <f>E4988*G4973</f>
        <v>0</v>
      </c>
      <c r="J4988" s="58"/>
      <c r="K4988" s="50"/>
      <c r="L4988" s="50"/>
      <c r="M4988" s="50"/>
      <c r="N4988" s="50"/>
      <c r="O4988" s="50"/>
    </row>
    <row r="4989" spans="1:15" ht="21.75" customHeight="1">
      <c r="A4989" s="517" t="s">
        <v>8</v>
      </c>
      <c r="B4989" s="518">
        <f>VLOOKUP(A4989,'Materiales '!$C$2:$G$396,3,0)</f>
        <v>0</v>
      </c>
      <c r="C4989" s="88">
        <f>VLOOKUP(A4989,'Materiales '!$C$2:$G$396,3,0)</f>
        <v>0</v>
      </c>
      <c r="D4989" s="89" t="str">
        <f>VLOOKUP(A4989,'Materiales '!$C$2:$G$396,4,0)</f>
        <v>-</v>
      </c>
      <c r="E4989" s="90">
        <v>0.5</v>
      </c>
      <c r="F4989" s="508" t="e">
        <f t="shared" si="292"/>
        <v>#VALUE!</v>
      </c>
      <c r="G4989" s="519"/>
      <c r="H4989" s="111"/>
      <c r="I4989">
        <f>E4989*G4973</f>
        <v>0</v>
      </c>
      <c r="J4989" s="58"/>
      <c r="K4989" s="50"/>
      <c r="L4989" s="50"/>
      <c r="M4989" s="50"/>
      <c r="N4989" s="50"/>
      <c r="O4989" s="50"/>
    </row>
    <row r="4990" spans="1:15">
      <c r="A4990" s="517" t="s">
        <v>8</v>
      </c>
      <c r="B4990" s="518">
        <f>VLOOKUP(A4990,'Materiales '!$C$2:$G$396,3,0)</f>
        <v>0</v>
      </c>
      <c r="C4990" s="88">
        <f>VLOOKUP(A4990,'Materiales '!$C$2:$G$396,3,0)</f>
        <v>0</v>
      </c>
      <c r="D4990" s="89" t="str">
        <f>VLOOKUP(A4990,'Materiales '!$C$2:$G$396,4,0)</f>
        <v>-</v>
      </c>
      <c r="E4990" s="90"/>
      <c r="F4990" s="508" t="e">
        <f>E4990*D4990</f>
        <v>#VALUE!</v>
      </c>
      <c r="G4990" s="519"/>
      <c r="H4990" s="110"/>
      <c r="I4990">
        <f>E4990*G4973</f>
        <v>0</v>
      </c>
      <c r="J4990" s="58"/>
      <c r="K4990" s="50"/>
      <c r="L4990" s="50"/>
      <c r="M4990" s="50"/>
      <c r="N4990" s="50"/>
      <c r="O4990" s="50"/>
    </row>
    <row r="4991" spans="1:15">
      <c r="A4991" s="517" t="s">
        <v>8</v>
      </c>
      <c r="B4991" s="518">
        <f>VLOOKUP(A4991,'Materiales '!$C$2:$G$396,3,0)</f>
        <v>0</v>
      </c>
      <c r="C4991" s="88">
        <f>VLOOKUP(A4991,'Materiales '!$C$2:$G$396,3,0)</f>
        <v>0</v>
      </c>
      <c r="D4991" s="89" t="str">
        <f>VLOOKUP(A4991,'Materiales '!$C$2:$G$396,4,0)</f>
        <v>-</v>
      </c>
      <c r="E4991" s="90"/>
      <c r="F4991" s="508" t="e">
        <f t="shared" ref="F4991:F4994" si="293">E4991*D4991</f>
        <v>#VALUE!</v>
      </c>
      <c r="G4991" s="519"/>
      <c r="H4991" s="111"/>
      <c r="I4991">
        <f>E4991*G4973</f>
        <v>0</v>
      </c>
      <c r="J4991" s="58"/>
      <c r="K4991" s="50"/>
      <c r="L4991" s="50"/>
      <c r="M4991" s="50"/>
      <c r="N4991" s="50"/>
      <c r="O4991" s="50"/>
    </row>
    <row r="4992" spans="1:15">
      <c r="A4992" s="517" t="s">
        <v>8</v>
      </c>
      <c r="B4992" s="518">
        <f>VLOOKUP(A4992,'Materiales '!$C$2:$G$396,3,0)</f>
        <v>0</v>
      </c>
      <c r="C4992" s="88">
        <f>VLOOKUP(A4992,'Materiales '!$C$2:$G$396,3,0)</f>
        <v>0</v>
      </c>
      <c r="D4992" s="89" t="str">
        <f>VLOOKUP(A4992,'Materiales '!$C$2:$G$396,4,0)</f>
        <v>-</v>
      </c>
      <c r="E4992" s="90"/>
      <c r="F4992" s="508" t="e">
        <f t="shared" si="293"/>
        <v>#VALUE!</v>
      </c>
      <c r="G4992" s="519"/>
      <c r="H4992" s="111"/>
      <c r="I4992">
        <f>E4992*G4973</f>
        <v>0</v>
      </c>
      <c r="J4992" s="58"/>
      <c r="K4992" s="50"/>
      <c r="L4992" s="50"/>
      <c r="M4992" s="50"/>
      <c r="N4992" s="50"/>
      <c r="O4992" s="50"/>
    </row>
    <row r="4993" spans="1:15">
      <c r="A4993" s="517" t="s">
        <v>8</v>
      </c>
      <c r="B4993" s="518">
        <f>VLOOKUP(A4993,'Materiales '!$C$2:$G$396,3,0)</f>
        <v>0</v>
      </c>
      <c r="C4993" s="88">
        <f>VLOOKUP(A4993,'Materiales '!$C$2:$G$396,3,0)</f>
        <v>0</v>
      </c>
      <c r="D4993" s="89" t="str">
        <f>VLOOKUP(A4993,'Materiales '!$C$2:$G$396,4,0)</f>
        <v>-</v>
      </c>
      <c r="E4993" s="90"/>
      <c r="F4993" s="508" t="e">
        <f t="shared" si="293"/>
        <v>#VALUE!</v>
      </c>
      <c r="G4993" s="519"/>
      <c r="H4993" s="111"/>
      <c r="I4993">
        <f>E4993*G4973</f>
        <v>0</v>
      </c>
      <c r="J4993" s="58"/>
      <c r="K4993" s="50"/>
      <c r="L4993" s="50"/>
      <c r="M4993" s="50"/>
      <c r="N4993" s="50"/>
      <c r="O4993" s="50"/>
    </row>
    <row r="4994" spans="1:15">
      <c r="A4994" s="517" t="s">
        <v>8</v>
      </c>
      <c r="B4994" s="518">
        <f>VLOOKUP(A4994,'Materiales '!$C$2:$G$396,3,0)</f>
        <v>0</v>
      </c>
      <c r="C4994" s="88">
        <f>VLOOKUP(A4994,'Materiales '!$C$2:$G$396,3,0)</f>
        <v>0</v>
      </c>
      <c r="D4994" s="89" t="str">
        <f>VLOOKUP(A4994,'Materiales '!$C$2:$G$396,4,0)</f>
        <v>-</v>
      </c>
      <c r="E4994" s="90"/>
      <c r="F4994" s="508" t="e">
        <f t="shared" si="293"/>
        <v>#VALUE!</v>
      </c>
      <c r="G4994" s="519"/>
      <c r="H4994" s="111"/>
      <c r="I4994">
        <f>E4994*G4973</f>
        <v>0</v>
      </c>
      <c r="J4994" s="58"/>
      <c r="K4994" s="50"/>
      <c r="L4994" s="50"/>
      <c r="M4994" s="50"/>
      <c r="N4994" s="50"/>
      <c r="O4994" s="50"/>
    </row>
    <row r="4995" spans="1:15">
      <c r="A4995" s="517" t="s">
        <v>8</v>
      </c>
      <c r="B4995" s="518">
        <f>VLOOKUP(A4995,'Materiales '!$C$2:$G$396,3,0)</f>
        <v>0</v>
      </c>
      <c r="C4995" s="88">
        <f>VLOOKUP(A4995,'Materiales '!$C$2:$G$396,3,0)</f>
        <v>0</v>
      </c>
      <c r="D4995" s="89" t="str">
        <f>VLOOKUP(A4995,'Materiales '!$C$2:$G$396,4,0)</f>
        <v>-</v>
      </c>
      <c r="E4995" s="90"/>
      <c r="F4995" s="508" t="e">
        <f>E4995*D4995</f>
        <v>#VALUE!</v>
      </c>
      <c r="G4995" s="519"/>
      <c r="H4995" s="110"/>
      <c r="I4995">
        <f>E4995*G4973</f>
        <v>0</v>
      </c>
      <c r="J4995" s="58"/>
      <c r="K4995" s="50"/>
      <c r="L4995" s="50"/>
      <c r="M4995" s="50"/>
      <c r="N4995" s="50"/>
      <c r="O4995" s="50"/>
    </row>
    <row r="4996" spans="1:15">
      <c r="A4996" s="520" t="s">
        <v>4098</v>
      </c>
      <c r="B4996" s="521"/>
      <c r="C4996" s="521"/>
      <c r="D4996" s="521"/>
      <c r="E4996" s="521"/>
      <c r="F4996" s="521"/>
      <c r="G4996" s="522"/>
      <c r="H4996" s="106" t="e">
        <f>SUM(F4982:F4995)</f>
        <v>#VALUE!</v>
      </c>
      <c r="J4996" s="58"/>
      <c r="K4996" s="50"/>
      <c r="L4996" s="50"/>
      <c r="M4996" s="50"/>
      <c r="N4996" s="50"/>
      <c r="O4996" s="50"/>
    </row>
    <row r="4997" spans="1:15">
      <c r="A4997" s="523" t="s">
        <v>4220</v>
      </c>
      <c r="B4997" s="524"/>
      <c r="C4997" s="524"/>
      <c r="D4997" s="524"/>
      <c r="E4997" s="525"/>
      <c r="F4997" s="524"/>
      <c r="G4997" s="524"/>
      <c r="H4997" s="526"/>
      <c r="J4997" s="58"/>
      <c r="K4997" s="50"/>
      <c r="L4997" s="50"/>
      <c r="M4997" s="50"/>
      <c r="N4997" s="50"/>
      <c r="O4997" s="50"/>
    </row>
    <row r="4998" spans="1:15">
      <c r="A4998" s="527" t="s">
        <v>7</v>
      </c>
      <c r="B4998" s="528"/>
      <c r="C4998" s="98" t="s">
        <v>4221</v>
      </c>
      <c r="D4998" s="97" t="s">
        <v>4222</v>
      </c>
      <c r="E4998" s="187" t="s">
        <v>4223</v>
      </c>
      <c r="F4998" s="529" t="s">
        <v>4207</v>
      </c>
      <c r="G4998" s="529"/>
      <c r="H4998" s="109"/>
      <c r="K4998" s="50"/>
      <c r="L4998" s="50"/>
      <c r="M4998" s="50"/>
      <c r="N4998" s="50"/>
      <c r="O4998" s="50"/>
    </row>
    <row r="4999" spans="1:15">
      <c r="A4999" s="506" t="s">
        <v>3928</v>
      </c>
      <c r="B4999" s="507"/>
      <c r="C4999" s="213">
        <v>1</v>
      </c>
      <c r="D4999" s="92">
        <v>0.03</v>
      </c>
      <c r="E4999" s="93" t="str">
        <f>VLOOKUP(A4999,'Equip, Herr y Transp'!$B$2:$E$217,3,0)</f>
        <v>TR</v>
      </c>
      <c r="F4999" s="530" t="e">
        <f>E4999*D4999*C4999</f>
        <v>#VALUE!</v>
      </c>
      <c r="G4999" s="531"/>
      <c r="H4999" s="107"/>
      <c r="M4999" s="50"/>
    </row>
    <row r="5000" spans="1:15">
      <c r="A5000" s="532" t="s">
        <v>4205</v>
      </c>
      <c r="B5000" s="533"/>
      <c r="C5000" s="533"/>
      <c r="D5000" s="533"/>
      <c r="E5000" s="533"/>
      <c r="F5000" s="533"/>
      <c r="G5000" s="533"/>
      <c r="H5000" s="95" t="e">
        <f>F4999</f>
        <v>#VALUE!</v>
      </c>
    </row>
    <row r="5001" spans="1:15">
      <c r="A5001" s="523" t="s">
        <v>4224</v>
      </c>
      <c r="B5001" s="524"/>
      <c r="C5001" s="524"/>
      <c r="D5001" s="524"/>
      <c r="E5001" s="524"/>
      <c r="F5001" s="524"/>
      <c r="G5001" s="524"/>
      <c r="H5001" s="526"/>
    </row>
    <row r="5002" spans="1:15">
      <c r="A5002" s="527" t="s">
        <v>7</v>
      </c>
      <c r="B5002" s="528"/>
      <c r="C5002" s="96" t="s">
        <v>1</v>
      </c>
      <c r="D5002" s="97" t="s">
        <v>4225</v>
      </c>
      <c r="E5002" s="98" t="s">
        <v>4204</v>
      </c>
      <c r="F5002" s="527" t="s">
        <v>5</v>
      </c>
      <c r="G5002" s="534"/>
      <c r="H5002" s="109"/>
    </row>
    <row r="5003" spans="1:15">
      <c r="A5003" s="506" t="s">
        <v>4191</v>
      </c>
      <c r="B5003" s="507"/>
      <c r="C5003" s="91">
        <v>1</v>
      </c>
      <c r="D5003" s="94">
        <f>VLOOKUP(A5003,'Mano Obra'!$B$2:$T$117,19,0)</f>
        <v>152456</v>
      </c>
      <c r="E5003" s="218">
        <f>H4966</f>
        <v>0.14580000000000001</v>
      </c>
      <c r="F5003" s="508">
        <f>E5003*D5003*C5003</f>
        <v>22228.084800000001</v>
      </c>
      <c r="G5003" s="509"/>
      <c r="H5003" s="111"/>
      <c r="I5003" s="59"/>
      <c r="J5003" s="117">
        <f>((('Mano Obra'!$M$4/30)*F5003)/D5003)*G4973</f>
        <v>0</v>
      </c>
    </row>
    <row r="5004" spans="1:15">
      <c r="A5004" s="510" t="s">
        <v>4192</v>
      </c>
      <c r="B5004" s="511">
        <f>VLOOKUP(A5004,'Mano Obra'!$B$3:$D$290,2,0)</f>
        <v>1900000</v>
      </c>
      <c r="C5004" s="91">
        <v>1</v>
      </c>
      <c r="D5004" s="94">
        <f>VLOOKUP(A5004,'Mano Obra'!$B$2:$T$117,19,0)</f>
        <v>110488</v>
      </c>
      <c r="E5004" s="218">
        <f>H4966</f>
        <v>0.14580000000000001</v>
      </c>
      <c r="F5004" s="508">
        <f t="shared" ref="F5004:F5005" si="294">E5004*D5004*C5004</f>
        <v>16109.150400000002</v>
      </c>
      <c r="G5004" s="509"/>
      <c r="H5004" s="111"/>
      <c r="J5004" s="117">
        <f>((('Mano Obra'!$M$5/30)*F5004)/D5004)*G4973</f>
        <v>0</v>
      </c>
    </row>
    <row r="5005" spans="1:15">
      <c r="A5005" s="510" t="s">
        <v>4181</v>
      </c>
      <c r="B5005" s="511">
        <f>VLOOKUP(A5005,'Mano Obra'!$B$3:$D$290,2,0)</f>
        <v>1000000</v>
      </c>
      <c r="C5005" s="91">
        <v>1</v>
      </c>
      <c r="D5005" s="94">
        <f>VLOOKUP(A5005,'Mano Obra'!$B$2:$T$117,19,0)</f>
        <v>67424</v>
      </c>
      <c r="E5005" s="218">
        <f>H4966</f>
        <v>0.14580000000000001</v>
      </c>
      <c r="F5005" s="508">
        <f t="shared" si="294"/>
        <v>9830.4192000000003</v>
      </c>
      <c r="G5005" s="509"/>
      <c r="H5005" s="110"/>
      <c r="J5005" s="117">
        <f>((('Mano Obra'!$M$6/30)*F5005)/D5005)*G4973</f>
        <v>0</v>
      </c>
    </row>
    <row r="5006" spans="1:15">
      <c r="A5006" s="512" t="s">
        <v>4100</v>
      </c>
      <c r="B5006" s="512"/>
      <c r="C5006" s="512"/>
      <c r="D5006" s="512"/>
      <c r="E5006" s="512"/>
      <c r="F5006" s="512"/>
      <c r="G5006" s="512"/>
      <c r="H5006" s="95">
        <f>SUM(F5003:F5005)</f>
        <v>48167.654399999999</v>
      </c>
      <c r="J5006" s="117"/>
    </row>
    <row r="5007" spans="1:15">
      <c r="A5007" s="208" t="s">
        <v>4226</v>
      </c>
      <c r="B5007" s="186"/>
      <c r="C5007" s="186"/>
      <c r="D5007" s="183"/>
      <c r="E5007" s="184"/>
      <c r="F5007" s="185"/>
      <c r="G5007" s="184"/>
      <c r="H5007" s="193"/>
    </row>
    <row r="5008" spans="1:15">
      <c r="A5008" s="513" t="s">
        <v>4213</v>
      </c>
      <c r="B5008" s="514"/>
      <c r="C5008" s="514"/>
      <c r="D5008" s="514"/>
      <c r="E5008" s="181"/>
      <c r="F5008" s="182" t="s">
        <v>4227</v>
      </c>
      <c r="G5008" s="181" t="s">
        <v>4228</v>
      </c>
      <c r="H5008" s="194"/>
    </row>
    <row r="5009" spans="1:14">
      <c r="A5009" s="204" t="s">
        <v>4096</v>
      </c>
      <c r="B5009" s="62"/>
      <c r="C5009" s="62"/>
      <c r="D5009" s="63"/>
      <c r="E5009" s="68"/>
      <c r="F5009" s="69">
        <v>0</v>
      </c>
      <c r="G5009" s="70" t="e">
        <f>F5009*H4974</f>
        <v>#VALUE!</v>
      </c>
      <c r="H5009" s="193"/>
    </row>
    <row r="5010" spans="1:14">
      <c r="A5010" s="205" t="s">
        <v>4229</v>
      </c>
      <c r="B5010" s="71"/>
      <c r="C5010" s="71"/>
      <c r="D5010" s="72"/>
      <c r="E5010" s="68"/>
      <c r="F5010" s="69">
        <v>0</v>
      </c>
      <c r="G5010" s="70" t="e">
        <f>F5010*H4974</f>
        <v>#VALUE!</v>
      </c>
      <c r="H5010" s="193"/>
    </row>
    <row r="5011" spans="1:14">
      <c r="A5011" s="205" t="s">
        <v>4</v>
      </c>
      <c r="B5011" s="71"/>
      <c r="C5011" s="71"/>
      <c r="D5011" s="72"/>
      <c r="E5011" s="68"/>
      <c r="F5011" s="69">
        <v>0</v>
      </c>
      <c r="G5011" s="70" t="e">
        <f>F5011*H4974</f>
        <v>#VALUE!</v>
      </c>
      <c r="H5011" s="193"/>
    </row>
    <row r="5012" spans="1:14">
      <c r="A5012" s="206"/>
      <c r="B5012" s="73"/>
      <c r="C5012" s="65"/>
      <c r="D5012" s="74"/>
      <c r="E5012" s="75"/>
      <c r="F5012" s="76"/>
      <c r="G5012" s="77"/>
      <c r="H5012" s="195"/>
    </row>
    <row r="5013" spans="1:14">
      <c r="A5013" s="207"/>
      <c r="B5013" s="73"/>
      <c r="C5013" s="73"/>
      <c r="D5013" s="74"/>
      <c r="E5013" s="78"/>
      <c r="F5013" s="515" t="s">
        <v>4230</v>
      </c>
      <c r="G5013" s="516"/>
      <c r="H5013" s="214" t="e">
        <f>H4974+G5009+G5010+G5011</f>
        <v>#VALUE!</v>
      </c>
    </row>
    <row r="5014" spans="1:14">
      <c r="A5014" s="73"/>
      <c r="B5014" s="73"/>
      <c r="C5014" s="73"/>
      <c r="D5014" s="74"/>
      <c r="E5014" s="360"/>
      <c r="F5014" s="361"/>
      <c r="G5014" s="361"/>
      <c r="H5014" s="362"/>
    </row>
    <row r="5015" spans="1:14">
      <c r="A5015" s="80"/>
      <c r="B5015" s="80"/>
      <c r="C5015" s="80"/>
      <c r="D5015" s="80"/>
      <c r="E5015" s="80"/>
      <c r="F5015" s="80"/>
      <c r="G5015" s="80"/>
      <c r="H5015" s="353"/>
    </row>
    <row r="5016" spans="1:14">
      <c r="A5016" s="537" t="s">
        <v>4214</v>
      </c>
      <c r="B5016" s="538"/>
      <c r="C5016" s="538"/>
      <c r="D5016" s="538"/>
      <c r="E5016" s="538"/>
      <c r="F5016" s="538"/>
      <c r="G5016" s="538"/>
      <c r="H5016" s="539"/>
    </row>
    <row r="5017" spans="1:14">
      <c r="A5017" s="81"/>
      <c r="B5017" s="82"/>
      <c r="C5017" s="82"/>
      <c r="D5017" s="82"/>
      <c r="E5017" s="82"/>
      <c r="F5017" s="83"/>
      <c r="G5017" s="84"/>
      <c r="H5017" s="352">
        <f>ROUND((70/60)/8,4)</f>
        <v>0.14580000000000001</v>
      </c>
      <c r="I5017" s="105"/>
    </row>
    <row r="5018" spans="1:14">
      <c r="A5018" s="540" t="s">
        <v>4209</v>
      </c>
      <c r="B5018" s="542" t="str">
        <f>COSTOS!$C$14</f>
        <v>MODERNIZACION A TECNOLOGIA LED</v>
      </c>
      <c r="C5018" s="542"/>
      <c r="D5018" s="542"/>
      <c r="E5018" s="542"/>
      <c r="F5018" s="542"/>
      <c r="G5018" s="542"/>
      <c r="H5018" s="543" t="s">
        <v>4210</v>
      </c>
    </row>
    <row r="5019" spans="1:14">
      <c r="A5019" s="541"/>
      <c r="B5019" s="542"/>
      <c r="C5019" s="542"/>
      <c r="D5019" s="542"/>
      <c r="E5019" s="542"/>
      <c r="F5019" s="542"/>
      <c r="G5019" s="542"/>
      <c r="H5019" s="543"/>
    </row>
    <row r="5020" spans="1:14">
      <c r="A5020" s="541"/>
      <c r="B5020" s="542"/>
      <c r="C5020" s="542"/>
      <c r="D5020" s="542"/>
      <c r="E5020" s="542"/>
      <c r="F5020" s="542"/>
      <c r="G5020" s="542"/>
      <c r="H5020" s="543"/>
    </row>
    <row r="5021" spans="1:14" ht="15" customHeight="1">
      <c r="A5021" s="541"/>
      <c r="B5021" s="542"/>
      <c r="C5021" s="542"/>
      <c r="D5021" s="542"/>
      <c r="E5021" s="542"/>
      <c r="F5021" s="542"/>
      <c r="G5021" s="542"/>
      <c r="H5021" s="197">
        <f ca="1">TODAY()</f>
        <v>44889</v>
      </c>
      <c r="K5021" t="s">
        <v>4380</v>
      </c>
      <c r="L5021" t="s">
        <v>4381</v>
      </c>
      <c r="M5021" t="s">
        <v>4382</v>
      </c>
      <c r="N5021" t="s">
        <v>4383</v>
      </c>
    </row>
    <row r="5022" spans="1:14" ht="60.75" customHeight="1">
      <c r="A5022" s="209" t="s">
        <v>4211</v>
      </c>
      <c r="B5022" s="544" t="str">
        <f>COSTOS!$D$16</f>
        <v>Luminarias</v>
      </c>
      <c r="C5022" s="544"/>
      <c r="D5022" s="544"/>
      <c r="E5022" s="544"/>
      <c r="F5022" s="544"/>
      <c r="G5022" s="60" t="s">
        <v>4212</v>
      </c>
      <c r="H5022" s="363">
        <v>2.17</v>
      </c>
      <c r="K5022" s="55" t="e">
        <f>H5047</f>
        <v>#VALUE!</v>
      </c>
      <c r="L5022" s="55">
        <f>H5057</f>
        <v>48167.654399999999</v>
      </c>
      <c r="M5022" s="55" t="e">
        <f>H5030</f>
        <v>#VALUE!</v>
      </c>
      <c r="N5022" s="55" t="e">
        <f>H5051</f>
        <v>#VALUE!</v>
      </c>
    </row>
    <row r="5023" spans="1:14" ht="43.2" customHeight="1">
      <c r="A5023" s="210" t="s">
        <v>4213</v>
      </c>
      <c r="B5023" s="545" t="str">
        <f>VLOOKUP(H5022,COSTOS!C:M,2,0)</f>
        <v xml:space="preserve">Poste de Fibra de 12 m x 750KgF </v>
      </c>
      <c r="C5023" s="546"/>
      <c r="D5023" s="546"/>
      <c r="E5023" s="547"/>
      <c r="F5023" s="61" t="s">
        <v>0</v>
      </c>
      <c r="G5023" s="328" t="str">
        <f>VLOOKUP(H5022,COSTOS!C:M,8,0)</f>
        <v>Und</v>
      </c>
      <c r="H5023" s="248"/>
      <c r="I5023" s="278"/>
      <c r="J5023" s="280"/>
      <c r="K5023" s="280"/>
      <c r="L5023" s="280"/>
    </row>
    <row r="5024" spans="1:14">
      <c r="A5024" s="211"/>
      <c r="B5024" s="102"/>
      <c r="C5024" s="102"/>
      <c r="D5024" s="102"/>
      <c r="E5024" s="103"/>
      <c r="F5024" s="104" t="s">
        <v>1</v>
      </c>
      <c r="G5024" s="328">
        <f>VLOOKUP(H5022,COSTOS!C:M,9,0)</f>
        <v>0</v>
      </c>
      <c r="H5024" s="329"/>
      <c r="I5024" s="279"/>
    </row>
    <row r="5025" spans="1:15">
      <c r="A5025" s="212" t="s">
        <v>4215</v>
      </c>
      <c r="B5025" s="65"/>
      <c r="C5025" s="65"/>
      <c r="D5025" s="66"/>
      <c r="E5025" s="190"/>
      <c r="F5025" s="191"/>
      <c r="G5025" s="192" t="s">
        <v>4216</v>
      </c>
      <c r="H5025" s="198" t="e">
        <f>H5030+H5047+H5051+H5057</f>
        <v>#VALUE!</v>
      </c>
    </row>
    <row r="5026" spans="1:15" ht="41.4">
      <c r="A5026" s="548" t="s">
        <v>4213</v>
      </c>
      <c r="B5026" s="548"/>
      <c r="C5026" s="548"/>
      <c r="D5026" s="67" t="s">
        <v>0</v>
      </c>
      <c r="E5026" s="188" t="s">
        <v>4217</v>
      </c>
      <c r="F5026" s="189" t="s">
        <v>4204</v>
      </c>
      <c r="G5026" s="64" t="s">
        <v>2</v>
      </c>
      <c r="H5026" s="199" t="s">
        <v>4218</v>
      </c>
      <c r="K5026" s="281"/>
    </row>
    <row r="5027" spans="1:15">
      <c r="A5027" s="517" t="s">
        <v>3946</v>
      </c>
      <c r="B5027" s="549">
        <f>VLOOKUP(A5027,'Equip, Herr y Transp'!$B$2:$E$738,2,0)</f>
        <v>2</v>
      </c>
      <c r="C5027" s="549"/>
      <c r="D5027" s="85">
        <f>VLOOKUP(A5027,'Equip, Herr y Transp'!$B$2:$E$217,2,0)</f>
        <v>2</v>
      </c>
      <c r="E5027" s="85" t="str">
        <f>VLOOKUP(A5027,'Equip, Herr y Transp'!$B$2:$E$217,3,0)</f>
        <v>EQU</v>
      </c>
      <c r="F5027" s="86">
        <f>H5017</f>
        <v>0.14580000000000001</v>
      </c>
      <c r="G5027" s="112" t="e">
        <f>F5027*E5027</f>
        <v>#VALUE!</v>
      </c>
      <c r="H5027" s="108"/>
    </row>
    <row r="5028" spans="1:15">
      <c r="A5028" s="517" t="s">
        <v>3894</v>
      </c>
      <c r="B5028" s="549">
        <f>VLOOKUP(A5028,'Equip, Herr y Transp'!$B$2:$E$738,2,0)</f>
        <v>4</v>
      </c>
      <c r="C5028" s="549"/>
      <c r="D5028" s="85">
        <f>VLOOKUP(A5028,'Equip, Herr y Transp'!$B$2:$E$217,2,0)</f>
        <v>4</v>
      </c>
      <c r="E5028" s="85" t="str">
        <f>VLOOKUP(A5028,'Equip, Herr y Transp'!$B$2:$E$217,3,0)</f>
        <v>TR</v>
      </c>
      <c r="F5028" s="86">
        <f>H5017</f>
        <v>0.14580000000000001</v>
      </c>
      <c r="G5028" s="112" t="e">
        <f>F5028*E5028</f>
        <v>#VALUE!</v>
      </c>
      <c r="H5028" s="107"/>
    </row>
    <row r="5029" spans="1:15">
      <c r="A5029" s="517" t="s">
        <v>8</v>
      </c>
      <c r="B5029" s="549" t="e">
        <f>VLOOKUP(A5029,'Equip, Herr y Transp'!$B$2:$E$738,2,0)</f>
        <v>#N/A</v>
      </c>
      <c r="C5029" s="549"/>
      <c r="D5029" s="85" t="e">
        <f>VLOOKUP(A5029,'Equip, Herr y Transp'!$B$2:$E$217,2,0)</f>
        <v>#N/A</v>
      </c>
      <c r="E5029" s="85" t="e">
        <f>VLOOKUP(A5029,'Equip, Herr y Transp'!$B$2:$E$217,3,0)</f>
        <v>#N/A</v>
      </c>
      <c r="F5029" s="86"/>
      <c r="G5029" s="112" t="e">
        <f>F5029*E5029</f>
        <v>#N/A</v>
      </c>
      <c r="H5029" s="107"/>
    </row>
    <row r="5030" spans="1:15">
      <c r="A5030" s="520" t="s">
        <v>4099</v>
      </c>
      <c r="B5030" s="521"/>
      <c r="C5030" s="521"/>
      <c r="D5030" s="521"/>
      <c r="E5030" s="521"/>
      <c r="F5030" s="521"/>
      <c r="G5030" s="521"/>
      <c r="H5030" s="87" t="e">
        <f>SUM(G5027:G5029)</f>
        <v>#VALUE!</v>
      </c>
    </row>
    <row r="5031" spans="1:15">
      <c r="A5031" s="550" t="s">
        <v>4219</v>
      </c>
      <c r="B5031" s="551"/>
      <c r="C5031" s="551"/>
      <c r="D5031" s="551"/>
      <c r="E5031" s="551"/>
      <c r="F5031" s="551"/>
      <c r="G5031" s="551"/>
      <c r="H5031" s="552"/>
      <c r="K5031" s="50"/>
      <c r="L5031" s="50"/>
      <c r="M5031" s="50"/>
      <c r="N5031" s="50"/>
      <c r="O5031" s="50"/>
    </row>
    <row r="5032" spans="1:15" ht="30" customHeight="1">
      <c r="A5032" s="553" t="s">
        <v>7</v>
      </c>
      <c r="B5032" s="554"/>
      <c r="C5032" s="99" t="s">
        <v>0</v>
      </c>
      <c r="D5032" s="100" t="s">
        <v>4097</v>
      </c>
      <c r="E5032" s="101" t="s">
        <v>1</v>
      </c>
      <c r="F5032" s="555" t="s">
        <v>4207</v>
      </c>
      <c r="G5032" s="555"/>
      <c r="H5032" s="196"/>
      <c r="K5032" s="50"/>
      <c r="L5032" s="50"/>
      <c r="M5032" s="50"/>
      <c r="N5032" s="50"/>
      <c r="O5032" s="50"/>
    </row>
    <row r="5033" spans="1:15">
      <c r="A5033" s="535" t="s">
        <v>4552</v>
      </c>
      <c r="B5033" s="536"/>
      <c r="C5033" s="88">
        <f>VLOOKUP(A5033,'Materiales '!$C$2:$G$396,3,0)</f>
        <v>4</v>
      </c>
      <c r="D5033" s="89" t="str">
        <f>VLOOKUP(A5033,'Materiales '!$C$2:$G$396,4,0)</f>
        <v>Und</v>
      </c>
      <c r="E5033" s="90">
        <v>1</v>
      </c>
      <c r="F5033" s="508" t="e">
        <f>E5033*D5033</f>
        <v>#VALUE!</v>
      </c>
      <c r="G5033" s="519"/>
      <c r="H5033" s="111"/>
      <c r="I5033">
        <f>E5033*G5024</f>
        <v>0</v>
      </c>
      <c r="J5033" s="57"/>
      <c r="K5033" s="50"/>
      <c r="L5033" s="50"/>
      <c r="M5033" s="50"/>
      <c r="N5033" s="50"/>
      <c r="O5033" s="50"/>
    </row>
    <row r="5034" spans="1:15">
      <c r="A5034" s="535" t="s">
        <v>4617</v>
      </c>
      <c r="B5034" s="536"/>
      <c r="C5034" s="88">
        <f>VLOOKUP(A5034,'Materiales '!$C$2:$G$396,3,0)</f>
        <v>3</v>
      </c>
      <c r="D5034" s="89" t="str">
        <f>VLOOKUP(A5034,'Materiales '!$C$2:$G$396,4,0)</f>
        <v>Rollo</v>
      </c>
      <c r="E5034" s="90">
        <v>0.5</v>
      </c>
      <c r="F5034" s="508" t="e">
        <f t="shared" ref="F5034:F5040" si="295">E5034*D5034</f>
        <v>#VALUE!</v>
      </c>
      <c r="G5034" s="519"/>
      <c r="H5034" s="111"/>
      <c r="I5034">
        <f>E5034*G5024</f>
        <v>0</v>
      </c>
      <c r="J5034" s="57"/>
      <c r="K5034" s="50"/>
      <c r="L5034" s="50"/>
      <c r="M5034" s="50"/>
      <c r="N5034" s="50"/>
      <c r="O5034" s="50"/>
    </row>
    <row r="5035" spans="1:15">
      <c r="A5035" s="517" t="s">
        <v>8</v>
      </c>
      <c r="B5035" s="518">
        <f>VLOOKUP(A5035,'Materiales '!$C$2:$G$396,3,0)</f>
        <v>0</v>
      </c>
      <c r="C5035" s="88">
        <f>VLOOKUP(A5035,'Materiales '!$C$2:$G$396,3,0)</f>
        <v>0</v>
      </c>
      <c r="D5035" s="89" t="str">
        <f>VLOOKUP(A5035,'Materiales '!$C$2:$G$396,4,0)</f>
        <v>-</v>
      </c>
      <c r="E5035" s="90">
        <v>1</v>
      </c>
      <c r="F5035" s="508" t="e">
        <f t="shared" si="295"/>
        <v>#VALUE!</v>
      </c>
      <c r="G5035" s="519"/>
      <c r="H5035" s="111"/>
      <c r="I5035">
        <f>E5035*G5024</f>
        <v>0</v>
      </c>
      <c r="J5035" s="58"/>
      <c r="K5035" s="50"/>
      <c r="L5035" s="50"/>
      <c r="M5035" s="50"/>
      <c r="N5035" s="50"/>
      <c r="O5035" s="50"/>
    </row>
    <row r="5036" spans="1:15">
      <c r="A5036" s="517" t="s">
        <v>8</v>
      </c>
      <c r="B5036" s="518">
        <f>VLOOKUP(A5036,'Materiales '!$C$2:$G$396,3,0)</f>
        <v>0</v>
      </c>
      <c r="C5036" s="88">
        <f>VLOOKUP(A5036,'Materiales '!$C$2:$G$396,3,0)</f>
        <v>0</v>
      </c>
      <c r="D5036" s="89" t="str">
        <f>VLOOKUP(A5036,'Materiales '!$C$2:$G$396,4,0)</f>
        <v>-</v>
      </c>
      <c r="E5036" s="90">
        <v>3</v>
      </c>
      <c r="F5036" s="508" t="e">
        <f t="shared" si="295"/>
        <v>#VALUE!</v>
      </c>
      <c r="G5036" s="519"/>
      <c r="H5036" s="111"/>
      <c r="I5036">
        <f>E5036*G5024</f>
        <v>0</v>
      </c>
      <c r="J5036" s="58"/>
      <c r="K5036" s="50"/>
      <c r="L5036" s="50"/>
      <c r="M5036" s="50"/>
      <c r="N5036" s="50"/>
      <c r="O5036" s="50"/>
    </row>
    <row r="5037" spans="1:15">
      <c r="A5037" s="517" t="s">
        <v>8</v>
      </c>
      <c r="B5037" s="518">
        <f>VLOOKUP(A5037,'Materiales '!$C$2:$G$396,3,0)</f>
        <v>0</v>
      </c>
      <c r="C5037" s="88">
        <f>VLOOKUP(A5037,'Materiales '!$C$2:$G$396,3,0)</f>
        <v>0</v>
      </c>
      <c r="D5037" s="89" t="str">
        <f>VLOOKUP(A5037,'Materiales '!$C$2:$G$396,4,0)</f>
        <v>-</v>
      </c>
      <c r="E5037" s="90">
        <v>2</v>
      </c>
      <c r="F5037" s="508" t="e">
        <f t="shared" si="295"/>
        <v>#VALUE!</v>
      </c>
      <c r="G5037" s="519"/>
      <c r="H5037" s="111"/>
      <c r="I5037">
        <f>E5037*G5024</f>
        <v>0</v>
      </c>
      <c r="J5037" s="58"/>
      <c r="K5037" s="50"/>
      <c r="L5037" s="50"/>
      <c r="M5037" s="50"/>
      <c r="N5037" s="50"/>
      <c r="O5037" s="50"/>
    </row>
    <row r="5038" spans="1:15">
      <c r="A5038" s="517" t="s">
        <v>8</v>
      </c>
      <c r="B5038" s="518">
        <f>VLOOKUP(A5038,'Materiales '!$C$2:$G$396,3,0)</f>
        <v>0</v>
      </c>
      <c r="C5038" s="88">
        <f>VLOOKUP(A5038,'Materiales '!$C$2:$G$396,3,0)</f>
        <v>0</v>
      </c>
      <c r="D5038" s="89" t="str">
        <f>VLOOKUP(A5038,'Materiales '!$C$2:$G$396,4,0)</f>
        <v>-</v>
      </c>
      <c r="E5038" s="90">
        <v>8</v>
      </c>
      <c r="F5038" s="508" t="e">
        <f t="shared" si="295"/>
        <v>#VALUE!</v>
      </c>
      <c r="G5038" s="519"/>
      <c r="H5038" s="111"/>
      <c r="I5038">
        <f>E5038*G5024</f>
        <v>0</v>
      </c>
      <c r="J5038" s="58"/>
      <c r="K5038" s="50"/>
      <c r="L5038" s="50"/>
      <c r="M5038" s="50"/>
      <c r="N5038" s="50"/>
      <c r="O5038" s="50"/>
    </row>
    <row r="5039" spans="1:15">
      <c r="A5039" s="517" t="s">
        <v>8</v>
      </c>
      <c r="B5039" s="518">
        <f>VLOOKUP(A5039,'Materiales '!$C$2:$G$396,3,0)</f>
        <v>0</v>
      </c>
      <c r="C5039" s="88">
        <f>VLOOKUP(A5039,'Materiales '!$C$2:$G$396,3,0)</f>
        <v>0</v>
      </c>
      <c r="D5039" s="89" t="str">
        <f>VLOOKUP(A5039,'Materiales '!$C$2:$G$396,4,0)</f>
        <v>-</v>
      </c>
      <c r="E5039" s="90">
        <v>3</v>
      </c>
      <c r="F5039" s="508" t="e">
        <f t="shared" si="295"/>
        <v>#VALUE!</v>
      </c>
      <c r="G5039" s="519"/>
      <c r="H5039" s="111"/>
      <c r="I5039">
        <f>E5039*G5024</f>
        <v>0</v>
      </c>
      <c r="J5039" s="58"/>
      <c r="K5039" s="50"/>
      <c r="L5039" s="50"/>
      <c r="M5039" s="50"/>
      <c r="N5039" s="50"/>
      <c r="O5039" s="50"/>
    </row>
    <row r="5040" spans="1:15" ht="21.75" customHeight="1">
      <c r="A5040" s="517" t="s">
        <v>8</v>
      </c>
      <c r="B5040" s="518">
        <f>VLOOKUP(A5040,'Materiales '!$C$2:$G$396,3,0)</f>
        <v>0</v>
      </c>
      <c r="C5040" s="88">
        <f>VLOOKUP(A5040,'Materiales '!$C$2:$G$396,3,0)</f>
        <v>0</v>
      </c>
      <c r="D5040" s="89" t="str">
        <f>VLOOKUP(A5040,'Materiales '!$C$2:$G$396,4,0)</f>
        <v>-</v>
      </c>
      <c r="E5040" s="90">
        <v>0.5</v>
      </c>
      <c r="F5040" s="508" t="e">
        <f t="shared" si="295"/>
        <v>#VALUE!</v>
      </c>
      <c r="G5040" s="519"/>
      <c r="H5040" s="111"/>
      <c r="I5040">
        <f>E5040*G5024</f>
        <v>0</v>
      </c>
      <c r="J5040" s="58"/>
      <c r="K5040" s="50"/>
      <c r="L5040" s="50"/>
      <c r="M5040" s="50"/>
      <c r="N5040" s="50"/>
      <c r="O5040" s="50"/>
    </row>
    <row r="5041" spans="1:15">
      <c r="A5041" s="517" t="s">
        <v>8</v>
      </c>
      <c r="B5041" s="518">
        <f>VLOOKUP(A5041,'Materiales '!$C$2:$G$396,3,0)</f>
        <v>0</v>
      </c>
      <c r="C5041" s="88">
        <f>VLOOKUP(A5041,'Materiales '!$C$2:$G$396,3,0)</f>
        <v>0</v>
      </c>
      <c r="D5041" s="89" t="str">
        <f>VLOOKUP(A5041,'Materiales '!$C$2:$G$396,4,0)</f>
        <v>-</v>
      </c>
      <c r="E5041" s="90"/>
      <c r="F5041" s="508" t="e">
        <f>E5041*D5041</f>
        <v>#VALUE!</v>
      </c>
      <c r="G5041" s="519"/>
      <c r="H5041" s="110"/>
      <c r="I5041">
        <f>E5041*G5024</f>
        <v>0</v>
      </c>
      <c r="J5041" s="58"/>
      <c r="K5041" s="50"/>
      <c r="L5041" s="50"/>
      <c r="M5041" s="50"/>
      <c r="N5041" s="50"/>
      <c r="O5041" s="50"/>
    </row>
    <row r="5042" spans="1:15">
      <c r="A5042" s="517" t="s">
        <v>8</v>
      </c>
      <c r="B5042" s="518">
        <f>VLOOKUP(A5042,'Materiales '!$C$2:$G$396,3,0)</f>
        <v>0</v>
      </c>
      <c r="C5042" s="88">
        <f>VLOOKUP(A5042,'Materiales '!$C$2:$G$396,3,0)</f>
        <v>0</v>
      </c>
      <c r="D5042" s="89" t="str">
        <f>VLOOKUP(A5042,'Materiales '!$C$2:$G$396,4,0)</f>
        <v>-</v>
      </c>
      <c r="E5042" s="90"/>
      <c r="F5042" s="508" t="e">
        <f t="shared" ref="F5042:F5045" si="296">E5042*D5042</f>
        <v>#VALUE!</v>
      </c>
      <c r="G5042" s="519"/>
      <c r="H5042" s="111"/>
      <c r="I5042">
        <f>E5042*G5024</f>
        <v>0</v>
      </c>
      <c r="J5042" s="58"/>
      <c r="K5042" s="50"/>
      <c r="L5042" s="50"/>
      <c r="M5042" s="50"/>
      <c r="N5042" s="50"/>
      <c r="O5042" s="50"/>
    </row>
    <row r="5043" spans="1:15">
      <c r="A5043" s="517" t="s">
        <v>8</v>
      </c>
      <c r="B5043" s="518">
        <f>VLOOKUP(A5043,'Materiales '!$C$2:$G$396,3,0)</f>
        <v>0</v>
      </c>
      <c r="C5043" s="88">
        <f>VLOOKUP(A5043,'Materiales '!$C$2:$G$396,3,0)</f>
        <v>0</v>
      </c>
      <c r="D5043" s="89" t="str">
        <f>VLOOKUP(A5043,'Materiales '!$C$2:$G$396,4,0)</f>
        <v>-</v>
      </c>
      <c r="E5043" s="90"/>
      <c r="F5043" s="508" t="e">
        <f t="shared" si="296"/>
        <v>#VALUE!</v>
      </c>
      <c r="G5043" s="519"/>
      <c r="H5043" s="111"/>
      <c r="I5043">
        <f>E5043*G5024</f>
        <v>0</v>
      </c>
      <c r="J5043" s="58"/>
      <c r="K5043" s="50"/>
      <c r="L5043" s="50"/>
      <c r="M5043" s="50"/>
      <c r="N5043" s="50"/>
      <c r="O5043" s="50"/>
    </row>
    <row r="5044" spans="1:15">
      <c r="A5044" s="517" t="s">
        <v>8</v>
      </c>
      <c r="B5044" s="518">
        <f>VLOOKUP(A5044,'Materiales '!$C$2:$G$396,3,0)</f>
        <v>0</v>
      </c>
      <c r="C5044" s="88">
        <f>VLOOKUP(A5044,'Materiales '!$C$2:$G$396,3,0)</f>
        <v>0</v>
      </c>
      <c r="D5044" s="89" t="str">
        <f>VLOOKUP(A5044,'Materiales '!$C$2:$G$396,4,0)</f>
        <v>-</v>
      </c>
      <c r="E5044" s="90"/>
      <c r="F5044" s="508" t="e">
        <f t="shared" si="296"/>
        <v>#VALUE!</v>
      </c>
      <c r="G5044" s="519"/>
      <c r="H5044" s="111"/>
      <c r="I5044">
        <f>E5044*G5024</f>
        <v>0</v>
      </c>
      <c r="J5044" s="58"/>
      <c r="K5044" s="50"/>
      <c r="L5044" s="50"/>
      <c r="M5044" s="50"/>
      <c r="N5044" s="50"/>
      <c r="O5044" s="50"/>
    </row>
    <row r="5045" spans="1:15">
      <c r="A5045" s="517" t="s">
        <v>8</v>
      </c>
      <c r="B5045" s="518">
        <f>VLOOKUP(A5045,'Materiales '!$C$2:$G$396,3,0)</f>
        <v>0</v>
      </c>
      <c r="C5045" s="88">
        <f>VLOOKUP(A5045,'Materiales '!$C$2:$G$396,3,0)</f>
        <v>0</v>
      </c>
      <c r="D5045" s="89" t="str">
        <f>VLOOKUP(A5045,'Materiales '!$C$2:$G$396,4,0)</f>
        <v>-</v>
      </c>
      <c r="E5045" s="90"/>
      <c r="F5045" s="508" t="e">
        <f t="shared" si="296"/>
        <v>#VALUE!</v>
      </c>
      <c r="G5045" s="519"/>
      <c r="H5045" s="111"/>
      <c r="I5045">
        <f>E5045*G5024</f>
        <v>0</v>
      </c>
      <c r="J5045" s="58"/>
      <c r="K5045" s="50"/>
      <c r="L5045" s="50"/>
      <c r="M5045" s="50"/>
      <c r="N5045" s="50"/>
      <c r="O5045" s="50"/>
    </row>
    <row r="5046" spans="1:15">
      <c r="A5046" s="517" t="s">
        <v>8</v>
      </c>
      <c r="B5046" s="518">
        <f>VLOOKUP(A5046,'Materiales '!$C$2:$G$396,3,0)</f>
        <v>0</v>
      </c>
      <c r="C5046" s="88">
        <f>VLOOKUP(A5046,'Materiales '!$C$2:$G$396,3,0)</f>
        <v>0</v>
      </c>
      <c r="D5046" s="89" t="str">
        <f>VLOOKUP(A5046,'Materiales '!$C$2:$G$396,4,0)</f>
        <v>-</v>
      </c>
      <c r="E5046" s="90"/>
      <c r="F5046" s="508" t="e">
        <f>E5046*D5046</f>
        <v>#VALUE!</v>
      </c>
      <c r="G5046" s="519"/>
      <c r="H5046" s="110"/>
      <c r="I5046">
        <f>E5046*G5024</f>
        <v>0</v>
      </c>
      <c r="J5046" s="58"/>
      <c r="K5046" s="50"/>
      <c r="L5046" s="50"/>
      <c r="M5046" s="50"/>
      <c r="N5046" s="50"/>
      <c r="O5046" s="50"/>
    </row>
    <row r="5047" spans="1:15">
      <c r="A5047" s="520" t="s">
        <v>4098</v>
      </c>
      <c r="B5047" s="521"/>
      <c r="C5047" s="521"/>
      <c r="D5047" s="521"/>
      <c r="E5047" s="521"/>
      <c r="F5047" s="521"/>
      <c r="G5047" s="522"/>
      <c r="H5047" s="106" t="e">
        <f>SUM(F5033:F5046)</f>
        <v>#VALUE!</v>
      </c>
      <c r="J5047" s="58"/>
      <c r="K5047" s="50"/>
      <c r="L5047" s="50"/>
      <c r="M5047" s="50"/>
      <c r="N5047" s="50"/>
      <c r="O5047" s="50"/>
    </row>
    <row r="5048" spans="1:15">
      <c r="A5048" s="523" t="s">
        <v>4220</v>
      </c>
      <c r="B5048" s="524"/>
      <c r="C5048" s="524"/>
      <c r="D5048" s="524"/>
      <c r="E5048" s="525"/>
      <c r="F5048" s="524"/>
      <c r="G5048" s="524"/>
      <c r="H5048" s="526"/>
      <c r="J5048" s="58"/>
      <c r="K5048" s="50"/>
      <c r="L5048" s="50"/>
      <c r="M5048" s="50"/>
      <c r="N5048" s="50"/>
      <c r="O5048" s="50"/>
    </row>
    <row r="5049" spans="1:15">
      <c r="A5049" s="527" t="s">
        <v>7</v>
      </c>
      <c r="B5049" s="528"/>
      <c r="C5049" s="98" t="s">
        <v>4221</v>
      </c>
      <c r="D5049" s="97" t="s">
        <v>4222</v>
      </c>
      <c r="E5049" s="187" t="s">
        <v>4223</v>
      </c>
      <c r="F5049" s="529" t="s">
        <v>4207</v>
      </c>
      <c r="G5049" s="529"/>
      <c r="H5049" s="109"/>
      <c r="K5049" s="50"/>
      <c r="L5049" s="50"/>
      <c r="M5049" s="50"/>
      <c r="N5049" s="50"/>
      <c r="O5049" s="50"/>
    </row>
    <row r="5050" spans="1:15">
      <c r="A5050" s="506" t="s">
        <v>3928</v>
      </c>
      <c r="B5050" s="507"/>
      <c r="C5050" s="213">
        <v>1</v>
      </c>
      <c r="D5050" s="92">
        <v>0.03</v>
      </c>
      <c r="E5050" s="93" t="str">
        <f>VLOOKUP(A5050,'Equip, Herr y Transp'!$B$2:$E$217,3,0)</f>
        <v>TR</v>
      </c>
      <c r="F5050" s="530" t="e">
        <f>E5050*D5050*C5050</f>
        <v>#VALUE!</v>
      </c>
      <c r="G5050" s="531"/>
      <c r="H5050" s="107"/>
      <c r="M5050" s="50"/>
    </row>
    <row r="5051" spans="1:15">
      <c r="A5051" s="532" t="s">
        <v>4205</v>
      </c>
      <c r="B5051" s="533"/>
      <c r="C5051" s="533"/>
      <c r="D5051" s="533"/>
      <c r="E5051" s="533"/>
      <c r="F5051" s="533"/>
      <c r="G5051" s="533"/>
      <c r="H5051" s="95" t="e">
        <f>F5050</f>
        <v>#VALUE!</v>
      </c>
    </row>
    <row r="5052" spans="1:15">
      <c r="A5052" s="523" t="s">
        <v>4224</v>
      </c>
      <c r="B5052" s="524"/>
      <c r="C5052" s="524"/>
      <c r="D5052" s="524"/>
      <c r="E5052" s="524"/>
      <c r="F5052" s="524"/>
      <c r="G5052" s="524"/>
      <c r="H5052" s="526"/>
    </row>
    <row r="5053" spans="1:15">
      <c r="A5053" s="527" t="s">
        <v>7</v>
      </c>
      <c r="B5053" s="528"/>
      <c r="C5053" s="96" t="s">
        <v>1</v>
      </c>
      <c r="D5053" s="97" t="s">
        <v>4225</v>
      </c>
      <c r="E5053" s="98" t="s">
        <v>4204</v>
      </c>
      <c r="F5053" s="527" t="s">
        <v>5</v>
      </c>
      <c r="G5053" s="534"/>
      <c r="H5053" s="109"/>
    </row>
    <row r="5054" spans="1:15">
      <c r="A5054" s="506" t="s">
        <v>4191</v>
      </c>
      <c r="B5054" s="507"/>
      <c r="C5054" s="91">
        <v>1</v>
      </c>
      <c r="D5054" s="94">
        <f>VLOOKUP(A5054,'Mano Obra'!$B$2:$T$117,19,0)</f>
        <v>152456</v>
      </c>
      <c r="E5054" s="218">
        <f>H5017</f>
        <v>0.14580000000000001</v>
      </c>
      <c r="F5054" s="508">
        <f>E5054*D5054*C5054</f>
        <v>22228.084800000001</v>
      </c>
      <c r="G5054" s="509"/>
      <c r="H5054" s="111"/>
      <c r="I5054" s="59"/>
      <c r="J5054" s="117">
        <f>((('Mano Obra'!$M$4/30)*F5054)/D5054)*G5024</f>
        <v>0</v>
      </c>
    </row>
    <row r="5055" spans="1:15">
      <c r="A5055" s="510" t="s">
        <v>4192</v>
      </c>
      <c r="B5055" s="511">
        <f>VLOOKUP(A5055,'Mano Obra'!$B$3:$D$290,2,0)</f>
        <v>1900000</v>
      </c>
      <c r="C5055" s="91">
        <v>1</v>
      </c>
      <c r="D5055" s="94">
        <f>VLOOKUP(A5055,'Mano Obra'!$B$2:$T$117,19,0)</f>
        <v>110488</v>
      </c>
      <c r="E5055" s="218">
        <f>H5017</f>
        <v>0.14580000000000001</v>
      </c>
      <c r="F5055" s="508">
        <f t="shared" ref="F5055:F5056" si="297">E5055*D5055*C5055</f>
        <v>16109.150400000002</v>
      </c>
      <c r="G5055" s="509"/>
      <c r="H5055" s="111"/>
      <c r="J5055" s="117">
        <f>((('Mano Obra'!$M$5/30)*F5055)/D5055)*G5024</f>
        <v>0</v>
      </c>
    </row>
    <row r="5056" spans="1:15">
      <c r="A5056" s="510" t="s">
        <v>4181</v>
      </c>
      <c r="B5056" s="511">
        <f>VLOOKUP(A5056,'Mano Obra'!$B$3:$D$290,2,0)</f>
        <v>1000000</v>
      </c>
      <c r="C5056" s="91">
        <v>1</v>
      </c>
      <c r="D5056" s="94">
        <f>VLOOKUP(A5056,'Mano Obra'!$B$2:$T$117,19,0)</f>
        <v>67424</v>
      </c>
      <c r="E5056" s="218">
        <f>H5017</f>
        <v>0.14580000000000001</v>
      </c>
      <c r="F5056" s="508">
        <f t="shared" si="297"/>
        <v>9830.4192000000003</v>
      </c>
      <c r="G5056" s="509"/>
      <c r="H5056" s="110"/>
      <c r="J5056" s="117">
        <f>((('Mano Obra'!$M$6/30)*F5056)/D5056)*G5024</f>
        <v>0</v>
      </c>
    </row>
    <row r="5057" spans="1:14">
      <c r="A5057" s="512" t="s">
        <v>4100</v>
      </c>
      <c r="B5057" s="512"/>
      <c r="C5057" s="512"/>
      <c r="D5057" s="512"/>
      <c r="E5057" s="512"/>
      <c r="F5057" s="512"/>
      <c r="G5057" s="512"/>
      <c r="H5057" s="95">
        <f>SUM(F5054:F5056)</f>
        <v>48167.654399999999</v>
      </c>
      <c r="J5057" s="117"/>
    </row>
    <row r="5058" spans="1:14">
      <c r="A5058" s="208" t="s">
        <v>4226</v>
      </c>
      <c r="B5058" s="186"/>
      <c r="C5058" s="186"/>
      <c r="D5058" s="183"/>
      <c r="E5058" s="184"/>
      <c r="F5058" s="185"/>
      <c r="G5058" s="184"/>
      <c r="H5058" s="193"/>
    </row>
    <row r="5059" spans="1:14">
      <c r="A5059" s="513" t="s">
        <v>4213</v>
      </c>
      <c r="B5059" s="514"/>
      <c r="C5059" s="514"/>
      <c r="D5059" s="514"/>
      <c r="E5059" s="181"/>
      <c r="F5059" s="182" t="s">
        <v>4227</v>
      </c>
      <c r="G5059" s="181" t="s">
        <v>4228</v>
      </c>
      <c r="H5059" s="194"/>
    </row>
    <row r="5060" spans="1:14">
      <c r="A5060" s="204" t="s">
        <v>4096</v>
      </c>
      <c r="B5060" s="62"/>
      <c r="C5060" s="62"/>
      <c r="D5060" s="63"/>
      <c r="E5060" s="68"/>
      <c r="F5060" s="69">
        <v>0</v>
      </c>
      <c r="G5060" s="70" t="e">
        <f>F5060*H5025</f>
        <v>#VALUE!</v>
      </c>
      <c r="H5060" s="193"/>
    </row>
    <row r="5061" spans="1:14">
      <c r="A5061" s="205" t="s">
        <v>4229</v>
      </c>
      <c r="B5061" s="71"/>
      <c r="C5061" s="71"/>
      <c r="D5061" s="72"/>
      <c r="E5061" s="68"/>
      <c r="F5061" s="69">
        <v>0</v>
      </c>
      <c r="G5061" s="70" t="e">
        <f>F5061*H5025</f>
        <v>#VALUE!</v>
      </c>
      <c r="H5061" s="193"/>
    </row>
    <row r="5062" spans="1:14">
      <c r="A5062" s="205" t="s">
        <v>4</v>
      </c>
      <c r="B5062" s="71"/>
      <c r="C5062" s="71"/>
      <c r="D5062" s="72"/>
      <c r="E5062" s="68"/>
      <c r="F5062" s="69">
        <v>0</v>
      </c>
      <c r="G5062" s="70" t="e">
        <f>F5062*H5025</f>
        <v>#VALUE!</v>
      </c>
      <c r="H5062" s="193"/>
    </row>
    <row r="5063" spans="1:14">
      <c r="A5063" s="206"/>
      <c r="B5063" s="73"/>
      <c r="C5063" s="65"/>
      <c r="D5063" s="74"/>
      <c r="E5063" s="75"/>
      <c r="F5063" s="76"/>
      <c r="G5063" s="77"/>
      <c r="H5063" s="195"/>
    </row>
    <row r="5064" spans="1:14">
      <c r="A5064" s="207"/>
      <c r="B5064" s="73"/>
      <c r="C5064" s="73"/>
      <c r="D5064" s="74"/>
      <c r="E5064" s="78"/>
      <c r="F5064" s="515" t="s">
        <v>4230</v>
      </c>
      <c r="G5064" s="516"/>
      <c r="H5064" s="214" t="e">
        <f>H5025+G5060+G5061+G5062</f>
        <v>#VALUE!</v>
      </c>
    </row>
    <row r="5065" spans="1:14">
      <c r="A5065" s="73"/>
      <c r="B5065" s="73"/>
      <c r="C5065" s="73"/>
      <c r="D5065" s="74"/>
      <c r="E5065" s="360"/>
      <c r="F5065" s="361"/>
      <c r="G5065" s="361"/>
      <c r="H5065" s="362"/>
    </row>
    <row r="5066" spans="1:14">
      <c r="A5066" s="80"/>
      <c r="B5066" s="80"/>
      <c r="C5066" s="80"/>
      <c r="D5066" s="80"/>
      <c r="E5066" s="80"/>
      <c r="F5066" s="80"/>
      <c r="G5066" s="80"/>
      <c r="H5066" s="353"/>
    </row>
    <row r="5067" spans="1:14">
      <c r="A5067" s="537" t="s">
        <v>4214</v>
      </c>
      <c r="B5067" s="538"/>
      <c r="C5067" s="538"/>
      <c r="D5067" s="538"/>
      <c r="E5067" s="538"/>
      <c r="F5067" s="538"/>
      <c r="G5067" s="538"/>
      <c r="H5067" s="539"/>
    </row>
    <row r="5068" spans="1:14">
      <c r="A5068" s="81"/>
      <c r="B5068" s="82"/>
      <c r="C5068" s="82"/>
      <c r="D5068" s="82"/>
      <c r="E5068" s="82"/>
      <c r="F5068" s="83"/>
      <c r="G5068" s="84"/>
      <c r="H5068" s="352">
        <f>ROUND((60/60)/8,4)</f>
        <v>0.125</v>
      </c>
      <c r="I5068" s="105"/>
    </row>
    <row r="5069" spans="1:14">
      <c r="A5069" s="540" t="s">
        <v>4209</v>
      </c>
      <c r="B5069" s="542" t="str">
        <f>[7]COSTOS!$C$14</f>
        <v>MODERNIZACION TEGNOLOGIA LED MUNICIPIO DE MOMPOX</v>
      </c>
      <c r="C5069" s="542"/>
      <c r="D5069" s="542"/>
      <c r="E5069" s="542"/>
      <c r="F5069" s="542"/>
      <c r="G5069" s="542"/>
      <c r="H5069" s="543" t="s">
        <v>4210</v>
      </c>
    </row>
    <row r="5070" spans="1:14">
      <c r="A5070" s="541"/>
      <c r="B5070" s="542"/>
      <c r="C5070" s="542"/>
      <c r="D5070" s="542"/>
      <c r="E5070" s="542"/>
      <c r="F5070" s="542"/>
      <c r="G5070" s="542"/>
      <c r="H5070" s="543"/>
    </row>
    <row r="5071" spans="1:14">
      <c r="A5071" s="541"/>
      <c r="B5071" s="542"/>
      <c r="C5071" s="542"/>
      <c r="D5071" s="542"/>
      <c r="E5071" s="542"/>
      <c r="F5071" s="542"/>
      <c r="G5071" s="542"/>
      <c r="H5071" s="543"/>
    </row>
    <row r="5072" spans="1:14" ht="15" customHeight="1">
      <c r="A5072" s="541"/>
      <c r="B5072" s="542"/>
      <c r="C5072" s="542"/>
      <c r="D5072" s="542"/>
      <c r="E5072" s="542"/>
      <c r="F5072" s="542"/>
      <c r="G5072" s="542"/>
      <c r="H5072" s="197">
        <f ca="1">TODAY()</f>
        <v>44889</v>
      </c>
      <c r="K5072" t="s">
        <v>4380</v>
      </c>
      <c r="L5072" t="s">
        <v>4381</v>
      </c>
      <c r="M5072" t="s">
        <v>4382</v>
      </c>
      <c r="N5072" t="s">
        <v>4383</v>
      </c>
    </row>
    <row r="5073" spans="1:15" ht="60.75" customHeight="1">
      <c r="A5073" s="209" t="s">
        <v>4211</v>
      </c>
      <c r="B5073" s="544" t="str">
        <f>[7]COSTOS!$D$16</f>
        <v>Luminarias</v>
      </c>
      <c r="C5073" s="544"/>
      <c r="D5073" s="544"/>
      <c r="E5073" s="544"/>
      <c r="F5073" s="544"/>
      <c r="G5073" s="60" t="s">
        <v>4212</v>
      </c>
      <c r="H5073" s="363">
        <v>2.1800000000000002</v>
      </c>
      <c r="K5073" s="55" t="e">
        <f>H5098</f>
        <v>#VALUE!</v>
      </c>
      <c r="L5073" s="55">
        <f>H5108</f>
        <v>41296</v>
      </c>
      <c r="M5073" s="55" t="e">
        <f>H5081</f>
        <v>#VALUE!</v>
      </c>
      <c r="N5073" s="55" t="e">
        <f>H5102</f>
        <v>#VALUE!</v>
      </c>
    </row>
    <row r="5074" spans="1:15" ht="43.2" customHeight="1">
      <c r="A5074" s="210" t="s">
        <v>4213</v>
      </c>
      <c r="B5074" s="545" t="str">
        <f>VLOOKUP(H5073,COSTOS!C:M,2,0)</f>
        <v>Poste metalico 8 metros</v>
      </c>
      <c r="C5074" s="546"/>
      <c r="D5074" s="546"/>
      <c r="E5074" s="547"/>
      <c r="F5074" s="61" t="s">
        <v>0</v>
      </c>
      <c r="G5074" s="328" t="str">
        <f>VLOOKUP(H5073,COSTOS!C:M,8,0)</f>
        <v>Und</v>
      </c>
      <c r="H5074" s="248"/>
      <c r="I5074" s="278"/>
      <c r="J5074" s="280"/>
      <c r="K5074" s="280"/>
      <c r="L5074" s="280"/>
    </row>
    <row r="5075" spans="1:15">
      <c r="A5075" s="211"/>
      <c r="B5075" s="102"/>
      <c r="C5075" s="102"/>
      <c r="D5075" s="102"/>
      <c r="E5075" s="103"/>
      <c r="F5075" s="104" t="s">
        <v>1</v>
      </c>
      <c r="G5075" s="328">
        <f>VLOOKUP(H5073,COSTOS!C:M,9,0)</f>
        <v>0</v>
      </c>
      <c r="H5075" s="329"/>
      <c r="I5075" s="279"/>
    </row>
    <row r="5076" spans="1:15">
      <c r="A5076" s="212" t="s">
        <v>4215</v>
      </c>
      <c r="B5076" s="65"/>
      <c r="C5076" s="65"/>
      <c r="D5076" s="66"/>
      <c r="E5076" s="190"/>
      <c r="F5076" s="191"/>
      <c r="G5076" s="192" t="s">
        <v>4216</v>
      </c>
      <c r="H5076" s="198" t="e">
        <f>H5081+H5098+H5102+H5108</f>
        <v>#VALUE!</v>
      </c>
    </row>
    <row r="5077" spans="1:15" ht="41.4">
      <c r="A5077" s="548" t="s">
        <v>4213</v>
      </c>
      <c r="B5077" s="548"/>
      <c r="C5077" s="548"/>
      <c r="D5077" s="67" t="s">
        <v>0</v>
      </c>
      <c r="E5077" s="188" t="s">
        <v>4217</v>
      </c>
      <c r="F5077" s="189" t="s">
        <v>4204</v>
      </c>
      <c r="G5077" s="64" t="s">
        <v>2</v>
      </c>
      <c r="H5077" s="199" t="s">
        <v>4218</v>
      </c>
      <c r="K5077" s="281"/>
    </row>
    <row r="5078" spans="1:15">
      <c r="A5078" s="517" t="s">
        <v>3946</v>
      </c>
      <c r="B5078" s="549" t="str">
        <f>VLOOKUP(A5078,'[7]Equip, Herr y Transp'!$B$2:$D$739,2,0)</f>
        <v>EQU</v>
      </c>
      <c r="C5078" s="549"/>
      <c r="D5078" s="85" t="str">
        <f>VLOOKUP(A5078,'[7]Equip, Herr y Transp'!$B$2:$D$218,2,0)</f>
        <v>EQU</v>
      </c>
      <c r="E5078" s="85" t="str">
        <f>VLOOKUP(A5078,'Equip, Herr y Transp'!$B$2:$E$217,3,0)</f>
        <v>EQU</v>
      </c>
      <c r="F5078" s="86">
        <f>H5068</f>
        <v>0.125</v>
      </c>
      <c r="G5078" s="112" t="e">
        <f>F5078*E5078</f>
        <v>#VALUE!</v>
      </c>
      <c r="H5078" s="108"/>
    </row>
    <row r="5079" spans="1:15">
      <c r="A5079" s="517" t="s">
        <v>3894</v>
      </c>
      <c r="B5079" s="549" t="str">
        <f>VLOOKUP(A5079,'[7]Equip, Herr y Transp'!$B$2:$D$739,2,0)</f>
        <v>TR</v>
      </c>
      <c r="C5079" s="549"/>
      <c r="D5079" s="85" t="str">
        <f>VLOOKUP(A5079,'[7]Equip, Herr y Transp'!$B$2:$D$218,2,0)</f>
        <v>TR</v>
      </c>
      <c r="E5079" s="85" t="str">
        <f>VLOOKUP(A5079,'Equip, Herr y Transp'!$B$2:$E$217,3,0)</f>
        <v>TR</v>
      </c>
      <c r="F5079" s="86">
        <f>H5068</f>
        <v>0.125</v>
      </c>
      <c r="G5079" s="112" t="e">
        <f>F5079*E5079</f>
        <v>#VALUE!</v>
      </c>
      <c r="H5079" s="107"/>
    </row>
    <row r="5080" spans="1:15">
      <c r="A5080" s="517" t="s">
        <v>8</v>
      </c>
      <c r="B5080" s="549">
        <f>VLOOKUP(A5080,'[7]Equip, Herr y Transp'!$B$2:$D$739,2,0)</f>
        <v>0</v>
      </c>
      <c r="C5080" s="549"/>
      <c r="D5080" s="85">
        <f>VLOOKUP(A5080,'[7]Equip, Herr y Transp'!$B$2:$D$218,2,0)</f>
        <v>0</v>
      </c>
      <c r="E5080" s="85" t="e">
        <f>VLOOKUP(A5080,'Equip, Herr y Transp'!$B$2:$E$217,3,0)</f>
        <v>#N/A</v>
      </c>
      <c r="F5080" s="86"/>
      <c r="G5080" s="112" t="e">
        <f>F5080*E5080</f>
        <v>#N/A</v>
      </c>
      <c r="H5080" s="107"/>
    </row>
    <row r="5081" spans="1:15">
      <c r="A5081" s="520" t="s">
        <v>4099</v>
      </c>
      <c r="B5081" s="521"/>
      <c r="C5081" s="521"/>
      <c r="D5081" s="521"/>
      <c r="E5081" s="521"/>
      <c r="F5081" s="521"/>
      <c r="G5081" s="521"/>
      <c r="H5081" s="87" t="e">
        <f>SUM(G5078:G5080)</f>
        <v>#VALUE!</v>
      </c>
    </row>
    <row r="5082" spans="1:15">
      <c r="A5082" s="550" t="s">
        <v>4219</v>
      </c>
      <c r="B5082" s="551"/>
      <c r="C5082" s="551"/>
      <c r="D5082" s="551"/>
      <c r="E5082" s="551"/>
      <c r="F5082" s="551"/>
      <c r="G5082" s="551"/>
      <c r="H5082" s="552"/>
      <c r="K5082" s="50"/>
      <c r="L5082" s="50"/>
      <c r="M5082" s="50"/>
      <c r="N5082" s="50"/>
      <c r="O5082" s="50"/>
    </row>
    <row r="5083" spans="1:15" ht="30" customHeight="1">
      <c r="A5083" s="553" t="s">
        <v>7</v>
      </c>
      <c r="B5083" s="554"/>
      <c r="C5083" s="99" t="s">
        <v>0</v>
      </c>
      <c r="D5083" s="100" t="s">
        <v>4097</v>
      </c>
      <c r="E5083" s="101" t="s">
        <v>1</v>
      </c>
      <c r="F5083" s="555" t="s">
        <v>4207</v>
      </c>
      <c r="G5083" s="555"/>
      <c r="H5083" s="196"/>
      <c r="K5083" s="50"/>
      <c r="L5083" s="50"/>
      <c r="M5083" s="50"/>
      <c r="N5083" s="50"/>
      <c r="O5083" s="50"/>
    </row>
    <row r="5084" spans="1:15">
      <c r="A5084" s="535" t="s">
        <v>4683</v>
      </c>
      <c r="B5084" s="536"/>
      <c r="C5084" s="88" t="str">
        <f>VLOOKUP(A5084,'[7]Materiales '!$C$2:$F$1250,3,0)</f>
        <v>Und</v>
      </c>
      <c r="D5084" s="89" t="str">
        <f>VLOOKUP(A5084,'Materiales '!$C$2:$G$396,4,0)</f>
        <v>Und</v>
      </c>
      <c r="E5084" s="90">
        <v>1</v>
      </c>
      <c r="F5084" s="508" t="e">
        <f>E5084*D5084</f>
        <v>#VALUE!</v>
      </c>
      <c r="G5084" s="519"/>
      <c r="H5084" s="111"/>
      <c r="I5084">
        <f>E5084*G5075</f>
        <v>0</v>
      </c>
      <c r="J5084" s="57"/>
      <c r="K5084" s="50"/>
      <c r="L5084" s="50"/>
      <c r="M5084" s="50"/>
      <c r="N5084" s="50"/>
      <c r="O5084" s="50"/>
    </row>
    <row r="5085" spans="1:15">
      <c r="A5085" s="535" t="s">
        <v>4617</v>
      </c>
      <c r="B5085" s="536"/>
      <c r="C5085" s="88" t="str">
        <f>VLOOKUP(A5085,'[7]Materiales '!$C$2:$F$1250,3,0)</f>
        <v>Rollo</v>
      </c>
      <c r="D5085" s="89" t="str">
        <f>VLOOKUP(A5085,'Materiales '!$C$2:$G$396,4,0)</f>
        <v>Rollo</v>
      </c>
      <c r="E5085" s="90">
        <v>0.5</v>
      </c>
      <c r="F5085" s="508" t="e">
        <f t="shared" ref="F5085:F5091" si="298">E5085*D5085</f>
        <v>#VALUE!</v>
      </c>
      <c r="G5085" s="519"/>
      <c r="H5085" s="111"/>
      <c r="I5085">
        <f>E5085*G5075</f>
        <v>0</v>
      </c>
      <c r="J5085" s="57"/>
      <c r="K5085" s="50"/>
      <c r="L5085" s="50"/>
      <c r="M5085" s="50"/>
      <c r="N5085" s="50"/>
      <c r="O5085" s="50"/>
    </row>
    <row r="5086" spans="1:15">
      <c r="A5086" s="517" t="s">
        <v>8</v>
      </c>
      <c r="B5086" s="518" t="str">
        <f>VLOOKUP(A5086,'[7]Materiales '!$C$2:$F$1250,3,0)</f>
        <v>-</v>
      </c>
      <c r="C5086" s="88" t="str">
        <f>VLOOKUP(A5086,'[7]Materiales '!$C$2:$F$1250,3,0)</f>
        <v>-</v>
      </c>
      <c r="D5086" s="89" t="str">
        <f>VLOOKUP(A5086,'Materiales '!$C$2:$G$396,4,0)</f>
        <v>-</v>
      </c>
      <c r="E5086" s="90">
        <v>1</v>
      </c>
      <c r="F5086" s="508" t="e">
        <f t="shared" si="298"/>
        <v>#VALUE!</v>
      </c>
      <c r="G5086" s="519"/>
      <c r="H5086" s="111"/>
      <c r="I5086">
        <f>E5086*G5075</f>
        <v>0</v>
      </c>
      <c r="J5086" s="58"/>
      <c r="K5086" s="50"/>
      <c r="L5086" s="50"/>
      <c r="M5086" s="50"/>
      <c r="N5086" s="50"/>
      <c r="O5086" s="50"/>
    </row>
    <row r="5087" spans="1:15">
      <c r="A5087" s="517" t="s">
        <v>8</v>
      </c>
      <c r="B5087" s="518" t="str">
        <f>VLOOKUP(A5087,'[7]Materiales '!$C$2:$F$1250,3,0)</f>
        <v>-</v>
      </c>
      <c r="C5087" s="88" t="str">
        <f>VLOOKUP(A5087,'[7]Materiales '!$C$2:$F$1250,3,0)</f>
        <v>-</v>
      </c>
      <c r="D5087" s="89" t="str">
        <f>VLOOKUP(A5087,'Materiales '!$C$2:$G$396,4,0)</f>
        <v>-</v>
      </c>
      <c r="E5087" s="90">
        <v>3</v>
      </c>
      <c r="F5087" s="508" t="e">
        <f t="shared" si="298"/>
        <v>#VALUE!</v>
      </c>
      <c r="G5087" s="519"/>
      <c r="H5087" s="111"/>
      <c r="I5087">
        <f>E5087*G5075</f>
        <v>0</v>
      </c>
      <c r="J5087" s="58"/>
      <c r="K5087" s="50"/>
      <c r="L5087" s="50"/>
      <c r="M5087" s="50"/>
      <c r="N5087" s="50"/>
      <c r="O5087" s="50"/>
    </row>
    <row r="5088" spans="1:15">
      <c r="A5088" s="517" t="s">
        <v>8</v>
      </c>
      <c r="B5088" s="518" t="str">
        <f>VLOOKUP(A5088,'[7]Materiales '!$C$2:$F$1250,3,0)</f>
        <v>-</v>
      </c>
      <c r="C5088" s="88" t="str">
        <f>VLOOKUP(A5088,'[7]Materiales '!$C$2:$F$1250,3,0)</f>
        <v>-</v>
      </c>
      <c r="D5088" s="89" t="str">
        <f>VLOOKUP(A5088,'Materiales '!$C$2:$G$396,4,0)</f>
        <v>-</v>
      </c>
      <c r="E5088" s="90">
        <v>2</v>
      </c>
      <c r="F5088" s="508" t="e">
        <f t="shared" si="298"/>
        <v>#VALUE!</v>
      </c>
      <c r="G5088" s="519"/>
      <c r="H5088" s="111"/>
      <c r="I5088">
        <f>E5088*G5075</f>
        <v>0</v>
      </c>
      <c r="J5088" s="58"/>
      <c r="K5088" s="50"/>
      <c r="L5088" s="50"/>
      <c r="M5088" s="50"/>
      <c r="N5088" s="50"/>
      <c r="O5088" s="50"/>
    </row>
    <row r="5089" spans="1:15">
      <c r="A5089" s="517" t="s">
        <v>8</v>
      </c>
      <c r="B5089" s="518" t="str">
        <f>VLOOKUP(A5089,'[7]Materiales '!$C$2:$F$1250,3,0)</f>
        <v>-</v>
      </c>
      <c r="C5089" s="88" t="str">
        <f>VLOOKUP(A5089,'[7]Materiales '!$C$2:$F$1250,3,0)</f>
        <v>-</v>
      </c>
      <c r="D5089" s="89" t="str">
        <f>VLOOKUP(A5089,'Materiales '!$C$2:$G$396,4,0)</f>
        <v>-</v>
      </c>
      <c r="E5089" s="90">
        <v>8</v>
      </c>
      <c r="F5089" s="508" t="e">
        <f t="shared" si="298"/>
        <v>#VALUE!</v>
      </c>
      <c r="G5089" s="519"/>
      <c r="H5089" s="111"/>
      <c r="I5089">
        <f>E5089*G5075</f>
        <v>0</v>
      </c>
      <c r="J5089" s="58"/>
      <c r="K5089" s="50"/>
      <c r="L5089" s="50"/>
      <c r="M5089" s="50"/>
      <c r="N5089" s="50"/>
      <c r="O5089" s="50"/>
    </row>
    <row r="5090" spans="1:15">
      <c r="A5090" s="517" t="s">
        <v>8</v>
      </c>
      <c r="B5090" s="518" t="str">
        <f>VLOOKUP(A5090,'[7]Materiales '!$C$2:$F$1250,3,0)</f>
        <v>-</v>
      </c>
      <c r="C5090" s="88" t="str">
        <f>VLOOKUP(A5090,'[7]Materiales '!$C$2:$F$1250,3,0)</f>
        <v>-</v>
      </c>
      <c r="D5090" s="89" t="str">
        <f>VLOOKUP(A5090,'Materiales '!$C$2:$G$396,4,0)</f>
        <v>-</v>
      </c>
      <c r="E5090" s="90">
        <v>3</v>
      </c>
      <c r="F5090" s="508" t="e">
        <f t="shared" si="298"/>
        <v>#VALUE!</v>
      </c>
      <c r="G5090" s="519"/>
      <c r="H5090" s="111"/>
      <c r="I5090">
        <f>E5090*G5075</f>
        <v>0</v>
      </c>
      <c r="J5090" s="58"/>
      <c r="K5090" s="50"/>
      <c r="L5090" s="50"/>
      <c r="M5090" s="50"/>
      <c r="N5090" s="50"/>
      <c r="O5090" s="50"/>
    </row>
    <row r="5091" spans="1:15" ht="21.75" customHeight="1">
      <c r="A5091" s="517" t="s">
        <v>8</v>
      </c>
      <c r="B5091" s="518" t="str">
        <f>VLOOKUP(A5091,'[7]Materiales '!$C$2:$F$1250,3,0)</f>
        <v>-</v>
      </c>
      <c r="C5091" s="88" t="str">
        <f>VLOOKUP(A5091,'[7]Materiales '!$C$2:$F$1250,3,0)</f>
        <v>-</v>
      </c>
      <c r="D5091" s="89" t="str">
        <f>VLOOKUP(A5091,'Materiales '!$C$2:$G$396,4,0)</f>
        <v>-</v>
      </c>
      <c r="E5091" s="90">
        <v>0.5</v>
      </c>
      <c r="F5091" s="508" t="e">
        <f t="shared" si="298"/>
        <v>#VALUE!</v>
      </c>
      <c r="G5091" s="519"/>
      <c r="H5091" s="111"/>
      <c r="I5091">
        <f>E5091*G5075</f>
        <v>0</v>
      </c>
      <c r="J5091" s="58"/>
      <c r="K5091" s="50"/>
      <c r="L5091" s="50"/>
      <c r="M5091" s="50"/>
      <c r="N5091" s="50"/>
      <c r="O5091" s="50"/>
    </row>
    <row r="5092" spans="1:15">
      <c r="A5092" s="517" t="s">
        <v>8</v>
      </c>
      <c r="B5092" s="518" t="str">
        <f>VLOOKUP(A5092,'[7]Materiales '!$C$2:$F$1250,3,0)</f>
        <v>-</v>
      </c>
      <c r="C5092" s="88" t="str">
        <f>VLOOKUP(A5092,'[7]Materiales '!$C$2:$F$1250,3,0)</f>
        <v>-</v>
      </c>
      <c r="D5092" s="89" t="str">
        <f>VLOOKUP(A5092,'Materiales '!$C$2:$G$396,4,0)</f>
        <v>-</v>
      </c>
      <c r="E5092" s="90"/>
      <c r="F5092" s="508" t="e">
        <f>E5092*D5092</f>
        <v>#VALUE!</v>
      </c>
      <c r="G5092" s="519"/>
      <c r="H5092" s="110"/>
      <c r="I5092">
        <f>E5092*G5075</f>
        <v>0</v>
      </c>
      <c r="J5092" s="58"/>
      <c r="K5092" s="50"/>
      <c r="L5092" s="50"/>
      <c r="M5092" s="50"/>
      <c r="N5092" s="50"/>
      <c r="O5092" s="50"/>
    </row>
    <row r="5093" spans="1:15">
      <c r="A5093" s="517" t="s">
        <v>8</v>
      </c>
      <c r="B5093" s="518" t="str">
        <f>VLOOKUP(A5093,'[7]Materiales '!$C$2:$F$1250,3,0)</f>
        <v>-</v>
      </c>
      <c r="C5093" s="88" t="str">
        <f>VLOOKUP(A5093,'[7]Materiales '!$C$2:$F$1250,3,0)</f>
        <v>-</v>
      </c>
      <c r="D5093" s="89" t="str">
        <f>VLOOKUP(A5093,'Materiales '!$C$2:$G$396,4,0)</f>
        <v>-</v>
      </c>
      <c r="E5093" s="90"/>
      <c r="F5093" s="508" t="e">
        <f t="shared" ref="F5093:F5096" si="299">E5093*D5093</f>
        <v>#VALUE!</v>
      </c>
      <c r="G5093" s="519"/>
      <c r="H5093" s="111"/>
      <c r="I5093">
        <f>E5093*G5075</f>
        <v>0</v>
      </c>
      <c r="J5093" s="58"/>
      <c r="K5093" s="50"/>
      <c r="L5093" s="50"/>
      <c r="M5093" s="50"/>
      <c r="N5093" s="50"/>
      <c r="O5093" s="50"/>
    </row>
    <row r="5094" spans="1:15">
      <c r="A5094" s="517" t="s">
        <v>8</v>
      </c>
      <c r="B5094" s="518" t="str">
        <f>VLOOKUP(A5094,'[7]Materiales '!$C$2:$F$1250,3,0)</f>
        <v>-</v>
      </c>
      <c r="C5094" s="88" t="str">
        <f>VLOOKUP(A5094,'[7]Materiales '!$C$2:$F$1250,3,0)</f>
        <v>-</v>
      </c>
      <c r="D5094" s="89" t="str">
        <f>VLOOKUP(A5094,'Materiales '!$C$2:$G$396,4,0)</f>
        <v>-</v>
      </c>
      <c r="E5094" s="90"/>
      <c r="F5094" s="508" t="e">
        <f t="shared" si="299"/>
        <v>#VALUE!</v>
      </c>
      <c r="G5094" s="519"/>
      <c r="H5094" s="111"/>
      <c r="I5094">
        <f>E5094*G5075</f>
        <v>0</v>
      </c>
      <c r="J5094" s="58"/>
      <c r="K5094" s="50"/>
      <c r="L5094" s="50"/>
      <c r="M5094" s="50"/>
      <c r="N5094" s="50"/>
      <c r="O5094" s="50"/>
    </row>
    <row r="5095" spans="1:15">
      <c r="A5095" s="517" t="s">
        <v>8</v>
      </c>
      <c r="B5095" s="518" t="str">
        <f>VLOOKUP(A5095,'[7]Materiales '!$C$2:$F$1250,3,0)</f>
        <v>-</v>
      </c>
      <c r="C5095" s="88" t="str">
        <f>VLOOKUP(A5095,'[7]Materiales '!$C$2:$F$1250,3,0)</f>
        <v>-</v>
      </c>
      <c r="D5095" s="89" t="str">
        <f>VLOOKUP(A5095,'Materiales '!$C$2:$G$396,4,0)</f>
        <v>-</v>
      </c>
      <c r="E5095" s="90"/>
      <c r="F5095" s="508" t="e">
        <f t="shared" si="299"/>
        <v>#VALUE!</v>
      </c>
      <c r="G5095" s="519"/>
      <c r="H5095" s="111"/>
      <c r="I5095">
        <f>E5095*G5075</f>
        <v>0</v>
      </c>
      <c r="J5095" s="58"/>
      <c r="K5095" s="50"/>
      <c r="L5095" s="50"/>
      <c r="M5095" s="50"/>
      <c r="N5095" s="50"/>
      <c r="O5095" s="50"/>
    </row>
    <row r="5096" spans="1:15">
      <c r="A5096" s="517" t="s">
        <v>8</v>
      </c>
      <c r="B5096" s="518" t="str">
        <f>VLOOKUP(A5096,'[7]Materiales '!$C$2:$F$1250,3,0)</f>
        <v>-</v>
      </c>
      <c r="C5096" s="88" t="str">
        <f>VLOOKUP(A5096,'[7]Materiales '!$C$2:$F$1250,3,0)</f>
        <v>-</v>
      </c>
      <c r="D5096" s="89" t="str">
        <f>VLOOKUP(A5096,'Materiales '!$C$2:$G$396,4,0)</f>
        <v>-</v>
      </c>
      <c r="E5096" s="90"/>
      <c r="F5096" s="508" t="e">
        <f t="shared" si="299"/>
        <v>#VALUE!</v>
      </c>
      <c r="G5096" s="519"/>
      <c r="H5096" s="111"/>
      <c r="I5096">
        <f>E5096*G5075</f>
        <v>0</v>
      </c>
      <c r="J5096" s="58"/>
      <c r="K5096" s="50"/>
      <c r="L5096" s="50"/>
      <c r="M5096" s="50"/>
      <c r="N5096" s="50"/>
      <c r="O5096" s="50"/>
    </row>
    <row r="5097" spans="1:15">
      <c r="A5097" s="517" t="s">
        <v>8</v>
      </c>
      <c r="B5097" s="518" t="str">
        <f>VLOOKUP(A5097,'[7]Materiales '!$C$2:$F$1250,3,0)</f>
        <v>-</v>
      </c>
      <c r="C5097" s="88" t="str">
        <f>VLOOKUP(A5097,'[7]Materiales '!$C$2:$F$1250,3,0)</f>
        <v>-</v>
      </c>
      <c r="D5097" s="89" t="str">
        <f>VLOOKUP(A5097,'Materiales '!$C$2:$G$396,4,0)</f>
        <v>-</v>
      </c>
      <c r="E5097" s="90"/>
      <c r="F5097" s="508" t="e">
        <f>E5097*D5097</f>
        <v>#VALUE!</v>
      </c>
      <c r="G5097" s="519"/>
      <c r="H5097" s="110"/>
      <c r="I5097">
        <f>E5097*G5075</f>
        <v>0</v>
      </c>
      <c r="J5097" s="58"/>
      <c r="K5097" s="50"/>
      <c r="L5097" s="50"/>
      <c r="M5097" s="50"/>
      <c r="N5097" s="50"/>
      <c r="O5097" s="50"/>
    </row>
    <row r="5098" spans="1:15">
      <c r="A5098" s="520" t="s">
        <v>4098</v>
      </c>
      <c r="B5098" s="521"/>
      <c r="C5098" s="521"/>
      <c r="D5098" s="521"/>
      <c r="E5098" s="521"/>
      <c r="F5098" s="521"/>
      <c r="G5098" s="522"/>
      <c r="H5098" s="106" t="e">
        <f>SUM(F5084:F5097)</f>
        <v>#VALUE!</v>
      </c>
      <c r="J5098" s="58"/>
      <c r="K5098" s="50"/>
      <c r="L5098" s="50"/>
      <c r="M5098" s="50"/>
      <c r="N5098" s="50"/>
      <c r="O5098" s="50"/>
    </row>
    <row r="5099" spans="1:15">
      <c r="A5099" s="523" t="s">
        <v>4220</v>
      </c>
      <c r="B5099" s="524"/>
      <c r="C5099" s="524"/>
      <c r="D5099" s="524"/>
      <c r="E5099" s="525"/>
      <c r="F5099" s="524"/>
      <c r="G5099" s="524"/>
      <c r="H5099" s="526"/>
      <c r="J5099" s="58"/>
      <c r="K5099" s="50"/>
      <c r="L5099" s="50"/>
      <c r="M5099" s="50"/>
      <c r="N5099" s="50"/>
      <c r="O5099" s="50"/>
    </row>
    <row r="5100" spans="1:15">
      <c r="A5100" s="527" t="s">
        <v>7</v>
      </c>
      <c r="B5100" s="528"/>
      <c r="C5100" s="98" t="s">
        <v>4221</v>
      </c>
      <c r="D5100" s="97" t="s">
        <v>4222</v>
      </c>
      <c r="E5100" s="187" t="s">
        <v>4223</v>
      </c>
      <c r="F5100" s="529" t="s">
        <v>4207</v>
      </c>
      <c r="G5100" s="529"/>
      <c r="H5100" s="109"/>
      <c r="K5100" s="50"/>
      <c r="L5100" s="50"/>
      <c r="M5100" s="50"/>
      <c r="N5100" s="50"/>
      <c r="O5100" s="50"/>
    </row>
    <row r="5101" spans="1:15">
      <c r="A5101" s="506" t="s">
        <v>3928</v>
      </c>
      <c r="B5101" s="507"/>
      <c r="C5101" s="213">
        <v>1</v>
      </c>
      <c r="D5101" s="92">
        <v>0.03</v>
      </c>
      <c r="E5101" s="93" t="str">
        <f>VLOOKUP(A5101,'Equip, Herr y Transp'!$B$2:$E$217,3,0)</f>
        <v>TR</v>
      </c>
      <c r="F5101" s="530" t="e">
        <f>E5101*D5101*C5101</f>
        <v>#VALUE!</v>
      </c>
      <c r="G5101" s="531"/>
      <c r="H5101" s="107"/>
      <c r="M5101" s="50"/>
    </row>
    <row r="5102" spans="1:15">
      <c r="A5102" s="532" t="s">
        <v>4205</v>
      </c>
      <c r="B5102" s="533"/>
      <c r="C5102" s="533"/>
      <c r="D5102" s="533"/>
      <c r="E5102" s="533"/>
      <c r="F5102" s="533"/>
      <c r="G5102" s="533"/>
      <c r="H5102" s="95" t="e">
        <f>F5101</f>
        <v>#VALUE!</v>
      </c>
    </row>
    <row r="5103" spans="1:15">
      <c r="A5103" s="523" t="s">
        <v>4224</v>
      </c>
      <c r="B5103" s="524"/>
      <c r="C5103" s="524"/>
      <c r="D5103" s="524"/>
      <c r="E5103" s="524"/>
      <c r="F5103" s="524"/>
      <c r="G5103" s="524"/>
      <c r="H5103" s="526"/>
    </row>
    <row r="5104" spans="1:15">
      <c r="A5104" s="527" t="s">
        <v>7</v>
      </c>
      <c r="B5104" s="528"/>
      <c r="C5104" s="96" t="s">
        <v>1</v>
      </c>
      <c r="D5104" s="97" t="s">
        <v>4225</v>
      </c>
      <c r="E5104" s="98" t="s">
        <v>4204</v>
      </c>
      <c r="F5104" s="527" t="s">
        <v>5</v>
      </c>
      <c r="G5104" s="534"/>
      <c r="H5104" s="109"/>
    </row>
    <row r="5105" spans="1:10">
      <c r="A5105" s="506" t="s">
        <v>4191</v>
      </c>
      <c r="B5105" s="507"/>
      <c r="C5105" s="91">
        <v>1</v>
      </c>
      <c r="D5105" s="94">
        <f>VLOOKUP(A5105,'Mano Obra'!$B$2:$T$117,19,0)</f>
        <v>152456</v>
      </c>
      <c r="E5105" s="218">
        <f>H5068</f>
        <v>0.125</v>
      </c>
      <c r="F5105" s="508">
        <f>E5105*D5105*C5105</f>
        <v>19057</v>
      </c>
      <c r="G5105" s="509"/>
      <c r="H5105" s="111"/>
      <c r="I5105" s="59"/>
      <c r="J5105" s="117">
        <f>((('[7]Mano Obra'!$M$4/30)*F5105)/D5105)*G5075</f>
        <v>0</v>
      </c>
    </row>
    <row r="5106" spans="1:10">
      <c r="A5106" s="510" t="s">
        <v>4192</v>
      </c>
      <c r="B5106" s="511">
        <f>VLOOKUP(A5106,'[7]Mano Obra'!$B$3:$D$290,2,0)</f>
        <v>1700000</v>
      </c>
      <c r="C5106" s="91">
        <v>1</v>
      </c>
      <c r="D5106" s="94">
        <f>VLOOKUP(A5106,'Mano Obra'!$B$2:$T$117,19,0)</f>
        <v>110488</v>
      </c>
      <c r="E5106" s="218">
        <f>H5068</f>
        <v>0.125</v>
      </c>
      <c r="F5106" s="508">
        <f t="shared" ref="F5106:F5107" si="300">E5106*D5106*C5106</f>
        <v>13811</v>
      </c>
      <c r="G5106" s="509"/>
      <c r="H5106" s="111"/>
      <c r="J5106" s="117">
        <f>((('[7]Mano Obra'!$M$5/30)*F5106)/D5106)*G5075</f>
        <v>0</v>
      </c>
    </row>
    <row r="5107" spans="1:10">
      <c r="A5107" s="510" t="s">
        <v>4181</v>
      </c>
      <c r="B5107" s="511">
        <f>VLOOKUP(A5107,'[7]Mano Obra'!$B$3:$D$290,2,0)</f>
        <v>908526</v>
      </c>
      <c r="C5107" s="91">
        <v>1</v>
      </c>
      <c r="D5107" s="94">
        <f>VLOOKUP(A5107,'Mano Obra'!$B$2:$T$117,19,0)</f>
        <v>67424</v>
      </c>
      <c r="E5107" s="218">
        <f>H5068</f>
        <v>0.125</v>
      </c>
      <c r="F5107" s="508">
        <f t="shared" si="300"/>
        <v>8428</v>
      </c>
      <c r="G5107" s="509"/>
      <c r="H5107" s="110"/>
      <c r="J5107" s="117">
        <f>((('[7]Mano Obra'!$M$6/30)*F5107)/D5107)*G5075</f>
        <v>0</v>
      </c>
    </row>
    <row r="5108" spans="1:10">
      <c r="A5108" s="512" t="s">
        <v>4100</v>
      </c>
      <c r="B5108" s="512"/>
      <c r="C5108" s="512"/>
      <c r="D5108" s="512"/>
      <c r="E5108" s="512"/>
      <c r="F5108" s="512"/>
      <c r="G5108" s="512"/>
      <c r="H5108" s="95">
        <f>SUM(F5105:F5107)</f>
        <v>41296</v>
      </c>
      <c r="J5108" s="117"/>
    </row>
    <row r="5109" spans="1:10">
      <c r="A5109" s="208" t="s">
        <v>4226</v>
      </c>
      <c r="B5109" s="186"/>
      <c r="C5109" s="186"/>
      <c r="D5109" s="183"/>
      <c r="E5109" s="184"/>
      <c r="F5109" s="185"/>
      <c r="G5109" s="184"/>
      <c r="H5109" s="193"/>
    </row>
    <row r="5110" spans="1:10">
      <c r="A5110" s="513" t="s">
        <v>4213</v>
      </c>
      <c r="B5110" s="514"/>
      <c r="C5110" s="514"/>
      <c r="D5110" s="514"/>
      <c r="E5110" s="181"/>
      <c r="F5110" s="182" t="s">
        <v>4227</v>
      </c>
      <c r="G5110" s="181" t="s">
        <v>4228</v>
      </c>
      <c r="H5110" s="194"/>
    </row>
    <row r="5111" spans="1:10">
      <c r="A5111" s="204" t="s">
        <v>4096</v>
      </c>
      <c r="B5111" s="62"/>
      <c r="C5111" s="62"/>
      <c r="D5111" s="63"/>
      <c r="E5111" s="68"/>
      <c r="F5111" s="69">
        <v>0</v>
      </c>
      <c r="G5111" s="70" t="e">
        <f>F5111*H5076</f>
        <v>#VALUE!</v>
      </c>
      <c r="H5111" s="193"/>
    </row>
    <row r="5112" spans="1:10">
      <c r="A5112" s="205" t="s">
        <v>4229</v>
      </c>
      <c r="B5112" s="71"/>
      <c r="C5112" s="71"/>
      <c r="D5112" s="72"/>
      <c r="E5112" s="68"/>
      <c r="F5112" s="69">
        <v>0</v>
      </c>
      <c r="G5112" s="70" t="e">
        <f>F5112*H5076</f>
        <v>#VALUE!</v>
      </c>
      <c r="H5112" s="193"/>
    </row>
    <row r="5113" spans="1:10">
      <c r="A5113" s="205" t="s">
        <v>4</v>
      </c>
      <c r="B5113" s="71"/>
      <c r="C5113" s="71"/>
      <c r="D5113" s="72"/>
      <c r="E5113" s="68"/>
      <c r="F5113" s="69">
        <v>0</v>
      </c>
      <c r="G5113" s="70" t="e">
        <f>F5113*H5076</f>
        <v>#VALUE!</v>
      </c>
      <c r="H5113" s="193"/>
    </row>
    <row r="5114" spans="1:10">
      <c r="A5114" s="206"/>
      <c r="B5114" s="73"/>
      <c r="C5114" s="65"/>
      <c r="D5114" s="74"/>
      <c r="E5114" s="75"/>
      <c r="F5114" s="76"/>
      <c r="G5114" s="77"/>
      <c r="H5114" s="195"/>
    </row>
    <row r="5115" spans="1:10">
      <c r="A5115" s="207"/>
      <c r="B5115" s="73"/>
      <c r="C5115" s="73"/>
      <c r="D5115" s="74"/>
      <c r="E5115" s="78"/>
      <c r="F5115" s="515" t="s">
        <v>4230</v>
      </c>
      <c r="G5115" s="516"/>
      <c r="H5115" s="214" t="e">
        <f>H5076+G5111+G5112+G5113</f>
        <v>#VALUE!</v>
      </c>
    </row>
    <row r="5116" spans="1:10">
      <c r="A5116" s="73"/>
      <c r="B5116" s="73"/>
      <c r="C5116" s="73"/>
      <c r="D5116" s="74"/>
      <c r="E5116" s="360"/>
      <c r="F5116" s="361"/>
      <c r="G5116" s="361"/>
      <c r="H5116" s="362"/>
    </row>
    <row r="5117" spans="1:10">
      <c r="A5117" s="80"/>
      <c r="B5117" s="80"/>
      <c r="C5117" s="80"/>
      <c r="D5117" s="80"/>
      <c r="E5117" s="80"/>
      <c r="F5117" s="80"/>
      <c r="G5117" s="80"/>
      <c r="H5117" s="353"/>
    </row>
    <row r="5118" spans="1:10">
      <c r="A5118" s="537" t="s">
        <v>4214</v>
      </c>
      <c r="B5118" s="538"/>
      <c r="C5118" s="538"/>
      <c r="D5118" s="538"/>
      <c r="E5118" s="538"/>
      <c r="F5118" s="538"/>
      <c r="G5118" s="538"/>
      <c r="H5118" s="539"/>
    </row>
    <row r="5119" spans="1:10">
      <c r="A5119" s="81"/>
      <c r="B5119" s="82"/>
      <c r="C5119" s="82"/>
      <c r="D5119" s="82"/>
      <c r="E5119" s="82"/>
      <c r="F5119" s="83"/>
      <c r="G5119" s="84"/>
      <c r="H5119" s="352">
        <f>ROUND((80/60)/8,4)</f>
        <v>0.16669999999999999</v>
      </c>
      <c r="I5119" s="105"/>
    </row>
    <row r="5120" spans="1:10">
      <c r="A5120" s="540" t="s">
        <v>4209</v>
      </c>
      <c r="B5120" s="542" t="str">
        <f>COSTOS!$C$14</f>
        <v>MODERNIZACION A TECNOLOGIA LED</v>
      </c>
      <c r="C5120" s="542"/>
      <c r="D5120" s="542"/>
      <c r="E5120" s="542"/>
      <c r="F5120" s="542"/>
      <c r="G5120" s="542"/>
      <c r="H5120" s="543" t="s">
        <v>4210</v>
      </c>
    </row>
    <row r="5121" spans="1:15">
      <c r="A5121" s="541"/>
      <c r="B5121" s="542"/>
      <c r="C5121" s="542"/>
      <c r="D5121" s="542"/>
      <c r="E5121" s="542"/>
      <c r="F5121" s="542"/>
      <c r="G5121" s="542"/>
      <c r="H5121" s="543"/>
    </row>
    <row r="5122" spans="1:15">
      <c r="A5122" s="541"/>
      <c r="B5122" s="542"/>
      <c r="C5122" s="542"/>
      <c r="D5122" s="542"/>
      <c r="E5122" s="542"/>
      <c r="F5122" s="542"/>
      <c r="G5122" s="542"/>
      <c r="H5122" s="543"/>
    </row>
    <row r="5123" spans="1:15" ht="15" customHeight="1">
      <c r="A5123" s="541"/>
      <c r="B5123" s="542"/>
      <c r="C5123" s="542"/>
      <c r="D5123" s="542"/>
      <c r="E5123" s="542"/>
      <c r="F5123" s="542"/>
      <c r="G5123" s="542"/>
      <c r="H5123" s="197">
        <f ca="1">TODAY()</f>
        <v>44889</v>
      </c>
      <c r="K5123" t="s">
        <v>4380</v>
      </c>
      <c r="L5123" t="s">
        <v>4381</v>
      </c>
      <c r="M5123" t="s">
        <v>4382</v>
      </c>
      <c r="N5123" t="s">
        <v>4383</v>
      </c>
    </row>
    <row r="5124" spans="1:15" ht="60.75" customHeight="1">
      <c r="A5124" s="209" t="s">
        <v>4211</v>
      </c>
      <c r="B5124" s="544" t="str">
        <f>COSTOS!$D$16</f>
        <v>Luminarias</v>
      </c>
      <c r="C5124" s="544"/>
      <c r="D5124" s="544"/>
      <c r="E5124" s="544"/>
      <c r="F5124" s="544"/>
      <c r="G5124" s="60" t="s">
        <v>4212</v>
      </c>
      <c r="H5124" s="363">
        <v>2.19</v>
      </c>
      <c r="K5124" s="55" t="e">
        <f>H5149</f>
        <v>#VALUE!</v>
      </c>
      <c r="L5124" s="55">
        <f>H5159</f>
        <v>55072.345600000001</v>
      </c>
      <c r="M5124" s="55" t="e">
        <f>H5132</f>
        <v>#VALUE!</v>
      </c>
      <c r="N5124" s="55" t="e">
        <f>H5153</f>
        <v>#VALUE!</v>
      </c>
    </row>
    <row r="5125" spans="1:15" ht="43.2" customHeight="1">
      <c r="A5125" s="210" t="s">
        <v>4213</v>
      </c>
      <c r="B5125" s="545" t="str">
        <f>VLOOKUP(H5124,COSTOS!C:M,2,0)</f>
        <v>Torre metalica 10 metros</v>
      </c>
      <c r="C5125" s="546"/>
      <c r="D5125" s="546"/>
      <c r="E5125" s="547"/>
      <c r="F5125" s="61" t="s">
        <v>0</v>
      </c>
      <c r="G5125" s="328" t="str">
        <f>VLOOKUP(H5124,COSTOS!C:M,8,0)</f>
        <v>Und</v>
      </c>
      <c r="H5125" s="248"/>
      <c r="I5125" s="278"/>
      <c r="J5125" s="280"/>
      <c r="K5125" s="280"/>
      <c r="L5125" s="280"/>
    </row>
    <row r="5126" spans="1:15">
      <c r="A5126" s="211"/>
      <c r="B5126" s="102"/>
      <c r="C5126" s="102"/>
      <c r="D5126" s="102"/>
      <c r="E5126" s="103"/>
      <c r="F5126" s="104" t="s">
        <v>1</v>
      </c>
      <c r="G5126" s="328">
        <f>VLOOKUP(H5124,COSTOS!C:M,9,0)</f>
        <v>0</v>
      </c>
      <c r="H5126" s="329"/>
      <c r="I5126" s="279"/>
    </row>
    <row r="5127" spans="1:15">
      <c r="A5127" s="212" t="s">
        <v>4215</v>
      </c>
      <c r="B5127" s="65"/>
      <c r="C5127" s="65"/>
      <c r="D5127" s="66"/>
      <c r="E5127" s="190"/>
      <c r="F5127" s="191"/>
      <c r="G5127" s="192" t="s">
        <v>4216</v>
      </c>
      <c r="H5127" s="198" t="e">
        <f>H5132+H5149+H5153+H5159</f>
        <v>#VALUE!</v>
      </c>
    </row>
    <row r="5128" spans="1:15" ht="41.4">
      <c r="A5128" s="548" t="s">
        <v>4213</v>
      </c>
      <c r="B5128" s="548"/>
      <c r="C5128" s="548"/>
      <c r="D5128" s="67" t="s">
        <v>0</v>
      </c>
      <c r="E5128" s="188" t="s">
        <v>4217</v>
      </c>
      <c r="F5128" s="189" t="s">
        <v>4204</v>
      </c>
      <c r="G5128" s="64" t="s">
        <v>2</v>
      </c>
      <c r="H5128" s="199" t="s">
        <v>4218</v>
      </c>
      <c r="K5128" s="281"/>
    </row>
    <row r="5129" spans="1:15">
      <c r="A5129" s="517" t="s">
        <v>3946</v>
      </c>
      <c r="B5129" s="549">
        <f>VLOOKUP(A5129,'Equip, Herr y Transp'!$B$2:$E$738,2,0)</f>
        <v>2</v>
      </c>
      <c r="C5129" s="549"/>
      <c r="D5129" s="85">
        <f>VLOOKUP(A5129,'Equip, Herr y Transp'!$B$2:$E$217,2,0)</f>
        <v>2</v>
      </c>
      <c r="E5129" s="85" t="str">
        <f>VLOOKUP(A5129,'Equip, Herr y Transp'!$B$2:$E$217,3,0)</f>
        <v>EQU</v>
      </c>
      <c r="F5129" s="86">
        <f>H5119</f>
        <v>0.16669999999999999</v>
      </c>
      <c r="G5129" s="112" t="e">
        <f>F5129*E5129</f>
        <v>#VALUE!</v>
      </c>
      <c r="H5129" s="108"/>
    </row>
    <row r="5130" spans="1:15">
      <c r="A5130" s="517" t="s">
        <v>3894</v>
      </c>
      <c r="B5130" s="549">
        <f>VLOOKUP(A5130,'Equip, Herr y Transp'!$B$2:$E$738,2,0)</f>
        <v>4</v>
      </c>
      <c r="C5130" s="549"/>
      <c r="D5130" s="85">
        <f>VLOOKUP(A5130,'Equip, Herr y Transp'!$B$2:$E$217,2,0)</f>
        <v>4</v>
      </c>
      <c r="E5130" s="85" t="str">
        <f>VLOOKUP(A5130,'Equip, Herr y Transp'!$B$2:$E$217,3,0)</f>
        <v>TR</v>
      </c>
      <c r="F5130" s="86">
        <f>H5119</f>
        <v>0.16669999999999999</v>
      </c>
      <c r="G5130" s="112" t="e">
        <f>F5130*E5130</f>
        <v>#VALUE!</v>
      </c>
      <c r="H5130" s="107"/>
    </row>
    <row r="5131" spans="1:15">
      <c r="A5131" s="517" t="s">
        <v>8</v>
      </c>
      <c r="B5131" s="549" t="e">
        <f>VLOOKUP(A5131,'Equip, Herr y Transp'!$B$2:$E$738,2,0)</f>
        <v>#N/A</v>
      </c>
      <c r="C5131" s="549"/>
      <c r="D5131" s="85" t="e">
        <f>VLOOKUP(A5131,'Equip, Herr y Transp'!$B$2:$E$217,2,0)</f>
        <v>#N/A</v>
      </c>
      <c r="E5131" s="85" t="e">
        <f>VLOOKUP(A5131,'Equip, Herr y Transp'!$B$2:$E$217,3,0)</f>
        <v>#N/A</v>
      </c>
      <c r="F5131" s="86"/>
      <c r="G5131" s="112" t="e">
        <f>F5131*E5131</f>
        <v>#N/A</v>
      </c>
      <c r="H5131" s="107"/>
    </row>
    <row r="5132" spans="1:15">
      <c r="A5132" s="520" t="s">
        <v>4099</v>
      </c>
      <c r="B5132" s="521"/>
      <c r="C5132" s="521"/>
      <c r="D5132" s="521"/>
      <c r="E5132" s="521"/>
      <c r="F5132" s="521"/>
      <c r="G5132" s="521"/>
      <c r="H5132" s="87" t="e">
        <f>SUM(G5129:G5131)</f>
        <v>#VALUE!</v>
      </c>
    </row>
    <row r="5133" spans="1:15">
      <c r="A5133" s="550" t="s">
        <v>4219</v>
      </c>
      <c r="B5133" s="551"/>
      <c r="C5133" s="551"/>
      <c r="D5133" s="551"/>
      <c r="E5133" s="551"/>
      <c r="F5133" s="551"/>
      <c r="G5133" s="551"/>
      <c r="H5133" s="552"/>
      <c r="K5133" s="50"/>
      <c r="L5133" s="50"/>
      <c r="M5133" s="50"/>
      <c r="N5133" s="50"/>
      <c r="O5133" s="50"/>
    </row>
    <row r="5134" spans="1:15" ht="30" customHeight="1">
      <c r="A5134" s="553" t="s">
        <v>7</v>
      </c>
      <c r="B5134" s="554"/>
      <c r="C5134" s="99" t="s">
        <v>0</v>
      </c>
      <c r="D5134" s="100" t="s">
        <v>4097</v>
      </c>
      <c r="E5134" s="101" t="s">
        <v>1</v>
      </c>
      <c r="F5134" s="555" t="s">
        <v>4207</v>
      </c>
      <c r="G5134" s="555"/>
      <c r="H5134" s="196"/>
      <c r="K5134" s="50"/>
      <c r="L5134" s="50"/>
      <c r="M5134" s="50"/>
      <c r="N5134" s="50"/>
      <c r="O5134" s="50"/>
    </row>
    <row r="5135" spans="1:15">
      <c r="A5135" s="535" t="s">
        <v>4741</v>
      </c>
      <c r="B5135" s="536"/>
      <c r="C5135" s="88">
        <f>VLOOKUP(A5135,'Materiales '!$C$2:$G$396,3,0)</f>
        <v>4</v>
      </c>
      <c r="D5135" s="89" t="str">
        <f>VLOOKUP(A5135,'Materiales '!$C$2:$G$396,4,0)</f>
        <v>Und</v>
      </c>
      <c r="E5135" s="90">
        <v>1</v>
      </c>
      <c r="F5135" s="508" t="e">
        <f>E5135*D5135</f>
        <v>#VALUE!</v>
      </c>
      <c r="G5135" s="519"/>
      <c r="H5135" s="111"/>
      <c r="I5135">
        <f>E5135*G5126</f>
        <v>0</v>
      </c>
      <c r="J5135" s="57"/>
      <c r="K5135" s="50"/>
      <c r="L5135" s="50"/>
      <c r="M5135" s="50"/>
      <c r="N5135" s="50"/>
      <c r="O5135" s="50"/>
    </row>
    <row r="5136" spans="1:15">
      <c r="A5136" s="535" t="s">
        <v>4617</v>
      </c>
      <c r="B5136" s="536"/>
      <c r="C5136" s="88">
        <f>VLOOKUP(A5136,'Materiales '!$C$2:$G$396,3,0)</f>
        <v>3</v>
      </c>
      <c r="D5136" s="89" t="str">
        <f>VLOOKUP(A5136,'Materiales '!$C$2:$G$396,4,0)</f>
        <v>Rollo</v>
      </c>
      <c r="E5136" s="90">
        <v>0.5</v>
      </c>
      <c r="F5136" s="508" t="e">
        <f t="shared" ref="F5136:F5142" si="301">E5136*D5136</f>
        <v>#VALUE!</v>
      </c>
      <c r="G5136" s="519"/>
      <c r="H5136" s="111"/>
      <c r="I5136">
        <f>E5136*G5126</f>
        <v>0</v>
      </c>
      <c r="J5136" s="57"/>
      <c r="K5136" s="50"/>
      <c r="L5136" s="50"/>
      <c r="M5136" s="50"/>
      <c r="N5136" s="50"/>
      <c r="O5136" s="50"/>
    </row>
    <row r="5137" spans="1:15">
      <c r="A5137" s="517" t="s">
        <v>4628</v>
      </c>
      <c r="B5137" s="518">
        <f>VLOOKUP(A5137,'Materiales '!$C$2:$G$396,3,0)</f>
        <v>4</v>
      </c>
      <c r="C5137" s="88">
        <f>VLOOKUP(A5137,'Materiales '!$C$2:$G$396,3,0)</f>
        <v>4</v>
      </c>
      <c r="D5137" s="89" t="str">
        <f>VLOOKUP(A5137,'Materiales '!$C$2:$G$396,4,0)</f>
        <v>Und</v>
      </c>
      <c r="E5137" s="90">
        <v>6</v>
      </c>
      <c r="F5137" s="508" t="e">
        <f t="shared" si="301"/>
        <v>#VALUE!</v>
      </c>
      <c r="G5137" s="519"/>
      <c r="H5137" s="111"/>
      <c r="I5137">
        <f>E5137*G5126</f>
        <v>0</v>
      </c>
      <c r="J5137" s="58"/>
      <c r="K5137" s="50"/>
      <c r="L5137" s="50"/>
      <c r="M5137" s="50"/>
      <c r="N5137" s="50"/>
      <c r="O5137" s="50"/>
    </row>
    <row r="5138" spans="1:15">
      <c r="A5138" s="517" t="s">
        <v>8</v>
      </c>
      <c r="B5138" s="518">
        <f>VLOOKUP(A5138,'Materiales '!$C$2:$G$396,3,0)</f>
        <v>0</v>
      </c>
      <c r="C5138" s="88">
        <f>VLOOKUP(A5138,'Materiales '!$C$2:$G$396,3,0)</f>
        <v>0</v>
      </c>
      <c r="D5138" s="89" t="str">
        <f>VLOOKUP(A5138,'Materiales '!$C$2:$G$396,4,0)</f>
        <v>-</v>
      </c>
      <c r="E5138" s="90">
        <v>3</v>
      </c>
      <c r="F5138" s="508" t="e">
        <f t="shared" si="301"/>
        <v>#VALUE!</v>
      </c>
      <c r="G5138" s="519"/>
      <c r="H5138" s="111"/>
      <c r="I5138">
        <f>E5138*G5126</f>
        <v>0</v>
      </c>
      <c r="J5138" s="58"/>
      <c r="K5138" s="50"/>
      <c r="L5138" s="50"/>
      <c r="M5138" s="50"/>
      <c r="N5138" s="50"/>
      <c r="O5138" s="50"/>
    </row>
    <row r="5139" spans="1:15">
      <c r="A5139" s="517" t="s">
        <v>8</v>
      </c>
      <c r="B5139" s="518">
        <f>VLOOKUP(A5139,'Materiales '!$C$2:$G$396,3,0)</f>
        <v>0</v>
      </c>
      <c r="C5139" s="88">
        <f>VLOOKUP(A5139,'Materiales '!$C$2:$G$396,3,0)</f>
        <v>0</v>
      </c>
      <c r="D5139" s="89" t="str">
        <f>VLOOKUP(A5139,'Materiales '!$C$2:$G$396,4,0)</f>
        <v>-</v>
      </c>
      <c r="E5139" s="90">
        <v>2</v>
      </c>
      <c r="F5139" s="508" t="e">
        <f t="shared" si="301"/>
        <v>#VALUE!</v>
      </c>
      <c r="G5139" s="519"/>
      <c r="H5139" s="111"/>
      <c r="I5139">
        <f>E5139*G5126</f>
        <v>0</v>
      </c>
      <c r="J5139" s="58"/>
      <c r="K5139" s="50"/>
      <c r="L5139" s="50"/>
      <c r="M5139" s="50"/>
      <c r="N5139" s="50"/>
      <c r="O5139" s="50"/>
    </row>
    <row r="5140" spans="1:15">
      <c r="A5140" s="517" t="s">
        <v>8</v>
      </c>
      <c r="B5140" s="518">
        <f>VLOOKUP(A5140,'Materiales '!$C$2:$G$396,3,0)</f>
        <v>0</v>
      </c>
      <c r="C5140" s="88">
        <f>VLOOKUP(A5140,'Materiales '!$C$2:$G$396,3,0)</f>
        <v>0</v>
      </c>
      <c r="D5140" s="89" t="str">
        <f>VLOOKUP(A5140,'Materiales '!$C$2:$G$396,4,0)</f>
        <v>-</v>
      </c>
      <c r="E5140" s="90">
        <v>8</v>
      </c>
      <c r="F5140" s="508" t="e">
        <f t="shared" si="301"/>
        <v>#VALUE!</v>
      </c>
      <c r="G5140" s="519"/>
      <c r="H5140" s="111"/>
      <c r="I5140">
        <f>E5140*G5126</f>
        <v>0</v>
      </c>
      <c r="J5140" s="58"/>
      <c r="K5140" s="50"/>
      <c r="L5140" s="50"/>
      <c r="M5140" s="50"/>
      <c r="N5140" s="50"/>
      <c r="O5140" s="50"/>
    </row>
    <row r="5141" spans="1:15">
      <c r="A5141" s="517" t="s">
        <v>8</v>
      </c>
      <c r="B5141" s="518">
        <f>VLOOKUP(A5141,'Materiales '!$C$2:$G$396,3,0)</f>
        <v>0</v>
      </c>
      <c r="C5141" s="88">
        <f>VLOOKUP(A5141,'Materiales '!$C$2:$G$396,3,0)</f>
        <v>0</v>
      </c>
      <c r="D5141" s="89" t="str">
        <f>VLOOKUP(A5141,'Materiales '!$C$2:$G$396,4,0)</f>
        <v>-</v>
      </c>
      <c r="E5141" s="90">
        <v>3</v>
      </c>
      <c r="F5141" s="508" t="e">
        <f t="shared" si="301"/>
        <v>#VALUE!</v>
      </c>
      <c r="G5141" s="519"/>
      <c r="H5141" s="111"/>
      <c r="I5141">
        <f>E5141*G5126</f>
        <v>0</v>
      </c>
      <c r="J5141" s="58"/>
      <c r="K5141" s="50"/>
      <c r="L5141" s="50"/>
      <c r="M5141" s="50"/>
      <c r="N5141" s="50"/>
      <c r="O5141" s="50"/>
    </row>
    <row r="5142" spans="1:15" ht="21.75" customHeight="1">
      <c r="A5142" s="517" t="s">
        <v>8</v>
      </c>
      <c r="B5142" s="518">
        <f>VLOOKUP(A5142,'Materiales '!$C$2:$G$396,3,0)</f>
        <v>0</v>
      </c>
      <c r="C5142" s="88">
        <f>VLOOKUP(A5142,'Materiales '!$C$2:$G$396,3,0)</f>
        <v>0</v>
      </c>
      <c r="D5142" s="89" t="str">
        <f>VLOOKUP(A5142,'Materiales '!$C$2:$G$396,4,0)</f>
        <v>-</v>
      </c>
      <c r="E5142" s="90">
        <v>0.5</v>
      </c>
      <c r="F5142" s="508" t="e">
        <f t="shared" si="301"/>
        <v>#VALUE!</v>
      </c>
      <c r="G5142" s="519"/>
      <c r="H5142" s="111"/>
      <c r="I5142">
        <f>E5142*G5126</f>
        <v>0</v>
      </c>
      <c r="J5142" s="58"/>
      <c r="K5142" s="50"/>
      <c r="L5142" s="50"/>
      <c r="M5142" s="50"/>
      <c r="N5142" s="50"/>
      <c r="O5142" s="50"/>
    </row>
    <row r="5143" spans="1:15">
      <c r="A5143" s="517" t="s">
        <v>8</v>
      </c>
      <c r="B5143" s="518">
        <f>VLOOKUP(A5143,'Materiales '!$C$2:$G$396,3,0)</f>
        <v>0</v>
      </c>
      <c r="C5143" s="88">
        <f>VLOOKUP(A5143,'Materiales '!$C$2:$G$396,3,0)</f>
        <v>0</v>
      </c>
      <c r="D5143" s="89" t="str">
        <f>VLOOKUP(A5143,'Materiales '!$C$2:$G$396,4,0)</f>
        <v>-</v>
      </c>
      <c r="E5143" s="90"/>
      <c r="F5143" s="508" t="e">
        <f>E5143*D5143</f>
        <v>#VALUE!</v>
      </c>
      <c r="G5143" s="519"/>
      <c r="H5143" s="110"/>
      <c r="I5143">
        <f>E5143*G5126</f>
        <v>0</v>
      </c>
      <c r="J5143" s="58"/>
      <c r="K5143" s="50"/>
      <c r="L5143" s="50"/>
      <c r="M5143" s="50"/>
      <c r="N5143" s="50"/>
      <c r="O5143" s="50"/>
    </row>
    <row r="5144" spans="1:15">
      <c r="A5144" s="517" t="s">
        <v>8</v>
      </c>
      <c r="B5144" s="518">
        <f>VLOOKUP(A5144,'Materiales '!$C$2:$G$396,3,0)</f>
        <v>0</v>
      </c>
      <c r="C5144" s="88">
        <f>VLOOKUP(A5144,'Materiales '!$C$2:$G$396,3,0)</f>
        <v>0</v>
      </c>
      <c r="D5144" s="89" t="str">
        <f>VLOOKUP(A5144,'Materiales '!$C$2:$G$396,4,0)</f>
        <v>-</v>
      </c>
      <c r="E5144" s="90"/>
      <c r="F5144" s="508" t="e">
        <f t="shared" ref="F5144:F5147" si="302">E5144*D5144</f>
        <v>#VALUE!</v>
      </c>
      <c r="G5144" s="519"/>
      <c r="H5144" s="111"/>
      <c r="I5144">
        <f>E5144*G5126</f>
        <v>0</v>
      </c>
      <c r="J5144" s="58"/>
      <c r="K5144" s="50"/>
      <c r="L5144" s="50"/>
      <c r="M5144" s="50"/>
      <c r="N5144" s="50"/>
      <c r="O5144" s="50"/>
    </row>
    <row r="5145" spans="1:15">
      <c r="A5145" s="517" t="s">
        <v>8</v>
      </c>
      <c r="B5145" s="518">
        <f>VLOOKUP(A5145,'Materiales '!$C$2:$G$396,3,0)</f>
        <v>0</v>
      </c>
      <c r="C5145" s="88">
        <f>VLOOKUP(A5145,'Materiales '!$C$2:$G$396,3,0)</f>
        <v>0</v>
      </c>
      <c r="D5145" s="89" t="str">
        <f>VLOOKUP(A5145,'Materiales '!$C$2:$G$396,4,0)</f>
        <v>-</v>
      </c>
      <c r="E5145" s="90"/>
      <c r="F5145" s="508" t="e">
        <f t="shared" si="302"/>
        <v>#VALUE!</v>
      </c>
      <c r="G5145" s="519"/>
      <c r="H5145" s="111"/>
      <c r="I5145">
        <f>E5145*G5126</f>
        <v>0</v>
      </c>
      <c r="J5145" s="58"/>
      <c r="K5145" s="50"/>
      <c r="L5145" s="50"/>
      <c r="M5145" s="50"/>
      <c r="N5145" s="50"/>
      <c r="O5145" s="50"/>
    </row>
    <row r="5146" spans="1:15">
      <c r="A5146" s="517" t="s">
        <v>8</v>
      </c>
      <c r="B5146" s="518">
        <f>VLOOKUP(A5146,'Materiales '!$C$2:$G$396,3,0)</f>
        <v>0</v>
      </c>
      <c r="C5146" s="88">
        <f>VLOOKUP(A5146,'Materiales '!$C$2:$G$396,3,0)</f>
        <v>0</v>
      </c>
      <c r="D5146" s="89" t="str">
        <f>VLOOKUP(A5146,'Materiales '!$C$2:$G$396,4,0)</f>
        <v>-</v>
      </c>
      <c r="E5146" s="90"/>
      <c r="F5146" s="508" t="e">
        <f t="shared" si="302"/>
        <v>#VALUE!</v>
      </c>
      <c r="G5146" s="519"/>
      <c r="H5146" s="111"/>
      <c r="I5146">
        <f>E5146*G5126</f>
        <v>0</v>
      </c>
      <c r="J5146" s="58"/>
      <c r="K5146" s="50"/>
      <c r="L5146" s="50"/>
      <c r="M5146" s="50"/>
      <c r="N5146" s="50"/>
      <c r="O5146" s="50"/>
    </row>
    <row r="5147" spans="1:15">
      <c r="A5147" s="517" t="s">
        <v>8</v>
      </c>
      <c r="B5147" s="518">
        <f>VLOOKUP(A5147,'Materiales '!$C$2:$G$396,3,0)</f>
        <v>0</v>
      </c>
      <c r="C5147" s="88">
        <f>VLOOKUP(A5147,'Materiales '!$C$2:$G$396,3,0)</f>
        <v>0</v>
      </c>
      <c r="D5147" s="89" t="str">
        <f>VLOOKUP(A5147,'Materiales '!$C$2:$G$396,4,0)</f>
        <v>-</v>
      </c>
      <c r="E5147" s="90"/>
      <c r="F5147" s="508" t="e">
        <f t="shared" si="302"/>
        <v>#VALUE!</v>
      </c>
      <c r="G5147" s="519"/>
      <c r="H5147" s="111"/>
      <c r="I5147">
        <f>E5147*G5126</f>
        <v>0</v>
      </c>
      <c r="J5147" s="58"/>
      <c r="K5147" s="50"/>
      <c r="L5147" s="50"/>
      <c r="M5147" s="50"/>
      <c r="N5147" s="50"/>
      <c r="O5147" s="50"/>
    </row>
    <row r="5148" spans="1:15">
      <c r="A5148" s="517" t="s">
        <v>8</v>
      </c>
      <c r="B5148" s="518">
        <f>VLOOKUP(A5148,'Materiales '!$C$2:$G$396,3,0)</f>
        <v>0</v>
      </c>
      <c r="C5148" s="88">
        <f>VLOOKUP(A5148,'Materiales '!$C$2:$G$396,3,0)</f>
        <v>0</v>
      </c>
      <c r="D5148" s="89" t="str">
        <f>VLOOKUP(A5148,'Materiales '!$C$2:$G$396,4,0)</f>
        <v>-</v>
      </c>
      <c r="E5148" s="90"/>
      <c r="F5148" s="508" t="e">
        <f>E5148*D5148</f>
        <v>#VALUE!</v>
      </c>
      <c r="G5148" s="519"/>
      <c r="H5148" s="110"/>
      <c r="I5148">
        <f>E5148*G5126</f>
        <v>0</v>
      </c>
      <c r="J5148" s="58"/>
      <c r="K5148" s="50"/>
      <c r="L5148" s="50"/>
      <c r="M5148" s="50"/>
      <c r="N5148" s="50"/>
      <c r="O5148" s="50"/>
    </row>
    <row r="5149" spans="1:15">
      <c r="A5149" s="520" t="s">
        <v>4098</v>
      </c>
      <c r="B5149" s="521"/>
      <c r="C5149" s="521"/>
      <c r="D5149" s="521"/>
      <c r="E5149" s="521"/>
      <c r="F5149" s="521"/>
      <c r="G5149" s="522"/>
      <c r="H5149" s="106" t="e">
        <f>SUM(F5135:F5148)</f>
        <v>#VALUE!</v>
      </c>
      <c r="J5149" s="58"/>
      <c r="K5149" s="50"/>
      <c r="L5149" s="50"/>
      <c r="M5149" s="50"/>
      <c r="N5149" s="50"/>
      <c r="O5149" s="50"/>
    </row>
    <row r="5150" spans="1:15">
      <c r="A5150" s="523" t="s">
        <v>4220</v>
      </c>
      <c r="B5150" s="524"/>
      <c r="C5150" s="524"/>
      <c r="D5150" s="524"/>
      <c r="E5150" s="525"/>
      <c r="F5150" s="524"/>
      <c r="G5150" s="524"/>
      <c r="H5150" s="526"/>
      <c r="J5150" s="58"/>
      <c r="K5150" s="50"/>
      <c r="L5150" s="50"/>
      <c r="M5150" s="50"/>
      <c r="N5150" s="50"/>
      <c r="O5150" s="50"/>
    </row>
    <row r="5151" spans="1:15">
      <c r="A5151" s="527" t="s">
        <v>7</v>
      </c>
      <c r="B5151" s="528"/>
      <c r="C5151" s="98" t="s">
        <v>4221</v>
      </c>
      <c r="D5151" s="97" t="s">
        <v>4222</v>
      </c>
      <c r="E5151" s="187" t="s">
        <v>4223</v>
      </c>
      <c r="F5151" s="529" t="s">
        <v>4207</v>
      </c>
      <c r="G5151" s="529"/>
      <c r="H5151" s="109"/>
      <c r="K5151" s="50"/>
      <c r="L5151" s="50"/>
      <c r="M5151" s="50"/>
      <c r="N5151" s="50"/>
      <c r="O5151" s="50"/>
    </row>
    <row r="5152" spans="1:15">
      <c r="A5152" s="506" t="s">
        <v>3928</v>
      </c>
      <c r="B5152" s="507"/>
      <c r="C5152" s="213">
        <v>1</v>
      </c>
      <c r="D5152" s="92">
        <v>0.03</v>
      </c>
      <c r="E5152" s="93" t="str">
        <f>VLOOKUP(A5152,'Equip, Herr y Transp'!$B$2:$E$217,3,0)</f>
        <v>TR</v>
      </c>
      <c r="F5152" s="530" t="e">
        <f>E5152*D5152*C5152</f>
        <v>#VALUE!</v>
      </c>
      <c r="G5152" s="531"/>
      <c r="H5152" s="107"/>
      <c r="M5152" s="50"/>
    </row>
    <row r="5153" spans="1:10">
      <c r="A5153" s="532" t="s">
        <v>4205</v>
      </c>
      <c r="B5153" s="533"/>
      <c r="C5153" s="533"/>
      <c r="D5153" s="533"/>
      <c r="E5153" s="533"/>
      <c r="F5153" s="533"/>
      <c r="G5153" s="533"/>
      <c r="H5153" s="95" t="e">
        <f>F5152</f>
        <v>#VALUE!</v>
      </c>
    </row>
    <row r="5154" spans="1:10">
      <c r="A5154" s="523" t="s">
        <v>4224</v>
      </c>
      <c r="B5154" s="524"/>
      <c r="C5154" s="524"/>
      <c r="D5154" s="524"/>
      <c r="E5154" s="524"/>
      <c r="F5154" s="524"/>
      <c r="G5154" s="524"/>
      <c r="H5154" s="526"/>
    </row>
    <row r="5155" spans="1:10">
      <c r="A5155" s="527" t="s">
        <v>7</v>
      </c>
      <c r="B5155" s="528"/>
      <c r="C5155" s="96" t="s">
        <v>1</v>
      </c>
      <c r="D5155" s="97" t="s">
        <v>4225</v>
      </c>
      <c r="E5155" s="98" t="s">
        <v>4204</v>
      </c>
      <c r="F5155" s="527" t="s">
        <v>5</v>
      </c>
      <c r="G5155" s="534"/>
      <c r="H5155" s="109"/>
    </row>
    <row r="5156" spans="1:10">
      <c r="A5156" s="506" t="s">
        <v>4191</v>
      </c>
      <c r="B5156" s="507"/>
      <c r="C5156" s="91">
        <v>1</v>
      </c>
      <c r="D5156" s="94">
        <f>VLOOKUP(A5156,'Mano Obra'!$B$2:$T$117,19,0)</f>
        <v>152456</v>
      </c>
      <c r="E5156" s="218">
        <f>H5119</f>
        <v>0.16669999999999999</v>
      </c>
      <c r="F5156" s="508">
        <f>E5156*D5156*C5156</f>
        <v>25414.415199999999</v>
      </c>
      <c r="G5156" s="509"/>
      <c r="H5156" s="111"/>
      <c r="I5156" s="59"/>
      <c r="J5156" s="117">
        <f>((('Mano Obra'!$M$4/30)*F5156)/D5156)*G5126</f>
        <v>0</v>
      </c>
    </row>
    <row r="5157" spans="1:10">
      <c r="A5157" s="510" t="s">
        <v>4192</v>
      </c>
      <c r="B5157" s="511">
        <f>VLOOKUP(A5157,'Mano Obra'!$B$3:$D$290,2,0)</f>
        <v>1900000</v>
      </c>
      <c r="C5157" s="91">
        <v>1</v>
      </c>
      <c r="D5157" s="94">
        <f>VLOOKUP(A5157,'Mano Obra'!$B$2:$T$117,19,0)</f>
        <v>110488</v>
      </c>
      <c r="E5157" s="218">
        <f>H5119</f>
        <v>0.16669999999999999</v>
      </c>
      <c r="F5157" s="508">
        <f t="shared" ref="F5157:F5158" si="303">E5157*D5157*C5157</f>
        <v>18418.349599999998</v>
      </c>
      <c r="G5157" s="509"/>
      <c r="H5157" s="111"/>
      <c r="J5157" s="117">
        <f>((('Mano Obra'!$M$5/30)*F5157)/D5157)*G5126</f>
        <v>0</v>
      </c>
    </row>
    <row r="5158" spans="1:10">
      <c r="A5158" s="510" t="s">
        <v>4181</v>
      </c>
      <c r="B5158" s="511">
        <f>VLOOKUP(A5158,'Mano Obra'!$B$3:$D$290,2,0)</f>
        <v>1000000</v>
      </c>
      <c r="C5158" s="91">
        <v>1</v>
      </c>
      <c r="D5158" s="94">
        <f>VLOOKUP(A5158,'Mano Obra'!$B$2:$T$117,19,0)</f>
        <v>67424</v>
      </c>
      <c r="E5158" s="218">
        <f>H5119</f>
        <v>0.16669999999999999</v>
      </c>
      <c r="F5158" s="508">
        <f t="shared" si="303"/>
        <v>11239.5808</v>
      </c>
      <c r="G5158" s="509"/>
      <c r="H5158" s="110"/>
      <c r="J5158" s="117">
        <f>((('Mano Obra'!$M$6/30)*F5158)/D5158)*G5126</f>
        <v>0</v>
      </c>
    </row>
    <row r="5159" spans="1:10">
      <c r="A5159" s="512" t="s">
        <v>4100</v>
      </c>
      <c r="B5159" s="512"/>
      <c r="C5159" s="512"/>
      <c r="D5159" s="512"/>
      <c r="E5159" s="512"/>
      <c r="F5159" s="512"/>
      <c r="G5159" s="512"/>
      <c r="H5159" s="95">
        <f>SUM(F5156:F5158)</f>
        <v>55072.345600000001</v>
      </c>
      <c r="J5159" s="117"/>
    </row>
    <row r="5160" spans="1:10">
      <c r="A5160" s="208" t="s">
        <v>4226</v>
      </c>
      <c r="B5160" s="186"/>
      <c r="C5160" s="186"/>
      <c r="D5160" s="183"/>
      <c r="E5160" s="184"/>
      <c r="F5160" s="185"/>
      <c r="G5160" s="184"/>
      <c r="H5160" s="193"/>
    </row>
    <row r="5161" spans="1:10">
      <c r="A5161" s="513" t="s">
        <v>4213</v>
      </c>
      <c r="B5161" s="514"/>
      <c r="C5161" s="514"/>
      <c r="D5161" s="514"/>
      <c r="E5161" s="181"/>
      <c r="F5161" s="182" t="s">
        <v>4227</v>
      </c>
      <c r="G5161" s="181" t="s">
        <v>4228</v>
      </c>
      <c r="H5161" s="194"/>
    </row>
    <row r="5162" spans="1:10">
      <c r="A5162" s="204" t="s">
        <v>4096</v>
      </c>
      <c r="B5162" s="62"/>
      <c r="C5162" s="62"/>
      <c r="D5162" s="63"/>
      <c r="E5162" s="68"/>
      <c r="F5162" s="69">
        <v>0</v>
      </c>
      <c r="G5162" s="70" t="e">
        <f>F5162*H5127</f>
        <v>#VALUE!</v>
      </c>
      <c r="H5162" s="193"/>
    </row>
    <row r="5163" spans="1:10">
      <c r="A5163" s="205" t="s">
        <v>4229</v>
      </c>
      <c r="B5163" s="71"/>
      <c r="C5163" s="71"/>
      <c r="D5163" s="72"/>
      <c r="E5163" s="68"/>
      <c r="F5163" s="69">
        <v>0</v>
      </c>
      <c r="G5163" s="70" t="e">
        <f>F5163*H5127</f>
        <v>#VALUE!</v>
      </c>
      <c r="H5163" s="193"/>
    </row>
    <row r="5164" spans="1:10">
      <c r="A5164" s="205" t="s">
        <v>4</v>
      </c>
      <c r="B5164" s="71"/>
      <c r="C5164" s="71"/>
      <c r="D5164" s="72"/>
      <c r="E5164" s="68"/>
      <c r="F5164" s="69">
        <v>0</v>
      </c>
      <c r="G5164" s="70" t="e">
        <f>F5164*H5127</f>
        <v>#VALUE!</v>
      </c>
      <c r="H5164" s="193"/>
    </row>
    <row r="5165" spans="1:10">
      <c r="A5165" s="206"/>
      <c r="B5165" s="73"/>
      <c r="C5165" s="65"/>
      <c r="D5165" s="74"/>
      <c r="E5165" s="75"/>
      <c r="F5165" s="76"/>
      <c r="G5165" s="77"/>
      <c r="H5165" s="195"/>
    </row>
    <row r="5166" spans="1:10">
      <c r="A5166" s="207"/>
      <c r="B5166" s="73"/>
      <c r="C5166" s="73"/>
      <c r="D5166" s="74"/>
      <c r="E5166" s="78"/>
      <c r="F5166" s="515" t="s">
        <v>4230</v>
      </c>
      <c r="G5166" s="516"/>
      <c r="H5166" s="214" t="e">
        <f>H5127+G5162+G5163+G5164</f>
        <v>#VALUE!</v>
      </c>
    </row>
    <row r="5167" spans="1:10">
      <c r="A5167" s="73"/>
      <c r="B5167" s="73"/>
      <c r="C5167" s="73"/>
      <c r="D5167" s="74"/>
      <c r="E5167" s="360"/>
      <c r="F5167" s="361"/>
      <c r="G5167" s="361"/>
      <c r="H5167" s="362"/>
    </row>
    <row r="5168" spans="1:10">
      <c r="A5168" s="80"/>
      <c r="B5168" s="80"/>
      <c r="C5168" s="80"/>
      <c r="D5168" s="80"/>
      <c r="E5168" s="80"/>
      <c r="F5168" s="80"/>
      <c r="G5168" s="80"/>
      <c r="H5168" s="353"/>
    </row>
    <row r="5169" spans="1:15">
      <c r="A5169" s="537" t="s">
        <v>4214</v>
      </c>
      <c r="B5169" s="538"/>
      <c r="C5169" s="538"/>
      <c r="D5169" s="538"/>
      <c r="E5169" s="538"/>
      <c r="F5169" s="538"/>
      <c r="G5169" s="538"/>
      <c r="H5169" s="539"/>
    </row>
    <row r="5170" spans="1:15">
      <c r="A5170" s="81"/>
      <c r="B5170" s="82"/>
      <c r="C5170" s="82"/>
      <c r="D5170" s="82"/>
      <c r="E5170" s="82"/>
      <c r="F5170" s="83"/>
      <c r="G5170" s="84"/>
      <c r="H5170" s="352">
        <f>ROUND((80/60)/8,4)</f>
        <v>0.16669999999999999</v>
      </c>
      <c r="I5170" s="105"/>
    </row>
    <row r="5171" spans="1:15">
      <c r="A5171" s="540" t="s">
        <v>4209</v>
      </c>
      <c r="B5171" s="542" t="str">
        <f>COSTOS!$C$14</f>
        <v>MODERNIZACION A TECNOLOGIA LED</v>
      </c>
      <c r="C5171" s="542"/>
      <c r="D5171" s="542"/>
      <c r="E5171" s="542"/>
      <c r="F5171" s="542"/>
      <c r="G5171" s="542"/>
      <c r="H5171" s="543" t="s">
        <v>4210</v>
      </c>
    </row>
    <row r="5172" spans="1:15">
      <c r="A5172" s="541"/>
      <c r="B5172" s="542"/>
      <c r="C5172" s="542"/>
      <c r="D5172" s="542"/>
      <c r="E5172" s="542"/>
      <c r="F5172" s="542"/>
      <c r="G5172" s="542"/>
      <c r="H5172" s="543"/>
    </row>
    <row r="5173" spans="1:15">
      <c r="A5173" s="541"/>
      <c r="B5173" s="542"/>
      <c r="C5173" s="542"/>
      <c r="D5173" s="542"/>
      <c r="E5173" s="542"/>
      <c r="F5173" s="542"/>
      <c r="G5173" s="542"/>
      <c r="H5173" s="543"/>
    </row>
    <row r="5174" spans="1:15" ht="15" customHeight="1">
      <c r="A5174" s="541"/>
      <c r="B5174" s="542"/>
      <c r="C5174" s="542"/>
      <c r="D5174" s="542"/>
      <c r="E5174" s="542"/>
      <c r="F5174" s="542"/>
      <c r="G5174" s="542"/>
      <c r="H5174" s="197">
        <f ca="1">TODAY()</f>
        <v>44889</v>
      </c>
      <c r="K5174" t="s">
        <v>4380</v>
      </c>
      <c r="L5174" t="s">
        <v>4381</v>
      </c>
      <c r="M5174" t="s">
        <v>4382</v>
      </c>
      <c r="N5174" t="s">
        <v>4383</v>
      </c>
    </row>
    <row r="5175" spans="1:15" ht="60.75" customHeight="1">
      <c r="A5175" s="209" t="s">
        <v>4211</v>
      </c>
      <c r="B5175" s="544" t="str">
        <f>COSTOS!$D$16</f>
        <v>Luminarias</v>
      </c>
      <c r="C5175" s="544"/>
      <c r="D5175" s="544"/>
      <c r="E5175" s="544"/>
      <c r="F5175" s="544"/>
      <c r="G5175" s="60" t="s">
        <v>4212</v>
      </c>
      <c r="H5175" s="363" t="s">
        <v>4745</v>
      </c>
      <c r="K5175" s="55" t="e">
        <f>H5200</f>
        <v>#VALUE!</v>
      </c>
      <c r="L5175" s="55">
        <f>H5210</f>
        <v>55072.345600000001</v>
      </c>
      <c r="M5175" s="55" t="e">
        <f>H5183</f>
        <v>#VALUE!</v>
      </c>
      <c r="N5175" s="55" t="e">
        <f>H5204</f>
        <v>#VALUE!</v>
      </c>
    </row>
    <row r="5176" spans="1:15" ht="43.2" customHeight="1">
      <c r="A5176" s="210" t="s">
        <v>4213</v>
      </c>
      <c r="B5176" s="545" t="str">
        <f>VLOOKUP(H5175,COSTOS!C:M,2,0)</f>
        <v>Poste de traslucido 10 metros</v>
      </c>
      <c r="C5176" s="546"/>
      <c r="D5176" s="546"/>
      <c r="E5176" s="547"/>
      <c r="F5176" s="61" t="s">
        <v>0</v>
      </c>
      <c r="G5176" s="328" t="str">
        <f>VLOOKUP(H5175,COSTOS!C:M,8,0)</f>
        <v>Und</v>
      </c>
      <c r="H5176" s="248"/>
      <c r="I5176" s="278"/>
      <c r="J5176" s="280"/>
      <c r="K5176" s="280"/>
      <c r="L5176" s="280"/>
    </row>
    <row r="5177" spans="1:15">
      <c r="A5177" s="211"/>
      <c r="B5177" s="102"/>
      <c r="C5177" s="102"/>
      <c r="D5177" s="102"/>
      <c r="E5177" s="103"/>
      <c r="F5177" s="104" t="s">
        <v>1</v>
      </c>
      <c r="G5177" s="328">
        <f>VLOOKUP(H5175,COSTOS!C:M,9,0)</f>
        <v>0</v>
      </c>
      <c r="H5177" s="329"/>
      <c r="I5177" s="279"/>
    </row>
    <row r="5178" spans="1:15">
      <c r="A5178" s="212" t="s">
        <v>4215</v>
      </c>
      <c r="B5178" s="65"/>
      <c r="C5178" s="65"/>
      <c r="D5178" s="66"/>
      <c r="E5178" s="190"/>
      <c r="F5178" s="191"/>
      <c r="G5178" s="192" t="s">
        <v>4216</v>
      </c>
      <c r="H5178" s="198" t="e">
        <f>H5183+H5200+H5204+H5210</f>
        <v>#VALUE!</v>
      </c>
    </row>
    <row r="5179" spans="1:15" ht="41.4">
      <c r="A5179" s="548" t="s">
        <v>4213</v>
      </c>
      <c r="B5179" s="548"/>
      <c r="C5179" s="548"/>
      <c r="D5179" s="67" t="s">
        <v>0</v>
      </c>
      <c r="E5179" s="188" t="s">
        <v>4217</v>
      </c>
      <c r="F5179" s="189" t="s">
        <v>4204</v>
      </c>
      <c r="G5179" s="64" t="s">
        <v>2</v>
      </c>
      <c r="H5179" s="199" t="s">
        <v>4218</v>
      </c>
      <c r="K5179" s="281"/>
    </row>
    <row r="5180" spans="1:15">
      <c r="A5180" s="517" t="s">
        <v>3946</v>
      </c>
      <c r="B5180" s="549">
        <f>VLOOKUP(A5180,'Equip, Herr y Transp'!$B$2:$E$738,2,0)</f>
        <v>2</v>
      </c>
      <c r="C5180" s="549"/>
      <c r="D5180" s="85">
        <f>VLOOKUP(A5180,'Equip, Herr y Transp'!$B$2:$E$217,2,0)</f>
        <v>2</v>
      </c>
      <c r="E5180" s="85" t="str">
        <f>VLOOKUP(A5180,'Equip, Herr y Transp'!$B$2:$E$217,3,0)</f>
        <v>EQU</v>
      </c>
      <c r="F5180" s="86">
        <f>H5170</f>
        <v>0.16669999999999999</v>
      </c>
      <c r="G5180" s="112" t="e">
        <f>F5180*E5180</f>
        <v>#VALUE!</v>
      </c>
      <c r="H5180" s="108"/>
    </row>
    <row r="5181" spans="1:15">
      <c r="A5181" s="517" t="s">
        <v>3894</v>
      </c>
      <c r="B5181" s="549">
        <f>VLOOKUP(A5181,'Equip, Herr y Transp'!$B$2:$E$738,2,0)</f>
        <v>4</v>
      </c>
      <c r="C5181" s="549"/>
      <c r="D5181" s="85">
        <f>VLOOKUP(A5181,'Equip, Herr y Transp'!$B$2:$E$217,2,0)</f>
        <v>4</v>
      </c>
      <c r="E5181" s="85" t="str">
        <f>VLOOKUP(A5181,'Equip, Herr y Transp'!$B$2:$E$217,3,0)</f>
        <v>TR</v>
      </c>
      <c r="F5181" s="86">
        <f>H5170</f>
        <v>0.16669999999999999</v>
      </c>
      <c r="G5181" s="112" t="e">
        <f>F5181*E5181</f>
        <v>#VALUE!</v>
      </c>
      <c r="H5181" s="107"/>
    </row>
    <row r="5182" spans="1:15">
      <c r="A5182" s="517" t="s">
        <v>8</v>
      </c>
      <c r="B5182" s="549" t="e">
        <f>VLOOKUP(A5182,'Equip, Herr y Transp'!$B$2:$E$738,2,0)</f>
        <v>#N/A</v>
      </c>
      <c r="C5182" s="549"/>
      <c r="D5182" s="85" t="e">
        <f>VLOOKUP(A5182,'Equip, Herr y Transp'!$B$2:$E$217,2,0)</f>
        <v>#N/A</v>
      </c>
      <c r="E5182" s="85" t="e">
        <f>VLOOKUP(A5182,'Equip, Herr y Transp'!$B$2:$E$217,3,0)</f>
        <v>#N/A</v>
      </c>
      <c r="F5182" s="86"/>
      <c r="G5182" s="112" t="e">
        <f>F5182*E5182</f>
        <v>#N/A</v>
      </c>
      <c r="H5182" s="107"/>
    </row>
    <row r="5183" spans="1:15">
      <c r="A5183" s="520" t="s">
        <v>4099</v>
      </c>
      <c r="B5183" s="521"/>
      <c r="C5183" s="521"/>
      <c r="D5183" s="521"/>
      <c r="E5183" s="521"/>
      <c r="F5183" s="521"/>
      <c r="G5183" s="521"/>
      <c r="H5183" s="87" t="e">
        <f>SUM(G5180:G5182)</f>
        <v>#VALUE!</v>
      </c>
    </row>
    <row r="5184" spans="1:15">
      <c r="A5184" s="550" t="s">
        <v>4219</v>
      </c>
      <c r="B5184" s="551"/>
      <c r="C5184" s="551"/>
      <c r="D5184" s="551"/>
      <c r="E5184" s="551"/>
      <c r="F5184" s="551"/>
      <c r="G5184" s="551"/>
      <c r="H5184" s="552"/>
      <c r="K5184" s="50"/>
      <c r="L5184" s="50"/>
      <c r="M5184" s="50"/>
      <c r="N5184" s="50"/>
      <c r="O5184" s="50"/>
    </row>
    <row r="5185" spans="1:15" ht="30" customHeight="1">
      <c r="A5185" s="553" t="s">
        <v>7</v>
      </c>
      <c r="B5185" s="554"/>
      <c r="C5185" s="99" t="s">
        <v>0</v>
      </c>
      <c r="D5185" s="100" t="s">
        <v>4097</v>
      </c>
      <c r="E5185" s="101" t="s">
        <v>1</v>
      </c>
      <c r="F5185" s="555" t="s">
        <v>4207</v>
      </c>
      <c r="G5185" s="555"/>
      <c r="H5185" s="196"/>
      <c r="K5185" s="50"/>
      <c r="L5185" s="50"/>
      <c r="M5185" s="50"/>
      <c r="N5185" s="50"/>
      <c r="O5185" s="50"/>
    </row>
    <row r="5186" spans="1:15">
      <c r="A5186" s="535" t="s">
        <v>4558</v>
      </c>
      <c r="B5186" s="536"/>
      <c r="C5186" s="88">
        <f>VLOOKUP(A5186,'Materiales '!$C$2:$G$396,3,0)</f>
        <v>4</v>
      </c>
      <c r="D5186" s="89" t="str">
        <f>VLOOKUP(A5186,'Materiales '!$C$2:$G$396,4,0)</f>
        <v>Und</v>
      </c>
      <c r="E5186" s="90">
        <v>1</v>
      </c>
      <c r="F5186" s="508" t="e">
        <f>E5186*D5186</f>
        <v>#VALUE!</v>
      </c>
      <c r="G5186" s="519"/>
      <c r="H5186" s="111"/>
      <c r="I5186">
        <f>E5186*G5177</f>
        <v>0</v>
      </c>
      <c r="J5186" s="57"/>
      <c r="K5186" s="50"/>
      <c r="L5186" s="50"/>
      <c r="M5186" s="50"/>
      <c r="N5186" s="50"/>
      <c r="O5186" s="50"/>
    </row>
    <row r="5187" spans="1:15">
      <c r="A5187" s="535" t="s">
        <v>4617</v>
      </c>
      <c r="B5187" s="536"/>
      <c r="C5187" s="88">
        <f>VLOOKUP(A5187,'Materiales '!$C$2:$G$396,3,0)</f>
        <v>3</v>
      </c>
      <c r="D5187" s="89" t="str">
        <f>VLOOKUP(A5187,'Materiales '!$C$2:$G$396,4,0)</f>
        <v>Rollo</v>
      </c>
      <c r="E5187" s="90">
        <v>0.5</v>
      </c>
      <c r="F5187" s="508" t="e">
        <f t="shared" ref="F5187:F5193" si="304">E5187*D5187</f>
        <v>#VALUE!</v>
      </c>
      <c r="G5187" s="519"/>
      <c r="H5187" s="111"/>
      <c r="I5187">
        <f>E5187*G5177</f>
        <v>0</v>
      </c>
      <c r="J5187" s="57"/>
      <c r="K5187" s="50"/>
      <c r="L5187" s="50"/>
      <c r="M5187" s="50"/>
      <c r="N5187" s="50"/>
      <c r="O5187" s="50"/>
    </row>
    <row r="5188" spans="1:15">
      <c r="A5188" s="517" t="s">
        <v>4533</v>
      </c>
      <c r="B5188" s="518">
        <f>VLOOKUP(A5188,'Materiales '!$C$2:$G$396,3,0)</f>
        <v>2</v>
      </c>
      <c r="C5188" s="88">
        <f>VLOOKUP(A5188,'Materiales '!$C$2:$G$396,3,0)</f>
        <v>2</v>
      </c>
      <c r="D5188" s="89" t="str">
        <f>VLOOKUP(A5188,'Materiales '!$C$2:$G$396,4,0)</f>
        <v>Ml</v>
      </c>
      <c r="E5188" s="90">
        <v>20</v>
      </c>
      <c r="F5188" s="508" t="e">
        <f t="shared" si="304"/>
        <v>#VALUE!</v>
      </c>
      <c r="G5188" s="519"/>
      <c r="H5188" s="111"/>
      <c r="I5188">
        <f>E5188*G5177</f>
        <v>0</v>
      </c>
      <c r="J5188" s="58"/>
      <c r="K5188" s="50"/>
      <c r="L5188" s="50"/>
      <c r="M5188" s="50"/>
      <c r="N5188" s="50"/>
      <c r="O5188" s="50"/>
    </row>
    <row r="5189" spans="1:15">
      <c r="A5189" s="517" t="s">
        <v>4512</v>
      </c>
      <c r="B5189" s="518">
        <f>VLOOKUP(A5189,'Materiales '!$C$2:$G$396,3,0)</f>
        <v>4</v>
      </c>
      <c r="C5189" s="88">
        <f>VLOOKUP(A5189,'Materiales '!$C$2:$G$396,3,0)</f>
        <v>4</v>
      </c>
      <c r="D5189" s="89" t="str">
        <f>VLOOKUP(A5189,'Materiales '!$C$2:$G$396,4,0)</f>
        <v>Und</v>
      </c>
      <c r="E5189" s="90">
        <v>2</v>
      </c>
      <c r="F5189" s="508" t="e">
        <f t="shared" si="304"/>
        <v>#VALUE!</v>
      </c>
      <c r="G5189" s="519"/>
      <c r="H5189" s="111"/>
      <c r="I5189">
        <f>E5189*G5177</f>
        <v>0</v>
      </c>
      <c r="J5189" s="58"/>
      <c r="K5189" s="50"/>
      <c r="L5189" s="50"/>
      <c r="M5189" s="50"/>
      <c r="N5189" s="50"/>
      <c r="O5189" s="50"/>
    </row>
    <row r="5190" spans="1:15">
      <c r="A5190" s="517" t="s">
        <v>4589</v>
      </c>
      <c r="B5190" s="518">
        <f>VLOOKUP(A5190,'Materiales '!$C$2:$G$396,3,0)</f>
        <v>4</v>
      </c>
      <c r="C5190" s="88">
        <f>VLOOKUP(A5190,'Materiales '!$C$2:$G$396,3,0)</f>
        <v>4</v>
      </c>
      <c r="D5190" s="89" t="str">
        <f>VLOOKUP(A5190,'Materiales '!$C$2:$G$396,4,0)</f>
        <v>Und</v>
      </c>
      <c r="E5190" s="90">
        <v>1</v>
      </c>
      <c r="F5190" s="508" t="e">
        <f t="shared" si="304"/>
        <v>#VALUE!</v>
      </c>
      <c r="G5190" s="519"/>
      <c r="H5190" s="111"/>
      <c r="I5190">
        <f>E5190*G5177</f>
        <v>0</v>
      </c>
      <c r="J5190" s="58"/>
      <c r="K5190" s="50"/>
      <c r="L5190" s="50"/>
      <c r="M5190" s="50"/>
      <c r="N5190" s="50"/>
      <c r="O5190" s="50"/>
    </row>
    <row r="5191" spans="1:15">
      <c r="A5191" s="517" t="s">
        <v>4432</v>
      </c>
      <c r="B5191" s="518">
        <f>VLOOKUP(A5191,'Materiales '!$C$2:$G$396,3,0)</f>
        <v>2</v>
      </c>
      <c r="C5191" s="88">
        <f>VLOOKUP(A5191,'Materiales '!$C$2:$G$396,3,0)</f>
        <v>2</v>
      </c>
      <c r="D5191" s="89" t="str">
        <f>VLOOKUP(A5191,'Materiales '!$C$2:$G$396,4,0)</f>
        <v>Ml</v>
      </c>
      <c r="E5191" s="90">
        <v>1</v>
      </c>
      <c r="F5191" s="508" t="e">
        <f t="shared" si="304"/>
        <v>#VALUE!</v>
      </c>
      <c r="G5191" s="519"/>
      <c r="H5191" s="111"/>
      <c r="I5191">
        <f>E5191*G5177</f>
        <v>0</v>
      </c>
      <c r="J5191" s="58"/>
      <c r="K5191" s="50"/>
      <c r="L5191" s="50"/>
      <c r="M5191" s="50"/>
      <c r="N5191" s="50"/>
      <c r="O5191" s="50"/>
    </row>
    <row r="5192" spans="1:15">
      <c r="A5192" s="517" t="s">
        <v>4628</v>
      </c>
      <c r="B5192" s="518">
        <f>VLOOKUP(A5192,'Materiales '!$C$2:$G$396,3,0)</f>
        <v>4</v>
      </c>
      <c r="C5192" s="88">
        <f>VLOOKUP(A5192,'Materiales '!$C$2:$G$396,3,0)</f>
        <v>4</v>
      </c>
      <c r="D5192" s="89" t="str">
        <f>VLOOKUP(A5192,'Materiales '!$C$2:$G$396,4,0)</f>
        <v>Und</v>
      </c>
      <c r="E5192" s="90">
        <v>1</v>
      </c>
      <c r="F5192" s="508" t="e">
        <f t="shared" si="304"/>
        <v>#VALUE!</v>
      </c>
      <c r="G5192" s="519"/>
      <c r="H5192" s="111"/>
      <c r="I5192">
        <f>E5192*G5177</f>
        <v>0</v>
      </c>
      <c r="J5192" s="58"/>
      <c r="K5192" s="50"/>
      <c r="L5192" s="50"/>
      <c r="M5192" s="50"/>
      <c r="N5192" s="50"/>
      <c r="O5192" s="50"/>
    </row>
    <row r="5193" spans="1:15" ht="21.75" customHeight="1">
      <c r="A5193" s="517" t="s">
        <v>8</v>
      </c>
      <c r="B5193" s="518">
        <f>VLOOKUP(A5193,'Materiales '!$C$2:$G$396,3,0)</f>
        <v>0</v>
      </c>
      <c r="C5193" s="88">
        <f>VLOOKUP(A5193,'Materiales '!$C$2:$G$396,3,0)</f>
        <v>0</v>
      </c>
      <c r="D5193" s="89" t="str">
        <f>VLOOKUP(A5193,'Materiales '!$C$2:$G$396,4,0)</f>
        <v>-</v>
      </c>
      <c r="E5193" s="90">
        <v>0.5</v>
      </c>
      <c r="F5193" s="508" t="e">
        <f t="shared" si="304"/>
        <v>#VALUE!</v>
      </c>
      <c r="G5193" s="519"/>
      <c r="H5193" s="111"/>
      <c r="I5193">
        <f>E5193*G5177</f>
        <v>0</v>
      </c>
      <c r="J5193" s="58"/>
      <c r="K5193" s="50"/>
      <c r="L5193" s="50"/>
      <c r="M5193" s="50"/>
      <c r="N5193" s="50"/>
      <c r="O5193" s="50"/>
    </row>
    <row r="5194" spans="1:15">
      <c r="A5194" s="517" t="s">
        <v>8</v>
      </c>
      <c r="B5194" s="518">
        <f>VLOOKUP(A5194,'Materiales '!$C$2:$G$396,3,0)</f>
        <v>0</v>
      </c>
      <c r="C5194" s="88">
        <f>VLOOKUP(A5194,'Materiales '!$C$2:$G$396,3,0)</f>
        <v>0</v>
      </c>
      <c r="D5194" s="89" t="str">
        <f>VLOOKUP(A5194,'Materiales '!$C$2:$G$396,4,0)</f>
        <v>-</v>
      </c>
      <c r="E5194" s="90"/>
      <c r="F5194" s="508" t="e">
        <f>E5194*D5194</f>
        <v>#VALUE!</v>
      </c>
      <c r="G5194" s="519"/>
      <c r="H5194" s="110"/>
      <c r="I5194">
        <f>E5194*G5177</f>
        <v>0</v>
      </c>
      <c r="J5194" s="58"/>
      <c r="K5194" s="50"/>
      <c r="L5194" s="50"/>
      <c r="M5194" s="50"/>
      <c r="N5194" s="50"/>
      <c r="O5194" s="50"/>
    </row>
    <row r="5195" spans="1:15">
      <c r="A5195" s="517" t="s">
        <v>8</v>
      </c>
      <c r="B5195" s="518">
        <f>VLOOKUP(A5195,'Materiales '!$C$2:$G$396,3,0)</f>
        <v>0</v>
      </c>
      <c r="C5195" s="88">
        <f>VLOOKUP(A5195,'Materiales '!$C$2:$G$396,3,0)</f>
        <v>0</v>
      </c>
      <c r="D5195" s="89" t="str">
        <f>VLOOKUP(A5195,'Materiales '!$C$2:$G$396,4,0)</f>
        <v>-</v>
      </c>
      <c r="E5195" s="90"/>
      <c r="F5195" s="508" t="e">
        <f t="shared" ref="F5195:F5198" si="305">E5195*D5195</f>
        <v>#VALUE!</v>
      </c>
      <c r="G5195" s="519"/>
      <c r="H5195" s="111"/>
      <c r="I5195">
        <f>E5195*G5177</f>
        <v>0</v>
      </c>
      <c r="J5195" s="58"/>
      <c r="K5195" s="50"/>
      <c r="L5195" s="50"/>
      <c r="M5195" s="50"/>
      <c r="N5195" s="50"/>
      <c r="O5195" s="50"/>
    </row>
    <row r="5196" spans="1:15">
      <c r="A5196" s="517" t="s">
        <v>8</v>
      </c>
      <c r="B5196" s="518">
        <f>VLOOKUP(A5196,'Materiales '!$C$2:$G$396,3,0)</f>
        <v>0</v>
      </c>
      <c r="C5196" s="88">
        <f>VLOOKUP(A5196,'Materiales '!$C$2:$G$396,3,0)</f>
        <v>0</v>
      </c>
      <c r="D5196" s="89" t="str">
        <f>VLOOKUP(A5196,'Materiales '!$C$2:$G$396,4,0)</f>
        <v>-</v>
      </c>
      <c r="E5196" s="90"/>
      <c r="F5196" s="508" t="e">
        <f t="shared" si="305"/>
        <v>#VALUE!</v>
      </c>
      <c r="G5196" s="519"/>
      <c r="H5196" s="111"/>
      <c r="I5196">
        <f>E5196*G5177</f>
        <v>0</v>
      </c>
      <c r="J5196" s="58"/>
      <c r="K5196" s="50"/>
      <c r="L5196" s="50"/>
      <c r="M5196" s="50"/>
      <c r="N5196" s="50"/>
      <c r="O5196" s="50"/>
    </row>
    <row r="5197" spans="1:15">
      <c r="A5197" s="517" t="s">
        <v>8</v>
      </c>
      <c r="B5197" s="518">
        <f>VLOOKUP(A5197,'Materiales '!$C$2:$G$396,3,0)</f>
        <v>0</v>
      </c>
      <c r="C5197" s="88">
        <f>VLOOKUP(A5197,'Materiales '!$C$2:$G$396,3,0)</f>
        <v>0</v>
      </c>
      <c r="D5197" s="89" t="str">
        <f>VLOOKUP(A5197,'Materiales '!$C$2:$G$396,4,0)</f>
        <v>-</v>
      </c>
      <c r="E5197" s="90"/>
      <c r="F5197" s="508" t="e">
        <f t="shared" si="305"/>
        <v>#VALUE!</v>
      </c>
      <c r="G5197" s="519"/>
      <c r="H5197" s="111"/>
      <c r="I5197">
        <f>E5197*G5177</f>
        <v>0</v>
      </c>
      <c r="J5197" s="58"/>
      <c r="K5197" s="50"/>
      <c r="L5197" s="50"/>
      <c r="M5197" s="50"/>
      <c r="N5197" s="50"/>
      <c r="O5197" s="50"/>
    </row>
    <row r="5198" spans="1:15">
      <c r="A5198" s="517" t="s">
        <v>8</v>
      </c>
      <c r="B5198" s="518">
        <f>VLOOKUP(A5198,'Materiales '!$C$2:$G$396,3,0)</f>
        <v>0</v>
      </c>
      <c r="C5198" s="88">
        <f>VLOOKUP(A5198,'Materiales '!$C$2:$G$396,3,0)</f>
        <v>0</v>
      </c>
      <c r="D5198" s="89" t="str">
        <f>VLOOKUP(A5198,'Materiales '!$C$2:$G$396,4,0)</f>
        <v>-</v>
      </c>
      <c r="E5198" s="90"/>
      <c r="F5198" s="508" t="e">
        <f t="shared" si="305"/>
        <v>#VALUE!</v>
      </c>
      <c r="G5198" s="519"/>
      <c r="H5198" s="111"/>
      <c r="I5198">
        <f>E5198*G5177</f>
        <v>0</v>
      </c>
      <c r="J5198" s="58"/>
      <c r="K5198" s="50"/>
      <c r="L5198" s="50"/>
      <c r="M5198" s="50"/>
      <c r="N5198" s="50"/>
      <c r="O5198" s="50"/>
    </row>
    <row r="5199" spans="1:15">
      <c r="A5199" s="517" t="s">
        <v>8</v>
      </c>
      <c r="B5199" s="518">
        <f>VLOOKUP(A5199,'Materiales '!$C$2:$G$396,3,0)</f>
        <v>0</v>
      </c>
      <c r="C5199" s="88">
        <f>VLOOKUP(A5199,'Materiales '!$C$2:$G$396,3,0)</f>
        <v>0</v>
      </c>
      <c r="D5199" s="89" t="str">
        <f>VLOOKUP(A5199,'Materiales '!$C$2:$G$396,4,0)</f>
        <v>-</v>
      </c>
      <c r="E5199" s="90"/>
      <c r="F5199" s="508" t="e">
        <f>E5199*D5199</f>
        <v>#VALUE!</v>
      </c>
      <c r="G5199" s="519"/>
      <c r="H5199" s="110"/>
      <c r="I5199">
        <f>E5199*G5177</f>
        <v>0</v>
      </c>
      <c r="J5199" s="58"/>
      <c r="K5199" s="50"/>
      <c r="L5199" s="50"/>
      <c r="M5199" s="50"/>
      <c r="N5199" s="50"/>
      <c r="O5199" s="50"/>
    </row>
    <row r="5200" spans="1:15">
      <c r="A5200" s="520" t="s">
        <v>4098</v>
      </c>
      <c r="B5200" s="521"/>
      <c r="C5200" s="521"/>
      <c r="D5200" s="521"/>
      <c r="E5200" s="521"/>
      <c r="F5200" s="521"/>
      <c r="G5200" s="522"/>
      <c r="H5200" s="106" t="e">
        <f>SUM(F5186:F5199)</f>
        <v>#VALUE!</v>
      </c>
      <c r="J5200" s="58"/>
      <c r="K5200" s="50"/>
      <c r="L5200" s="50"/>
      <c r="M5200" s="50"/>
      <c r="N5200" s="50"/>
      <c r="O5200" s="50"/>
    </row>
    <row r="5201" spans="1:15">
      <c r="A5201" s="523" t="s">
        <v>4220</v>
      </c>
      <c r="B5201" s="524"/>
      <c r="C5201" s="524"/>
      <c r="D5201" s="524"/>
      <c r="E5201" s="525"/>
      <c r="F5201" s="524"/>
      <c r="G5201" s="524"/>
      <c r="H5201" s="526"/>
      <c r="J5201" s="58"/>
      <c r="K5201" s="50"/>
      <c r="L5201" s="50"/>
      <c r="M5201" s="50"/>
      <c r="N5201" s="50"/>
      <c r="O5201" s="50"/>
    </row>
    <row r="5202" spans="1:15">
      <c r="A5202" s="527" t="s">
        <v>7</v>
      </c>
      <c r="B5202" s="528"/>
      <c r="C5202" s="98" t="s">
        <v>4221</v>
      </c>
      <c r="D5202" s="97" t="s">
        <v>4222</v>
      </c>
      <c r="E5202" s="187" t="s">
        <v>4223</v>
      </c>
      <c r="F5202" s="529" t="s">
        <v>4207</v>
      </c>
      <c r="G5202" s="529"/>
      <c r="H5202" s="109"/>
      <c r="K5202" s="50"/>
      <c r="L5202" s="50"/>
      <c r="M5202" s="50"/>
      <c r="N5202" s="50"/>
      <c r="O5202" s="50"/>
    </row>
    <row r="5203" spans="1:15">
      <c r="A5203" s="506" t="s">
        <v>3928</v>
      </c>
      <c r="B5203" s="507"/>
      <c r="C5203" s="213">
        <v>1</v>
      </c>
      <c r="D5203" s="92">
        <v>0.03</v>
      </c>
      <c r="E5203" s="93" t="str">
        <f>VLOOKUP(A5203,'Equip, Herr y Transp'!$B$2:$E$217,3,0)</f>
        <v>TR</v>
      </c>
      <c r="F5203" s="530" t="e">
        <f>E5203*D5203*C5203</f>
        <v>#VALUE!</v>
      </c>
      <c r="G5203" s="531"/>
      <c r="H5203" s="107"/>
      <c r="M5203" s="50"/>
    </row>
    <row r="5204" spans="1:15">
      <c r="A5204" s="532" t="s">
        <v>4205</v>
      </c>
      <c r="B5204" s="533"/>
      <c r="C5204" s="533"/>
      <c r="D5204" s="533"/>
      <c r="E5204" s="533"/>
      <c r="F5204" s="533"/>
      <c r="G5204" s="533"/>
      <c r="H5204" s="95" t="e">
        <f>F5203</f>
        <v>#VALUE!</v>
      </c>
    </row>
    <row r="5205" spans="1:15">
      <c r="A5205" s="523" t="s">
        <v>4224</v>
      </c>
      <c r="B5205" s="524"/>
      <c r="C5205" s="524"/>
      <c r="D5205" s="524"/>
      <c r="E5205" s="524"/>
      <c r="F5205" s="524"/>
      <c r="G5205" s="524"/>
      <c r="H5205" s="526"/>
    </row>
    <row r="5206" spans="1:15">
      <c r="A5206" s="527" t="s">
        <v>7</v>
      </c>
      <c r="B5206" s="528"/>
      <c r="C5206" s="96" t="s">
        <v>1</v>
      </c>
      <c r="D5206" s="97" t="s">
        <v>4225</v>
      </c>
      <c r="E5206" s="98" t="s">
        <v>4204</v>
      </c>
      <c r="F5206" s="527" t="s">
        <v>5</v>
      </c>
      <c r="G5206" s="534"/>
      <c r="H5206" s="109"/>
    </row>
    <row r="5207" spans="1:15">
      <c r="A5207" s="506" t="s">
        <v>4191</v>
      </c>
      <c r="B5207" s="507"/>
      <c r="C5207" s="91">
        <v>1</v>
      </c>
      <c r="D5207" s="94">
        <f>VLOOKUP(A5207,'Mano Obra'!$B$2:$T$117,19,0)</f>
        <v>152456</v>
      </c>
      <c r="E5207" s="218">
        <f>H5170</f>
        <v>0.16669999999999999</v>
      </c>
      <c r="F5207" s="508">
        <f>E5207*D5207*C5207</f>
        <v>25414.415199999999</v>
      </c>
      <c r="G5207" s="509"/>
      <c r="H5207" s="111"/>
      <c r="I5207" s="59"/>
      <c r="J5207" s="117">
        <f>((('Mano Obra'!$M$4/30)*F5207)/D5207)*G5177</f>
        <v>0</v>
      </c>
    </row>
    <row r="5208" spans="1:15">
      <c r="A5208" s="510" t="s">
        <v>4192</v>
      </c>
      <c r="B5208" s="511">
        <f>VLOOKUP(A5208,'Mano Obra'!$B$3:$D$290,2,0)</f>
        <v>1900000</v>
      </c>
      <c r="C5208" s="91">
        <v>1</v>
      </c>
      <c r="D5208" s="94">
        <f>VLOOKUP(A5208,'Mano Obra'!$B$2:$T$117,19,0)</f>
        <v>110488</v>
      </c>
      <c r="E5208" s="218">
        <f>H5170</f>
        <v>0.16669999999999999</v>
      </c>
      <c r="F5208" s="508">
        <f t="shared" ref="F5208:F5209" si="306">E5208*D5208*C5208</f>
        <v>18418.349599999998</v>
      </c>
      <c r="G5208" s="509"/>
      <c r="H5208" s="111"/>
      <c r="J5208" s="117">
        <f>((('Mano Obra'!$M$5/30)*F5208)/D5208)*G5177</f>
        <v>0</v>
      </c>
    </row>
    <row r="5209" spans="1:15">
      <c r="A5209" s="510" t="s">
        <v>4181</v>
      </c>
      <c r="B5209" s="511">
        <f>VLOOKUP(A5209,'Mano Obra'!$B$3:$D$290,2,0)</f>
        <v>1000000</v>
      </c>
      <c r="C5209" s="91">
        <v>1</v>
      </c>
      <c r="D5209" s="94">
        <f>VLOOKUP(A5209,'Mano Obra'!$B$2:$T$117,19,0)</f>
        <v>67424</v>
      </c>
      <c r="E5209" s="218">
        <f>H5170</f>
        <v>0.16669999999999999</v>
      </c>
      <c r="F5209" s="508">
        <f t="shared" si="306"/>
        <v>11239.5808</v>
      </c>
      <c r="G5209" s="509"/>
      <c r="H5209" s="110"/>
      <c r="J5209" s="117">
        <f>((('Mano Obra'!$M$6/30)*F5209)/D5209)*G5177</f>
        <v>0</v>
      </c>
    </row>
    <row r="5210" spans="1:15">
      <c r="A5210" s="512" t="s">
        <v>4100</v>
      </c>
      <c r="B5210" s="512"/>
      <c r="C5210" s="512"/>
      <c r="D5210" s="512"/>
      <c r="E5210" s="512"/>
      <c r="F5210" s="512"/>
      <c r="G5210" s="512"/>
      <c r="H5210" s="95">
        <f>SUM(F5207:F5209)</f>
        <v>55072.345600000001</v>
      </c>
      <c r="J5210" s="117"/>
    </row>
    <row r="5211" spans="1:15">
      <c r="A5211" s="208" t="s">
        <v>4226</v>
      </c>
      <c r="B5211" s="186"/>
      <c r="C5211" s="186"/>
      <c r="D5211" s="183"/>
      <c r="E5211" s="184"/>
      <c r="F5211" s="185"/>
      <c r="G5211" s="184"/>
      <c r="H5211" s="193"/>
    </row>
    <row r="5212" spans="1:15">
      <c r="A5212" s="513" t="s">
        <v>4213</v>
      </c>
      <c r="B5212" s="514"/>
      <c r="C5212" s="514"/>
      <c r="D5212" s="514"/>
      <c r="E5212" s="181"/>
      <c r="F5212" s="182" t="s">
        <v>4227</v>
      </c>
      <c r="G5212" s="181" t="s">
        <v>4228</v>
      </c>
      <c r="H5212" s="194"/>
    </row>
    <row r="5213" spans="1:15">
      <c r="A5213" s="204" t="s">
        <v>4096</v>
      </c>
      <c r="B5213" s="62"/>
      <c r="C5213" s="62"/>
      <c r="D5213" s="63"/>
      <c r="E5213" s="68"/>
      <c r="F5213" s="69">
        <v>0</v>
      </c>
      <c r="G5213" s="70" t="e">
        <f>F5213*H5178</f>
        <v>#VALUE!</v>
      </c>
      <c r="H5213" s="193"/>
    </row>
    <row r="5214" spans="1:15">
      <c r="A5214" s="205" t="s">
        <v>4229</v>
      </c>
      <c r="B5214" s="71"/>
      <c r="C5214" s="71"/>
      <c r="D5214" s="72"/>
      <c r="E5214" s="68"/>
      <c r="F5214" s="69">
        <v>0</v>
      </c>
      <c r="G5214" s="70" t="e">
        <f>F5214*H5178</f>
        <v>#VALUE!</v>
      </c>
      <c r="H5214" s="193"/>
    </row>
    <row r="5215" spans="1:15">
      <c r="A5215" s="205" t="s">
        <v>4</v>
      </c>
      <c r="B5215" s="71"/>
      <c r="C5215" s="71"/>
      <c r="D5215" s="72"/>
      <c r="E5215" s="68"/>
      <c r="F5215" s="69">
        <v>0</v>
      </c>
      <c r="G5215" s="70" t="e">
        <f>F5215*H5178</f>
        <v>#VALUE!</v>
      </c>
      <c r="H5215" s="193"/>
    </row>
    <row r="5216" spans="1:15">
      <c r="A5216" s="206"/>
      <c r="B5216" s="73"/>
      <c r="C5216" s="65"/>
      <c r="D5216" s="74"/>
      <c r="E5216" s="75"/>
      <c r="F5216" s="76"/>
      <c r="G5216" s="77"/>
      <c r="H5216" s="195"/>
    </row>
    <row r="5217" spans="1:14">
      <c r="A5217" s="207"/>
      <c r="B5217" s="73"/>
      <c r="C5217" s="73"/>
      <c r="D5217" s="74"/>
      <c r="E5217" s="78"/>
      <c r="F5217" s="515" t="s">
        <v>4230</v>
      </c>
      <c r="G5217" s="516"/>
      <c r="H5217" s="214" t="e">
        <f>H5178+G5213+G5214+G5215</f>
        <v>#VALUE!</v>
      </c>
    </row>
    <row r="5218" spans="1:14">
      <c r="A5218" s="73"/>
      <c r="B5218" s="73"/>
      <c r="C5218" s="73"/>
      <c r="D5218" s="74"/>
      <c r="E5218" s="360"/>
      <c r="F5218" s="361"/>
      <c r="G5218" s="361"/>
      <c r="H5218" s="362"/>
    </row>
    <row r="5219" spans="1:14">
      <c r="A5219" s="80"/>
      <c r="B5219" s="80"/>
      <c r="C5219" s="80"/>
      <c r="D5219" s="80"/>
      <c r="E5219" s="80"/>
      <c r="F5219" s="80"/>
      <c r="G5219" s="80"/>
      <c r="H5219" s="353"/>
    </row>
    <row r="5220" spans="1:14">
      <c r="A5220" s="537" t="s">
        <v>4214</v>
      </c>
      <c r="B5220" s="538"/>
      <c r="C5220" s="538"/>
      <c r="D5220" s="538"/>
      <c r="E5220" s="538"/>
      <c r="F5220" s="538"/>
      <c r="G5220" s="538"/>
      <c r="H5220" s="539"/>
    </row>
    <row r="5221" spans="1:14">
      <c r="A5221" s="81"/>
      <c r="B5221" s="82"/>
      <c r="C5221" s="82"/>
      <c r="D5221" s="82"/>
      <c r="E5221" s="82"/>
      <c r="F5221" s="83"/>
      <c r="G5221" s="84"/>
      <c r="H5221" s="352">
        <f>ROUND((70/60)/8,4)</f>
        <v>0.14580000000000001</v>
      </c>
      <c r="I5221" s="105"/>
    </row>
    <row r="5222" spans="1:14">
      <c r="A5222" s="540" t="s">
        <v>4209</v>
      </c>
      <c r="B5222" s="542" t="str">
        <f>COSTOS!$C$14</f>
        <v>MODERNIZACION A TECNOLOGIA LED</v>
      </c>
      <c r="C5222" s="542"/>
      <c r="D5222" s="542"/>
      <c r="E5222" s="542"/>
      <c r="F5222" s="542"/>
      <c r="G5222" s="542"/>
      <c r="H5222" s="543" t="s">
        <v>4210</v>
      </c>
    </row>
    <row r="5223" spans="1:14">
      <c r="A5223" s="541"/>
      <c r="B5223" s="542"/>
      <c r="C5223" s="542"/>
      <c r="D5223" s="542"/>
      <c r="E5223" s="542"/>
      <c r="F5223" s="542"/>
      <c r="G5223" s="542"/>
      <c r="H5223" s="543"/>
    </row>
    <row r="5224" spans="1:14">
      <c r="A5224" s="541"/>
      <c r="B5224" s="542"/>
      <c r="C5224" s="542"/>
      <c r="D5224" s="542"/>
      <c r="E5224" s="542"/>
      <c r="F5224" s="542"/>
      <c r="G5224" s="542"/>
      <c r="H5224" s="543"/>
    </row>
    <row r="5225" spans="1:14" ht="15" customHeight="1">
      <c r="A5225" s="541"/>
      <c r="B5225" s="542"/>
      <c r="C5225" s="542"/>
      <c r="D5225" s="542"/>
      <c r="E5225" s="542"/>
      <c r="F5225" s="542"/>
      <c r="G5225" s="542"/>
      <c r="H5225" s="197">
        <f ca="1">TODAY()</f>
        <v>44889</v>
      </c>
      <c r="K5225" t="s">
        <v>4380</v>
      </c>
      <c r="L5225" t="s">
        <v>4381</v>
      </c>
      <c r="M5225" t="s">
        <v>4382</v>
      </c>
      <c r="N5225" t="s">
        <v>4383</v>
      </c>
    </row>
    <row r="5226" spans="1:14" ht="60.75" customHeight="1">
      <c r="A5226" s="209" t="s">
        <v>4211</v>
      </c>
      <c r="B5226" s="544" t="str">
        <f>COSTOS!$D$16</f>
        <v>Luminarias</v>
      </c>
      <c r="C5226" s="544"/>
      <c r="D5226" s="544"/>
      <c r="E5226" s="544"/>
      <c r="F5226" s="544"/>
      <c r="G5226" s="60" t="s">
        <v>4212</v>
      </c>
      <c r="H5226" s="363">
        <v>2.21</v>
      </c>
      <c r="K5226" s="55" t="e">
        <f>H5251</f>
        <v>#VALUE!</v>
      </c>
      <c r="L5226" s="55">
        <f>H5261</f>
        <v>48167.654399999999</v>
      </c>
      <c r="M5226" s="55" t="e">
        <f>H5234</f>
        <v>#VALUE!</v>
      </c>
      <c r="N5226" s="55" t="e">
        <f>H5255</f>
        <v>#VALUE!</v>
      </c>
    </row>
    <row r="5227" spans="1:14" ht="43.2" customHeight="1">
      <c r="A5227" s="210" t="s">
        <v>4213</v>
      </c>
      <c r="B5227" s="545" t="str">
        <f>VLOOKUP(H5226,COSTOS!C:M,2,0)</f>
        <v>Poste de concreto 10 metros x 510kg.f</v>
      </c>
      <c r="C5227" s="546"/>
      <c r="D5227" s="546"/>
      <c r="E5227" s="547"/>
      <c r="F5227" s="61" t="s">
        <v>0</v>
      </c>
      <c r="G5227" s="328" t="str">
        <f>VLOOKUP(H5226,COSTOS!C:M,8,0)</f>
        <v>Und</v>
      </c>
      <c r="H5227" s="248"/>
      <c r="I5227" s="278"/>
      <c r="J5227" s="280"/>
      <c r="K5227" s="280"/>
      <c r="L5227" s="280"/>
    </row>
    <row r="5228" spans="1:14">
      <c r="A5228" s="211"/>
      <c r="B5228" s="102"/>
      <c r="C5228" s="102"/>
      <c r="D5228" s="102"/>
      <c r="E5228" s="103"/>
      <c r="F5228" s="104" t="s">
        <v>1</v>
      </c>
      <c r="G5228" s="328">
        <f>VLOOKUP(H5226,COSTOS!C:M,9,0)</f>
        <v>0</v>
      </c>
      <c r="H5228" s="329"/>
      <c r="I5228" s="279"/>
    </row>
    <row r="5229" spans="1:14">
      <c r="A5229" s="212" t="s">
        <v>4215</v>
      </c>
      <c r="B5229" s="65"/>
      <c r="C5229" s="65"/>
      <c r="D5229" s="66"/>
      <c r="E5229" s="190"/>
      <c r="F5229" s="191"/>
      <c r="G5229" s="192" t="s">
        <v>4216</v>
      </c>
      <c r="H5229" s="198" t="e">
        <f>H5234+H5251+H5255+H5261</f>
        <v>#VALUE!</v>
      </c>
    </row>
    <row r="5230" spans="1:14" ht="41.4">
      <c r="A5230" s="548" t="s">
        <v>4213</v>
      </c>
      <c r="B5230" s="548"/>
      <c r="C5230" s="548"/>
      <c r="D5230" s="67" t="s">
        <v>0</v>
      </c>
      <c r="E5230" s="188" t="s">
        <v>4217</v>
      </c>
      <c r="F5230" s="189" t="s">
        <v>4204</v>
      </c>
      <c r="G5230" s="64" t="s">
        <v>2</v>
      </c>
      <c r="H5230" s="199" t="s">
        <v>4218</v>
      </c>
      <c r="K5230" s="281"/>
    </row>
    <row r="5231" spans="1:14">
      <c r="A5231" s="517" t="s">
        <v>3946</v>
      </c>
      <c r="B5231" s="549">
        <f>VLOOKUP(A5231,'Equip, Herr y Transp'!$B$2:$E$738,2,0)</f>
        <v>2</v>
      </c>
      <c r="C5231" s="549"/>
      <c r="D5231" s="85">
        <f>VLOOKUP(A5231,'Equip, Herr y Transp'!$B$2:$E$217,2,0)</f>
        <v>2</v>
      </c>
      <c r="E5231" s="85" t="str">
        <f>VLOOKUP(A5231,'Equip, Herr y Transp'!$B$2:$E$217,3,0)</f>
        <v>EQU</v>
      </c>
      <c r="F5231" s="86">
        <f>H5221</f>
        <v>0.14580000000000001</v>
      </c>
      <c r="G5231" s="112" t="e">
        <f>F5231*E5231</f>
        <v>#VALUE!</v>
      </c>
      <c r="H5231" s="108"/>
    </row>
    <row r="5232" spans="1:14">
      <c r="A5232" s="517" t="s">
        <v>3894</v>
      </c>
      <c r="B5232" s="549">
        <f>VLOOKUP(A5232,'Equip, Herr y Transp'!$B$2:$E$738,2,0)</f>
        <v>4</v>
      </c>
      <c r="C5232" s="549"/>
      <c r="D5232" s="85">
        <f>VLOOKUP(A5232,'Equip, Herr y Transp'!$B$2:$E$217,2,0)</f>
        <v>4</v>
      </c>
      <c r="E5232" s="85" t="str">
        <f>VLOOKUP(A5232,'Equip, Herr y Transp'!$B$2:$E$217,3,0)</f>
        <v>TR</v>
      </c>
      <c r="F5232" s="86">
        <f>H5221</f>
        <v>0.14580000000000001</v>
      </c>
      <c r="G5232" s="112" t="e">
        <f>F5232*E5232</f>
        <v>#VALUE!</v>
      </c>
      <c r="H5232" s="107"/>
    </row>
    <row r="5233" spans="1:15">
      <c r="A5233" s="517" t="s">
        <v>8</v>
      </c>
      <c r="B5233" s="549" t="e">
        <f>VLOOKUP(A5233,'Equip, Herr y Transp'!$B$2:$E$738,2,0)</f>
        <v>#N/A</v>
      </c>
      <c r="C5233" s="549"/>
      <c r="D5233" s="85" t="e">
        <f>VLOOKUP(A5233,'Equip, Herr y Transp'!$B$2:$E$217,2,0)</f>
        <v>#N/A</v>
      </c>
      <c r="E5233" s="85" t="e">
        <f>VLOOKUP(A5233,'Equip, Herr y Transp'!$B$2:$E$217,3,0)</f>
        <v>#N/A</v>
      </c>
      <c r="F5233" s="86"/>
      <c r="G5233" s="112" t="e">
        <f>F5233*E5233</f>
        <v>#N/A</v>
      </c>
      <c r="H5233" s="107"/>
    </row>
    <row r="5234" spans="1:15">
      <c r="A5234" s="520" t="s">
        <v>4099</v>
      </c>
      <c r="B5234" s="521"/>
      <c r="C5234" s="521"/>
      <c r="D5234" s="521"/>
      <c r="E5234" s="521"/>
      <c r="F5234" s="521"/>
      <c r="G5234" s="521"/>
      <c r="H5234" s="87" t="e">
        <f>SUM(G5231:G5233)</f>
        <v>#VALUE!</v>
      </c>
    </row>
    <row r="5235" spans="1:15">
      <c r="A5235" s="550" t="s">
        <v>4219</v>
      </c>
      <c r="B5235" s="551"/>
      <c r="C5235" s="551"/>
      <c r="D5235" s="551"/>
      <c r="E5235" s="551"/>
      <c r="F5235" s="551"/>
      <c r="G5235" s="551"/>
      <c r="H5235" s="552"/>
      <c r="K5235" s="50"/>
      <c r="L5235" s="50"/>
      <c r="M5235" s="50"/>
      <c r="N5235" s="50"/>
      <c r="O5235" s="50"/>
    </row>
    <row r="5236" spans="1:15" ht="30" customHeight="1">
      <c r="A5236" s="553" t="s">
        <v>7</v>
      </c>
      <c r="B5236" s="554"/>
      <c r="C5236" s="99" t="s">
        <v>0</v>
      </c>
      <c r="D5236" s="100" t="s">
        <v>4097</v>
      </c>
      <c r="E5236" s="101" t="s">
        <v>1</v>
      </c>
      <c r="F5236" s="555" t="s">
        <v>4207</v>
      </c>
      <c r="G5236" s="555"/>
      <c r="H5236" s="196"/>
      <c r="K5236" s="50"/>
      <c r="L5236" s="50"/>
      <c r="M5236" s="50"/>
      <c r="N5236" s="50"/>
      <c r="O5236" s="50"/>
    </row>
    <row r="5237" spans="1:15">
      <c r="A5237" s="535" t="s">
        <v>4750</v>
      </c>
      <c r="B5237" s="536"/>
      <c r="C5237" s="88">
        <f>VLOOKUP(A5237,'Materiales '!$C$2:$G$396,3,0)</f>
        <v>4</v>
      </c>
      <c r="D5237" s="89" t="str">
        <f>VLOOKUP(A5237,'Materiales '!$C$2:$G$396,4,0)</f>
        <v>Und</v>
      </c>
      <c r="E5237" s="90">
        <v>1</v>
      </c>
      <c r="F5237" s="508" t="e">
        <f>E5237*D5237</f>
        <v>#VALUE!</v>
      </c>
      <c r="G5237" s="519"/>
      <c r="H5237" s="111"/>
      <c r="I5237">
        <f>E5237*G5228</f>
        <v>0</v>
      </c>
      <c r="J5237" s="57"/>
      <c r="K5237" s="50"/>
      <c r="L5237" s="50"/>
      <c r="M5237" s="50"/>
      <c r="N5237" s="50"/>
      <c r="O5237" s="50"/>
    </row>
    <row r="5238" spans="1:15">
      <c r="A5238" s="535" t="s">
        <v>4617</v>
      </c>
      <c r="B5238" s="536"/>
      <c r="C5238" s="88">
        <f>VLOOKUP(A5238,'Materiales '!$C$2:$G$396,3,0)</f>
        <v>3</v>
      </c>
      <c r="D5238" s="89" t="str">
        <f>VLOOKUP(A5238,'Materiales '!$C$2:$G$396,4,0)</f>
        <v>Rollo</v>
      </c>
      <c r="E5238" s="90">
        <v>0.5</v>
      </c>
      <c r="F5238" s="508" t="e">
        <f t="shared" ref="F5238:F5244" si="307">E5238*D5238</f>
        <v>#VALUE!</v>
      </c>
      <c r="G5238" s="519"/>
      <c r="H5238" s="111"/>
      <c r="I5238">
        <f>E5238*G5228</f>
        <v>0</v>
      </c>
      <c r="J5238" s="57"/>
      <c r="K5238" s="50"/>
      <c r="L5238" s="50"/>
      <c r="M5238" s="50"/>
      <c r="N5238" s="50"/>
      <c r="O5238" s="50"/>
    </row>
    <row r="5239" spans="1:15">
      <c r="A5239" s="517" t="s">
        <v>8</v>
      </c>
      <c r="B5239" s="518">
        <f>VLOOKUP(A5239,'Materiales '!$C$2:$G$396,3,0)</f>
        <v>0</v>
      </c>
      <c r="C5239" s="88">
        <f>VLOOKUP(A5239,'Materiales '!$C$2:$G$396,3,0)</f>
        <v>0</v>
      </c>
      <c r="D5239" s="89" t="str">
        <f>VLOOKUP(A5239,'Materiales '!$C$2:$G$396,4,0)</f>
        <v>-</v>
      </c>
      <c r="E5239" s="90">
        <v>6</v>
      </c>
      <c r="F5239" s="508" t="e">
        <f t="shared" si="307"/>
        <v>#VALUE!</v>
      </c>
      <c r="G5239" s="519"/>
      <c r="H5239" s="111"/>
      <c r="I5239">
        <f>E5239*G5228</f>
        <v>0</v>
      </c>
      <c r="J5239" s="58"/>
      <c r="K5239" s="50"/>
      <c r="L5239" s="50"/>
      <c r="M5239" s="50"/>
      <c r="N5239" s="50"/>
      <c r="O5239" s="50"/>
    </row>
    <row r="5240" spans="1:15">
      <c r="A5240" s="517" t="s">
        <v>8</v>
      </c>
      <c r="B5240" s="518">
        <f>VLOOKUP(A5240,'Materiales '!$C$2:$G$396,3,0)</f>
        <v>0</v>
      </c>
      <c r="C5240" s="88">
        <f>VLOOKUP(A5240,'Materiales '!$C$2:$G$396,3,0)</f>
        <v>0</v>
      </c>
      <c r="D5240" s="89" t="str">
        <f>VLOOKUP(A5240,'Materiales '!$C$2:$G$396,4,0)</f>
        <v>-</v>
      </c>
      <c r="E5240" s="90">
        <v>3</v>
      </c>
      <c r="F5240" s="508" t="e">
        <f t="shared" si="307"/>
        <v>#VALUE!</v>
      </c>
      <c r="G5240" s="519"/>
      <c r="H5240" s="111"/>
      <c r="I5240">
        <f>E5240*G5228</f>
        <v>0</v>
      </c>
      <c r="J5240" s="58"/>
      <c r="K5240" s="50"/>
      <c r="L5240" s="50"/>
      <c r="M5240" s="50"/>
      <c r="N5240" s="50"/>
      <c r="O5240" s="50"/>
    </row>
    <row r="5241" spans="1:15">
      <c r="A5241" s="517" t="s">
        <v>8</v>
      </c>
      <c r="B5241" s="518">
        <f>VLOOKUP(A5241,'Materiales '!$C$2:$G$396,3,0)</f>
        <v>0</v>
      </c>
      <c r="C5241" s="88">
        <f>VLOOKUP(A5241,'Materiales '!$C$2:$G$396,3,0)</f>
        <v>0</v>
      </c>
      <c r="D5241" s="89" t="str">
        <f>VLOOKUP(A5241,'Materiales '!$C$2:$G$396,4,0)</f>
        <v>-</v>
      </c>
      <c r="E5241" s="90">
        <v>2</v>
      </c>
      <c r="F5241" s="508" t="e">
        <f t="shared" si="307"/>
        <v>#VALUE!</v>
      </c>
      <c r="G5241" s="519"/>
      <c r="H5241" s="111"/>
      <c r="I5241">
        <f>E5241*G5228</f>
        <v>0</v>
      </c>
      <c r="J5241" s="58"/>
      <c r="K5241" s="50"/>
      <c r="L5241" s="50"/>
      <c r="M5241" s="50"/>
      <c r="N5241" s="50"/>
      <c r="O5241" s="50"/>
    </row>
    <row r="5242" spans="1:15">
      <c r="A5242" s="517" t="s">
        <v>8</v>
      </c>
      <c r="B5242" s="518">
        <f>VLOOKUP(A5242,'Materiales '!$C$2:$G$396,3,0)</f>
        <v>0</v>
      </c>
      <c r="C5242" s="88">
        <f>VLOOKUP(A5242,'Materiales '!$C$2:$G$396,3,0)</f>
        <v>0</v>
      </c>
      <c r="D5242" s="89" t="str">
        <f>VLOOKUP(A5242,'Materiales '!$C$2:$G$396,4,0)</f>
        <v>-</v>
      </c>
      <c r="E5242" s="90">
        <v>8</v>
      </c>
      <c r="F5242" s="508" t="e">
        <f t="shared" si="307"/>
        <v>#VALUE!</v>
      </c>
      <c r="G5242" s="519"/>
      <c r="H5242" s="111"/>
      <c r="I5242">
        <f>E5242*G5228</f>
        <v>0</v>
      </c>
      <c r="J5242" s="58"/>
      <c r="K5242" s="50"/>
      <c r="L5242" s="50"/>
      <c r="M5242" s="50"/>
      <c r="N5242" s="50"/>
      <c r="O5242" s="50"/>
    </row>
    <row r="5243" spans="1:15">
      <c r="A5243" s="517" t="s">
        <v>8</v>
      </c>
      <c r="B5243" s="518">
        <f>VLOOKUP(A5243,'Materiales '!$C$2:$G$396,3,0)</f>
        <v>0</v>
      </c>
      <c r="C5243" s="88">
        <f>VLOOKUP(A5243,'Materiales '!$C$2:$G$396,3,0)</f>
        <v>0</v>
      </c>
      <c r="D5243" s="89" t="str">
        <f>VLOOKUP(A5243,'Materiales '!$C$2:$G$396,4,0)</f>
        <v>-</v>
      </c>
      <c r="E5243" s="90">
        <v>3</v>
      </c>
      <c r="F5243" s="508" t="e">
        <f t="shared" si="307"/>
        <v>#VALUE!</v>
      </c>
      <c r="G5243" s="519"/>
      <c r="H5243" s="111"/>
      <c r="I5243">
        <f>E5243*G5228</f>
        <v>0</v>
      </c>
      <c r="J5243" s="58"/>
      <c r="K5243" s="50"/>
      <c r="L5243" s="50"/>
      <c r="M5243" s="50"/>
      <c r="N5243" s="50"/>
      <c r="O5243" s="50"/>
    </row>
    <row r="5244" spans="1:15" ht="21.75" customHeight="1">
      <c r="A5244" s="517" t="s">
        <v>8</v>
      </c>
      <c r="B5244" s="518">
        <f>VLOOKUP(A5244,'Materiales '!$C$2:$G$396,3,0)</f>
        <v>0</v>
      </c>
      <c r="C5244" s="88">
        <f>VLOOKUP(A5244,'Materiales '!$C$2:$G$396,3,0)</f>
        <v>0</v>
      </c>
      <c r="D5244" s="89" t="str">
        <f>VLOOKUP(A5244,'Materiales '!$C$2:$G$396,4,0)</f>
        <v>-</v>
      </c>
      <c r="E5244" s="90">
        <v>0.5</v>
      </c>
      <c r="F5244" s="508" t="e">
        <f t="shared" si="307"/>
        <v>#VALUE!</v>
      </c>
      <c r="G5244" s="519"/>
      <c r="H5244" s="111"/>
      <c r="I5244">
        <f>E5244*G5228</f>
        <v>0</v>
      </c>
      <c r="J5244" s="58"/>
      <c r="K5244" s="50"/>
      <c r="L5244" s="50"/>
      <c r="M5244" s="50"/>
      <c r="N5244" s="50"/>
      <c r="O5244" s="50"/>
    </row>
    <row r="5245" spans="1:15">
      <c r="A5245" s="517" t="s">
        <v>8</v>
      </c>
      <c r="B5245" s="518">
        <f>VLOOKUP(A5245,'Materiales '!$C$2:$G$396,3,0)</f>
        <v>0</v>
      </c>
      <c r="C5245" s="88">
        <f>VLOOKUP(A5245,'Materiales '!$C$2:$G$396,3,0)</f>
        <v>0</v>
      </c>
      <c r="D5245" s="89" t="str">
        <f>VLOOKUP(A5245,'Materiales '!$C$2:$G$396,4,0)</f>
        <v>-</v>
      </c>
      <c r="E5245" s="90"/>
      <c r="F5245" s="508" t="e">
        <f>E5245*D5245</f>
        <v>#VALUE!</v>
      </c>
      <c r="G5245" s="519"/>
      <c r="H5245" s="110"/>
      <c r="I5245">
        <f>E5245*G5228</f>
        <v>0</v>
      </c>
      <c r="J5245" s="58"/>
      <c r="K5245" s="50"/>
      <c r="L5245" s="50"/>
      <c r="M5245" s="50"/>
      <c r="N5245" s="50"/>
      <c r="O5245" s="50"/>
    </row>
    <row r="5246" spans="1:15">
      <c r="A5246" s="517" t="s">
        <v>8</v>
      </c>
      <c r="B5246" s="518">
        <f>VLOOKUP(A5246,'Materiales '!$C$2:$G$396,3,0)</f>
        <v>0</v>
      </c>
      <c r="C5246" s="88">
        <f>VLOOKUP(A5246,'Materiales '!$C$2:$G$396,3,0)</f>
        <v>0</v>
      </c>
      <c r="D5246" s="89" t="str">
        <f>VLOOKUP(A5246,'Materiales '!$C$2:$G$396,4,0)</f>
        <v>-</v>
      </c>
      <c r="E5246" s="90"/>
      <c r="F5246" s="508" t="e">
        <f t="shared" ref="F5246:F5249" si="308">E5246*D5246</f>
        <v>#VALUE!</v>
      </c>
      <c r="G5246" s="519"/>
      <c r="H5246" s="111"/>
      <c r="I5246">
        <f>E5246*G5228</f>
        <v>0</v>
      </c>
      <c r="J5246" s="58"/>
      <c r="K5246" s="50"/>
      <c r="L5246" s="50"/>
      <c r="M5246" s="50"/>
      <c r="N5246" s="50"/>
      <c r="O5246" s="50"/>
    </row>
    <row r="5247" spans="1:15">
      <c r="A5247" s="517" t="s">
        <v>8</v>
      </c>
      <c r="B5247" s="518">
        <f>VLOOKUP(A5247,'Materiales '!$C$2:$G$396,3,0)</f>
        <v>0</v>
      </c>
      <c r="C5247" s="88">
        <f>VLOOKUP(A5247,'Materiales '!$C$2:$G$396,3,0)</f>
        <v>0</v>
      </c>
      <c r="D5247" s="89" t="str">
        <f>VLOOKUP(A5247,'Materiales '!$C$2:$G$396,4,0)</f>
        <v>-</v>
      </c>
      <c r="E5247" s="90"/>
      <c r="F5247" s="508" t="e">
        <f t="shared" si="308"/>
        <v>#VALUE!</v>
      </c>
      <c r="G5247" s="519"/>
      <c r="H5247" s="111"/>
      <c r="I5247">
        <f>E5247*G5228</f>
        <v>0</v>
      </c>
      <c r="J5247" s="58"/>
      <c r="K5247" s="50"/>
      <c r="L5247" s="50"/>
      <c r="M5247" s="50"/>
      <c r="N5247" s="50"/>
      <c r="O5247" s="50"/>
    </row>
    <row r="5248" spans="1:15">
      <c r="A5248" s="517" t="s">
        <v>8</v>
      </c>
      <c r="B5248" s="518">
        <f>VLOOKUP(A5248,'Materiales '!$C$2:$G$396,3,0)</f>
        <v>0</v>
      </c>
      <c r="C5248" s="88">
        <f>VLOOKUP(A5248,'Materiales '!$C$2:$G$396,3,0)</f>
        <v>0</v>
      </c>
      <c r="D5248" s="89" t="str">
        <f>VLOOKUP(A5248,'Materiales '!$C$2:$G$396,4,0)</f>
        <v>-</v>
      </c>
      <c r="E5248" s="90"/>
      <c r="F5248" s="508" t="e">
        <f t="shared" si="308"/>
        <v>#VALUE!</v>
      </c>
      <c r="G5248" s="519"/>
      <c r="H5248" s="111"/>
      <c r="I5248">
        <f>E5248*G5228</f>
        <v>0</v>
      </c>
      <c r="J5248" s="58"/>
      <c r="K5248" s="50"/>
      <c r="L5248" s="50"/>
      <c r="M5248" s="50"/>
      <c r="N5248" s="50"/>
      <c r="O5248" s="50"/>
    </row>
    <row r="5249" spans="1:15">
      <c r="A5249" s="517" t="s">
        <v>8</v>
      </c>
      <c r="B5249" s="518">
        <f>VLOOKUP(A5249,'Materiales '!$C$2:$G$396,3,0)</f>
        <v>0</v>
      </c>
      <c r="C5249" s="88">
        <f>VLOOKUP(A5249,'Materiales '!$C$2:$G$396,3,0)</f>
        <v>0</v>
      </c>
      <c r="D5249" s="89" t="str">
        <f>VLOOKUP(A5249,'Materiales '!$C$2:$G$396,4,0)</f>
        <v>-</v>
      </c>
      <c r="E5249" s="90"/>
      <c r="F5249" s="508" t="e">
        <f t="shared" si="308"/>
        <v>#VALUE!</v>
      </c>
      <c r="G5249" s="519"/>
      <c r="H5249" s="111"/>
      <c r="I5249">
        <f>E5249*G5228</f>
        <v>0</v>
      </c>
      <c r="J5249" s="58"/>
      <c r="K5249" s="50"/>
      <c r="L5249" s="50"/>
      <c r="M5249" s="50"/>
      <c r="N5249" s="50"/>
      <c r="O5249" s="50"/>
    </row>
    <row r="5250" spans="1:15">
      <c r="A5250" s="517" t="s">
        <v>8</v>
      </c>
      <c r="B5250" s="518">
        <f>VLOOKUP(A5250,'Materiales '!$C$2:$G$396,3,0)</f>
        <v>0</v>
      </c>
      <c r="C5250" s="88">
        <f>VLOOKUP(A5250,'Materiales '!$C$2:$G$396,3,0)</f>
        <v>0</v>
      </c>
      <c r="D5250" s="89" t="str">
        <f>VLOOKUP(A5250,'Materiales '!$C$2:$G$396,4,0)</f>
        <v>-</v>
      </c>
      <c r="E5250" s="90"/>
      <c r="F5250" s="508" t="e">
        <f>E5250*D5250</f>
        <v>#VALUE!</v>
      </c>
      <c r="G5250" s="519"/>
      <c r="H5250" s="110"/>
      <c r="I5250">
        <f>E5250*G5228</f>
        <v>0</v>
      </c>
      <c r="J5250" s="58"/>
      <c r="K5250" s="50"/>
      <c r="L5250" s="50"/>
      <c r="M5250" s="50"/>
      <c r="N5250" s="50"/>
      <c r="O5250" s="50"/>
    </row>
    <row r="5251" spans="1:15">
      <c r="A5251" s="520" t="s">
        <v>4098</v>
      </c>
      <c r="B5251" s="521"/>
      <c r="C5251" s="521"/>
      <c r="D5251" s="521"/>
      <c r="E5251" s="521"/>
      <c r="F5251" s="521"/>
      <c r="G5251" s="522"/>
      <c r="H5251" s="106" t="e">
        <f>SUM(F5237:F5250)</f>
        <v>#VALUE!</v>
      </c>
      <c r="J5251" s="58"/>
      <c r="K5251" s="50"/>
      <c r="L5251" s="50"/>
      <c r="M5251" s="50"/>
      <c r="N5251" s="50"/>
      <c r="O5251" s="50"/>
    </row>
    <row r="5252" spans="1:15">
      <c r="A5252" s="523" t="s">
        <v>4220</v>
      </c>
      <c r="B5252" s="524"/>
      <c r="C5252" s="524"/>
      <c r="D5252" s="524"/>
      <c r="E5252" s="525"/>
      <c r="F5252" s="524"/>
      <c r="G5252" s="524"/>
      <c r="H5252" s="526"/>
      <c r="J5252" s="58"/>
      <c r="K5252" s="50"/>
      <c r="L5252" s="50"/>
      <c r="M5252" s="50"/>
      <c r="N5252" s="50"/>
      <c r="O5252" s="50"/>
    </row>
    <row r="5253" spans="1:15">
      <c r="A5253" s="527" t="s">
        <v>7</v>
      </c>
      <c r="B5253" s="528"/>
      <c r="C5253" s="98" t="s">
        <v>4221</v>
      </c>
      <c r="D5253" s="97" t="s">
        <v>4222</v>
      </c>
      <c r="E5253" s="187" t="s">
        <v>4223</v>
      </c>
      <c r="F5253" s="529" t="s">
        <v>4207</v>
      </c>
      <c r="G5253" s="529"/>
      <c r="H5253" s="109"/>
      <c r="K5253" s="50"/>
      <c r="L5253" s="50"/>
      <c r="M5253" s="50"/>
      <c r="N5253" s="50"/>
      <c r="O5253" s="50"/>
    </row>
    <row r="5254" spans="1:15">
      <c r="A5254" s="506" t="s">
        <v>3928</v>
      </c>
      <c r="B5254" s="507"/>
      <c r="C5254" s="213">
        <v>1</v>
      </c>
      <c r="D5254" s="92">
        <v>0.03</v>
      </c>
      <c r="E5254" s="93" t="str">
        <f>VLOOKUP(A5254,'Equip, Herr y Transp'!$B$2:$E$217,3,0)</f>
        <v>TR</v>
      </c>
      <c r="F5254" s="530" t="e">
        <f>E5254*D5254*C5254</f>
        <v>#VALUE!</v>
      </c>
      <c r="G5254" s="531"/>
      <c r="H5254" s="107"/>
      <c r="M5254" s="50"/>
    </row>
    <row r="5255" spans="1:15">
      <c r="A5255" s="532" t="s">
        <v>4205</v>
      </c>
      <c r="B5255" s="533"/>
      <c r="C5255" s="533"/>
      <c r="D5255" s="533"/>
      <c r="E5255" s="533"/>
      <c r="F5255" s="533"/>
      <c r="G5255" s="533"/>
      <c r="H5255" s="95" t="e">
        <f>F5254</f>
        <v>#VALUE!</v>
      </c>
    </row>
    <row r="5256" spans="1:15">
      <c r="A5256" s="523" t="s">
        <v>4224</v>
      </c>
      <c r="B5256" s="524"/>
      <c r="C5256" s="524"/>
      <c r="D5256" s="524"/>
      <c r="E5256" s="524"/>
      <c r="F5256" s="524"/>
      <c r="G5256" s="524"/>
      <c r="H5256" s="526"/>
    </row>
    <row r="5257" spans="1:15">
      <c r="A5257" s="527" t="s">
        <v>7</v>
      </c>
      <c r="B5257" s="528"/>
      <c r="C5257" s="96" t="s">
        <v>1</v>
      </c>
      <c r="D5257" s="97" t="s">
        <v>4225</v>
      </c>
      <c r="E5257" s="98" t="s">
        <v>4204</v>
      </c>
      <c r="F5257" s="527" t="s">
        <v>5</v>
      </c>
      <c r="G5257" s="534"/>
      <c r="H5257" s="109"/>
    </row>
    <row r="5258" spans="1:15">
      <c r="A5258" s="506" t="s">
        <v>4191</v>
      </c>
      <c r="B5258" s="507"/>
      <c r="C5258" s="91">
        <v>1</v>
      </c>
      <c r="D5258" s="94">
        <f>VLOOKUP(A5258,'Mano Obra'!$B$2:$T$117,19,0)</f>
        <v>152456</v>
      </c>
      <c r="E5258" s="218">
        <f>H5221</f>
        <v>0.14580000000000001</v>
      </c>
      <c r="F5258" s="508">
        <f>E5258*D5258*C5258</f>
        <v>22228.084800000001</v>
      </c>
      <c r="G5258" s="509"/>
      <c r="H5258" s="111"/>
      <c r="I5258" s="59"/>
      <c r="J5258" s="117">
        <f>((('Mano Obra'!$M$4/30)*F5258)/D5258)*G5228</f>
        <v>0</v>
      </c>
    </row>
    <row r="5259" spans="1:15">
      <c r="A5259" s="510" t="s">
        <v>4192</v>
      </c>
      <c r="B5259" s="511">
        <f>VLOOKUP(A5259,'Mano Obra'!$B$3:$D$290,2,0)</f>
        <v>1900000</v>
      </c>
      <c r="C5259" s="91">
        <v>1</v>
      </c>
      <c r="D5259" s="94">
        <f>VLOOKUP(A5259,'Mano Obra'!$B$2:$T$117,19,0)</f>
        <v>110488</v>
      </c>
      <c r="E5259" s="218">
        <f>H5221</f>
        <v>0.14580000000000001</v>
      </c>
      <c r="F5259" s="508">
        <f t="shared" ref="F5259:F5260" si="309">E5259*D5259*C5259</f>
        <v>16109.150400000002</v>
      </c>
      <c r="G5259" s="509"/>
      <c r="H5259" s="111"/>
      <c r="J5259" s="117">
        <f>((('Mano Obra'!$M$5/30)*F5259)/D5259)*G5228</f>
        <v>0</v>
      </c>
    </row>
    <row r="5260" spans="1:15">
      <c r="A5260" s="510" t="s">
        <v>4181</v>
      </c>
      <c r="B5260" s="511">
        <f>VLOOKUP(A5260,'Mano Obra'!$B$3:$D$290,2,0)</f>
        <v>1000000</v>
      </c>
      <c r="C5260" s="91">
        <v>1</v>
      </c>
      <c r="D5260" s="94">
        <f>VLOOKUP(A5260,'Mano Obra'!$B$2:$T$117,19,0)</f>
        <v>67424</v>
      </c>
      <c r="E5260" s="218">
        <f>H5221</f>
        <v>0.14580000000000001</v>
      </c>
      <c r="F5260" s="508">
        <f t="shared" si="309"/>
        <v>9830.4192000000003</v>
      </c>
      <c r="G5260" s="509"/>
      <c r="H5260" s="110"/>
      <c r="J5260" s="117">
        <f>((('Mano Obra'!$M$6/30)*F5260)/D5260)*G5228</f>
        <v>0</v>
      </c>
    </row>
    <row r="5261" spans="1:15">
      <c r="A5261" s="512" t="s">
        <v>4100</v>
      </c>
      <c r="B5261" s="512"/>
      <c r="C5261" s="512"/>
      <c r="D5261" s="512"/>
      <c r="E5261" s="512"/>
      <c r="F5261" s="512"/>
      <c r="G5261" s="512"/>
      <c r="H5261" s="95">
        <f>SUM(F5258:F5260)</f>
        <v>48167.654399999999</v>
      </c>
      <c r="J5261" s="117"/>
    </row>
    <row r="5262" spans="1:15">
      <c r="A5262" s="208" t="s">
        <v>4226</v>
      </c>
      <c r="B5262" s="186"/>
      <c r="C5262" s="186"/>
      <c r="D5262" s="183"/>
      <c r="E5262" s="184"/>
      <c r="F5262" s="185"/>
      <c r="G5262" s="184"/>
      <c r="H5262" s="193"/>
    </row>
    <row r="5263" spans="1:15">
      <c r="A5263" s="513" t="s">
        <v>4213</v>
      </c>
      <c r="B5263" s="514"/>
      <c r="C5263" s="514"/>
      <c r="D5263" s="514"/>
      <c r="E5263" s="181"/>
      <c r="F5263" s="182" t="s">
        <v>4227</v>
      </c>
      <c r="G5263" s="181" t="s">
        <v>4228</v>
      </c>
      <c r="H5263" s="194"/>
    </row>
    <row r="5264" spans="1:15">
      <c r="A5264" s="204" t="s">
        <v>4096</v>
      </c>
      <c r="B5264" s="62"/>
      <c r="C5264" s="62"/>
      <c r="D5264" s="63"/>
      <c r="E5264" s="68"/>
      <c r="F5264" s="69">
        <v>0</v>
      </c>
      <c r="G5264" s="70" t="e">
        <f>F5264*H5229</f>
        <v>#VALUE!</v>
      </c>
      <c r="H5264" s="193"/>
    </row>
    <row r="5265" spans="1:14">
      <c r="A5265" s="205" t="s">
        <v>4229</v>
      </c>
      <c r="B5265" s="71"/>
      <c r="C5265" s="71"/>
      <c r="D5265" s="72"/>
      <c r="E5265" s="68"/>
      <c r="F5265" s="69">
        <v>0</v>
      </c>
      <c r="G5265" s="70" t="e">
        <f>F5265*H5229</f>
        <v>#VALUE!</v>
      </c>
      <c r="H5265" s="193"/>
    </row>
    <row r="5266" spans="1:14">
      <c r="A5266" s="205" t="s">
        <v>4</v>
      </c>
      <c r="B5266" s="71"/>
      <c r="C5266" s="71"/>
      <c r="D5266" s="72"/>
      <c r="E5266" s="68"/>
      <c r="F5266" s="69">
        <v>0</v>
      </c>
      <c r="G5266" s="70" t="e">
        <f>F5266*H5229</f>
        <v>#VALUE!</v>
      </c>
      <c r="H5266" s="193"/>
    </row>
    <row r="5267" spans="1:14">
      <c r="A5267" s="206"/>
      <c r="B5267" s="73"/>
      <c r="C5267" s="65"/>
      <c r="D5267" s="74"/>
      <c r="E5267" s="75"/>
      <c r="F5267" s="76"/>
      <c r="G5267" s="77"/>
      <c r="H5267" s="195"/>
    </row>
    <row r="5268" spans="1:14">
      <c r="A5268" s="207"/>
      <c r="B5268" s="73"/>
      <c r="C5268" s="73"/>
      <c r="D5268" s="74"/>
      <c r="E5268" s="78"/>
      <c r="F5268" s="515" t="s">
        <v>4230</v>
      </c>
      <c r="G5268" s="516"/>
      <c r="H5268" s="214" t="e">
        <f>H5229+G5264+G5265+G5266</f>
        <v>#VALUE!</v>
      </c>
    </row>
    <row r="5269" spans="1:14">
      <c r="A5269" s="73"/>
      <c r="B5269" s="73"/>
      <c r="C5269" s="73"/>
      <c r="D5269" s="74"/>
      <c r="E5269" s="360"/>
      <c r="F5269" s="361"/>
      <c r="G5269" s="361"/>
      <c r="H5269" s="362"/>
    </row>
    <row r="5271" spans="1:14">
      <c r="A5271" s="80"/>
      <c r="B5271" s="80"/>
      <c r="C5271" s="80"/>
      <c r="D5271" s="80"/>
      <c r="E5271" s="80"/>
      <c r="F5271" s="80"/>
      <c r="G5271" s="80"/>
      <c r="H5271" s="353"/>
    </row>
    <row r="5272" spans="1:14">
      <c r="A5272" s="537" t="s">
        <v>4214</v>
      </c>
      <c r="B5272" s="538"/>
      <c r="C5272" s="538"/>
      <c r="D5272" s="538"/>
      <c r="E5272" s="538"/>
      <c r="F5272" s="538"/>
      <c r="G5272" s="538"/>
      <c r="H5272" s="539"/>
    </row>
    <row r="5273" spans="1:14">
      <c r="A5273" s="81"/>
      <c r="B5273" s="82"/>
      <c r="C5273" s="82"/>
      <c r="D5273" s="82"/>
      <c r="E5273" s="82"/>
      <c r="F5273" s="83"/>
      <c r="G5273" s="84"/>
      <c r="H5273" s="352">
        <f>ROUND((70/60)/8,4)</f>
        <v>0.14580000000000001</v>
      </c>
      <c r="I5273" s="105"/>
    </row>
    <row r="5274" spans="1:14">
      <c r="A5274" s="540" t="s">
        <v>4209</v>
      </c>
      <c r="B5274" s="542" t="str">
        <f>COSTOS!$C$14</f>
        <v>MODERNIZACION A TECNOLOGIA LED</v>
      </c>
      <c r="C5274" s="542"/>
      <c r="D5274" s="542"/>
      <c r="E5274" s="542"/>
      <c r="F5274" s="542"/>
      <c r="G5274" s="542"/>
      <c r="H5274" s="543" t="s">
        <v>4210</v>
      </c>
    </row>
    <row r="5275" spans="1:14">
      <c r="A5275" s="541"/>
      <c r="B5275" s="542"/>
      <c r="C5275" s="542"/>
      <c r="D5275" s="542"/>
      <c r="E5275" s="542"/>
      <c r="F5275" s="542"/>
      <c r="G5275" s="542"/>
      <c r="H5275" s="543"/>
    </row>
    <row r="5276" spans="1:14">
      <c r="A5276" s="541"/>
      <c r="B5276" s="542"/>
      <c r="C5276" s="542"/>
      <c r="D5276" s="542"/>
      <c r="E5276" s="542"/>
      <c r="F5276" s="542"/>
      <c r="G5276" s="542"/>
      <c r="H5276" s="543"/>
    </row>
    <row r="5277" spans="1:14" ht="15" customHeight="1">
      <c r="A5277" s="541"/>
      <c r="B5277" s="542"/>
      <c r="C5277" s="542"/>
      <c r="D5277" s="542"/>
      <c r="E5277" s="542"/>
      <c r="F5277" s="542"/>
      <c r="G5277" s="542"/>
      <c r="H5277" s="197">
        <f ca="1">TODAY()</f>
        <v>44889</v>
      </c>
      <c r="K5277" t="s">
        <v>4380</v>
      </c>
      <c r="L5277" t="s">
        <v>4381</v>
      </c>
      <c r="M5277" t="s">
        <v>4382</v>
      </c>
      <c r="N5277" t="s">
        <v>4383</v>
      </c>
    </row>
    <row r="5278" spans="1:14" ht="60.75" customHeight="1">
      <c r="A5278" s="209" t="s">
        <v>4211</v>
      </c>
      <c r="B5278" s="544" t="str">
        <f>COSTOS!$D$16</f>
        <v>Luminarias</v>
      </c>
      <c r="C5278" s="544"/>
      <c r="D5278" s="544"/>
      <c r="E5278" s="544"/>
      <c r="F5278" s="544"/>
      <c r="G5278" s="60" t="s">
        <v>4212</v>
      </c>
      <c r="H5278" s="359">
        <v>2.2200000000000002</v>
      </c>
      <c r="K5278" s="55" t="e">
        <f>H5303</f>
        <v>#VALUE!</v>
      </c>
      <c r="L5278" s="55">
        <f>H5313</f>
        <v>48167.654399999999</v>
      </c>
      <c r="M5278" s="55" t="e">
        <f>H5286</f>
        <v>#VALUE!</v>
      </c>
      <c r="N5278" s="55" t="e">
        <f>H5307</f>
        <v>#VALUE!</v>
      </c>
    </row>
    <row r="5279" spans="1:14" ht="43.2" customHeight="1">
      <c r="A5279" s="210" t="s">
        <v>4213</v>
      </c>
      <c r="B5279" s="545" t="str">
        <f>VLOOKUP(H5278,COSTOS!C:M,2,0)</f>
        <v>Poste Melatico de 2,5m</v>
      </c>
      <c r="C5279" s="546"/>
      <c r="D5279" s="546"/>
      <c r="E5279" s="547"/>
      <c r="F5279" s="61" t="s">
        <v>0</v>
      </c>
      <c r="G5279" s="328" t="str">
        <f>VLOOKUP(H5278,COSTOS!C:M,8,0)</f>
        <v>Und</v>
      </c>
      <c r="H5279" s="248"/>
      <c r="I5279" s="278"/>
      <c r="J5279" s="280"/>
      <c r="K5279" s="280"/>
      <c r="L5279" s="280"/>
    </row>
    <row r="5280" spans="1:14">
      <c r="A5280" s="211"/>
      <c r="B5280" s="102"/>
      <c r="C5280" s="102"/>
      <c r="D5280" s="102"/>
      <c r="E5280" s="103"/>
      <c r="F5280" s="104" t="s">
        <v>1</v>
      </c>
      <c r="G5280" s="328">
        <f>VLOOKUP(H5278,COSTOS!C:M,9,0)</f>
        <v>0</v>
      </c>
      <c r="H5280" s="329"/>
      <c r="I5280" s="279"/>
    </row>
    <row r="5281" spans="1:15">
      <c r="A5281" s="212" t="s">
        <v>4215</v>
      </c>
      <c r="B5281" s="65"/>
      <c r="C5281" s="65"/>
      <c r="D5281" s="66"/>
      <c r="E5281" s="190"/>
      <c r="F5281" s="191"/>
      <c r="G5281" s="192" t="s">
        <v>4216</v>
      </c>
      <c r="H5281" s="198" t="e">
        <f>H5286+H5303+H5307+H5313</f>
        <v>#VALUE!</v>
      </c>
    </row>
    <row r="5282" spans="1:15" ht="41.4">
      <c r="A5282" s="548" t="s">
        <v>4213</v>
      </c>
      <c r="B5282" s="548"/>
      <c r="C5282" s="548"/>
      <c r="D5282" s="67" t="s">
        <v>0</v>
      </c>
      <c r="E5282" s="188" t="s">
        <v>4217</v>
      </c>
      <c r="F5282" s="189" t="s">
        <v>4204</v>
      </c>
      <c r="G5282" s="64" t="s">
        <v>2</v>
      </c>
      <c r="H5282" s="199" t="s">
        <v>4218</v>
      </c>
      <c r="K5282" s="281"/>
    </row>
    <row r="5283" spans="1:15">
      <c r="A5283" s="517" t="s">
        <v>3946</v>
      </c>
      <c r="B5283" s="549">
        <f>VLOOKUP(A5283,'Equip, Herr y Transp'!$B$2:$E$738,2,0)</f>
        <v>2</v>
      </c>
      <c r="C5283" s="549"/>
      <c r="D5283" s="85">
        <f>VLOOKUP(A5283,'Equip, Herr y Transp'!$B$2:$E$217,2,0)</f>
        <v>2</v>
      </c>
      <c r="E5283" s="85" t="str">
        <f>VLOOKUP(A5283,'Equip, Herr y Transp'!$B$2:$E$217,3,0)</f>
        <v>EQU</v>
      </c>
      <c r="F5283" s="86">
        <f>H5273</f>
        <v>0.14580000000000001</v>
      </c>
      <c r="G5283" s="112" t="e">
        <f>F5283*E5283</f>
        <v>#VALUE!</v>
      </c>
      <c r="H5283" s="108"/>
    </row>
    <row r="5284" spans="1:15">
      <c r="A5284" s="517" t="s">
        <v>3904</v>
      </c>
      <c r="B5284" s="549">
        <f>VLOOKUP(A5284,'Equip, Herr y Transp'!$B$2:$E$738,2,0)</f>
        <v>2</v>
      </c>
      <c r="C5284" s="549"/>
      <c r="D5284" s="85">
        <f>VLOOKUP(A5284,'Equip, Herr y Transp'!$B$2:$E$217,2,0)</f>
        <v>2</v>
      </c>
      <c r="E5284" s="85" t="str">
        <f>VLOOKUP(A5284,'Equip, Herr y Transp'!$B$2:$E$217,3,0)</f>
        <v>EQU</v>
      </c>
      <c r="F5284" s="86">
        <f>H5273</f>
        <v>0.14580000000000001</v>
      </c>
      <c r="G5284" s="112" t="e">
        <f>F5284*E5284</f>
        <v>#VALUE!</v>
      </c>
      <c r="H5284" s="107"/>
    </row>
    <row r="5285" spans="1:15">
      <c r="A5285" s="517" t="s">
        <v>8</v>
      </c>
      <c r="B5285" s="549" t="e">
        <f>VLOOKUP(A5285,'Equip, Herr y Transp'!$B$2:$E$738,2,0)</f>
        <v>#N/A</v>
      </c>
      <c r="C5285" s="549"/>
      <c r="D5285" s="85" t="e">
        <f>VLOOKUP(A5285,'Equip, Herr y Transp'!$B$2:$E$217,2,0)</f>
        <v>#N/A</v>
      </c>
      <c r="E5285" s="85" t="e">
        <f>VLOOKUP(A5285,'Equip, Herr y Transp'!$B$2:$E$217,3,0)</f>
        <v>#N/A</v>
      </c>
      <c r="F5285" s="86"/>
      <c r="G5285" s="112" t="e">
        <f>F5285*E5285</f>
        <v>#N/A</v>
      </c>
      <c r="H5285" s="107"/>
    </row>
    <row r="5286" spans="1:15">
      <c r="A5286" s="520" t="s">
        <v>4099</v>
      </c>
      <c r="B5286" s="521"/>
      <c r="C5286" s="521"/>
      <c r="D5286" s="521"/>
      <c r="E5286" s="521"/>
      <c r="F5286" s="521"/>
      <c r="G5286" s="521"/>
      <c r="H5286" s="87" t="e">
        <f>SUM(G5283:G5285)</f>
        <v>#VALUE!</v>
      </c>
    </row>
    <row r="5287" spans="1:15">
      <c r="A5287" s="550" t="s">
        <v>4219</v>
      </c>
      <c r="B5287" s="551"/>
      <c r="C5287" s="551"/>
      <c r="D5287" s="551"/>
      <c r="E5287" s="551"/>
      <c r="F5287" s="551"/>
      <c r="G5287" s="551"/>
      <c r="H5287" s="552"/>
      <c r="K5287" s="50"/>
      <c r="L5287" s="50"/>
      <c r="M5287" s="50"/>
      <c r="N5287" s="50"/>
      <c r="O5287" s="50"/>
    </row>
    <row r="5288" spans="1:15" ht="30" customHeight="1">
      <c r="A5288" s="553" t="s">
        <v>7</v>
      </c>
      <c r="B5288" s="554"/>
      <c r="C5288" s="99" t="s">
        <v>0</v>
      </c>
      <c r="D5288" s="100" t="s">
        <v>4097</v>
      </c>
      <c r="E5288" s="101" t="s">
        <v>1</v>
      </c>
      <c r="F5288" s="555" t="s">
        <v>4207</v>
      </c>
      <c r="G5288" s="555"/>
      <c r="H5288" s="196"/>
      <c r="K5288" s="50"/>
      <c r="L5288" s="50"/>
      <c r="M5288" s="50"/>
      <c r="N5288" s="50"/>
      <c r="O5288" s="50"/>
    </row>
    <row r="5289" spans="1:15">
      <c r="A5289" s="535" t="s">
        <v>4616</v>
      </c>
      <c r="B5289" s="536"/>
      <c r="C5289" s="88">
        <f>VLOOKUP(A5289,'Materiales '!$C$2:$G$396,3,0)</f>
        <v>4</v>
      </c>
      <c r="D5289" s="89" t="str">
        <f>VLOOKUP(A5289,'Materiales '!$C$2:$G$396,4,0)</f>
        <v>Und</v>
      </c>
      <c r="E5289" s="90">
        <v>1</v>
      </c>
      <c r="F5289" s="508" t="e">
        <f>E5289*D5289</f>
        <v>#VALUE!</v>
      </c>
      <c r="G5289" s="519"/>
      <c r="H5289" s="111"/>
      <c r="I5289">
        <f>E5289*G5280</f>
        <v>0</v>
      </c>
      <c r="J5289" s="57"/>
      <c r="K5289" s="50"/>
      <c r="L5289" s="50"/>
      <c r="M5289" s="50"/>
      <c r="N5289" s="50"/>
      <c r="O5289" s="50"/>
    </row>
    <row r="5290" spans="1:15">
      <c r="A5290" s="535" t="s">
        <v>4617</v>
      </c>
      <c r="B5290" s="536"/>
      <c r="C5290" s="88">
        <f>VLOOKUP(A5290,'Materiales '!$C$2:$G$396,3,0)</f>
        <v>3</v>
      </c>
      <c r="D5290" s="89" t="str">
        <f>VLOOKUP(A5290,'Materiales '!$C$2:$G$396,4,0)</f>
        <v>Rollo</v>
      </c>
      <c r="E5290" s="90">
        <v>0.5</v>
      </c>
      <c r="F5290" s="508" t="e">
        <f t="shared" ref="F5290:F5296" si="310">E5290*D5290</f>
        <v>#VALUE!</v>
      </c>
      <c r="G5290" s="519"/>
      <c r="H5290" s="111"/>
      <c r="I5290">
        <f>E5290*G5280</f>
        <v>0</v>
      </c>
      <c r="J5290" s="57"/>
      <c r="K5290" s="50"/>
      <c r="L5290" s="50"/>
      <c r="M5290" s="50"/>
      <c r="N5290" s="50"/>
      <c r="O5290" s="50"/>
    </row>
    <row r="5291" spans="1:15">
      <c r="A5291" s="517" t="s">
        <v>8</v>
      </c>
      <c r="B5291" s="518">
        <f>VLOOKUP(A5291,'Materiales '!$C$2:$G$396,3,0)</f>
        <v>0</v>
      </c>
      <c r="C5291" s="88">
        <f>VLOOKUP(A5291,'Materiales '!$C$2:$G$396,3,0)</f>
        <v>0</v>
      </c>
      <c r="D5291" s="89" t="str">
        <f>VLOOKUP(A5291,'Materiales '!$C$2:$G$396,4,0)</f>
        <v>-</v>
      </c>
      <c r="E5291" s="90">
        <v>1</v>
      </c>
      <c r="F5291" s="508" t="e">
        <f t="shared" si="310"/>
        <v>#VALUE!</v>
      </c>
      <c r="G5291" s="519"/>
      <c r="H5291" s="111"/>
      <c r="I5291">
        <f>E5291*G5280</f>
        <v>0</v>
      </c>
      <c r="J5291" s="58"/>
      <c r="K5291" s="50"/>
      <c r="L5291" s="50"/>
      <c r="M5291" s="50"/>
      <c r="N5291" s="50"/>
      <c r="O5291" s="50"/>
    </row>
    <row r="5292" spans="1:15">
      <c r="A5292" s="517" t="s">
        <v>8</v>
      </c>
      <c r="B5292" s="518">
        <f>VLOOKUP(A5292,'Materiales '!$C$2:$G$396,3,0)</f>
        <v>0</v>
      </c>
      <c r="C5292" s="88">
        <f>VLOOKUP(A5292,'Materiales '!$C$2:$G$396,3,0)</f>
        <v>0</v>
      </c>
      <c r="D5292" s="89" t="str">
        <f>VLOOKUP(A5292,'Materiales '!$C$2:$G$396,4,0)</f>
        <v>-</v>
      </c>
      <c r="E5292" s="90">
        <v>3</v>
      </c>
      <c r="F5292" s="508" t="e">
        <f t="shared" si="310"/>
        <v>#VALUE!</v>
      </c>
      <c r="G5292" s="519"/>
      <c r="H5292" s="111"/>
      <c r="I5292">
        <f>E5292*G5280</f>
        <v>0</v>
      </c>
      <c r="J5292" s="58"/>
      <c r="K5292" s="50"/>
      <c r="L5292" s="50"/>
      <c r="M5292" s="50"/>
      <c r="N5292" s="50"/>
      <c r="O5292" s="50"/>
    </row>
    <row r="5293" spans="1:15">
      <c r="A5293" s="517" t="s">
        <v>8</v>
      </c>
      <c r="B5293" s="518">
        <f>VLOOKUP(A5293,'Materiales '!$C$2:$G$396,3,0)</f>
        <v>0</v>
      </c>
      <c r="C5293" s="88">
        <f>VLOOKUP(A5293,'Materiales '!$C$2:$G$396,3,0)</f>
        <v>0</v>
      </c>
      <c r="D5293" s="89" t="str">
        <f>VLOOKUP(A5293,'Materiales '!$C$2:$G$396,4,0)</f>
        <v>-</v>
      </c>
      <c r="E5293" s="90">
        <v>2</v>
      </c>
      <c r="F5293" s="508" t="e">
        <f t="shared" si="310"/>
        <v>#VALUE!</v>
      </c>
      <c r="G5293" s="519"/>
      <c r="H5293" s="111"/>
      <c r="I5293">
        <f>E5293*G5280</f>
        <v>0</v>
      </c>
      <c r="J5293" s="58"/>
      <c r="K5293" s="50"/>
      <c r="L5293" s="50"/>
      <c r="M5293" s="50"/>
      <c r="N5293" s="50"/>
      <c r="O5293" s="50"/>
    </row>
    <row r="5294" spans="1:15">
      <c r="A5294" s="517" t="s">
        <v>8</v>
      </c>
      <c r="B5294" s="518">
        <f>VLOOKUP(A5294,'Materiales '!$C$2:$G$396,3,0)</f>
        <v>0</v>
      </c>
      <c r="C5294" s="88">
        <f>VLOOKUP(A5294,'Materiales '!$C$2:$G$396,3,0)</f>
        <v>0</v>
      </c>
      <c r="D5294" s="89" t="str">
        <f>VLOOKUP(A5294,'Materiales '!$C$2:$G$396,4,0)</f>
        <v>-</v>
      </c>
      <c r="E5294" s="90">
        <v>8</v>
      </c>
      <c r="F5294" s="508" t="e">
        <f t="shared" si="310"/>
        <v>#VALUE!</v>
      </c>
      <c r="G5294" s="519"/>
      <c r="H5294" s="111"/>
      <c r="I5294">
        <f>E5294*G5280</f>
        <v>0</v>
      </c>
      <c r="J5294" s="58"/>
      <c r="K5294" s="50"/>
      <c r="L5294" s="50"/>
      <c r="M5294" s="50"/>
      <c r="N5294" s="50"/>
      <c r="O5294" s="50"/>
    </row>
    <row r="5295" spans="1:15">
      <c r="A5295" s="517" t="s">
        <v>8</v>
      </c>
      <c r="B5295" s="518">
        <f>VLOOKUP(A5295,'Materiales '!$C$2:$G$396,3,0)</f>
        <v>0</v>
      </c>
      <c r="C5295" s="88">
        <f>VLOOKUP(A5295,'Materiales '!$C$2:$G$396,3,0)</f>
        <v>0</v>
      </c>
      <c r="D5295" s="89" t="str">
        <f>VLOOKUP(A5295,'Materiales '!$C$2:$G$396,4,0)</f>
        <v>-</v>
      </c>
      <c r="E5295" s="90">
        <v>3</v>
      </c>
      <c r="F5295" s="508" t="e">
        <f t="shared" si="310"/>
        <v>#VALUE!</v>
      </c>
      <c r="G5295" s="519"/>
      <c r="H5295" s="111"/>
      <c r="I5295">
        <f>E5295*G5280</f>
        <v>0</v>
      </c>
      <c r="J5295" s="58"/>
      <c r="K5295" s="50"/>
      <c r="L5295" s="50"/>
      <c r="M5295" s="50"/>
      <c r="N5295" s="50"/>
      <c r="O5295" s="50"/>
    </row>
    <row r="5296" spans="1:15" ht="21.75" customHeight="1">
      <c r="A5296" s="517" t="s">
        <v>8</v>
      </c>
      <c r="B5296" s="518">
        <f>VLOOKUP(A5296,'Materiales '!$C$2:$G$396,3,0)</f>
        <v>0</v>
      </c>
      <c r="C5296" s="88">
        <f>VLOOKUP(A5296,'Materiales '!$C$2:$G$396,3,0)</f>
        <v>0</v>
      </c>
      <c r="D5296" s="89" t="str">
        <f>VLOOKUP(A5296,'Materiales '!$C$2:$G$396,4,0)</f>
        <v>-</v>
      </c>
      <c r="E5296" s="90">
        <v>0.5</v>
      </c>
      <c r="F5296" s="508" t="e">
        <f t="shared" si="310"/>
        <v>#VALUE!</v>
      </c>
      <c r="G5296" s="519"/>
      <c r="H5296" s="111"/>
      <c r="I5296">
        <f>E5296*G5280</f>
        <v>0</v>
      </c>
      <c r="J5296" s="58"/>
      <c r="K5296" s="50"/>
      <c r="L5296" s="50"/>
      <c r="M5296" s="50"/>
      <c r="N5296" s="50"/>
      <c r="O5296" s="50"/>
    </row>
    <row r="5297" spans="1:15">
      <c r="A5297" s="517" t="s">
        <v>8</v>
      </c>
      <c r="B5297" s="518">
        <f>VLOOKUP(A5297,'Materiales '!$C$2:$G$396,3,0)</f>
        <v>0</v>
      </c>
      <c r="C5297" s="88">
        <f>VLOOKUP(A5297,'Materiales '!$C$2:$G$396,3,0)</f>
        <v>0</v>
      </c>
      <c r="D5297" s="89" t="str">
        <f>VLOOKUP(A5297,'Materiales '!$C$2:$G$396,4,0)</f>
        <v>-</v>
      </c>
      <c r="E5297" s="90"/>
      <c r="F5297" s="508" t="e">
        <f>E5297*D5297</f>
        <v>#VALUE!</v>
      </c>
      <c r="G5297" s="519"/>
      <c r="H5297" s="110"/>
      <c r="I5297">
        <f>E5297*G5280</f>
        <v>0</v>
      </c>
      <c r="J5297" s="58"/>
      <c r="K5297" s="50"/>
      <c r="L5297" s="50"/>
      <c r="M5297" s="50"/>
      <c r="N5297" s="50"/>
      <c r="O5297" s="50"/>
    </row>
    <row r="5298" spans="1:15">
      <c r="A5298" s="517" t="s">
        <v>8</v>
      </c>
      <c r="B5298" s="518">
        <f>VLOOKUP(A5298,'Materiales '!$C$2:$G$396,3,0)</f>
        <v>0</v>
      </c>
      <c r="C5298" s="88">
        <f>VLOOKUP(A5298,'Materiales '!$C$2:$G$396,3,0)</f>
        <v>0</v>
      </c>
      <c r="D5298" s="89" t="str">
        <f>VLOOKUP(A5298,'Materiales '!$C$2:$G$396,4,0)</f>
        <v>-</v>
      </c>
      <c r="E5298" s="90"/>
      <c r="F5298" s="508" t="e">
        <f t="shared" ref="F5298:F5301" si="311">E5298*D5298</f>
        <v>#VALUE!</v>
      </c>
      <c r="G5298" s="519"/>
      <c r="H5298" s="111"/>
      <c r="I5298">
        <f>E5298*G5280</f>
        <v>0</v>
      </c>
      <c r="J5298" s="58"/>
      <c r="K5298" s="50"/>
      <c r="L5298" s="50"/>
      <c r="M5298" s="50"/>
      <c r="N5298" s="50"/>
      <c r="O5298" s="50"/>
    </row>
    <row r="5299" spans="1:15">
      <c r="A5299" s="517" t="s">
        <v>8</v>
      </c>
      <c r="B5299" s="518">
        <f>VLOOKUP(A5299,'Materiales '!$C$2:$G$396,3,0)</f>
        <v>0</v>
      </c>
      <c r="C5299" s="88">
        <f>VLOOKUP(A5299,'Materiales '!$C$2:$G$396,3,0)</f>
        <v>0</v>
      </c>
      <c r="D5299" s="89" t="str">
        <f>VLOOKUP(A5299,'Materiales '!$C$2:$G$396,4,0)</f>
        <v>-</v>
      </c>
      <c r="E5299" s="90"/>
      <c r="F5299" s="508" t="e">
        <f t="shared" si="311"/>
        <v>#VALUE!</v>
      </c>
      <c r="G5299" s="519"/>
      <c r="H5299" s="111"/>
      <c r="I5299">
        <f>E5299*G5280</f>
        <v>0</v>
      </c>
      <c r="J5299" s="58"/>
      <c r="K5299" s="50"/>
      <c r="L5299" s="50"/>
      <c r="M5299" s="50"/>
      <c r="N5299" s="50"/>
      <c r="O5299" s="50"/>
    </row>
    <row r="5300" spans="1:15">
      <c r="A5300" s="517" t="s">
        <v>8</v>
      </c>
      <c r="B5300" s="518">
        <f>VLOOKUP(A5300,'Materiales '!$C$2:$G$396,3,0)</f>
        <v>0</v>
      </c>
      <c r="C5300" s="88">
        <f>VLOOKUP(A5300,'Materiales '!$C$2:$G$396,3,0)</f>
        <v>0</v>
      </c>
      <c r="D5300" s="89" t="str">
        <f>VLOOKUP(A5300,'Materiales '!$C$2:$G$396,4,0)</f>
        <v>-</v>
      </c>
      <c r="E5300" s="90"/>
      <c r="F5300" s="508" t="e">
        <f t="shared" si="311"/>
        <v>#VALUE!</v>
      </c>
      <c r="G5300" s="519"/>
      <c r="H5300" s="111"/>
      <c r="I5300">
        <f>E5300*G5280</f>
        <v>0</v>
      </c>
      <c r="J5300" s="58"/>
      <c r="K5300" s="50"/>
      <c r="L5300" s="50"/>
      <c r="M5300" s="50"/>
      <c r="N5300" s="50"/>
      <c r="O5300" s="50"/>
    </row>
    <row r="5301" spans="1:15">
      <c r="A5301" s="517" t="s">
        <v>8</v>
      </c>
      <c r="B5301" s="518">
        <f>VLOOKUP(A5301,'Materiales '!$C$2:$G$396,3,0)</f>
        <v>0</v>
      </c>
      <c r="C5301" s="88">
        <f>VLOOKUP(A5301,'Materiales '!$C$2:$G$396,3,0)</f>
        <v>0</v>
      </c>
      <c r="D5301" s="89" t="str">
        <f>VLOOKUP(A5301,'Materiales '!$C$2:$G$396,4,0)</f>
        <v>-</v>
      </c>
      <c r="E5301" s="90"/>
      <c r="F5301" s="508" t="e">
        <f t="shared" si="311"/>
        <v>#VALUE!</v>
      </c>
      <c r="G5301" s="519"/>
      <c r="H5301" s="111"/>
      <c r="I5301">
        <f>E5301*G5280</f>
        <v>0</v>
      </c>
      <c r="J5301" s="58"/>
      <c r="K5301" s="50"/>
      <c r="L5301" s="50"/>
      <c r="M5301" s="50"/>
      <c r="N5301" s="50"/>
      <c r="O5301" s="50"/>
    </row>
    <row r="5302" spans="1:15">
      <c r="A5302" s="517" t="s">
        <v>8</v>
      </c>
      <c r="B5302" s="518">
        <f>VLOOKUP(A5302,'Materiales '!$C$2:$G$396,3,0)</f>
        <v>0</v>
      </c>
      <c r="C5302" s="88">
        <f>VLOOKUP(A5302,'Materiales '!$C$2:$G$396,3,0)</f>
        <v>0</v>
      </c>
      <c r="D5302" s="89" t="str">
        <f>VLOOKUP(A5302,'Materiales '!$C$2:$G$396,4,0)</f>
        <v>-</v>
      </c>
      <c r="E5302" s="90"/>
      <c r="F5302" s="508" t="e">
        <f>E5302*D5302</f>
        <v>#VALUE!</v>
      </c>
      <c r="G5302" s="519"/>
      <c r="H5302" s="110"/>
      <c r="I5302">
        <f>E5302*G5280</f>
        <v>0</v>
      </c>
      <c r="J5302" s="58"/>
      <c r="K5302" s="50"/>
      <c r="L5302" s="50"/>
      <c r="M5302" s="50"/>
      <c r="N5302" s="50"/>
      <c r="O5302" s="50"/>
    </row>
    <row r="5303" spans="1:15">
      <c r="A5303" s="520" t="s">
        <v>4098</v>
      </c>
      <c r="B5303" s="521"/>
      <c r="C5303" s="521"/>
      <c r="D5303" s="521"/>
      <c r="E5303" s="521"/>
      <c r="F5303" s="521"/>
      <c r="G5303" s="522"/>
      <c r="H5303" s="106" t="e">
        <f>SUM(F5289:F5302)</f>
        <v>#VALUE!</v>
      </c>
      <c r="J5303" s="58"/>
      <c r="K5303" s="50"/>
      <c r="L5303" s="50"/>
      <c r="M5303" s="50"/>
      <c r="N5303" s="50"/>
      <c r="O5303" s="50"/>
    </row>
    <row r="5304" spans="1:15">
      <c r="A5304" s="523" t="s">
        <v>4220</v>
      </c>
      <c r="B5304" s="524"/>
      <c r="C5304" s="524"/>
      <c r="D5304" s="524"/>
      <c r="E5304" s="525"/>
      <c r="F5304" s="524"/>
      <c r="G5304" s="524"/>
      <c r="H5304" s="526"/>
      <c r="J5304" s="58"/>
      <c r="K5304" s="50"/>
      <c r="L5304" s="50"/>
      <c r="M5304" s="50"/>
      <c r="N5304" s="50"/>
      <c r="O5304" s="50"/>
    </row>
    <row r="5305" spans="1:15">
      <c r="A5305" s="527" t="s">
        <v>7</v>
      </c>
      <c r="B5305" s="528"/>
      <c r="C5305" s="98" t="s">
        <v>4221</v>
      </c>
      <c r="D5305" s="97" t="s">
        <v>4222</v>
      </c>
      <c r="E5305" s="187" t="s">
        <v>4223</v>
      </c>
      <c r="F5305" s="529" t="s">
        <v>4207</v>
      </c>
      <c r="G5305" s="529"/>
      <c r="H5305" s="109"/>
      <c r="K5305" s="50"/>
      <c r="L5305" s="50"/>
      <c r="M5305" s="50"/>
      <c r="N5305" s="50"/>
      <c r="O5305" s="50"/>
    </row>
    <row r="5306" spans="1:15">
      <c r="A5306" s="506" t="s">
        <v>3928</v>
      </c>
      <c r="B5306" s="507"/>
      <c r="C5306" s="213">
        <v>1</v>
      </c>
      <c r="D5306" s="92">
        <v>0.03</v>
      </c>
      <c r="E5306" s="93" t="str">
        <f>VLOOKUP(A5306,'Equip, Herr y Transp'!$B$2:$E$217,3,0)</f>
        <v>TR</v>
      </c>
      <c r="F5306" s="530" t="e">
        <f>E5306*D5306*C5306</f>
        <v>#VALUE!</v>
      </c>
      <c r="G5306" s="531"/>
      <c r="H5306" s="107"/>
      <c r="M5306" s="50"/>
    </row>
    <row r="5307" spans="1:15">
      <c r="A5307" s="532" t="s">
        <v>4205</v>
      </c>
      <c r="B5307" s="533"/>
      <c r="C5307" s="533"/>
      <c r="D5307" s="533"/>
      <c r="E5307" s="533"/>
      <c r="F5307" s="533"/>
      <c r="G5307" s="533"/>
      <c r="H5307" s="95" t="e">
        <f>F5306</f>
        <v>#VALUE!</v>
      </c>
    </row>
    <row r="5308" spans="1:15">
      <c r="A5308" s="523" t="s">
        <v>4224</v>
      </c>
      <c r="B5308" s="524"/>
      <c r="C5308" s="524"/>
      <c r="D5308" s="524"/>
      <c r="E5308" s="524"/>
      <c r="F5308" s="524"/>
      <c r="G5308" s="524"/>
      <c r="H5308" s="526"/>
    </row>
    <row r="5309" spans="1:15">
      <c r="A5309" s="527" t="s">
        <v>7</v>
      </c>
      <c r="B5309" s="528"/>
      <c r="C5309" s="96" t="s">
        <v>1</v>
      </c>
      <c r="D5309" s="97" t="s">
        <v>4225</v>
      </c>
      <c r="E5309" s="98" t="s">
        <v>4204</v>
      </c>
      <c r="F5309" s="527" t="s">
        <v>5</v>
      </c>
      <c r="G5309" s="534"/>
      <c r="H5309" s="109"/>
    </row>
    <row r="5310" spans="1:15">
      <c r="A5310" s="506" t="s">
        <v>4191</v>
      </c>
      <c r="B5310" s="507"/>
      <c r="C5310" s="91">
        <v>1</v>
      </c>
      <c r="D5310" s="94">
        <f>VLOOKUP(A5310,'Mano Obra'!$B$2:$T$117,19,0)</f>
        <v>152456</v>
      </c>
      <c r="E5310" s="218">
        <f>H5273</f>
        <v>0.14580000000000001</v>
      </c>
      <c r="F5310" s="508">
        <f>E5310*D5310*C5310</f>
        <v>22228.084800000001</v>
      </c>
      <c r="G5310" s="509"/>
      <c r="H5310" s="111"/>
      <c r="I5310" s="59"/>
      <c r="J5310" s="117">
        <f>((('Mano Obra'!$M$4/30)*F5310)/D5310)*G5280</f>
        <v>0</v>
      </c>
    </row>
    <row r="5311" spans="1:15">
      <c r="A5311" s="510" t="s">
        <v>4192</v>
      </c>
      <c r="B5311" s="511">
        <f>VLOOKUP(A5311,'Mano Obra'!$B$3:$D$290,2,0)</f>
        <v>1900000</v>
      </c>
      <c r="C5311" s="91">
        <v>1</v>
      </c>
      <c r="D5311" s="94">
        <f>VLOOKUP(A5311,'Mano Obra'!$B$2:$T$117,19,0)</f>
        <v>110488</v>
      </c>
      <c r="E5311" s="218">
        <f>H5273</f>
        <v>0.14580000000000001</v>
      </c>
      <c r="F5311" s="508">
        <f t="shared" ref="F5311:F5312" si="312">E5311*D5311*C5311</f>
        <v>16109.150400000002</v>
      </c>
      <c r="G5311" s="509"/>
      <c r="H5311" s="111"/>
      <c r="J5311" s="117">
        <f>((('Mano Obra'!$M$5/30)*F5311)/D5311)*G5280</f>
        <v>0</v>
      </c>
    </row>
    <row r="5312" spans="1:15">
      <c r="A5312" s="510" t="s">
        <v>4181</v>
      </c>
      <c r="B5312" s="511">
        <f>VLOOKUP(A5312,'Mano Obra'!$B$3:$D$290,2,0)</f>
        <v>1000000</v>
      </c>
      <c r="C5312" s="91">
        <v>1</v>
      </c>
      <c r="D5312" s="94">
        <f>VLOOKUP(A5312,'Mano Obra'!$B$2:$T$117,19,0)</f>
        <v>67424</v>
      </c>
      <c r="E5312" s="218">
        <f>H5273</f>
        <v>0.14580000000000001</v>
      </c>
      <c r="F5312" s="508">
        <f t="shared" si="312"/>
        <v>9830.4192000000003</v>
      </c>
      <c r="G5312" s="509"/>
      <c r="H5312" s="110"/>
      <c r="J5312" s="117">
        <f>((('Mano Obra'!$M$6/30)*F5312)/D5312)*G5280</f>
        <v>0</v>
      </c>
    </row>
    <row r="5313" spans="1:14">
      <c r="A5313" s="512" t="s">
        <v>4100</v>
      </c>
      <c r="B5313" s="512"/>
      <c r="C5313" s="512"/>
      <c r="D5313" s="512"/>
      <c r="E5313" s="512"/>
      <c r="F5313" s="512"/>
      <c r="G5313" s="512"/>
      <c r="H5313" s="95">
        <f>SUM(F5310:F5312)</f>
        <v>48167.654399999999</v>
      </c>
      <c r="J5313" s="117"/>
    </row>
    <row r="5314" spans="1:14">
      <c r="A5314" s="208" t="s">
        <v>4226</v>
      </c>
      <c r="B5314" s="186"/>
      <c r="C5314" s="186"/>
      <c r="D5314" s="183"/>
      <c r="E5314" s="184"/>
      <c r="F5314" s="185"/>
      <c r="G5314" s="184"/>
      <c r="H5314" s="193"/>
    </row>
    <row r="5315" spans="1:14">
      <c r="A5315" s="513" t="s">
        <v>4213</v>
      </c>
      <c r="B5315" s="514"/>
      <c r="C5315" s="514"/>
      <c r="D5315" s="514"/>
      <c r="E5315" s="181"/>
      <c r="F5315" s="182" t="s">
        <v>4227</v>
      </c>
      <c r="G5315" s="181" t="s">
        <v>4228</v>
      </c>
      <c r="H5315" s="194"/>
    </row>
    <row r="5316" spans="1:14">
      <c r="A5316" s="204" t="s">
        <v>4096</v>
      </c>
      <c r="B5316" s="62"/>
      <c r="C5316" s="62"/>
      <c r="D5316" s="63"/>
      <c r="E5316" s="68"/>
      <c r="F5316" s="69">
        <v>0</v>
      </c>
      <c r="G5316" s="70" t="e">
        <f>F5316*H5281</f>
        <v>#VALUE!</v>
      </c>
      <c r="H5316" s="193"/>
    </row>
    <row r="5317" spans="1:14">
      <c r="A5317" s="205" t="s">
        <v>4229</v>
      </c>
      <c r="B5317" s="71"/>
      <c r="C5317" s="71"/>
      <c r="D5317" s="72"/>
      <c r="E5317" s="68"/>
      <c r="F5317" s="69">
        <v>0</v>
      </c>
      <c r="G5317" s="70" t="e">
        <f>F5317*H5281</f>
        <v>#VALUE!</v>
      </c>
      <c r="H5317" s="193"/>
    </row>
    <row r="5318" spans="1:14">
      <c r="A5318" s="205" t="s">
        <v>4</v>
      </c>
      <c r="B5318" s="71"/>
      <c r="C5318" s="71"/>
      <c r="D5318" s="72"/>
      <c r="E5318" s="68"/>
      <c r="F5318" s="69">
        <v>0</v>
      </c>
      <c r="G5318" s="70" t="e">
        <f>F5318*H5281</f>
        <v>#VALUE!</v>
      </c>
      <c r="H5318" s="193"/>
    </row>
    <row r="5319" spans="1:14">
      <c r="A5319" s="206"/>
      <c r="B5319" s="73"/>
      <c r="C5319" s="65"/>
      <c r="D5319" s="74"/>
      <c r="E5319" s="75"/>
      <c r="F5319" s="76"/>
      <c r="G5319" s="77"/>
      <c r="H5319" s="195"/>
    </row>
    <row r="5320" spans="1:14">
      <c r="A5320" s="207"/>
      <c r="B5320" s="73"/>
      <c r="C5320" s="73"/>
      <c r="D5320" s="74"/>
      <c r="E5320" s="78"/>
      <c r="F5320" s="515" t="s">
        <v>4230</v>
      </c>
      <c r="G5320" s="516"/>
      <c r="H5320" s="214" t="e">
        <f>H5281+G5316+G5317+G5318</f>
        <v>#VALUE!</v>
      </c>
    </row>
    <row r="5321" spans="1:14">
      <c r="A5321" s="73"/>
      <c r="B5321" s="73"/>
      <c r="C5321" s="73"/>
      <c r="D5321" s="74"/>
      <c r="E5321" s="360"/>
      <c r="F5321" s="361"/>
      <c r="G5321" s="361"/>
      <c r="H5321" s="362"/>
    </row>
    <row r="5322" spans="1:14">
      <c r="A5322" s="80"/>
      <c r="B5322" s="80"/>
      <c r="C5322" s="80"/>
      <c r="D5322" s="80"/>
      <c r="E5322" s="80"/>
      <c r="F5322" s="80"/>
      <c r="G5322" s="80"/>
      <c r="H5322" s="353"/>
    </row>
    <row r="5323" spans="1:14">
      <c r="A5323" s="537" t="s">
        <v>4214</v>
      </c>
      <c r="B5323" s="538"/>
      <c r="C5323" s="538"/>
      <c r="D5323" s="538"/>
      <c r="E5323" s="538"/>
      <c r="F5323" s="538"/>
      <c r="G5323" s="538"/>
      <c r="H5323" s="539"/>
    </row>
    <row r="5324" spans="1:14">
      <c r="A5324" s="81"/>
      <c r="B5324" s="82"/>
      <c r="C5324" s="82"/>
      <c r="D5324" s="82"/>
      <c r="E5324" s="82"/>
      <c r="F5324" s="83"/>
      <c r="G5324" s="84"/>
      <c r="H5324" s="352">
        <f>ROUND((70/60)/8,4)</f>
        <v>0.14580000000000001</v>
      </c>
      <c r="I5324" s="105"/>
    </row>
    <row r="5325" spans="1:14">
      <c r="A5325" s="540" t="s">
        <v>4209</v>
      </c>
      <c r="B5325" s="542" t="str">
        <f>COSTOS!$C$14</f>
        <v>MODERNIZACION A TECNOLOGIA LED</v>
      </c>
      <c r="C5325" s="542"/>
      <c r="D5325" s="542"/>
      <c r="E5325" s="542"/>
      <c r="F5325" s="542"/>
      <c r="G5325" s="542"/>
      <c r="H5325" s="543" t="s">
        <v>4210</v>
      </c>
    </row>
    <row r="5326" spans="1:14">
      <c r="A5326" s="541"/>
      <c r="B5326" s="542"/>
      <c r="C5326" s="542"/>
      <c r="D5326" s="542"/>
      <c r="E5326" s="542"/>
      <c r="F5326" s="542"/>
      <c r="G5326" s="542"/>
      <c r="H5326" s="543"/>
    </row>
    <row r="5327" spans="1:14">
      <c r="A5327" s="541"/>
      <c r="B5327" s="542"/>
      <c r="C5327" s="542"/>
      <c r="D5327" s="542"/>
      <c r="E5327" s="542"/>
      <c r="F5327" s="542"/>
      <c r="G5327" s="542"/>
      <c r="H5327" s="543"/>
    </row>
    <row r="5328" spans="1:14" ht="15" customHeight="1">
      <c r="A5328" s="541"/>
      <c r="B5328" s="542"/>
      <c r="C5328" s="542"/>
      <c r="D5328" s="542"/>
      <c r="E5328" s="542"/>
      <c r="F5328" s="542"/>
      <c r="G5328" s="542"/>
      <c r="H5328" s="197">
        <f ca="1">TODAY()</f>
        <v>44889</v>
      </c>
      <c r="K5328" t="s">
        <v>4380</v>
      </c>
      <c r="L5328" t="s">
        <v>4381</v>
      </c>
      <c r="M5328" t="s">
        <v>4382</v>
      </c>
      <c r="N5328" t="s">
        <v>4383</v>
      </c>
    </row>
    <row r="5329" spans="1:15" ht="60.75" customHeight="1">
      <c r="A5329" s="209" t="s">
        <v>4211</v>
      </c>
      <c r="B5329" s="544" t="str">
        <f>COSTOS!$D$16</f>
        <v>Luminarias</v>
      </c>
      <c r="C5329" s="544"/>
      <c r="D5329" s="544"/>
      <c r="E5329" s="544"/>
      <c r="F5329" s="544"/>
      <c r="G5329" s="60" t="s">
        <v>4212</v>
      </c>
      <c r="H5329" s="363">
        <v>2.23</v>
      </c>
      <c r="K5329" s="55" t="e">
        <f>H5354</f>
        <v>#VALUE!</v>
      </c>
      <c r="L5329" s="55">
        <f>H5364</f>
        <v>48167.654399999999</v>
      </c>
      <c r="M5329" s="55" t="e">
        <f>H5337</f>
        <v>#VALUE!</v>
      </c>
      <c r="N5329" s="55" t="e">
        <f>H5358</f>
        <v>#VALUE!</v>
      </c>
    </row>
    <row r="5330" spans="1:15" ht="43.2" customHeight="1">
      <c r="A5330" s="210" t="s">
        <v>4213</v>
      </c>
      <c r="B5330" s="545" t="str">
        <f>VLOOKUP(H5329,COSTOS!C:M,2,0)</f>
        <v>Poste de concreto 10 metros x 750kg.f</v>
      </c>
      <c r="C5330" s="546"/>
      <c r="D5330" s="546"/>
      <c r="E5330" s="547"/>
      <c r="F5330" s="61" t="s">
        <v>0</v>
      </c>
      <c r="G5330" s="328" t="str">
        <f>VLOOKUP(H5329,COSTOS!C:M,8,0)</f>
        <v>Und</v>
      </c>
      <c r="H5330" s="248"/>
      <c r="I5330" s="278"/>
      <c r="J5330" s="280"/>
      <c r="K5330" s="280"/>
      <c r="L5330" s="280"/>
    </row>
    <row r="5331" spans="1:15">
      <c r="A5331" s="211"/>
      <c r="B5331" s="102"/>
      <c r="C5331" s="102"/>
      <c r="D5331" s="102"/>
      <c r="E5331" s="103"/>
      <c r="F5331" s="104" t="s">
        <v>1</v>
      </c>
      <c r="G5331" s="328">
        <f>VLOOKUP(H5329,COSTOS!C:M,9,0)</f>
        <v>0</v>
      </c>
      <c r="H5331" s="329"/>
      <c r="I5331" s="279"/>
    </row>
    <row r="5332" spans="1:15">
      <c r="A5332" s="212" t="s">
        <v>4215</v>
      </c>
      <c r="B5332" s="65"/>
      <c r="C5332" s="65"/>
      <c r="D5332" s="66"/>
      <c r="E5332" s="190"/>
      <c r="F5332" s="191"/>
      <c r="G5332" s="192" t="s">
        <v>4216</v>
      </c>
      <c r="H5332" s="198" t="e">
        <f>H5337+H5354+H5358+H5364</f>
        <v>#VALUE!</v>
      </c>
    </row>
    <row r="5333" spans="1:15" ht="41.4">
      <c r="A5333" s="548" t="s">
        <v>4213</v>
      </c>
      <c r="B5333" s="548"/>
      <c r="C5333" s="548"/>
      <c r="D5333" s="67" t="s">
        <v>0</v>
      </c>
      <c r="E5333" s="188" t="s">
        <v>4217</v>
      </c>
      <c r="F5333" s="189" t="s">
        <v>4204</v>
      </c>
      <c r="G5333" s="64" t="s">
        <v>2</v>
      </c>
      <c r="H5333" s="199" t="s">
        <v>4218</v>
      </c>
      <c r="K5333" s="281"/>
    </row>
    <row r="5334" spans="1:15">
      <c r="A5334" s="517" t="s">
        <v>3946</v>
      </c>
      <c r="B5334" s="549">
        <f>VLOOKUP(A5334,'Equip, Herr y Transp'!$B$2:$E$738,2,0)</f>
        <v>2</v>
      </c>
      <c r="C5334" s="549"/>
      <c r="D5334" s="85">
        <f>VLOOKUP(A5334,'Equip, Herr y Transp'!$B$2:$E$217,2,0)</f>
        <v>2</v>
      </c>
      <c r="E5334" s="85" t="str">
        <f>VLOOKUP(A5334,'Equip, Herr y Transp'!$B$2:$E$217,3,0)</f>
        <v>EQU</v>
      </c>
      <c r="F5334" s="86">
        <f>H5324</f>
        <v>0.14580000000000001</v>
      </c>
      <c r="G5334" s="112" t="e">
        <f>F5334*E5334</f>
        <v>#VALUE!</v>
      </c>
      <c r="H5334" s="108"/>
    </row>
    <row r="5335" spans="1:15">
      <c r="A5335" s="517" t="s">
        <v>3894</v>
      </c>
      <c r="B5335" s="549">
        <f>VLOOKUP(A5335,'Equip, Herr y Transp'!$B$2:$E$738,2,0)</f>
        <v>4</v>
      </c>
      <c r="C5335" s="549"/>
      <c r="D5335" s="85">
        <f>VLOOKUP(A5335,'Equip, Herr y Transp'!$B$2:$E$217,2,0)</f>
        <v>4</v>
      </c>
      <c r="E5335" s="85" t="str">
        <f>VLOOKUP(A5335,'Equip, Herr y Transp'!$B$2:$E$217,3,0)</f>
        <v>TR</v>
      </c>
      <c r="F5335" s="86">
        <f>H5324</f>
        <v>0.14580000000000001</v>
      </c>
      <c r="G5335" s="112" t="e">
        <f>F5335*E5335</f>
        <v>#VALUE!</v>
      </c>
      <c r="H5335" s="107"/>
    </row>
    <row r="5336" spans="1:15">
      <c r="A5336" s="517" t="s">
        <v>8</v>
      </c>
      <c r="B5336" s="549" t="e">
        <f>VLOOKUP(A5336,'Equip, Herr y Transp'!$B$2:$E$738,2,0)</f>
        <v>#N/A</v>
      </c>
      <c r="C5336" s="549"/>
      <c r="D5336" s="85" t="e">
        <f>VLOOKUP(A5336,'Equip, Herr y Transp'!$B$2:$E$217,2,0)</f>
        <v>#N/A</v>
      </c>
      <c r="E5336" s="85" t="e">
        <f>VLOOKUP(A5336,'Equip, Herr y Transp'!$B$2:$E$217,3,0)</f>
        <v>#N/A</v>
      </c>
      <c r="F5336" s="86"/>
      <c r="G5336" s="112" t="e">
        <f>F5336*E5336</f>
        <v>#N/A</v>
      </c>
      <c r="H5336" s="107"/>
    </row>
    <row r="5337" spans="1:15">
      <c r="A5337" s="520" t="s">
        <v>4099</v>
      </c>
      <c r="B5337" s="521"/>
      <c r="C5337" s="521"/>
      <c r="D5337" s="521"/>
      <c r="E5337" s="521"/>
      <c r="F5337" s="521"/>
      <c r="G5337" s="521"/>
      <c r="H5337" s="87" t="e">
        <f>SUM(G5334:G5336)</f>
        <v>#VALUE!</v>
      </c>
    </row>
    <row r="5338" spans="1:15">
      <c r="A5338" s="550" t="s">
        <v>4219</v>
      </c>
      <c r="B5338" s="551"/>
      <c r="C5338" s="551"/>
      <c r="D5338" s="551"/>
      <c r="E5338" s="551"/>
      <c r="F5338" s="551"/>
      <c r="G5338" s="551"/>
      <c r="H5338" s="552"/>
      <c r="K5338" s="50"/>
      <c r="L5338" s="50"/>
      <c r="M5338" s="50"/>
      <c r="N5338" s="50"/>
      <c r="O5338" s="50"/>
    </row>
    <row r="5339" spans="1:15" ht="30" customHeight="1">
      <c r="A5339" s="553" t="s">
        <v>7</v>
      </c>
      <c r="B5339" s="554"/>
      <c r="C5339" s="99" t="s">
        <v>0</v>
      </c>
      <c r="D5339" s="100" t="s">
        <v>4097</v>
      </c>
      <c r="E5339" s="101" t="s">
        <v>1</v>
      </c>
      <c r="F5339" s="555" t="s">
        <v>4207</v>
      </c>
      <c r="G5339" s="555"/>
      <c r="H5339" s="196"/>
      <c r="K5339" s="50"/>
      <c r="L5339" s="50"/>
      <c r="M5339" s="50"/>
      <c r="N5339" s="50"/>
      <c r="O5339" s="50"/>
    </row>
    <row r="5340" spans="1:15">
      <c r="A5340" s="535" t="s">
        <v>4554</v>
      </c>
      <c r="B5340" s="536"/>
      <c r="C5340" s="88">
        <f>VLOOKUP(A5340,'Materiales '!$C$2:$G$396,3,0)</f>
        <v>4</v>
      </c>
      <c r="D5340" s="89" t="str">
        <f>VLOOKUP(A5340,'Materiales '!$C$2:$G$396,4,0)</f>
        <v>Und</v>
      </c>
      <c r="E5340" s="90">
        <v>1</v>
      </c>
      <c r="F5340" s="508" t="e">
        <f>E5340*D5340</f>
        <v>#VALUE!</v>
      </c>
      <c r="G5340" s="519"/>
      <c r="H5340" s="111"/>
      <c r="I5340">
        <f>E5340*G5331</f>
        <v>0</v>
      </c>
      <c r="J5340" s="57"/>
      <c r="K5340" s="50"/>
      <c r="L5340" s="50"/>
      <c r="M5340" s="50"/>
      <c r="N5340" s="50"/>
      <c r="O5340" s="50"/>
    </row>
    <row r="5341" spans="1:15">
      <c r="A5341" s="535" t="s">
        <v>4617</v>
      </c>
      <c r="B5341" s="536"/>
      <c r="C5341" s="88">
        <f>VLOOKUP(A5341,'Materiales '!$C$2:$G$396,3,0)</f>
        <v>3</v>
      </c>
      <c r="D5341" s="89" t="str">
        <f>VLOOKUP(A5341,'Materiales '!$C$2:$G$396,4,0)</f>
        <v>Rollo</v>
      </c>
      <c r="E5341" s="90">
        <v>0.5</v>
      </c>
      <c r="F5341" s="508" t="e">
        <f t="shared" ref="F5341:F5347" si="313">E5341*D5341</f>
        <v>#VALUE!</v>
      </c>
      <c r="G5341" s="519"/>
      <c r="H5341" s="111"/>
      <c r="I5341">
        <f>E5341*G5331</f>
        <v>0</v>
      </c>
      <c r="J5341" s="57"/>
      <c r="K5341" s="50"/>
      <c r="L5341" s="50"/>
      <c r="M5341" s="50"/>
      <c r="N5341" s="50"/>
      <c r="O5341" s="50"/>
    </row>
    <row r="5342" spans="1:15">
      <c r="A5342" s="517" t="s">
        <v>8</v>
      </c>
      <c r="B5342" s="518">
        <f>VLOOKUP(A5342,'Materiales '!$C$2:$G$396,3,0)</f>
        <v>0</v>
      </c>
      <c r="C5342" s="88">
        <f>VLOOKUP(A5342,'Materiales '!$C$2:$G$396,3,0)</f>
        <v>0</v>
      </c>
      <c r="D5342" s="89" t="str">
        <f>VLOOKUP(A5342,'Materiales '!$C$2:$G$396,4,0)</f>
        <v>-</v>
      </c>
      <c r="E5342" s="90">
        <v>6</v>
      </c>
      <c r="F5342" s="508" t="e">
        <f t="shared" si="313"/>
        <v>#VALUE!</v>
      </c>
      <c r="G5342" s="519"/>
      <c r="H5342" s="111"/>
      <c r="I5342">
        <f>E5342*G5331</f>
        <v>0</v>
      </c>
      <c r="J5342" s="58"/>
      <c r="K5342" s="50"/>
      <c r="L5342" s="50"/>
      <c r="M5342" s="50"/>
      <c r="N5342" s="50"/>
      <c r="O5342" s="50"/>
    </row>
    <row r="5343" spans="1:15">
      <c r="A5343" s="517" t="s">
        <v>8</v>
      </c>
      <c r="B5343" s="518">
        <f>VLOOKUP(A5343,'Materiales '!$C$2:$G$396,3,0)</f>
        <v>0</v>
      </c>
      <c r="C5343" s="88">
        <f>VLOOKUP(A5343,'Materiales '!$C$2:$G$396,3,0)</f>
        <v>0</v>
      </c>
      <c r="D5343" s="89" t="str">
        <f>VLOOKUP(A5343,'Materiales '!$C$2:$G$396,4,0)</f>
        <v>-</v>
      </c>
      <c r="E5343" s="90">
        <v>3</v>
      </c>
      <c r="F5343" s="508" t="e">
        <f t="shared" si="313"/>
        <v>#VALUE!</v>
      </c>
      <c r="G5343" s="519"/>
      <c r="H5343" s="111"/>
      <c r="I5343">
        <f>E5343*G5331</f>
        <v>0</v>
      </c>
      <c r="J5343" s="58"/>
      <c r="K5343" s="50"/>
      <c r="L5343" s="50"/>
      <c r="M5343" s="50"/>
      <c r="N5343" s="50"/>
      <c r="O5343" s="50"/>
    </row>
    <row r="5344" spans="1:15">
      <c r="A5344" s="517" t="s">
        <v>8</v>
      </c>
      <c r="B5344" s="518">
        <f>VLOOKUP(A5344,'Materiales '!$C$2:$G$396,3,0)</f>
        <v>0</v>
      </c>
      <c r="C5344" s="88">
        <f>VLOOKUP(A5344,'Materiales '!$C$2:$G$396,3,0)</f>
        <v>0</v>
      </c>
      <c r="D5344" s="89" t="str">
        <f>VLOOKUP(A5344,'Materiales '!$C$2:$G$396,4,0)</f>
        <v>-</v>
      </c>
      <c r="E5344" s="90">
        <v>2</v>
      </c>
      <c r="F5344" s="508" t="e">
        <f t="shared" si="313"/>
        <v>#VALUE!</v>
      </c>
      <c r="G5344" s="519"/>
      <c r="H5344" s="111"/>
      <c r="I5344">
        <f>E5344*G5331</f>
        <v>0</v>
      </c>
      <c r="J5344" s="58"/>
      <c r="K5344" s="50"/>
      <c r="L5344" s="50"/>
      <c r="M5344" s="50"/>
      <c r="N5344" s="50"/>
      <c r="O5344" s="50"/>
    </row>
    <row r="5345" spans="1:15">
      <c r="A5345" s="517" t="s">
        <v>8</v>
      </c>
      <c r="B5345" s="518">
        <f>VLOOKUP(A5345,'Materiales '!$C$2:$G$396,3,0)</f>
        <v>0</v>
      </c>
      <c r="C5345" s="88">
        <f>VLOOKUP(A5345,'Materiales '!$C$2:$G$396,3,0)</f>
        <v>0</v>
      </c>
      <c r="D5345" s="89" t="str">
        <f>VLOOKUP(A5345,'Materiales '!$C$2:$G$396,4,0)</f>
        <v>-</v>
      </c>
      <c r="E5345" s="90">
        <v>8</v>
      </c>
      <c r="F5345" s="508" t="e">
        <f t="shared" si="313"/>
        <v>#VALUE!</v>
      </c>
      <c r="G5345" s="519"/>
      <c r="H5345" s="111"/>
      <c r="I5345">
        <f>E5345*G5331</f>
        <v>0</v>
      </c>
      <c r="J5345" s="58"/>
      <c r="K5345" s="50"/>
      <c r="L5345" s="50"/>
      <c r="M5345" s="50"/>
      <c r="N5345" s="50"/>
      <c r="O5345" s="50"/>
    </row>
    <row r="5346" spans="1:15">
      <c r="A5346" s="517" t="s">
        <v>8</v>
      </c>
      <c r="B5346" s="518">
        <f>VLOOKUP(A5346,'Materiales '!$C$2:$G$396,3,0)</f>
        <v>0</v>
      </c>
      <c r="C5346" s="88">
        <f>VLOOKUP(A5346,'Materiales '!$C$2:$G$396,3,0)</f>
        <v>0</v>
      </c>
      <c r="D5346" s="89" t="str">
        <f>VLOOKUP(A5346,'Materiales '!$C$2:$G$396,4,0)</f>
        <v>-</v>
      </c>
      <c r="E5346" s="90">
        <v>3</v>
      </c>
      <c r="F5346" s="508" t="e">
        <f t="shared" si="313"/>
        <v>#VALUE!</v>
      </c>
      <c r="G5346" s="519"/>
      <c r="H5346" s="111"/>
      <c r="I5346">
        <f>E5346*G5331</f>
        <v>0</v>
      </c>
      <c r="J5346" s="58"/>
      <c r="K5346" s="50"/>
      <c r="L5346" s="50"/>
      <c r="M5346" s="50"/>
      <c r="N5346" s="50"/>
      <c r="O5346" s="50"/>
    </row>
    <row r="5347" spans="1:15" ht="21.75" customHeight="1">
      <c r="A5347" s="517" t="s">
        <v>8</v>
      </c>
      <c r="B5347" s="518">
        <f>VLOOKUP(A5347,'Materiales '!$C$2:$G$396,3,0)</f>
        <v>0</v>
      </c>
      <c r="C5347" s="88">
        <f>VLOOKUP(A5347,'Materiales '!$C$2:$G$396,3,0)</f>
        <v>0</v>
      </c>
      <c r="D5347" s="89" t="str">
        <f>VLOOKUP(A5347,'Materiales '!$C$2:$G$396,4,0)</f>
        <v>-</v>
      </c>
      <c r="E5347" s="90">
        <v>0.5</v>
      </c>
      <c r="F5347" s="508" t="e">
        <f t="shared" si="313"/>
        <v>#VALUE!</v>
      </c>
      <c r="G5347" s="519"/>
      <c r="H5347" s="111"/>
      <c r="I5347">
        <f>E5347*G5331</f>
        <v>0</v>
      </c>
      <c r="J5347" s="58"/>
      <c r="K5347" s="50"/>
      <c r="L5347" s="50"/>
      <c r="M5347" s="50"/>
      <c r="N5347" s="50"/>
      <c r="O5347" s="50"/>
    </row>
    <row r="5348" spans="1:15">
      <c r="A5348" s="517" t="s">
        <v>8</v>
      </c>
      <c r="B5348" s="518">
        <f>VLOOKUP(A5348,'Materiales '!$C$2:$G$396,3,0)</f>
        <v>0</v>
      </c>
      <c r="C5348" s="88">
        <f>VLOOKUP(A5348,'Materiales '!$C$2:$G$396,3,0)</f>
        <v>0</v>
      </c>
      <c r="D5348" s="89" t="str">
        <f>VLOOKUP(A5348,'Materiales '!$C$2:$G$396,4,0)</f>
        <v>-</v>
      </c>
      <c r="E5348" s="90"/>
      <c r="F5348" s="508" t="e">
        <f>E5348*D5348</f>
        <v>#VALUE!</v>
      </c>
      <c r="G5348" s="519"/>
      <c r="H5348" s="110"/>
      <c r="I5348">
        <f>E5348*G5331</f>
        <v>0</v>
      </c>
      <c r="J5348" s="58"/>
      <c r="K5348" s="50"/>
      <c r="L5348" s="50"/>
      <c r="M5348" s="50"/>
      <c r="N5348" s="50"/>
      <c r="O5348" s="50"/>
    </row>
    <row r="5349" spans="1:15">
      <c r="A5349" s="517" t="s">
        <v>8</v>
      </c>
      <c r="B5349" s="518">
        <f>VLOOKUP(A5349,'Materiales '!$C$2:$G$396,3,0)</f>
        <v>0</v>
      </c>
      <c r="C5349" s="88">
        <f>VLOOKUP(A5349,'Materiales '!$C$2:$G$396,3,0)</f>
        <v>0</v>
      </c>
      <c r="D5349" s="89" t="str">
        <f>VLOOKUP(A5349,'Materiales '!$C$2:$G$396,4,0)</f>
        <v>-</v>
      </c>
      <c r="E5349" s="90"/>
      <c r="F5349" s="508" t="e">
        <f t="shared" ref="F5349:F5352" si="314">E5349*D5349</f>
        <v>#VALUE!</v>
      </c>
      <c r="G5349" s="519"/>
      <c r="H5349" s="111"/>
      <c r="I5349">
        <f>E5349*G5331</f>
        <v>0</v>
      </c>
      <c r="J5349" s="58"/>
      <c r="K5349" s="50"/>
      <c r="L5349" s="50"/>
      <c r="M5349" s="50"/>
      <c r="N5349" s="50"/>
      <c r="O5349" s="50"/>
    </row>
    <row r="5350" spans="1:15">
      <c r="A5350" s="517" t="s">
        <v>8</v>
      </c>
      <c r="B5350" s="518">
        <f>VLOOKUP(A5350,'Materiales '!$C$2:$G$396,3,0)</f>
        <v>0</v>
      </c>
      <c r="C5350" s="88">
        <f>VLOOKUP(A5350,'Materiales '!$C$2:$G$396,3,0)</f>
        <v>0</v>
      </c>
      <c r="D5350" s="89" t="str">
        <f>VLOOKUP(A5350,'Materiales '!$C$2:$G$396,4,0)</f>
        <v>-</v>
      </c>
      <c r="E5350" s="90"/>
      <c r="F5350" s="508" t="e">
        <f t="shared" si="314"/>
        <v>#VALUE!</v>
      </c>
      <c r="G5350" s="519"/>
      <c r="H5350" s="111"/>
      <c r="I5350">
        <f>E5350*G5331</f>
        <v>0</v>
      </c>
      <c r="J5350" s="58"/>
      <c r="K5350" s="50"/>
      <c r="L5350" s="50"/>
      <c r="M5350" s="50"/>
      <c r="N5350" s="50"/>
      <c r="O5350" s="50"/>
    </row>
    <row r="5351" spans="1:15">
      <c r="A5351" s="517" t="s">
        <v>8</v>
      </c>
      <c r="B5351" s="518">
        <f>VLOOKUP(A5351,'Materiales '!$C$2:$G$396,3,0)</f>
        <v>0</v>
      </c>
      <c r="C5351" s="88">
        <f>VLOOKUP(A5351,'Materiales '!$C$2:$G$396,3,0)</f>
        <v>0</v>
      </c>
      <c r="D5351" s="89" t="str">
        <f>VLOOKUP(A5351,'Materiales '!$C$2:$G$396,4,0)</f>
        <v>-</v>
      </c>
      <c r="E5351" s="90"/>
      <c r="F5351" s="508" t="e">
        <f t="shared" si="314"/>
        <v>#VALUE!</v>
      </c>
      <c r="G5351" s="519"/>
      <c r="H5351" s="111"/>
      <c r="I5351">
        <f>E5351*G5331</f>
        <v>0</v>
      </c>
      <c r="J5351" s="58"/>
      <c r="K5351" s="50"/>
      <c r="L5351" s="50"/>
      <c r="M5351" s="50"/>
      <c r="N5351" s="50"/>
      <c r="O5351" s="50"/>
    </row>
    <row r="5352" spans="1:15">
      <c r="A5352" s="517" t="s">
        <v>8</v>
      </c>
      <c r="B5352" s="518">
        <f>VLOOKUP(A5352,'Materiales '!$C$2:$G$396,3,0)</f>
        <v>0</v>
      </c>
      <c r="C5352" s="88">
        <f>VLOOKUP(A5352,'Materiales '!$C$2:$G$396,3,0)</f>
        <v>0</v>
      </c>
      <c r="D5352" s="89" t="str">
        <f>VLOOKUP(A5352,'Materiales '!$C$2:$G$396,4,0)</f>
        <v>-</v>
      </c>
      <c r="E5352" s="90"/>
      <c r="F5352" s="508" t="e">
        <f t="shared" si="314"/>
        <v>#VALUE!</v>
      </c>
      <c r="G5352" s="519"/>
      <c r="H5352" s="111"/>
      <c r="I5352">
        <f>E5352*G5331</f>
        <v>0</v>
      </c>
      <c r="J5352" s="58"/>
      <c r="K5352" s="50"/>
      <c r="L5352" s="50"/>
      <c r="M5352" s="50"/>
      <c r="N5352" s="50"/>
      <c r="O5352" s="50"/>
    </row>
    <row r="5353" spans="1:15">
      <c r="A5353" s="517" t="s">
        <v>8</v>
      </c>
      <c r="B5353" s="518">
        <f>VLOOKUP(A5353,'Materiales '!$C$2:$G$396,3,0)</f>
        <v>0</v>
      </c>
      <c r="C5353" s="88">
        <f>VLOOKUP(A5353,'Materiales '!$C$2:$G$396,3,0)</f>
        <v>0</v>
      </c>
      <c r="D5353" s="89" t="str">
        <f>VLOOKUP(A5353,'Materiales '!$C$2:$G$396,4,0)</f>
        <v>-</v>
      </c>
      <c r="E5353" s="90"/>
      <c r="F5353" s="508" t="e">
        <f>E5353*D5353</f>
        <v>#VALUE!</v>
      </c>
      <c r="G5353" s="519"/>
      <c r="H5353" s="110"/>
      <c r="I5353">
        <f>E5353*G5331</f>
        <v>0</v>
      </c>
      <c r="J5353" s="58"/>
      <c r="K5353" s="50"/>
      <c r="L5353" s="50"/>
      <c r="M5353" s="50"/>
      <c r="N5353" s="50"/>
      <c r="O5353" s="50"/>
    </row>
    <row r="5354" spans="1:15">
      <c r="A5354" s="520" t="s">
        <v>4098</v>
      </c>
      <c r="B5354" s="521"/>
      <c r="C5354" s="521"/>
      <c r="D5354" s="521"/>
      <c r="E5354" s="521"/>
      <c r="F5354" s="521"/>
      <c r="G5354" s="522"/>
      <c r="H5354" s="106" t="e">
        <f>SUM(F5340:F5353)</f>
        <v>#VALUE!</v>
      </c>
      <c r="J5354" s="58"/>
      <c r="K5354" s="50"/>
      <c r="L5354" s="50"/>
      <c r="M5354" s="50"/>
      <c r="N5354" s="50"/>
      <c r="O5354" s="50"/>
    </row>
    <row r="5355" spans="1:15">
      <c r="A5355" s="523" t="s">
        <v>4220</v>
      </c>
      <c r="B5355" s="524"/>
      <c r="C5355" s="524"/>
      <c r="D5355" s="524"/>
      <c r="E5355" s="525"/>
      <c r="F5355" s="524"/>
      <c r="G5355" s="524"/>
      <c r="H5355" s="526"/>
      <c r="J5355" s="58"/>
      <c r="K5355" s="50"/>
      <c r="L5355" s="50"/>
      <c r="M5355" s="50"/>
      <c r="N5355" s="50"/>
      <c r="O5355" s="50"/>
    </row>
    <row r="5356" spans="1:15">
      <c r="A5356" s="527" t="s">
        <v>7</v>
      </c>
      <c r="B5356" s="528"/>
      <c r="C5356" s="98" t="s">
        <v>4221</v>
      </c>
      <c r="D5356" s="97" t="s">
        <v>4222</v>
      </c>
      <c r="E5356" s="187" t="s">
        <v>4223</v>
      </c>
      <c r="F5356" s="529" t="s">
        <v>4207</v>
      </c>
      <c r="G5356" s="529"/>
      <c r="H5356" s="109"/>
      <c r="K5356" s="50"/>
      <c r="L5356" s="50"/>
      <c r="M5356" s="50"/>
      <c r="N5356" s="50"/>
      <c r="O5356" s="50"/>
    </row>
    <row r="5357" spans="1:15">
      <c r="A5357" s="506" t="s">
        <v>3928</v>
      </c>
      <c r="B5357" s="507"/>
      <c r="C5357" s="213">
        <v>1</v>
      </c>
      <c r="D5357" s="92">
        <v>0.03</v>
      </c>
      <c r="E5357" s="93" t="str">
        <f>VLOOKUP(A5357,'Equip, Herr y Transp'!$B$2:$E$217,3,0)</f>
        <v>TR</v>
      </c>
      <c r="F5357" s="530" t="e">
        <f>E5357*D5357*C5357</f>
        <v>#VALUE!</v>
      </c>
      <c r="G5357" s="531"/>
      <c r="H5357" s="107"/>
      <c r="M5357" s="50"/>
    </row>
    <row r="5358" spans="1:15">
      <c r="A5358" s="532" t="s">
        <v>4205</v>
      </c>
      <c r="B5358" s="533"/>
      <c r="C5358" s="533"/>
      <c r="D5358" s="533"/>
      <c r="E5358" s="533"/>
      <c r="F5358" s="533"/>
      <c r="G5358" s="533"/>
      <c r="H5358" s="95" t="e">
        <f>F5357</f>
        <v>#VALUE!</v>
      </c>
    </row>
    <row r="5359" spans="1:15">
      <c r="A5359" s="523" t="s">
        <v>4224</v>
      </c>
      <c r="B5359" s="524"/>
      <c r="C5359" s="524"/>
      <c r="D5359" s="524"/>
      <c r="E5359" s="524"/>
      <c r="F5359" s="524"/>
      <c r="G5359" s="524"/>
      <c r="H5359" s="526"/>
    </row>
    <row r="5360" spans="1:15">
      <c r="A5360" s="527" t="s">
        <v>7</v>
      </c>
      <c r="B5360" s="528"/>
      <c r="C5360" s="96" t="s">
        <v>1</v>
      </c>
      <c r="D5360" s="97" t="s">
        <v>4225</v>
      </c>
      <c r="E5360" s="98" t="s">
        <v>4204</v>
      </c>
      <c r="F5360" s="527" t="s">
        <v>5</v>
      </c>
      <c r="G5360" s="534"/>
      <c r="H5360" s="109"/>
    </row>
    <row r="5361" spans="1:10">
      <c r="A5361" s="506" t="s">
        <v>4191</v>
      </c>
      <c r="B5361" s="507"/>
      <c r="C5361" s="91">
        <v>1</v>
      </c>
      <c r="D5361" s="94">
        <f>VLOOKUP(A5361,'Mano Obra'!$B$2:$T$117,19,0)</f>
        <v>152456</v>
      </c>
      <c r="E5361" s="218">
        <f>H5324</f>
        <v>0.14580000000000001</v>
      </c>
      <c r="F5361" s="508">
        <f>E5361*D5361*C5361</f>
        <v>22228.084800000001</v>
      </c>
      <c r="G5361" s="509"/>
      <c r="H5361" s="111"/>
      <c r="I5361" s="59"/>
      <c r="J5361" s="117">
        <f>((('Mano Obra'!$M$4/30)*F5361)/D5361)*G5331</f>
        <v>0</v>
      </c>
    </row>
    <row r="5362" spans="1:10">
      <c r="A5362" s="510" t="s">
        <v>4192</v>
      </c>
      <c r="B5362" s="511">
        <f>VLOOKUP(A5362,'Mano Obra'!$B$3:$D$290,2,0)</f>
        <v>1900000</v>
      </c>
      <c r="C5362" s="91">
        <v>1</v>
      </c>
      <c r="D5362" s="94">
        <f>VLOOKUP(A5362,'Mano Obra'!$B$2:$T$117,19,0)</f>
        <v>110488</v>
      </c>
      <c r="E5362" s="218">
        <f>H5324</f>
        <v>0.14580000000000001</v>
      </c>
      <c r="F5362" s="508">
        <f t="shared" ref="F5362:F5363" si="315">E5362*D5362*C5362</f>
        <v>16109.150400000002</v>
      </c>
      <c r="G5362" s="509"/>
      <c r="H5362" s="111"/>
      <c r="J5362" s="117">
        <f>((('Mano Obra'!$M$5/30)*F5362)/D5362)*G5331</f>
        <v>0</v>
      </c>
    </row>
    <row r="5363" spans="1:10">
      <c r="A5363" s="510" t="s">
        <v>4181</v>
      </c>
      <c r="B5363" s="511">
        <f>VLOOKUP(A5363,'Mano Obra'!$B$3:$D$290,2,0)</f>
        <v>1000000</v>
      </c>
      <c r="C5363" s="91">
        <v>1</v>
      </c>
      <c r="D5363" s="94">
        <f>VLOOKUP(A5363,'Mano Obra'!$B$2:$T$117,19,0)</f>
        <v>67424</v>
      </c>
      <c r="E5363" s="218">
        <f>H5324</f>
        <v>0.14580000000000001</v>
      </c>
      <c r="F5363" s="508">
        <f t="shared" si="315"/>
        <v>9830.4192000000003</v>
      </c>
      <c r="G5363" s="509"/>
      <c r="H5363" s="110"/>
      <c r="J5363" s="117">
        <f>((('Mano Obra'!$M$6/30)*F5363)/D5363)*G5331</f>
        <v>0</v>
      </c>
    </row>
    <row r="5364" spans="1:10">
      <c r="A5364" s="512" t="s">
        <v>4100</v>
      </c>
      <c r="B5364" s="512"/>
      <c r="C5364" s="512"/>
      <c r="D5364" s="512"/>
      <c r="E5364" s="512"/>
      <c r="F5364" s="512"/>
      <c r="G5364" s="512"/>
      <c r="H5364" s="95">
        <f>SUM(F5361:F5363)</f>
        <v>48167.654399999999</v>
      </c>
      <c r="J5364" s="117"/>
    </row>
    <row r="5365" spans="1:10">
      <c r="A5365" s="208" t="s">
        <v>4226</v>
      </c>
      <c r="B5365" s="186"/>
      <c r="C5365" s="186"/>
      <c r="D5365" s="183"/>
      <c r="E5365" s="184"/>
      <c r="F5365" s="185"/>
      <c r="G5365" s="184"/>
      <c r="H5365" s="193"/>
    </row>
    <row r="5366" spans="1:10">
      <c r="A5366" s="513" t="s">
        <v>4213</v>
      </c>
      <c r="B5366" s="514"/>
      <c r="C5366" s="514"/>
      <c r="D5366" s="514"/>
      <c r="E5366" s="181"/>
      <c r="F5366" s="182" t="s">
        <v>4227</v>
      </c>
      <c r="G5366" s="181" t="s">
        <v>4228</v>
      </c>
      <c r="H5366" s="194"/>
    </row>
    <row r="5367" spans="1:10">
      <c r="A5367" s="204" t="s">
        <v>4096</v>
      </c>
      <c r="B5367" s="62"/>
      <c r="C5367" s="62"/>
      <c r="D5367" s="63"/>
      <c r="E5367" s="68"/>
      <c r="F5367" s="69">
        <v>0</v>
      </c>
      <c r="G5367" s="70" t="e">
        <f>F5367*H5332</f>
        <v>#VALUE!</v>
      </c>
      <c r="H5367" s="193"/>
    </row>
    <row r="5368" spans="1:10">
      <c r="A5368" s="205" t="s">
        <v>4229</v>
      </c>
      <c r="B5368" s="71"/>
      <c r="C5368" s="71"/>
      <c r="D5368" s="72"/>
      <c r="E5368" s="68"/>
      <c r="F5368" s="69">
        <v>0</v>
      </c>
      <c r="G5368" s="70" t="e">
        <f>F5368*H5332</f>
        <v>#VALUE!</v>
      </c>
      <c r="H5368" s="193"/>
    </row>
    <row r="5369" spans="1:10">
      <c r="A5369" s="205" t="s">
        <v>4</v>
      </c>
      <c r="B5369" s="71"/>
      <c r="C5369" s="71"/>
      <c r="D5369" s="72"/>
      <c r="E5369" s="68"/>
      <c r="F5369" s="69">
        <v>0</v>
      </c>
      <c r="G5369" s="70" t="e">
        <f>F5369*H5332</f>
        <v>#VALUE!</v>
      </c>
      <c r="H5369" s="193"/>
    </row>
    <row r="5370" spans="1:10">
      <c r="A5370" s="206"/>
      <c r="B5370" s="73"/>
      <c r="C5370" s="65"/>
      <c r="D5370" s="74"/>
      <c r="E5370" s="75"/>
      <c r="F5370" s="76"/>
      <c r="G5370" s="77"/>
      <c r="H5370" s="195"/>
    </row>
    <row r="5371" spans="1:10">
      <c r="A5371" s="207"/>
      <c r="B5371" s="73"/>
      <c r="C5371" s="73"/>
      <c r="D5371" s="74"/>
      <c r="E5371" s="78"/>
      <c r="F5371" s="515" t="s">
        <v>4230</v>
      </c>
      <c r="G5371" s="516"/>
      <c r="H5371" s="214" t="e">
        <f>H5332+G5367+G5368+G5369</f>
        <v>#VALUE!</v>
      </c>
    </row>
    <row r="5372" spans="1:10">
      <c r="A5372" s="73"/>
      <c r="B5372" s="73"/>
      <c r="C5372" s="73"/>
      <c r="D5372" s="74"/>
      <c r="E5372" s="360"/>
      <c r="F5372" s="361"/>
      <c r="G5372" s="361"/>
      <c r="H5372" s="362"/>
    </row>
    <row r="5373" spans="1:10">
      <c r="A5373" s="80"/>
      <c r="B5373" s="80"/>
      <c r="C5373" s="80"/>
      <c r="D5373" s="80"/>
      <c r="E5373" s="80"/>
      <c r="F5373" s="80"/>
      <c r="G5373" s="80"/>
      <c r="H5373" s="353"/>
    </row>
    <row r="5374" spans="1:10">
      <c r="A5374" s="537" t="s">
        <v>4214</v>
      </c>
      <c r="B5374" s="538"/>
      <c r="C5374" s="538"/>
      <c r="D5374" s="538"/>
      <c r="E5374" s="538"/>
      <c r="F5374" s="538"/>
      <c r="G5374" s="538"/>
      <c r="H5374" s="539"/>
    </row>
    <row r="5375" spans="1:10">
      <c r="A5375" s="81"/>
      <c r="B5375" s="82"/>
      <c r="C5375" s="82"/>
      <c r="D5375" s="82"/>
      <c r="E5375" s="82"/>
      <c r="F5375" s="83"/>
      <c r="G5375" s="84"/>
      <c r="H5375" s="352">
        <f>ROUND((70/60)/8,4)</f>
        <v>0.14580000000000001</v>
      </c>
      <c r="I5375" s="105"/>
    </row>
    <row r="5376" spans="1:10">
      <c r="A5376" s="540" t="s">
        <v>4209</v>
      </c>
      <c r="B5376" s="542" t="str">
        <f>COSTOS!$C$14</f>
        <v>MODERNIZACION A TECNOLOGIA LED</v>
      </c>
      <c r="C5376" s="542"/>
      <c r="D5376" s="542"/>
      <c r="E5376" s="542"/>
      <c r="F5376" s="542"/>
      <c r="G5376" s="542"/>
      <c r="H5376" s="543" t="s">
        <v>4210</v>
      </c>
    </row>
    <row r="5377" spans="1:15">
      <c r="A5377" s="541"/>
      <c r="B5377" s="542"/>
      <c r="C5377" s="542"/>
      <c r="D5377" s="542"/>
      <c r="E5377" s="542"/>
      <c r="F5377" s="542"/>
      <c r="G5377" s="542"/>
      <c r="H5377" s="543"/>
    </row>
    <row r="5378" spans="1:15">
      <c r="A5378" s="541"/>
      <c r="B5378" s="542"/>
      <c r="C5378" s="542"/>
      <c r="D5378" s="542"/>
      <c r="E5378" s="542"/>
      <c r="F5378" s="542"/>
      <c r="G5378" s="542"/>
      <c r="H5378" s="543"/>
    </row>
    <row r="5379" spans="1:15" ht="15" customHeight="1">
      <c r="A5379" s="541"/>
      <c r="B5379" s="542"/>
      <c r="C5379" s="542"/>
      <c r="D5379" s="542"/>
      <c r="E5379" s="542"/>
      <c r="F5379" s="542"/>
      <c r="G5379" s="542"/>
      <c r="H5379" s="197">
        <f ca="1">TODAY()</f>
        <v>44889</v>
      </c>
      <c r="K5379" t="s">
        <v>4380</v>
      </c>
      <c r="L5379" t="s">
        <v>4381</v>
      </c>
      <c r="M5379" t="s">
        <v>4382</v>
      </c>
      <c r="N5379" t="s">
        <v>4383</v>
      </c>
    </row>
    <row r="5380" spans="1:15" ht="60.75" customHeight="1">
      <c r="A5380" s="209" t="s">
        <v>4211</v>
      </c>
      <c r="B5380" s="544" t="str">
        <f>COSTOS!$D$16</f>
        <v>Luminarias</v>
      </c>
      <c r="C5380" s="544"/>
      <c r="D5380" s="544"/>
      <c r="E5380" s="544"/>
      <c r="F5380" s="544"/>
      <c r="G5380" s="60" t="s">
        <v>4212</v>
      </c>
      <c r="H5380" s="363">
        <v>2.2400000000000002</v>
      </c>
      <c r="K5380" s="55" t="e">
        <f>H5405</f>
        <v>#VALUE!</v>
      </c>
      <c r="L5380" s="55">
        <f>H5415</f>
        <v>48167.654399999999</v>
      </c>
      <c r="M5380" s="55" t="e">
        <f>H5388</f>
        <v>#VALUE!</v>
      </c>
      <c r="N5380" s="55" t="e">
        <f>H5409</f>
        <v>#VALUE!</v>
      </c>
    </row>
    <row r="5381" spans="1:15" ht="43.2" customHeight="1">
      <c r="A5381" s="210" t="s">
        <v>4213</v>
      </c>
      <c r="B5381" s="545" t="str">
        <f>VLOOKUP(H5380,COSTOS!C:M,2,0)</f>
        <v>Poste de fibra 10 metros x 750kg.f</v>
      </c>
      <c r="C5381" s="546"/>
      <c r="D5381" s="546"/>
      <c r="E5381" s="547"/>
      <c r="F5381" s="61" t="s">
        <v>0</v>
      </c>
      <c r="G5381" s="328" t="str">
        <f>VLOOKUP(H5380,COSTOS!C:M,8,0)</f>
        <v>Und</v>
      </c>
      <c r="H5381" s="248"/>
      <c r="I5381" s="278"/>
      <c r="J5381" s="280"/>
      <c r="K5381" s="280"/>
      <c r="L5381" s="280"/>
    </row>
    <row r="5382" spans="1:15">
      <c r="A5382" s="211"/>
      <c r="B5382" s="102"/>
      <c r="C5382" s="102"/>
      <c r="D5382" s="102"/>
      <c r="E5382" s="103"/>
      <c r="F5382" s="104" t="s">
        <v>1</v>
      </c>
      <c r="G5382" s="328">
        <f>VLOOKUP(H5380,COSTOS!C:M,9,0)</f>
        <v>0</v>
      </c>
      <c r="H5382" s="329"/>
      <c r="I5382" s="279"/>
    </row>
    <row r="5383" spans="1:15">
      <c r="A5383" s="212" t="s">
        <v>4215</v>
      </c>
      <c r="B5383" s="65"/>
      <c r="C5383" s="65"/>
      <c r="D5383" s="66"/>
      <c r="E5383" s="190"/>
      <c r="F5383" s="191"/>
      <c r="G5383" s="192" t="s">
        <v>4216</v>
      </c>
      <c r="H5383" s="198" t="e">
        <f>H5388+H5405+H5409+H5415</f>
        <v>#VALUE!</v>
      </c>
    </row>
    <row r="5384" spans="1:15" ht="41.4">
      <c r="A5384" s="548" t="s">
        <v>4213</v>
      </c>
      <c r="B5384" s="548"/>
      <c r="C5384" s="548"/>
      <c r="D5384" s="67" t="s">
        <v>0</v>
      </c>
      <c r="E5384" s="188" t="s">
        <v>4217</v>
      </c>
      <c r="F5384" s="189" t="s">
        <v>4204</v>
      </c>
      <c r="G5384" s="64" t="s">
        <v>2</v>
      </c>
      <c r="H5384" s="199" t="s">
        <v>4218</v>
      </c>
      <c r="K5384" s="281"/>
    </row>
    <row r="5385" spans="1:15">
      <c r="A5385" s="517" t="s">
        <v>3946</v>
      </c>
      <c r="B5385" s="549">
        <f>VLOOKUP(A5385,'Equip, Herr y Transp'!$B$2:$E$738,2,0)</f>
        <v>2</v>
      </c>
      <c r="C5385" s="549"/>
      <c r="D5385" s="85">
        <f>VLOOKUP(A5385,'Equip, Herr y Transp'!$B$2:$E$217,2,0)</f>
        <v>2</v>
      </c>
      <c r="E5385" s="85" t="str">
        <f>VLOOKUP(A5385,'Equip, Herr y Transp'!$B$2:$E$217,3,0)</f>
        <v>EQU</v>
      </c>
      <c r="F5385" s="86">
        <f>H5375</f>
        <v>0.14580000000000001</v>
      </c>
      <c r="G5385" s="112" t="e">
        <f>F5385*E5385</f>
        <v>#VALUE!</v>
      </c>
      <c r="H5385" s="108"/>
    </row>
    <row r="5386" spans="1:15">
      <c r="A5386" s="517" t="s">
        <v>3894</v>
      </c>
      <c r="B5386" s="549">
        <f>VLOOKUP(A5386,'Equip, Herr y Transp'!$B$2:$E$738,2,0)</f>
        <v>4</v>
      </c>
      <c r="C5386" s="549"/>
      <c r="D5386" s="85">
        <f>VLOOKUP(A5386,'Equip, Herr y Transp'!$B$2:$E$217,2,0)</f>
        <v>4</v>
      </c>
      <c r="E5386" s="85" t="str">
        <f>VLOOKUP(A5386,'Equip, Herr y Transp'!$B$2:$E$217,3,0)</f>
        <v>TR</v>
      </c>
      <c r="F5386" s="86">
        <f>H5375</f>
        <v>0.14580000000000001</v>
      </c>
      <c r="G5386" s="112" t="e">
        <f>F5386*E5386</f>
        <v>#VALUE!</v>
      </c>
      <c r="H5386" s="107"/>
    </row>
    <row r="5387" spans="1:15">
      <c r="A5387" s="517" t="s">
        <v>8</v>
      </c>
      <c r="B5387" s="549" t="e">
        <f>VLOOKUP(A5387,'Equip, Herr y Transp'!$B$2:$E$738,2,0)</f>
        <v>#N/A</v>
      </c>
      <c r="C5387" s="549"/>
      <c r="D5387" s="85" t="e">
        <f>VLOOKUP(A5387,'Equip, Herr y Transp'!$B$2:$E$217,2,0)</f>
        <v>#N/A</v>
      </c>
      <c r="E5387" s="85" t="e">
        <f>VLOOKUP(A5387,'Equip, Herr y Transp'!$B$2:$E$217,3,0)</f>
        <v>#N/A</v>
      </c>
      <c r="F5387" s="86"/>
      <c r="G5387" s="112" t="e">
        <f>F5387*E5387</f>
        <v>#N/A</v>
      </c>
      <c r="H5387" s="107"/>
    </row>
    <row r="5388" spans="1:15">
      <c r="A5388" s="520" t="s">
        <v>4099</v>
      </c>
      <c r="B5388" s="521"/>
      <c r="C5388" s="521"/>
      <c r="D5388" s="521"/>
      <c r="E5388" s="521"/>
      <c r="F5388" s="521"/>
      <c r="G5388" s="521"/>
      <c r="H5388" s="87" t="e">
        <f>SUM(G5385:G5387)</f>
        <v>#VALUE!</v>
      </c>
    </row>
    <row r="5389" spans="1:15">
      <c r="A5389" s="550" t="s">
        <v>4219</v>
      </c>
      <c r="B5389" s="551"/>
      <c r="C5389" s="551"/>
      <c r="D5389" s="551"/>
      <c r="E5389" s="551"/>
      <c r="F5389" s="551"/>
      <c r="G5389" s="551"/>
      <c r="H5389" s="552"/>
      <c r="K5389" s="50"/>
      <c r="L5389" s="50"/>
      <c r="M5389" s="50"/>
      <c r="N5389" s="50"/>
      <c r="O5389" s="50"/>
    </row>
    <row r="5390" spans="1:15" ht="30" customHeight="1">
      <c r="A5390" s="553" t="s">
        <v>7</v>
      </c>
      <c r="B5390" s="554"/>
      <c r="C5390" s="99" t="s">
        <v>0</v>
      </c>
      <c r="D5390" s="100" t="s">
        <v>4097</v>
      </c>
      <c r="E5390" s="101" t="s">
        <v>1</v>
      </c>
      <c r="F5390" s="555" t="s">
        <v>4207</v>
      </c>
      <c r="G5390" s="555"/>
      <c r="H5390" s="196"/>
      <c r="K5390" s="50"/>
      <c r="L5390" s="50"/>
      <c r="M5390" s="50"/>
      <c r="N5390" s="50"/>
      <c r="O5390" s="50"/>
    </row>
    <row r="5391" spans="1:15">
      <c r="A5391" s="535" t="s">
        <v>4549</v>
      </c>
      <c r="B5391" s="536"/>
      <c r="C5391" s="88">
        <f>VLOOKUP(A5391,'Materiales '!$C$2:$G$396,3,0)</f>
        <v>4</v>
      </c>
      <c r="D5391" s="89" t="str">
        <f>VLOOKUP(A5391,'Materiales '!$C$2:$G$396,4,0)</f>
        <v>Und</v>
      </c>
      <c r="E5391" s="90">
        <v>1</v>
      </c>
      <c r="F5391" s="508" t="e">
        <f>E5391*D5391</f>
        <v>#VALUE!</v>
      </c>
      <c r="G5391" s="519"/>
      <c r="H5391" s="111"/>
      <c r="I5391">
        <f>E5391*G5382</f>
        <v>0</v>
      </c>
      <c r="J5391" s="57"/>
      <c r="K5391" s="50"/>
      <c r="L5391" s="50"/>
      <c r="M5391" s="50"/>
      <c r="N5391" s="50"/>
      <c r="O5391" s="50"/>
    </row>
    <row r="5392" spans="1:15">
      <c r="A5392" s="535" t="s">
        <v>4617</v>
      </c>
      <c r="B5392" s="536"/>
      <c r="C5392" s="88">
        <f>VLOOKUP(A5392,'Materiales '!$C$2:$G$396,3,0)</f>
        <v>3</v>
      </c>
      <c r="D5392" s="89" t="str">
        <f>VLOOKUP(A5392,'Materiales '!$C$2:$G$396,4,0)</f>
        <v>Rollo</v>
      </c>
      <c r="E5392" s="90">
        <v>0.5</v>
      </c>
      <c r="F5392" s="508" t="e">
        <f t="shared" ref="F5392:F5398" si="316">E5392*D5392</f>
        <v>#VALUE!</v>
      </c>
      <c r="G5392" s="519"/>
      <c r="H5392" s="111"/>
      <c r="I5392">
        <f>E5392*G5382</f>
        <v>0</v>
      </c>
      <c r="J5392" s="57"/>
      <c r="K5392" s="50"/>
      <c r="L5392" s="50"/>
      <c r="M5392" s="50"/>
      <c r="N5392" s="50"/>
      <c r="O5392" s="50"/>
    </row>
    <row r="5393" spans="1:15">
      <c r="A5393" s="517" t="s">
        <v>8</v>
      </c>
      <c r="B5393" s="518">
        <f>VLOOKUP(A5393,'Materiales '!$C$2:$G$396,3,0)</f>
        <v>0</v>
      </c>
      <c r="C5393" s="88">
        <f>VLOOKUP(A5393,'Materiales '!$C$2:$G$396,3,0)</f>
        <v>0</v>
      </c>
      <c r="D5393" s="89" t="str">
        <f>VLOOKUP(A5393,'Materiales '!$C$2:$G$396,4,0)</f>
        <v>-</v>
      </c>
      <c r="E5393" s="90">
        <v>6</v>
      </c>
      <c r="F5393" s="508" t="e">
        <f t="shared" si="316"/>
        <v>#VALUE!</v>
      </c>
      <c r="G5393" s="519"/>
      <c r="H5393" s="111"/>
      <c r="I5393">
        <f>E5393*G5382</f>
        <v>0</v>
      </c>
      <c r="J5393" s="58"/>
      <c r="K5393" s="50"/>
      <c r="L5393" s="50"/>
      <c r="M5393" s="50"/>
      <c r="N5393" s="50"/>
      <c r="O5393" s="50"/>
    </row>
    <row r="5394" spans="1:15">
      <c r="A5394" s="517" t="s">
        <v>8</v>
      </c>
      <c r="B5394" s="518">
        <f>VLOOKUP(A5394,'Materiales '!$C$2:$G$396,3,0)</f>
        <v>0</v>
      </c>
      <c r="C5394" s="88">
        <f>VLOOKUP(A5394,'Materiales '!$C$2:$G$396,3,0)</f>
        <v>0</v>
      </c>
      <c r="D5394" s="89" t="str">
        <f>VLOOKUP(A5394,'Materiales '!$C$2:$G$396,4,0)</f>
        <v>-</v>
      </c>
      <c r="E5394" s="90">
        <v>3</v>
      </c>
      <c r="F5394" s="508" t="e">
        <f t="shared" si="316"/>
        <v>#VALUE!</v>
      </c>
      <c r="G5394" s="519"/>
      <c r="H5394" s="111"/>
      <c r="I5394">
        <f>E5394*G5382</f>
        <v>0</v>
      </c>
      <c r="J5394" s="58"/>
      <c r="K5394" s="50"/>
      <c r="L5394" s="50"/>
      <c r="M5394" s="50"/>
      <c r="N5394" s="50"/>
      <c r="O5394" s="50"/>
    </row>
    <row r="5395" spans="1:15">
      <c r="A5395" s="517" t="s">
        <v>8</v>
      </c>
      <c r="B5395" s="518">
        <f>VLOOKUP(A5395,'Materiales '!$C$2:$G$396,3,0)</f>
        <v>0</v>
      </c>
      <c r="C5395" s="88">
        <f>VLOOKUP(A5395,'Materiales '!$C$2:$G$396,3,0)</f>
        <v>0</v>
      </c>
      <c r="D5395" s="89" t="str">
        <f>VLOOKUP(A5395,'Materiales '!$C$2:$G$396,4,0)</f>
        <v>-</v>
      </c>
      <c r="E5395" s="90">
        <v>2</v>
      </c>
      <c r="F5395" s="508" t="e">
        <f t="shared" si="316"/>
        <v>#VALUE!</v>
      </c>
      <c r="G5395" s="519"/>
      <c r="H5395" s="111"/>
      <c r="I5395">
        <f>E5395*G5382</f>
        <v>0</v>
      </c>
      <c r="J5395" s="58"/>
      <c r="K5395" s="50"/>
      <c r="L5395" s="50"/>
      <c r="M5395" s="50"/>
      <c r="N5395" s="50"/>
      <c r="O5395" s="50"/>
    </row>
    <row r="5396" spans="1:15">
      <c r="A5396" s="517" t="s">
        <v>8</v>
      </c>
      <c r="B5396" s="518">
        <f>VLOOKUP(A5396,'Materiales '!$C$2:$G$396,3,0)</f>
        <v>0</v>
      </c>
      <c r="C5396" s="88">
        <f>VLOOKUP(A5396,'Materiales '!$C$2:$G$396,3,0)</f>
        <v>0</v>
      </c>
      <c r="D5396" s="89" t="str">
        <f>VLOOKUP(A5396,'Materiales '!$C$2:$G$396,4,0)</f>
        <v>-</v>
      </c>
      <c r="E5396" s="90">
        <v>8</v>
      </c>
      <c r="F5396" s="508" t="e">
        <f t="shared" si="316"/>
        <v>#VALUE!</v>
      </c>
      <c r="G5396" s="519"/>
      <c r="H5396" s="111"/>
      <c r="I5396">
        <f>E5396*G5382</f>
        <v>0</v>
      </c>
      <c r="J5396" s="58"/>
      <c r="K5396" s="50"/>
      <c r="L5396" s="50"/>
      <c r="M5396" s="50"/>
      <c r="N5396" s="50"/>
      <c r="O5396" s="50"/>
    </row>
    <row r="5397" spans="1:15">
      <c r="A5397" s="517" t="s">
        <v>8</v>
      </c>
      <c r="B5397" s="518">
        <f>VLOOKUP(A5397,'Materiales '!$C$2:$G$396,3,0)</f>
        <v>0</v>
      </c>
      <c r="C5397" s="88">
        <f>VLOOKUP(A5397,'Materiales '!$C$2:$G$396,3,0)</f>
        <v>0</v>
      </c>
      <c r="D5397" s="89" t="str">
        <f>VLOOKUP(A5397,'Materiales '!$C$2:$G$396,4,0)</f>
        <v>-</v>
      </c>
      <c r="E5397" s="90">
        <v>3</v>
      </c>
      <c r="F5397" s="508" t="e">
        <f t="shared" si="316"/>
        <v>#VALUE!</v>
      </c>
      <c r="G5397" s="519"/>
      <c r="H5397" s="111"/>
      <c r="I5397">
        <f>E5397*G5382</f>
        <v>0</v>
      </c>
      <c r="J5397" s="58"/>
      <c r="K5397" s="50"/>
      <c r="L5397" s="50"/>
      <c r="M5397" s="50"/>
      <c r="N5397" s="50"/>
      <c r="O5397" s="50"/>
    </row>
    <row r="5398" spans="1:15" ht="21.75" customHeight="1">
      <c r="A5398" s="517" t="s">
        <v>8</v>
      </c>
      <c r="B5398" s="518">
        <f>VLOOKUP(A5398,'Materiales '!$C$2:$G$396,3,0)</f>
        <v>0</v>
      </c>
      <c r="C5398" s="88">
        <f>VLOOKUP(A5398,'Materiales '!$C$2:$G$396,3,0)</f>
        <v>0</v>
      </c>
      <c r="D5398" s="89" t="str">
        <f>VLOOKUP(A5398,'Materiales '!$C$2:$G$396,4,0)</f>
        <v>-</v>
      </c>
      <c r="E5398" s="90">
        <v>0.5</v>
      </c>
      <c r="F5398" s="508" t="e">
        <f t="shared" si="316"/>
        <v>#VALUE!</v>
      </c>
      <c r="G5398" s="519"/>
      <c r="H5398" s="111"/>
      <c r="I5398">
        <f>E5398*G5382</f>
        <v>0</v>
      </c>
      <c r="J5398" s="58"/>
      <c r="K5398" s="50"/>
      <c r="L5398" s="50"/>
      <c r="M5398" s="50"/>
      <c r="N5398" s="50"/>
      <c r="O5398" s="50"/>
    </row>
    <row r="5399" spans="1:15">
      <c r="A5399" s="517" t="s">
        <v>8</v>
      </c>
      <c r="B5399" s="518">
        <f>VLOOKUP(A5399,'Materiales '!$C$2:$G$396,3,0)</f>
        <v>0</v>
      </c>
      <c r="C5399" s="88">
        <f>VLOOKUP(A5399,'Materiales '!$C$2:$G$396,3,0)</f>
        <v>0</v>
      </c>
      <c r="D5399" s="89" t="str">
        <f>VLOOKUP(A5399,'Materiales '!$C$2:$G$396,4,0)</f>
        <v>-</v>
      </c>
      <c r="E5399" s="90"/>
      <c r="F5399" s="508" t="e">
        <f>E5399*D5399</f>
        <v>#VALUE!</v>
      </c>
      <c r="G5399" s="519"/>
      <c r="H5399" s="110"/>
      <c r="I5399">
        <f>E5399*G5382</f>
        <v>0</v>
      </c>
      <c r="J5399" s="58"/>
      <c r="K5399" s="50"/>
      <c r="L5399" s="50"/>
      <c r="M5399" s="50"/>
      <c r="N5399" s="50"/>
      <c r="O5399" s="50"/>
    </row>
    <row r="5400" spans="1:15">
      <c r="A5400" s="517" t="s">
        <v>8</v>
      </c>
      <c r="B5400" s="518">
        <f>VLOOKUP(A5400,'Materiales '!$C$2:$G$396,3,0)</f>
        <v>0</v>
      </c>
      <c r="C5400" s="88">
        <f>VLOOKUP(A5400,'Materiales '!$C$2:$G$396,3,0)</f>
        <v>0</v>
      </c>
      <c r="D5400" s="89" t="str">
        <f>VLOOKUP(A5400,'Materiales '!$C$2:$G$396,4,0)</f>
        <v>-</v>
      </c>
      <c r="E5400" s="90"/>
      <c r="F5400" s="508" t="e">
        <f t="shared" ref="F5400:F5403" si="317">E5400*D5400</f>
        <v>#VALUE!</v>
      </c>
      <c r="G5400" s="519"/>
      <c r="H5400" s="111"/>
      <c r="I5400">
        <f>E5400*G5382</f>
        <v>0</v>
      </c>
      <c r="J5400" s="58"/>
      <c r="K5400" s="50"/>
      <c r="L5400" s="50"/>
      <c r="M5400" s="50"/>
      <c r="N5400" s="50"/>
      <c r="O5400" s="50"/>
    </row>
    <row r="5401" spans="1:15">
      <c r="A5401" s="517" t="s">
        <v>8</v>
      </c>
      <c r="B5401" s="518">
        <f>VLOOKUP(A5401,'Materiales '!$C$2:$G$396,3,0)</f>
        <v>0</v>
      </c>
      <c r="C5401" s="88">
        <f>VLOOKUP(A5401,'Materiales '!$C$2:$G$396,3,0)</f>
        <v>0</v>
      </c>
      <c r="D5401" s="89" t="str">
        <f>VLOOKUP(A5401,'Materiales '!$C$2:$G$396,4,0)</f>
        <v>-</v>
      </c>
      <c r="E5401" s="90"/>
      <c r="F5401" s="508" t="e">
        <f t="shared" si="317"/>
        <v>#VALUE!</v>
      </c>
      <c r="G5401" s="519"/>
      <c r="H5401" s="111"/>
      <c r="I5401">
        <f>E5401*G5382</f>
        <v>0</v>
      </c>
      <c r="J5401" s="58"/>
      <c r="K5401" s="50"/>
      <c r="L5401" s="50"/>
      <c r="M5401" s="50"/>
      <c r="N5401" s="50"/>
      <c r="O5401" s="50"/>
    </row>
    <row r="5402" spans="1:15">
      <c r="A5402" s="517" t="s">
        <v>8</v>
      </c>
      <c r="B5402" s="518">
        <f>VLOOKUP(A5402,'Materiales '!$C$2:$G$396,3,0)</f>
        <v>0</v>
      </c>
      <c r="C5402" s="88">
        <f>VLOOKUP(A5402,'Materiales '!$C$2:$G$396,3,0)</f>
        <v>0</v>
      </c>
      <c r="D5402" s="89" t="str">
        <f>VLOOKUP(A5402,'Materiales '!$C$2:$G$396,4,0)</f>
        <v>-</v>
      </c>
      <c r="E5402" s="90"/>
      <c r="F5402" s="508" t="e">
        <f t="shared" si="317"/>
        <v>#VALUE!</v>
      </c>
      <c r="G5402" s="519"/>
      <c r="H5402" s="111"/>
      <c r="I5402">
        <f>E5402*G5382</f>
        <v>0</v>
      </c>
      <c r="J5402" s="58"/>
      <c r="K5402" s="50"/>
      <c r="L5402" s="50"/>
      <c r="M5402" s="50"/>
      <c r="N5402" s="50"/>
      <c r="O5402" s="50"/>
    </row>
    <row r="5403" spans="1:15">
      <c r="A5403" s="517" t="s">
        <v>8</v>
      </c>
      <c r="B5403" s="518">
        <f>VLOOKUP(A5403,'Materiales '!$C$2:$G$396,3,0)</f>
        <v>0</v>
      </c>
      <c r="C5403" s="88">
        <f>VLOOKUP(A5403,'Materiales '!$C$2:$G$396,3,0)</f>
        <v>0</v>
      </c>
      <c r="D5403" s="89" t="str">
        <f>VLOOKUP(A5403,'Materiales '!$C$2:$G$396,4,0)</f>
        <v>-</v>
      </c>
      <c r="E5403" s="90"/>
      <c r="F5403" s="508" t="e">
        <f t="shared" si="317"/>
        <v>#VALUE!</v>
      </c>
      <c r="G5403" s="519"/>
      <c r="H5403" s="111"/>
      <c r="I5403">
        <f>E5403*G5382</f>
        <v>0</v>
      </c>
      <c r="J5403" s="58"/>
      <c r="K5403" s="50"/>
      <c r="L5403" s="50"/>
      <c r="M5403" s="50"/>
      <c r="N5403" s="50"/>
      <c r="O5403" s="50"/>
    </row>
    <row r="5404" spans="1:15">
      <c r="A5404" s="517" t="s">
        <v>8</v>
      </c>
      <c r="B5404" s="518">
        <f>VLOOKUP(A5404,'Materiales '!$C$2:$G$396,3,0)</f>
        <v>0</v>
      </c>
      <c r="C5404" s="88">
        <f>VLOOKUP(A5404,'Materiales '!$C$2:$G$396,3,0)</f>
        <v>0</v>
      </c>
      <c r="D5404" s="89" t="str">
        <f>VLOOKUP(A5404,'Materiales '!$C$2:$G$396,4,0)</f>
        <v>-</v>
      </c>
      <c r="E5404" s="90"/>
      <c r="F5404" s="508" t="e">
        <f>E5404*D5404</f>
        <v>#VALUE!</v>
      </c>
      <c r="G5404" s="519"/>
      <c r="H5404" s="110"/>
      <c r="I5404">
        <f>E5404*G5382</f>
        <v>0</v>
      </c>
      <c r="J5404" s="58"/>
      <c r="K5404" s="50"/>
      <c r="L5404" s="50"/>
      <c r="M5404" s="50"/>
      <c r="N5404" s="50"/>
      <c r="O5404" s="50"/>
    </row>
    <row r="5405" spans="1:15">
      <c r="A5405" s="520" t="s">
        <v>4098</v>
      </c>
      <c r="B5405" s="521"/>
      <c r="C5405" s="521"/>
      <c r="D5405" s="521"/>
      <c r="E5405" s="521"/>
      <c r="F5405" s="521"/>
      <c r="G5405" s="522"/>
      <c r="H5405" s="106" t="e">
        <f>SUM(F5391:F5404)</f>
        <v>#VALUE!</v>
      </c>
      <c r="J5405" s="58"/>
      <c r="K5405" s="50"/>
      <c r="L5405" s="50"/>
      <c r="M5405" s="50"/>
      <c r="N5405" s="50"/>
      <c r="O5405" s="50"/>
    </row>
    <row r="5406" spans="1:15">
      <c r="A5406" s="523" t="s">
        <v>4220</v>
      </c>
      <c r="B5406" s="524"/>
      <c r="C5406" s="524"/>
      <c r="D5406" s="524"/>
      <c r="E5406" s="525"/>
      <c r="F5406" s="524"/>
      <c r="G5406" s="524"/>
      <c r="H5406" s="526"/>
      <c r="J5406" s="58"/>
      <c r="K5406" s="50"/>
      <c r="L5406" s="50"/>
      <c r="M5406" s="50"/>
      <c r="N5406" s="50"/>
      <c r="O5406" s="50"/>
    </row>
    <row r="5407" spans="1:15">
      <c r="A5407" s="527" t="s">
        <v>7</v>
      </c>
      <c r="B5407" s="528"/>
      <c r="C5407" s="98" t="s">
        <v>4221</v>
      </c>
      <c r="D5407" s="97" t="s">
        <v>4222</v>
      </c>
      <c r="E5407" s="187" t="s">
        <v>4223</v>
      </c>
      <c r="F5407" s="529" t="s">
        <v>4207</v>
      </c>
      <c r="G5407" s="529"/>
      <c r="H5407" s="109"/>
      <c r="K5407" s="50"/>
      <c r="L5407" s="50"/>
      <c r="M5407" s="50"/>
      <c r="N5407" s="50"/>
      <c r="O5407" s="50"/>
    </row>
    <row r="5408" spans="1:15">
      <c r="A5408" s="506" t="s">
        <v>3928</v>
      </c>
      <c r="B5408" s="507"/>
      <c r="C5408" s="213">
        <v>1</v>
      </c>
      <c r="D5408" s="92">
        <v>0.03</v>
      </c>
      <c r="E5408" s="93" t="str">
        <f>VLOOKUP(A5408,'Equip, Herr y Transp'!$B$2:$E$217,3,0)</f>
        <v>TR</v>
      </c>
      <c r="F5408" s="530" t="e">
        <f>E5408*D5408*C5408</f>
        <v>#VALUE!</v>
      </c>
      <c r="G5408" s="531"/>
      <c r="H5408" s="107"/>
      <c r="M5408" s="50"/>
    </row>
    <row r="5409" spans="1:10">
      <c r="A5409" s="532" t="s">
        <v>4205</v>
      </c>
      <c r="B5409" s="533"/>
      <c r="C5409" s="533"/>
      <c r="D5409" s="533"/>
      <c r="E5409" s="533"/>
      <c r="F5409" s="533"/>
      <c r="G5409" s="533"/>
      <c r="H5409" s="95" t="e">
        <f>F5408</f>
        <v>#VALUE!</v>
      </c>
    </row>
    <row r="5410" spans="1:10">
      <c r="A5410" s="523" t="s">
        <v>4224</v>
      </c>
      <c r="B5410" s="524"/>
      <c r="C5410" s="524"/>
      <c r="D5410" s="524"/>
      <c r="E5410" s="524"/>
      <c r="F5410" s="524"/>
      <c r="G5410" s="524"/>
      <c r="H5410" s="526"/>
    </row>
    <row r="5411" spans="1:10">
      <c r="A5411" s="527" t="s">
        <v>7</v>
      </c>
      <c r="B5411" s="528"/>
      <c r="C5411" s="96" t="s">
        <v>1</v>
      </c>
      <c r="D5411" s="97" t="s">
        <v>4225</v>
      </c>
      <c r="E5411" s="98" t="s">
        <v>4204</v>
      </c>
      <c r="F5411" s="527" t="s">
        <v>5</v>
      </c>
      <c r="G5411" s="534"/>
      <c r="H5411" s="109"/>
    </row>
    <row r="5412" spans="1:10">
      <c r="A5412" s="506" t="s">
        <v>4191</v>
      </c>
      <c r="B5412" s="507"/>
      <c r="C5412" s="91">
        <v>1</v>
      </c>
      <c r="D5412" s="94">
        <f>VLOOKUP(A5412,'Mano Obra'!$B$2:$T$117,19,0)</f>
        <v>152456</v>
      </c>
      <c r="E5412" s="218">
        <f>H5375</f>
        <v>0.14580000000000001</v>
      </c>
      <c r="F5412" s="508">
        <f>E5412*D5412*C5412</f>
        <v>22228.084800000001</v>
      </c>
      <c r="G5412" s="509"/>
      <c r="H5412" s="111"/>
      <c r="I5412" s="59"/>
      <c r="J5412" s="117">
        <f>((('Mano Obra'!$M$4/30)*F5412)/D5412)*G5382</f>
        <v>0</v>
      </c>
    </row>
    <row r="5413" spans="1:10">
      <c r="A5413" s="510" t="s">
        <v>4192</v>
      </c>
      <c r="B5413" s="511">
        <f>VLOOKUP(A5413,'Mano Obra'!$B$3:$D$290,2,0)</f>
        <v>1900000</v>
      </c>
      <c r="C5413" s="91">
        <v>1</v>
      </c>
      <c r="D5413" s="94">
        <f>VLOOKUP(A5413,'Mano Obra'!$B$2:$T$117,19,0)</f>
        <v>110488</v>
      </c>
      <c r="E5413" s="218">
        <f>H5375</f>
        <v>0.14580000000000001</v>
      </c>
      <c r="F5413" s="508">
        <f t="shared" ref="F5413:F5414" si="318">E5413*D5413*C5413</f>
        <v>16109.150400000002</v>
      </c>
      <c r="G5413" s="509"/>
      <c r="H5413" s="111"/>
      <c r="J5413" s="117">
        <f>((('Mano Obra'!$M$5/30)*F5413)/D5413)*G5382</f>
        <v>0</v>
      </c>
    </row>
    <row r="5414" spans="1:10">
      <c r="A5414" s="510" t="s">
        <v>4181</v>
      </c>
      <c r="B5414" s="511">
        <f>VLOOKUP(A5414,'Mano Obra'!$B$3:$D$290,2,0)</f>
        <v>1000000</v>
      </c>
      <c r="C5414" s="91">
        <v>1</v>
      </c>
      <c r="D5414" s="94">
        <f>VLOOKUP(A5414,'Mano Obra'!$B$2:$T$117,19,0)</f>
        <v>67424</v>
      </c>
      <c r="E5414" s="218">
        <f>H5375</f>
        <v>0.14580000000000001</v>
      </c>
      <c r="F5414" s="508">
        <f t="shared" si="318"/>
        <v>9830.4192000000003</v>
      </c>
      <c r="G5414" s="509"/>
      <c r="H5414" s="110"/>
      <c r="J5414" s="117">
        <f>((('Mano Obra'!$M$6/30)*F5414)/D5414)*G5382</f>
        <v>0</v>
      </c>
    </row>
    <row r="5415" spans="1:10">
      <c r="A5415" s="512" t="s">
        <v>4100</v>
      </c>
      <c r="B5415" s="512"/>
      <c r="C5415" s="512"/>
      <c r="D5415" s="512"/>
      <c r="E5415" s="512"/>
      <c r="F5415" s="512"/>
      <c r="G5415" s="512"/>
      <c r="H5415" s="95">
        <f>SUM(F5412:F5414)</f>
        <v>48167.654399999999</v>
      </c>
      <c r="J5415" s="117"/>
    </row>
    <row r="5416" spans="1:10">
      <c r="A5416" s="208" t="s">
        <v>4226</v>
      </c>
      <c r="B5416" s="186"/>
      <c r="C5416" s="186"/>
      <c r="D5416" s="183"/>
      <c r="E5416" s="184"/>
      <c r="F5416" s="185"/>
      <c r="G5416" s="184"/>
      <c r="H5416" s="193"/>
    </row>
    <row r="5417" spans="1:10">
      <c r="A5417" s="513" t="s">
        <v>4213</v>
      </c>
      <c r="B5417" s="514"/>
      <c r="C5417" s="514"/>
      <c r="D5417" s="514"/>
      <c r="E5417" s="181"/>
      <c r="F5417" s="182" t="s">
        <v>4227</v>
      </c>
      <c r="G5417" s="181" t="s">
        <v>4228</v>
      </c>
      <c r="H5417" s="194"/>
    </row>
    <row r="5418" spans="1:10">
      <c r="A5418" s="204" t="s">
        <v>4096</v>
      </c>
      <c r="B5418" s="62"/>
      <c r="C5418" s="62"/>
      <c r="D5418" s="63"/>
      <c r="E5418" s="68"/>
      <c r="F5418" s="69">
        <v>0</v>
      </c>
      <c r="G5418" s="70" t="e">
        <f>F5418*H5383</f>
        <v>#VALUE!</v>
      </c>
      <c r="H5418" s="193"/>
    </row>
    <row r="5419" spans="1:10">
      <c r="A5419" s="205" t="s">
        <v>4229</v>
      </c>
      <c r="B5419" s="71"/>
      <c r="C5419" s="71"/>
      <c r="D5419" s="72"/>
      <c r="E5419" s="68"/>
      <c r="F5419" s="69">
        <v>0</v>
      </c>
      <c r="G5419" s="70" t="e">
        <f>F5419*H5383</f>
        <v>#VALUE!</v>
      </c>
      <c r="H5419" s="193"/>
    </row>
    <row r="5420" spans="1:10">
      <c r="A5420" s="205" t="s">
        <v>4</v>
      </c>
      <c r="B5420" s="71"/>
      <c r="C5420" s="71"/>
      <c r="D5420" s="72"/>
      <c r="E5420" s="68"/>
      <c r="F5420" s="69">
        <v>0</v>
      </c>
      <c r="G5420" s="70" t="e">
        <f>F5420*H5383</f>
        <v>#VALUE!</v>
      </c>
      <c r="H5420" s="193"/>
    </row>
    <row r="5421" spans="1:10">
      <c r="A5421" s="206"/>
      <c r="B5421" s="73"/>
      <c r="C5421" s="65"/>
      <c r="D5421" s="74"/>
      <c r="E5421" s="75"/>
      <c r="F5421" s="76"/>
      <c r="G5421" s="77"/>
      <c r="H5421" s="195"/>
    </row>
    <row r="5422" spans="1:10">
      <c r="A5422" s="207"/>
      <c r="B5422" s="73"/>
      <c r="C5422" s="73"/>
      <c r="D5422" s="74"/>
      <c r="E5422" s="78"/>
      <c r="F5422" s="515" t="s">
        <v>4230</v>
      </c>
      <c r="G5422" s="516"/>
      <c r="H5422" s="214" t="e">
        <f>H5383+G5418+G5419+G5420</f>
        <v>#VALUE!</v>
      </c>
    </row>
    <row r="5423" spans="1:10">
      <c r="A5423" s="73"/>
      <c r="B5423" s="73"/>
      <c r="C5423" s="73"/>
      <c r="D5423" s="74"/>
      <c r="E5423" s="360"/>
      <c r="F5423" s="361"/>
      <c r="G5423" s="361"/>
      <c r="H5423" s="362"/>
    </row>
    <row r="5424" spans="1:10">
      <c r="A5424" s="80"/>
      <c r="B5424" s="80"/>
      <c r="C5424" s="80"/>
      <c r="D5424" s="80"/>
      <c r="E5424" s="80"/>
      <c r="F5424" s="80"/>
      <c r="G5424" s="80"/>
      <c r="H5424" s="353"/>
    </row>
    <row r="5425" spans="1:15">
      <c r="A5425" s="537" t="s">
        <v>4214</v>
      </c>
      <c r="B5425" s="538"/>
      <c r="C5425" s="538"/>
      <c r="D5425" s="538"/>
      <c r="E5425" s="538"/>
      <c r="F5425" s="538"/>
      <c r="G5425" s="538"/>
      <c r="H5425" s="539"/>
    </row>
    <row r="5426" spans="1:15">
      <c r="A5426" s="81"/>
      <c r="B5426" s="82"/>
      <c r="C5426" s="82"/>
      <c r="D5426" s="82"/>
      <c r="E5426" s="82"/>
      <c r="F5426" s="83"/>
      <c r="G5426" s="84"/>
      <c r="H5426" s="352">
        <f>ROUND((70/60)/8,4)</f>
        <v>0.14580000000000001</v>
      </c>
      <c r="I5426" s="105"/>
    </row>
    <row r="5427" spans="1:15">
      <c r="A5427" s="540" t="s">
        <v>4209</v>
      </c>
      <c r="B5427" s="542" t="str">
        <f>COSTOS!$C$14</f>
        <v>MODERNIZACION A TECNOLOGIA LED</v>
      </c>
      <c r="C5427" s="542"/>
      <c r="D5427" s="542"/>
      <c r="E5427" s="542"/>
      <c r="F5427" s="542"/>
      <c r="G5427" s="542"/>
      <c r="H5427" s="543" t="s">
        <v>4210</v>
      </c>
    </row>
    <row r="5428" spans="1:15">
      <c r="A5428" s="541"/>
      <c r="B5428" s="542"/>
      <c r="C5428" s="542"/>
      <c r="D5428" s="542"/>
      <c r="E5428" s="542"/>
      <c r="F5428" s="542"/>
      <c r="G5428" s="542"/>
      <c r="H5428" s="543"/>
    </row>
    <row r="5429" spans="1:15">
      <c r="A5429" s="541"/>
      <c r="B5429" s="542"/>
      <c r="C5429" s="542"/>
      <c r="D5429" s="542"/>
      <c r="E5429" s="542"/>
      <c r="F5429" s="542"/>
      <c r="G5429" s="542"/>
      <c r="H5429" s="543"/>
    </row>
    <row r="5430" spans="1:15" ht="15" customHeight="1">
      <c r="A5430" s="541"/>
      <c r="B5430" s="542"/>
      <c r="C5430" s="542"/>
      <c r="D5430" s="542"/>
      <c r="E5430" s="542"/>
      <c r="F5430" s="542"/>
      <c r="G5430" s="542"/>
      <c r="H5430" s="197">
        <f ca="1">TODAY()</f>
        <v>44889</v>
      </c>
      <c r="K5430" t="s">
        <v>4380</v>
      </c>
      <c r="L5430" t="s">
        <v>4381</v>
      </c>
      <c r="M5430" t="s">
        <v>4382</v>
      </c>
      <c r="N5430" t="s">
        <v>4383</v>
      </c>
    </row>
    <row r="5431" spans="1:15" ht="60.75" customHeight="1">
      <c r="A5431" s="209" t="s">
        <v>4211</v>
      </c>
      <c r="B5431" s="544" t="str">
        <f>COSTOS!$D$16</f>
        <v>Luminarias</v>
      </c>
      <c r="C5431" s="544"/>
      <c r="D5431" s="544"/>
      <c r="E5431" s="544"/>
      <c r="F5431" s="544"/>
      <c r="G5431" s="60" t="s">
        <v>4212</v>
      </c>
      <c r="H5431" s="363">
        <v>2.25</v>
      </c>
      <c r="K5431" s="55" t="e">
        <f>H5456</f>
        <v>#VALUE!</v>
      </c>
      <c r="L5431" s="55">
        <f>H5466</f>
        <v>48167.654399999999</v>
      </c>
      <c r="M5431" s="55" t="e">
        <f>H5439</f>
        <v>#VALUE!</v>
      </c>
      <c r="N5431" s="55" t="e">
        <f>H5460</f>
        <v>#VALUE!</v>
      </c>
    </row>
    <row r="5432" spans="1:15" ht="43.2" customHeight="1">
      <c r="A5432" s="210" t="s">
        <v>4213</v>
      </c>
      <c r="B5432" s="545" t="str">
        <f>VLOOKUP(H5431,COSTOS!C:M,2,0)</f>
        <v>Poste de fibra 10 metros x 510kg.f</v>
      </c>
      <c r="C5432" s="546"/>
      <c r="D5432" s="546"/>
      <c r="E5432" s="547"/>
      <c r="F5432" s="61" t="s">
        <v>0</v>
      </c>
      <c r="G5432" s="328" t="str">
        <f>VLOOKUP(H5431,COSTOS!C:M,8,0)</f>
        <v>Und</v>
      </c>
      <c r="H5432" s="248"/>
      <c r="I5432" s="278"/>
      <c r="J5432" s="280"/>
      <c r="K5432" s="280"/>
      <c r="L5432" s="280"/>
    </row>
    <row r="5433" spans="1:15">
      <c r="A5433" s="211"/>
      <c r="B5433" s="102"/>
      <c r="C5433" s="102"/>
      <c r="D5433" s="102"/>
      <c r="E5433" s="103"/>
      <c r="F5433" s="104" t="s">
        <v>1</v>
      </c>
      <c r="G5433" s="328">
        <f>VLOOKUP(H5431,COSTOS!C:M,9,0)</f>
        <v>0</v>
      </c>
      <c r="H5433" s="329"/>
      <c r="I5433" s="279"/>
    </row>
    <row r="5434" spans="1:15">
      <c r="A5434" s="212" t="s">
        <v>4215</v>
      </c>
      <c r="B5434" s="65"/>
      <c r="C5434" s="65"/>
      <c r="D5434" s="66"/>
      <c r="E5434" s="190"/>
      <c r="F5434" s="191"/>
      <c r="G5434" s="192" t="s">
        <v>4216</v>
      </c>
      <c r="H5434" s="198" t="e">
        <f>H5439+H5456+H5460+H5466</f>
        <v>#VALUE!</v>
      </c>
    </row>
    <row r="5435" spans="1:15" ht="41.4">
      <c r="A5435" s="548" t="s">
        <v>4213</v>
      </c>
      <c r="B5435" s="548"/>
      <c r="C5435" s="548"/>
      <c r="D5435" s="67" t="s">
        <v>0</v>
      </c>
      <c r="E5435" s="188" t="s">
        <v>4217</v>
      </c>
      <c r="F5435" s="189" t="s">
        <v>4204</v>
      </c>
      <c r="G5435" s="64" t="s">
        <v>2</v>
      </c>
      <c r="H5435" s="199" t="s">
        <v>4218</v>
      </c>
      <c r="K5435" s="281"/>
    </row>
    <row r="5436" spans="1:15">
      <c r="A5436" s="517" t="s">
        <v>3946</v>
      </c>
      <c r="B5436" s="549">
        <f>VLOOKUP(A5436,'Equip, Herr y Transp'!$B$2:$E$738,2,0)</f>
        <v>2</v>
      </c>
      <c r="C5436" s="549"/>
      <c r="D5436" s="85">
        <f>VLOOKUP(A5436,'Equip, Herr y Transp'!$B$2:$E$217,2,0)</f>
        <v>2</v>
      </c>
      <c r="E5436" s="85" t="str">
        <f>VLOOKUP(A5436,'Equip, Herr y Transp'!$B$2:$E$217,3,0)</f>
        <v>EQU</v>
      </c>
      <c r="F5436" s="86">
        <f>H5426</f>
        <v>0.14580000000000001</v>
      </c>
      <c r="G5436" s="112" t="e">
        <f>F5436*E5436</f>
        <v>#VALUE!</v>
      </c>
      <c r="H5436" s="108"/>
    </row>
    <row r="5437" spans="1:15">
      <c r="A5437" s="517" t="s">
        <v>3894</v>
      </c>
      <c r="B5437" s="549">
        <f>VLOOKUP(A5437,'Equip, Herr y Transp'!$B$2:$E$738,2,0)</f>
        <v>4</v>
      </c>
      <c r="C5437" s="549"/>
      <c r="D5437" s="85">
        <f>VLOOKUP(A5437,'Equip, Herr y Transp'!$B$2:$E$217,2,0)</f>
        <v>4</v>
      </c>
      <c r="E5437" s="85" t="str">
        <f>VLOOKUP(A5437,'Equip, Herr y Transp'!$B$2:$E$217,3,0)</f>
        <v>TR</v>
      </c>
      <c r="F5437" s="86">
        <f>H5426</f>
        <v>0.14580000000000001</v>
      </c>
      <c r="G5437" s="112" t="e">
        <f>F5437*E5437</f>
        <v>#VALUE!</v>
      </c>
      <c r="H5437" s="107"/>
    </row>
    <row r="5438" spans="1:15">
      <c r="A5438" s="517" t="s">
        <v>8</v>
      </c>
      <c r="B5438" s="549" t="e">
        <f>VLOOKUP(A5438,'Equip, Herr y Transp'!$B$2:$E$738,2,0)</f>
        <v>#N/A</v>
      </c>
      <c r="C5438" s="549"/>
      <c r="D5438" s="85" t="e">
        <f>VLOOKUP(A5438,'Equip, Herr y Transp'!$B$2:$E$217,2,0)</f>
        <v>#N/A</v>
      </c>
      <c r="E5438" s="85" t="e">
        <f>VLOOKUP(A5438,'Equip, Herr y Transp'!$B$2:$E$217,3,0)</f>
        <v>#N/A</v>
      </c>
      <c r="F5438" s="86"/>
      <c r="G5438" s="112" t="e">
        <f>F5438*E5438</f>
        <v>#N/A</v>
      </c>
      <c r="H5438" s="107"/>
    </row>
    <row r="5439" spans="1:15">
      <c r="A5439" s="520" t="s">
        <v>4099</v>
      </c>
      <c r="B5439" s="521"/>
      <c r="C5439" s="521"/>
      <c r="D5439" s="521"/>
      <c r="E5439" s="521"/>
      <c r="F5439" s="521"/>
      <c r="G5439" s="521"/>
      <c r="H5439" s="87" t="e">
        <f>SUM(G5436:G5438)</f>
        <v>#VALUE!</v>
      </c>
    </row>
    <row r="5440" spans="1:15">
      <c r="A5440" s="550" t="s">
        <v>4219</v>
      </c>
      <c r="B5440" s="551"/>
      <c r="C5440" s="551"/>
      <c r="D5440" s="551"/>
      <c r="E5440" s="551"/>
      <c r="F5440" s="551"/>
      <c r="G5440" s="551"/>
      <c r="H5440" s="552"/>
      <c r="K5440" s="50"/>
      <c r="L5440" s="50"/>
      <c r="M5440" s="50"/>
      <c r="N5440" s="50"/>
      <c r="O5440" s="50"/>
    </row>
    <row r="5441" spans="1:15" ht="30" customHeight="1">
      <c r="A5441" s="553" t="s">
        <v>7</v>
      </c>
      <c r="B5441" s="554"/>
      <c r="C5441" s="99" t="s">
        <v>0</v>
      </c>
      <c r="D5441" s="100" t="s">
        <v>4097</v>
      </c>
      <c r="E5441" s="101" t="s">
        <v>1</v>
      </c>
      <c r="F5441" s="555" t="s">
        <v>4207</v>
      </c>
      <c r="G5441" s="555"/>
      <c r="H5441" s="196"/>
      <c r="K5441" s="50"/>
      <c r="L5441" s="50"/>
      <c r="M5441" s="50"/>
      <c r="N5441" s="50"/>
      <c r="O5441" s="50"/>
    </row>
    <row r="5442" spans="1:15">
      <c r="A5442" s="535" t="s">
        <v>4548</v>
      </c>
      <c r="B5442" s="536"/>
      <c r="C5442" s="88">
        <f>VLOOKUP(A5442,'Materiales '!$C$2:$G$396,3,0)</f>
        <v>4</v>
      </c>
      <c r="D5442" s="89" t="str">
        <f>VLOOKUP(A5442,'Materiales '!$C$2:$G$396,4,0)</f>
        <v>Und</v>
      </c>
      <c r="E5442" s="90">
        <v>1</v>
      </c>
      <c r="F5442" s="508" t="e">
        <f>E5442*D5442</f>
        <v>#VALUE!</v>
      </c>
      <c r="G5442" s="519"/>
      <c r="H5442" s="111"/>
      <c r="I5442">
        <f>E5442*G5433</f>
        <v>0</v>
      </c>
      <c r="J5442" s="57"/>
      <c r="K5442" s="50"/>
      <c r="L5442" s="50"/>
      <c r="M5442" s="50"/>
      <c r="N5442" s="50"/>
      <c r="O5442" s="50"/>
    </row>
    <row r="5443" spans="1:15">
      <c r="A5443" s="535" t="s">
        <v>4617</v>
      </c>
      <c r="B5443" s="536"/>
      <c r="C5443" s="88">
        <f>VLOOKUP(A5443,'Materiales '!$C$2:$G$396,3,0)</f>
        <v>3</v>
      </c>
      <c r="D5443" s="89" t="str">
        <f>VLOOKUP(A5443,'Materiales '!$C$2:$G$396,4,0)</f>
        <v>Rollo</v>
      </c>
      <c r="E5443" s="90">
        <v>0.5</v>
      </c>
      <c r="F5443" s="508" t="e">
        <f t="shared" ref="F5443:F5449" si="319">E5443*D5443</f>
        <v>#VALUE!</v>
      </c>
      <c r="G5443" s="519"/>
      <c r="H5443" s="111"/>
      <c r="I5443">
        <f>E5443*G5433</f>
        <v>0</v>
      </c>
      <c r="J5443" s="57"/>
      <c r="K5443" s="50"/>
      <c r="L5443" s="50"/>
      <c r="M5443" s="50"/>
      <c r="N5443" s="50"/>
      <c r="O5443" s="50"/>
    </row>
    <row r="5444" spans="1:15">
      <c r="A5444" s="517" t="s">
        <v>8</v>
      </c>
      <c r="B5444" s="518">
        <f>VLOOKUP(A5444,'Materiales '!$C$2:$G$396,3,0)</f>
        <v>0</v>
      </c>
      <c r="C5444" s="88">
        <f>VLOOKUP(A5444,'Materiales '!$C$2:$G$396,3,0)</f>
        <v>0</v>
      </c>
      <c r="D5444" s="89" t="str">
        <f>VLOOKUP(A5444,'Materiales '!$C$2:$G$396,4,0)</f>
        <v>-</v>
      </c>
      <c r="E5444" s="90">
        <v>6</v>
      </c>
      <c r="F5444" s="508" t="e">
        <f t="shared" si="319"/>
        <v>#VALUE!</v>
      </c>
      <c r="G5444" s="519"/>
      <c r="H5444" s="111"/>
      <c r="I5444">
        <f>E5444*G5433</f>
        <v>0</v>
      </c>
      <c r="J5444" s="58"/>
      <c r="K5444" s="50"/>
      <c r="L5444" s="50"/>
      <c r="M5444" s="50"/>
      <c r="N5444" s="50"/>
      <c r="O5444" s="50"/>
    </row>
    <row r="5445" spans="1:15">
      <c r="A5445" s="517" t="s">
        <v>8</v>
      </c>
      <c r="B5445" s="518">
        <f>VLOOKUP(A5445,'Materiales '!$C$2:$G$396,3,0)</f>
        <v>0</v>
      </c>
      <c r="C5445" s="88">
        <f>VLOOKUP(A5445,'Materiales '!$C$2:$G$396,3,0)</f>
        <v>0</v>
      </c>
      <c r="D5445" s="89" t="str">
        <f>VLOOKUP(A5445,'Materiales '!$C$2:$G$396,4,0)</f>
        <v>-</v>
      </c>
      <c r="E5445" s="90">
        <v>3</v>
      </c>
      <c r="F5445" s="508" t="e">
        <f t="shared" si="319"/>
        <v>#VALUE!</v>
      </c>
      <c r="G5445" s="519"/>
      <c r="H5445" s="111"/>
      <c r="I5445">
        <f>E5445*G5433</f>
        <v>0</v>
      </c>
      <c r="J5445" s="58"/>
      <c r="K5445" s="50"/>
      <c r="L5445" s="50"/>
      <c r="M5445" s="50"/>
      <c r="N5445" s="50"/>
      <c r="O5445" s="50"/>
    </row>
    <row r="5446" spans="1:15">
      <c r="A5446" s="517" t="s">
        <v>8</v>
      </c>
      <c r="B5446" s="518">
        <f>VLOOKUP(A5446,'Materiales '!$C$2:$G$396,3,0)</f>
        <v>0</v>
      </c>
      <c r="C5446" s="88">
        <f>VLOOKUP(A5446,'Materiales '!$C$2:$G$396,3,0)</f>
        <v>0</v>
      </c>
      <c r="D5446" s="89" t="str">
        <f>VLOOKUP(A5446,'Materiales '!$C$2:$G$396,4,0)</f>
        <v>-</v>
      </c>
      <c r="E5446" s="90">
        <v>2</v>
      </c>
      <c r="F5446" s="508" t="e">
        <f t="shared" si="319"/>
        <v>#VALUE!</v>
      </c>
      <c r="G5446" s="519"/>
      <c r="H5446" s="111"/>
      <c r="I5446">
        <f>E5446*G5433</f>
        <v>0</v>
      </c>
      <c r="J5446" s="58"/>
      <c r="K5446" s="50"/>
      <c r="L5446" s="50"/>
      <c r="M5446" s="50"/>
      <c r="N5446" s="50"/>
      <c r="O5446" s="50"/>
    </row>
    <row r="5447" spans="1:15">
      <c r="A5447" s="517" t="s">
        <v>8</v>
      </c>
      <c r="B5447" s="518">
        <f>VLOOKUP(A5447,'Materiales '!$C$2:$G$396,3,0)</f>
        <v>0</v>
      </c>
      <c r="C5447" s="88">
        <f>VLOOKUP(A5447,'Materiales '!$C$2:$G$396,3,0)</f>
        <v>0</v>
      </c>
      <c r="D5447" s="89" t="str">
        <f>VLOOKUP(A5447,'Materiales '!$C$2:$G$396,4,0)</f>
        <v>-</v>
      </c>
      <c r="E5447" s="90">
        <v>8</v>
      </c>
      <c r="F5447" s="508" t="e">
        <f t="shared" si="319"/>
        <v>#VALUE!</v>
      </c>
      <c r="G5447" s="519"/>
      <c r="H5447" s="111"/>
      <c r="I5447">
        <f>E5447*G5433</f>
        <v>0</v>
      </c>
      <c r="J5447" s="58"/>
      <c r="K5447" s="50"/>
      <c r="L5447" s="50"/>
      <c r="M5447" s="50"/>
      <c r="N5447" s="50"/>
      <c r="O5447" s="50"/>
    </row>
    <row r="5448" spans="1:15">
      <c r="A5448" s="517" t="s">
        <v>8</v>
      </c>
      <c r="B5448" s="518">
        <f>VLOOKUP(A5448,'Materiales '!$C$2:$G$396,3,0)</f>
        <v>0</v>
      </c>
      <c r="C5448" s="88">
        <f>VLOOKUP(A5448,'Materiales '!$C$2:$G$396,3,0)</f>
        <v>0</v>
      </c>
      <c r="D5448" s="89" t="str">
        <f>VLOOKUP(A5448,'Materiales '!$C$2:$G$396,4,0)</f>
        <v>-</v>
      </c>
      <c r="E5448" s="90">
        <v>3</v>
      </c>
      <c r="F5448" s="508" t="e">
        <f t="shared" si="319"/>
        <v>#VALUE!</v>
      </c>
      <c r="G5448" s="519"/>
      <c r="H5448" s="111"/>
      <c r="I5448">
        <f>E5448*G5433</f>
        <v>0</v>
      </c>
      <c r="J5448" s="58"/>
      <c r="K5448" s="50"/>
      <c r="L5448" s="50"/>
      <c r="M5448" s="50"/>
      <c r="N5448" s="50"/>
      <c r="O5448" s="50"/>
    </row>
    <row r="5449" spans="1:15" ht="21.75" customHeight="1">
      <c r="A5449" s="517" t="s">
        <v>8</v>
      </c>
      <c r="B5449" s="518">
        <f>VLOOKUP(A5449,'Materiales '!$C$2:$G$396,3,0)</f>
        <v>0</v>
      </c>
      <c r="C5449" s="88">
        <f>VLOOKUP(A5449,'Materiales '!$C$2:$G$396,3,0)</f>
        <v>0</v>
      </c>
      <c r="D5449" s="89" t="str">
        <f>VLOOKUP(A5449,'Materiales '!$C$2:$G$396,4,0)</f>
        <v>-</v>
      </c>
      <c r="E5449" s="90">
        <v>0.5</v>
      </c>
      <c r="F5449" s="508" t="e">
        <f t="shared" si="319"/>
        <v>#VALUE!</v>
      </c>
      <c r="G5449" s="519"/>
      <c r="H5449" s="111"/>
      <c r="I5449">
        <f>E5449*G5433</f>
        <v>0</v>
      </c>
      <c r="J5449" s="58"/>
      <c r="K5449" s="50"/>
      <c r="L5449" s="50"/>
      <c r="M5449" s="50"/>
      <c r="N5449" s="50"/>
      <c r="O5449" s="50"/>
    </row>
    <row r="5450" spans="1:15">
      <c r="A5450" s="517" t="s">
        <v>8</v>
      </c>
      <c r="B5450" s="518">
        <f>VLOOKUP(A5450,'Materiales '!$C$2:$G$396,3,0)</f>
        <v>0</v>
      </c>
      <c r="C5450" s="88">
        <f>VLOOKUP(A5450,'Materiales '!$C$2:$G$396,3,0)</f>
        <v>0</v>
      </c>
      <c r="D5450" s="89" t="str">
        <f>VLOOKUP(A5450,'Materiales '!$C$2:$G$396,4,0)</f>
        <v>-</v>
      </c>
      <c r="E5450" s="90"/>
      <c r="F5450" s="508" t="e">
        <f>E5450*D5450</f>
        <v>#VALUE!</v>
      </c>
      <c r="G5450" s="519"/>
      <c r="H5450" s="110"/>
      <c r="I5450">
        <f>E5450*G5433</f>
        <v>0</v>
      </c>
      <c r="J5450" s="58"/>
      <c r="K5450" s="50"/>
      <c r="L5450" s="50"/>
      <c r="M5450" s="50"/>
      <c r="N5450" s="50"/>
      <c r="O5450" s="50"/>
    </row>
    <row r="5451" spans="1:15">
      <c r="A5451" s="517" t="s">
        <v>8</v>
      </c>
      <c r="B5451" s="518">
        <f>VLOOKUP(A5451,'Materiales '!$C$2:$G$396,3,0)</f>
        <v>0</v>
      </c>
      <c r="C5451" s="88">
        <f>VLOOKUP(A5451,'Materiales '!$C$2:$G$396,3,0)</f>
        <v>0</v>
      </c>
      <c r="D5451" s="89" t="str">
        <f>VLOOKUP(A5451,'Materiales '!$C$2:$G$396,4,0)</f>
        <v>-</v>
      </c>
      <c r="E5451" s="90"/>
      <c r="F5451" s="508" t="e">
        <f t="shared" ref="F5451:F5454" si="320">E5451*D5451</f>
        <v>#VALUE!</v>
      </c>
      <c r="G5451" s="519"/>
      <c r="H5451" s="111"/>
      <c r="I5451">
        <f>E5451*G5433</f>
        <v>0</v>
      </c>
      <c r="J5451" s="58"/>
      <c r="K5451" s="50"/>
      <c r="L5451" s="50"/>
      <c r="M5451" s="50"/>
      <c r="N5451" s="50"/>
      <c r="O5451" s="50"/>
    </row>
    <row r="5452" spans="1:15">
      <c r="A5452" s="517" t="s">
        <v>8</v>
      </c>
      <c r="B5452" s="518">
        <f>VLOOKUP(A5452,'Materiales '!$C$2:$G$396,3,0)</f>
        <v>0</v>
      </c>
      <c r="C5452" s="88">
        <f>VLOOKUP(A5452,'Materiales '!$C$2:$G$396,3,0)</f>
        <v>0</v>
      </c>
      <c r="D5452" s="89" t="str">
        <f>VLOOKUP(A5452,'Materiales '!$C$2:$G$396,4,0)</f>
        <v>-</v>
      </c>
      <c r="E5452" s="90"/>
      <c r="F5452" s="508" t="e">
        <f t="shared" si="320"/>
        <v>#VALUE!</v>
      </c>
      <c r="G5452" s="519"/>
      <c r="H5452" s="111"/>
      <c r="I5452">
        <f>E5452*G5433</f>
        <v>0</v>
      </c>
      <c r="J5452" s="58"/>
      <c r="K5452" s="50"/>
      <c r="L5452" s="50"/>
      <c r="M5452" s="50"/>
      <c r="N5452" s="50"/>
      <c r="O5452" s="50"/>
    </row>
    <row r="5453" spans="1:15">
      <c r="A5453" s="517" t="s">
        <v>8</v>
      </c>
      <c r="B5453" s="518">
        <f>VLOOKUP(A5453,'Materiales '!$C$2:$G$396,3,0)</f>
        <v>0</v>
      </c>
      <c r="C5453" s="88">
        <f>VLOOKUP(A5453,'Materiales '!$C$2:$G$396,3,0)</f>
        <v>0</v>
      </c>
      <c r="D5453" s="89" t="str">
        <f>VLOOKUP(A5453,'Materiales '!$C$2:$G$396,4,0)</f>
        <v>-</v>
      </c>
      <c r="E5453" s="90"/>
      <c r="F5453" s="508" t="e">
        <f t="shared" si="320"/>
        <v>#VALUE!</v>
      </c>
      <c r="G5453" s="519"/>
      <c r="H5453" s="111"/>
      <c r="I5453">
        <f>E5453*G5433</f>
        <v>0</v>
      </c>
      <c r="J5453" s="58"/>
      <c r="K5453" s="50"/>
      <c r="L5453" s="50"/>
      <c r="M5453" s="50"/>
      <c r="N5453" s="50"/>
      <c r="O5453" s="50"/>
    </row>
    <row r="5454" spans="1:15">
      <c r="A5454" s="517" t="s">
        <v>8</v>
      </c>
      <c r="B5454" s="518">
        <f>VLOOKUP(A5454,'Materiales '!$C$2:$G$396,3,0)</f>
        <v>0</v>
      </c>
      <c r="C5454" s="88">
        <f>VLOOKUP(A5454,'Materiales '!$C$2:$G$396,3,0)</f>
        <v>0</v>
      </c>
      <c r="D5454" s="89" t="str">
        <f>VLOOKUP(A5454,'Materiales '!$C$2:$G$396,4,0)</f>
        <v>-</v>
      </c>
      <c r="E5454" s="90"/>
      <c r="F5454" s="508" t="e">
        <f t="shared" si="320"/>
        <v>#VALUE!</v>
      </c>
      <c r="G5454" s="519"/>
      <c r="H5454" s="111"/>
      <c r="I5454">
        <f>E5454*G5433</f>
        <v>0</v>
      </c>
      <c r="J5454" s="58"/>
      <c r="K5454" s="50"/>
      <c r="L5454" s="50"/>
      <c r="M5454" s="50"/>
      <c r="N5454" s="50"/>
      <c r="O5454" s="50"/>
    </row>
    <row r="5455" spans="1:15">
      <c r="A5455" s="517" t="s">
        <v>8</v>
      </c>
      <c r="B5455" s="518">
        <f>VLOOKUP(A5455,'Materiales '!$C$2:$G$396,3,0)</f>
        <v>0</v>
      </c>
      <c r="C5455" s="88">
        <f>VLOOKUP(A5455,'Materiales '!$C$2:$G$396,3,0)</f>
        <v>0</v>
      </c>
      <c r="D5455" s="89" t="str">
        <f>VLOOKUP(A5455,'Materiales '!$C$2:$G$396,4,0)</f>
        <v>-</v>
      </c>
      <c r="E5455" s="90"/>
      <c r="F5455" s="508" t="e">
        <f>E5455*D5455</f>
        <v>#VALUE!</v>
      </c>
      <c r="G5455" s="519"/>
      <c r="H5455" s="110"/>
      <c r="I5455">
        <f>E5455*G5433</f>
        <v>0</v>
      </c>
      <c r="J5455" s="58"/>
      <c r="K5455" s="50"/>
      <c r="L5455" s="50"/>
      <c r="M5455" s="50"/>
      <c r="N5455" s="50"/>
      <c r="O5455" s="50"/>
    </row>
    <row r="5456" spans="1:15">
      <c r="A5456" s="520" t="s">
        <v>4098</v>
      </c>
      <c r="B5456" s="521"/>
      <c r="C5456" s="521"/>
      <c r="D5456" s="521"/>
      <c r="E5456" s="521"/>
      <c r="F5456" s="521"/>
      <c r="G5456" s="522"/>
      <c r="H5456" s="106" t="e">
        <f>SUM(F5442:F5455)</f>
        <v>#VALUE!</v>
      </c>
      <c r="J5456" s="58"/>
      <c r="K5456" s="50"/>
      <c r="L5456" s="50"/>
      <c r="M5456" s="50"/>
      <c r="N5456" s="50"/>
      <c r="O5456" s="50"/>
    </row>
    <row r="5457" spans="1:15">
      <c r="A5457" s="523" t="s">
        <v>4220</v>
      </c>
      <c r="B5457" s="524"/>
      <c r="C5457" s="524"/>
      <c r="D5457" s="524"/>
      <c r="E5457" s="525"/>
      <c r="F5457" s="524"/>
      <c r="G5457" s="524"/>
      <c r="H5457" s="526"/>
      <c r="J5457" s="58"/>
      <c r="K5457" s="50"/>
      <c r="L5457" s="50"/>
      <c r="M5457" s="50"/>
      <c r="N5457" s="50"/>
      <c r="O5457" s="50"/>
    </row>
    <row r="5458" spans="1:15">
      <c r="A5458" s="527" t="s">
        <v>7</v>
      </c>
      <c r="B5458" s="528"/>
      <c r="C5458" s="98" t="s">
        <v>4221</v>
      </c>
      <c r="D5458" s="97" t="s">
        <v>4222</v>
      </c>
      <c r="E5458" s="187" t="s">
        <v>4223</v>
      </c>
      <c r="F5458" s="529" t="s">
        <v>4207</v>
      </c>
      <c r="G5458" s="529"/>
      <c r="H5458" s="109"/>
      <c r="K5458" s="50"/>
      <c r="L5458" s="50"/>
      <c r="M5458" s="50"/>
      <c r="N5458" s="50"/>
      <c r="O5458" s="50"/>
    </row>
    <row r="5459" spans="1:15">
      <c r="A5459" s="506" t="s">
        <v>3928</v>
      </c>
      <c r="B5459" s="507"/>
      <c r="C5459" s="213">
        <v>1</v>
      </c>
      <c r="D5459" s="92">
        <v>0.03</v>
      </c>
      <c r="E5459" s="93" t="str">
        <f>VLOOKUP(A5459,'Equip, Herr y Transp'!$B$2:$E$217,3,0)</f>
        <v>TR</v>
      </c>
      <c r="F5459" s="530" t="e">
        <f>E5459*D5459*C5459</f>
        <v>#VALUE!</v>
      </c>
      <c r="G5459" s="531"/>
      <c r="H5459" s="107"/>
      <c r="M5459" s="50"/>
    </row>
    <row r="5460" spans="1:15">
      <c r="A5460" s="532" t="s">
        <v>4205</v>
      </c>
      <c r="B5460" s="533"/>
      <c r="C5460" s="533"/>
      <c r="D5460" s="533"/>
      <c r="E5460" s="533"/>
      <c r="F5460" s="533"/>
      <c r="G5460" s="533"/>
      <c r="H5460" s="95" t="e">
        <f>F5459</f>
        <v>#VALUE!</v>
      </c>
    </row>
    <row r="5461" spans="1:15">
      <c r="A5461" s="523" t="s">
        <v>4224</v>
      </c>
      <c r="B5461" s="524"/>
      <c r="C5461" s="524"/>
      <c r="D5461" s="524"/>
      <c r="E5461" s="524"/>
      <c r="F5461" s="524"/>
      <c r="G5461" s="524"/>
      <c r="H5461" s="526"/>
    </row>
    <row r="5462" spans="1:15">
      <c r="A5462" s="527" t="s">
        <v>7</v>
      </c>
      <c r="B5462" s="528"/>
      <c r="C5462" s="96" t="s">
        <v>1</v>
      </c>
      <c r="D5462" s="97" t="s">
        <v>4225</v>
      </c>
      <c r="E5462" s="98" t="s">
        <v>4204</v>
      </c>
      <c r="F5462" s="527" t="s">
        <v>5</v>
      </c>
      <c r="G5462" s="534"/>
      <c r="H5462" s="109"/>
    </row>
    <row r="5463" spans="1:15">
      <c r="A5463" s="506" t="s">
        <v>4191</v>
      </c>
      <c r="B5463" s="507"/>
      <c r="C5463" s="91">
        <v>1</v>
      </c>
      <c r="D5463" s="94">
        <f>VLOOKUP(A5463,'Mano Obra'!$B$2:$T$117,19,0)</f>
        <v>152456</v>
      </c>
      <c r="E5463" s="218">
        <f>H5426</f>
        <v>0.14580000000000001</v>
      </c>
      <c r="F5463" s="508">
        <f>E5463*D5463*C5463</f>
        <v>22228.084800000001</v>
      </c>
      <c r="G5463" s="509"/>
      <c r="H5463" s="111"/>
      <c r="I5463" s="59"/>
      <c r="J5463" s="117">
        <f>((('Mano Obra'!$M$4/30)*F5463)/D5463)*G5433</f>
        <v>0</v>
      </c>
    </row>
    <row r="5464" spans="1:15">
      <c r="A5464" s="510" t="s">
        <v>4192</v>
      </c>
      <c r="B5464" s="511">
        <f>VLOOKUP(A5464,'Mano Obra'!$B$3:$D$290,2,0)</f>
        <v>1900000</v>
      </c>
      <c r="C5464" s="91">
        <v>1</v>
      </c>
      <c r="D5464" s="94">
        <f>VLOOKUP(A5464,'Mano Obra'!$B$2:$T$117,19,0)</f>
        <v>110488</v>
      </c>
      <c r="E5464" s="218">
        <f>H5426</f>
        <v>0.14580000000000001</v>
      </c>
      <c r="F5464" s="508">
        <f t="shared" ref="F5464:F5465" si="321">E5464*D5464*C5464</f>
        <v>16109.150400000002</v>
      </c>
      <c r="G5464" s="509"/>
      <c r="H5464" s="111"/>
      <c r="J5464" s="117">
        <f>((('Mano Obra'!$M$5/30)*F5464)/D5464)*G5433</f>
        <v>0</v>
      </c>
    </row>
    <row r="5465" spans="1:15">
      <c r="A5465" s="510" t="s">
        <v>4181</v>
      </c>
      <c r="B5465" s="511">
        <f>VLOOKUP(A5465,'Mano Obra'!$B$3:$D$290,2,0)</f>
        <v>1000000</v>
      </c>
      <c r="C5465" s="91">
        <v>1</v>
      </c>
      <c r="D5465" s="94">
        <f>VLOOKUP(A5465,'Mano Obra'!$B$2:$T$117,19,0)</f>
        <v>67424</v>
      </c>
      <c r="E5465" s="218">
        <f>H5426</f>
        <v>0.14580000000000001</v>
      </c>
      <c r="F5465" s="508">
        <f t="shared" si="321"/>
        <v>9830.4192000000003</v>
      </c>
      <c r="G5465" s="509"/>
      <c r="H5465" s="110"/>
      <c r="J5465" s="117">
        <f>((('Mano Obra'!$M$6/30)*F5465)/D5465)*G5433</f>
        <v>0</v>
      </c>
    </row>
    <row r="5466" spans="1:15">
      <c r="A5466" s="512" t="s">
        <v>4100</v>
      </c>
      <c r="B5466" s="512"/>
      <c r="C5466" s="512"/>
      <c r="D5466" s="512"/>
      <c r="E5466" s="512"/>
      <c r="F5466" s="512"/>
      <c r="G5466" s="512"/>
      <c r="H5466" s="95">
        <f>SUM(F5463:F5465)</f>
        <v>48167.654399999999</v>
      </c>
      <c r="J5466" s="117"/>
    </row>
    <row r="5467" spans="1:15">
      <c r="A5467" s="208" t="s">
        <v>4226</v>
      </c>
      <c r="B5467" s="186"/>
      <c r="C5467" s="186"/>
      <c r="D5467" s="183"/>
      <c r="E5467" s="184"/>
      <c r="F5467" s="185"/>
      <c r="G5467" s="184"/>
      <c r="H5467" s="193"/>
    </row>
    <row r="5468" spans="1:15">
      <c r="A5468" s="513" t="s">
        <v>4213</v>
      </c>
      <c r="B5468" s="514"/>
      <c r="C5468" s="514"/>
      <c r="D5468" s="514"/>
      <c r="E5468" s="181"/>
      <c r="F5468" s="182" t="s">
        <v>4227</v>
      </c>
      <c r="G5468" s="181" t="s">
        <v>4228</v>
      </c>
      <c r="H5468" s="194"/>
    </row>
    <row r="5469" spans="1:15">
      <c r="A5469" s="204" t="s">
        <v>4096</v>
      </c>
      <c r="B5469" s="62"/>
      <c r="C5469" s="62"/>
      <c r="D5469" s="63"/>
      <c r="E5469" s="68"/>
      <c r="F5469" s="69">
        <v>0</v>
      </c>
      <c r="G5469" s="70" t="e">
        <f>F5469*H5434</f>
        <v>#VALUE!</v>
      </c>
      <c r="H5469" s="193"/>
    </row>
    <row r="5470" spans="1:15">
      <c r="A5470" s="205" t="s">
        <v>4229</v>
      </c>
      <c r="B5470" s="71"/>
      <c r="C5470" s="71"/>
      <c r="D5470" s="72"/>
      <c r="E5470" s="68"/>
      <c r="F5470" s="69">
        <v>0</v>
      </c>
      <c r="G5470" s="70" t="e">
        <f>F5470*H5434</f>
        <v>#VALUE!</v>
      </c>
      <c r="H5470" s="193"/>
    </row>
    <row r="5471" spans="1:15">
      <c r="A5471" s="205" t="s">
        <v>4</v>
      </c>
      <c r="B5471" s="71"/>
      <c r="C5471" s="71"/>
      <c r="D5471" s="72"/>
      <c r="E5471" s="68"/>
      <c r="F5471" s="69">
        <v>0</v>
      </c>
      <c r="G5471" s="70" t="e">
        <f>F5471*H5434</f>
        <v>#VALUE!</v>
      </c>
      <c r="H5471" s="193"/>
    </row>
    <row r="5472" spans="1:15">
      <c r="A5472" s="206"/>
      <c r="B5472" s="73"/>
      <c r="C5472" s="65"/>
      <c r="D5472" s="74"/>
      <c r="E5472" s="75"/>
      <c r="F5472" s="76"/>
      <c r="G5472" s="77"/>
      <c r="H5472" s="195"/>
    </row>
    <row r="5473" spans="1:14">
      <c r="A5473" s="207"/>
      <c r="B5473" s="73"/>
      <c r="C5473" s="73"/>
      <c r="D5473" s="74"/>
      <c r="E5473" s="78"/>
      <c r="F5473" s="515" t="s">
        <v>4230</v>
      </c>
      <c r="G5473" s="516"/>
      <c r="H5473" s="214" t="e">
        <f>H5434+G5469+G5470+G5471</f>
        <v>#VALUE!</v>
      </c>
    </row>
    <row r="5474" spans="1:14">
      <c r="A5474" s="73"/>
      <c r="B5474" s="73"/>
      <c r="C5474" s="73"/>
      <c r="D5474" s="74"/>
      <c r="E5474" s="360"/>
      <c r="F5474" s="361"/>
      <c r="G5474" s="361"/>
      <c r="H5474" s="362"/>
    </row>
    <row r="5475" spans="1:14">
      <c r="A5475" s="73"/>
      <c r="B5475" s="73"/>
      <c r="C5475" s="73"/>
      <c r="D5475" s="74"/>
      <c r="E5475" s="360"/>
      <c r="F5475" s="361"/>
      <c r="G5475" s="361"/>
      <c r="H5475" s="362"/>
    </row>
    <row r="5476" spans="1:14">
      <c r="A5476" s="80"/>
      <c r="B5476" s="80"/>
      <c r="C5476" s="80"/>
      <c r="D5476" s="80"/>
      <c r="E5476" s="80"/>
      <c r="F5476" s="80"/>
      <c r="G5476" s="80"/>
      <c r="H5476" s="353"/>
    </row>
    <row r="5477" spans="1:14">
      <c r="A5477" s="537" t="s">
        <v>4214</v>
      </c>
      <c r="B5477" s="538"/>
      <c r="C5477" s="538"/>
      <c r="D5477" s="538"/>
      <c r="E5477" s="538"/>
      <c r="F5477" s="538"/>
      <c r="G5477" s="538"/>
      <c r="H5477" s="539"/>
    </row>
    <row r="5478" spans="1:14">
      <c r="A5478" s="81"/>
      <c r="B5478" s="82"/>
      <c r="C5478" s="82"/>
      <c r="D5478" s="82"/>
      <c r="E5478" s="82"/>
      <c r="F5478" s="83"/>
      <c r="G5478" s="84"/>
      <c r="H5478" s="352">
        <f>ROUND((210/60)/8,4)</f>
        <v>0.4375</v>
      </c>
      <c r="I5478" s="105"/>
    </row>
    <row r="5479" spans="1:14">
      <c r="A5479" s="540" t="s">
        <v>4209</v>
      </c>
      <c r="B5479" s="542" t="str">
        <f>COSTOS!$C$14</f>
        <v>MODERNIZACION A TECNOLOGIA LED</v>
      </c>
      <c r="C5479" s="542"/>
      <c r="D5479" s="542"/>
      <c r="E5479" s="542"/>
      <c r="F5479" s="542"/>
      <c r="G5479" s="542"/>
      <c r="H5479" s="543" t="s">
        <v>4210</v>
      </c>
    </row>
    <row r="5480" spans="1:14">
      <c r="A5480" s="541"/>
      <c r="B5480" s="542"/>
      <c r="C5480" s="542"/>
      <c r="D5480" s="542"/>
      <c r="E5480" s="542"/>
      <c r="F5480" s="542"/>
      <c r="G5480" s="542"/>
      <c r="H5480" s="543"/>
    </row>
    <row r="5481" spans="1:14">
      <c r="A5481" s="541"/>
      <c r="B5481" s="542"/>
      <c r="C5481" s="542"/>
      <c r="D5481" s="542"/>
      <c r="E5481" s="542"/>
      <c r="F5481" s="542"/>
      <c r="G5481" s="542"/>
      <c r="H5481" s="543"/>
    </row>
    <row r="5482" spans="1:14" ht="15" customHeight="1">
      <c r="A5482" s="541"/>
      <c r="B5482" s="542"/>
      <c r="C5482" s="542"/>
      <c r="D5482" s="542"/>
      <c r="E5482" s="542"/>
      <c r="F5482" s="542"/>
      <c r="G5482" s="542"/>
      <c r="H5482" s="197">
        <f ca="1">TODAY()</f>
        <v>44889</v>
      </c>
      <c r="K5482" t="s">
        <v>4380</v>
      </c>
      <c r="L5482" t="s">
        <v>4381</v>
      </c>
      <c r="M5482" t="s">
        <v>4382</v>
      </c>
      <c r="N5482" t="s">
        <v>4383</v>
      </c>
    </row>
    <row r="5483" spans="1:14" ht="60.75" customHeight="1">
      <c r="A5483" s="209" t="s">
        <v>4211</v>
      </c>
      <c r="B5483" s="544" t="str">
        <f>COSTOS!$D$16</f>
        <v>Luminarias</v>
      </c>
      <c r="C5483" s="544"/>
      <c r="D5483" s="544"/>
      <c r="E5483" s="544"/>
      <c r="F5483" s="544"/>
      <c r="G5483" s="60" t="s">
        <v>4212</v>
      </c>
      <c r="H5483" s="363">
        <v>2.2599999999999998</v>
      </c>
      <c r="K5483" s="55" t="e">
        <f>H5508</f>
        <v>#VALUE!</v>
      </c>
      <c r="L5483" s="55">
        <f>H5518</f>
        <v>144536</v>
      </c>
      <c r="M5483" s="55" t="e">
        <f>H5491</f>
        <v>#VALUE!</v>
      </c>
      <c r="N5483" s="55" t="e">
        <f>H5512</f>
        <v>#VALUE!</v>
      </c>
    </row>
    <row r="5484" spans="1:14" ht="43.2" customHeight="1">
      <c r="A5484" s="210" t="s">
        <v>4213</v>
      </c>
      <c r="B5484" s="545" t="str">
        <f>VLOOKUP(H5483,COSTOS!C:M,2,0)</f>
        <v>Torre metalica 20 metros</v>
      </c>
      <c r="C5484" s="546"/>
      <c r="D5484" s="546"/>
      <c r="E5484" s="547"/>
      <c r="F5484" s="61" t="s">
        <v>0</v>
      </c>
      <c r="G5484" s="328" t="str">
        <f>VLOOKUP(H5483,COSTOS!C:M,8,0)</f>
        <v>Und</v>
      </c>
      <c r="H5484" s="248"/>
      <c r="I5484" s="278"/>
      <c r="J5484" s="280"/>
      <c r="K5484" s="280"/>
      <c r="L5484" s="280"/>
    </row>
    <row r="5485" spans="1:14">
      <c r="A5485" s="211"/>
      <c r="B5485" s="102"/>
      <c r="C5485" s="102"/>
      <c r="D5485" s="102"/>
      <c r="E5485" s="103"/>
      <c r="F5485" s="104" t="s">
        <v>1</v>
      </c>
      <c r="G5485" s="328">
        <f>VLOOKUP(H5483,COSTOS!C:M,9,0)</f>
        <v>0</v>
      </c>
      <c r="H5485" s="329"/>
      <c r="I5485" s="279"/>
    </row>
    <row r="5486" spans="1:14">
      <c r="A5486" s="212" t="s">
        <v>4215</v>
      </c>
      <c r="B5486" s="65"/>
      <c r="C5486" s="65"/>
      <c r="D5486" s="66"/>
      <c r="E5486" s="190"/>
      <c r="F5486" s="191"/>
      <c r="G5486" s="192" t="s">
        <v>4216</v>
      </c>
      <c r="H5486" s="198" t="e">
        <f>H5491+H5508+H5512+H5518</f>
        <v>#VALUE!</v>
      </c>
    </row>
    <row r="5487" spans="1:14" ht="41.4">
      <c r="A5487" s="548" t="s">
        <v>4213</v>
      </c>
      <c r="B5487" s="548"/>
      <c r="C5487" s="548"/>
      <c r="D5487" s="67" t="s">
        <v>0</v>
      </c>
      <c r="E5487" s="188" t="s">
        <v>4217</v>
      </c>
      <c r="F5487" s="189" t="s">
        <v>4204</v>
      </c>
      <c r="G5487" s="64" t="s">
        <v>2</v>
      </c>
      <c r="H5487" s="199" t="s">
        <v>4218</v>
      </c>
      <c r="K5487" s="281"/>
    </row>
    <row r="5488" spans="1:14">
      <c r="A5488" s="517" t="s">
        <v>3946</v>
      </c>
      <c r="B5488" s="549">
        <f>VLOOKUP(A5488,'Equip, Herr y Transp'!$B$2:$E$738,2,0)</f>
        <v>2</v>
      </c>
      <c r="C5488" s="549"/>
      <c r="D5488" s="85">
        <f>VLOOKUP(A5488,'Equip, Herr y Transp'!$B$2:$E$217,2,0)</f>
        <v>2</v>
      </c>
      <c r="E5488" s="85" t="str">
        <f>VLOOKUP(A5488,'Equip, Herr y Transp'!$B$2:$E$217,3,0)</f>
        <v>EQU</v>
      </c>
      <c r="F5488" s="86">
        <f>H5478</f>
        <v>0.4375</v>
      </c>
      <c r="G5488" s="112" t="e">
        <f>F5488*E5488</f>
        <v>#VALUE!</v>
      </c>
      <c r="H5488" s="108"/>
    </row>
    <row r="5489" spans="1:15">
      <c r="A5489" s="517" t="s">
        <v>3894</v>
      </c>
      <c r="B5489" s="549">
        <f>VLOOKUP(A5489,'Equip, Herr y Transp'!$B$2:$E$738,2,0)</f>
        <v>4</v>
      </c>
      <c r="C5489" s="549"/>
      <c r="D5489" s="85">
        <f>VLOOKUP(A5489,'Equip, Herr y Transp'!$B$2:$E$217,2,0)</f>
        <v>4</v>
      </c>
      <c r="E5489" s="85" t="str">
        <f>VLOOKUP(A5489,'Equip, Herr y Transp'!$B$2:$E$217,3,0)</f>
        <v>TR</v>
      </c>
      <c r="F5489" s="86">
        <f>H5478</f>
        <v>0.4375</v>
      </c>
      <c r="G5489" s="112" t="e">
        <f>F5489*E5489</f>
        <v>#VALUE!</v>
      </c>
      <c r="H5489" s="107"/>
    </row>
    <row r="5490" spans="1:15">
      <c r="A5490" s="517" t="s">
        <v>3894</v>
      </c>
      <c r="B5490" s="549">
        <f>VLOOKUP(A5490,'Equip, Herr y Transp'!$B$2:$E$738,2,0)</f>
        <v>4</v>
      </c>
      <c r="C5490" s="549"/>
      <c r="D5490" s="85">
        <f>VLOOKUP(A5490,'Equip, Herr y Transp'!$B$2:$E$217,2,0)</f>
        <v>4</v>
      </c>
      <c r="E5490" s="85" t="str">
        <f>VLOOKUP(A5490,'Equip, Herr y Transp'!$B$2:$E$217,3,0)</f>
        <v>TR</v>
      </c>
      <c r="F5490" s="86">
        <f>F5489</f>
        <v>0.4375</v>
      </c>
      <c r="G5490" s="112" t="e">
        <f>F5490*E5490</f>
        <v>#VALUE!</v>
      </c>
      <c r="H5490" s="107"/>
    </row>
    <row r="5491" spans="1:15">
      <c r="A5491" s="520" t="s">
        <v>4099</v>
      </c>
      <c r="B5491" s="521"/>
      <c r="C5491" s="521"/>
      <c r="D5491" s="521"/>
      <c r="E5491" s="521"/>
      <c r="F5491" s="521"/>
      <c r="G5491" s="521"/>
      <c r="H5491" s="87" t="e">
        <f>SUM(G5488:G5490)</f>
        <v>#VALUE!</v>
      </c>
    </row>
    <row r="5492" spans="1:15">
      <c r="A5492" s="550" t="s">
        <v>4219</v>
      </c>
      <c r="B5492" s="551"/>
      <c r="C5492" s="551"/>
      <c r="D5492" s="551"/>
      <c r="E5492" s="551"/>
      <c r="F5492" s="551"/>
      <c r="G5492" s="551"/>
      <c r="H5492" s="552"/>
      <c r="K5492" s="50"/>
      <c r="L5492" s="50"/>
      <c r="M5492" s="50"/>
      <c r="N5492" s="50"/>
      <c r="O5492" s="50"/>
    </row>
    <row r="5493" spans="1:15" ht="30" customHeight="1">
      <c r="A5493" s="553" t="s">
        <v>7</v>
      </c>
      <c r="B5493" s="554"/>
      <c r="C5493" s="99" t="s">
        <v>0</v>
      </c>
      <c r="D5493" s="100" t="s">
        <v>4097</v>
      </c>
      <c r="E5493" s="101" t="s">
        <v>1</v>
      </c>
      <c r="F5493" s="555" t="s">
        <v>4207</v>
      </c>
      <c r="G5493" s="555"/>
      <c r="H5493" s="196"/>
      <c r="K5493" s="50"/>
      <c r="L5493" s="50"/>
      <c r="M5493" s="50"/>
      <c r="N5493" s="50"/>
      <c r="O5493" s="50"/>
    </row>
    <row r="5494" spans="1:15">
      <c r="A5494" s="535" t="s">
        <v>4793</v>
      </c>
      <c r="B5494" s="536"/>
      <c r="C5494" s="88">
        <f>VLOOKUP(A5494,'Materiales '!$C$2:$G$396,3,0)</f>
        <v>4</v>
      </c>
      <c r="D5494" s="89" t="str">
        <f>VLOOKUP(A5494,'Materiales '!$C$2:$G$396,4,0)</f>
        <v>Und</v>
      </c>
      <c r="E5494" s="90">
        <v>1</v>
      </c>
      <c r="F5494" s="508" t="e">
        <f>E5494*D5494</f>
        <v>#VALUE!</v>
      </c>
      <c r="G5494" s="519"/>
      <c r="H5494" s="111"/>
      <c r="I5494">
        <f>E5494*G5485</f>
        <v>0</v>
      </c>
      <c r="J5494" s="57"/>
      <c r="K5494" s="50"/>
      <c r="L5494" s="50"/>
      <c r="M5494" s="50"/>
      <c r="N5494" s="50"/>
      <c r="O5494" s="50"/>
    </row>
    <row r="5495" spans="1:15">
      <c r="A5495" s="535" t="s">
        <v>4617</v>
      </c>
      <c r="B5495" s="536"/>
      <c r="C5495" s="88">
        <f>VLOOKUP(A5495,'Materiales '!$C$2:$G$396,3,0)</f>
        <v>3</v>
      </c>
      <c r="D5495" s="89" t="str">
        <f>VLOOKUP(A5495,'Materiales '!$C$2:$G$396,4,0)</f>
        <v>Rollo</v>
      </c>
      <c r="E5495" s="90">
        <v>4</v>
      </c>
      <c r="F5495" s="508" t="e">
        <f t="shared" ref="F5495:F5501" si="322">E5495*D5495</f>
        <v>#VALUE!</v>
      </c>
      <c r="G5495" s="519"/>
      <c r="H5495" s="111"/>
      <c r="I5495">
        <f>E5495*G5485</f>
        <v>0</v>
      </c>
      <c r="J5495" s="57"/>
      <c r="K5495" s="50"/>
      <c r="L5495" s="50"/>
      <c r="M5495" s="50"/>
      <c r="N5495" s="50"/>
      <c r="O5495" s="50"/>
    </row>
    <row r="5496" spans="1:15">
      <c r="A5496" s="517" t="s">
        <v>8</v>
      </c>
      <c r="B5496" s="518">
        <f>VLOOKUP(A5496,'Materiales '!$C$2:$G$396,3,0)</f>
        <v>0</v>
      </c>
      <c r="C5496" s="88">
        <f>VLOOKUP(A5496,'Materiales '!$C$2:$G$396,3,0)</f>
        <v>0</v>
      </c>
      <c r="D5496" s="89" t="str">
        <f>VLOOKUP(A5496,'Materiales '!$C$2:$G$396,4,0)</f>
        <v>-</v>
      </c>
      <c r="E5496" s="90">
        <v>6</v>
      </c>
      <c r="F5496" s="508" t="e">
        <f t="shared" si="322"/>
        <v>#VALUE!</v>
      </c>
      <c r="G5496" s="519"/>
      <c r="H5496" s="111"/>
      <c r="I5496">
        <f>E5496*G5485</f>
        <v>0</v>
      </c>
      <c r="J5496" s="58"/>
      <c r="K5496" s="50"/>
      <c r="L5496" s="50"/>
      <c r="M5496" s="50"/>
      <c r="N5496" s="50"/>
      <c r="O5496" s="50"/>
    </row>
    <row r="5497" spans="1:15">
      <c r="A5497" s="517" t="s">
        <v>8</v>
      </c>
      <c r="B5497" s="518">
        <f>VLOOKUP(A5497,'Materiales '!$C$2:$G$396,3,0)</f>
        <v>0</v>
      </c>
      <c r="C5497" s="88">
        <f>VLOOKUP(A5497,'Materiales '!$C$2:$G$396,3,0)</f>
        <v>0</v>
      </c>
      <c r="D5497" s="89" t="str">
        <f>VLOOKUP(A5497,'Materiales '!$C$2:$G$396,4,0)</f>
        <v>-</v>
      </c>
      <c r="E5497" s="90">
        <v>3</v>
      </c>
      <c r="F5497" s="508" t="e">
        <f t="shared" si="322"/>
        <v>#VALUE!</v>
      </c>
      <c r="G5497" s="519"/>
      <c r="H5497" s="111"/>
      <c r="I5497">
        <f>E5497*G5485</f>
        <v>0</v>
      </c>
      <c r="J5497" s="58"/>
      <c r="K5497" s="50"/>
      <c r="L5497" s="50"/>
      <c r="M5497" s="50"/>
      <c r="N5497" s="50"/>
      <c r="O5497" s="50"/>
    </row>
    <row r="5498" spans="1:15">
      <c r="A5498" s="517" t="s">
        <v>8</v>
      </c>
      <c r="B5498" s="518">
        <f>VLOOKUP(A5498,'Materiales '!$C$2:$G$396,3,0)</f>
        <v>0</v>
      </c>
      <c r="C5498" s="88">
        <f>VLOOKUP(A5498,'Materiales '!$C$2:$G$396,3,0)</f>
        <v>0</v>
      </c>
      <c r="D5498" s="89" t="str">
        <f>VLOOKUP(A5498,'Materiales '!$C$2:$G$396,4,0)</f>
        <v>-</v>
      </c>
      <c r="E5498" s="90">
        <v>2</v>
      </c>
      <c r="F5498" s="508" t="e">
        <f t="shared" si="322"/>
        <v>#VALUE!</v>
      </c>
      <c r="G5498" s="519"/>
      <c r="H5498" s="111"/>
      <c r="I5498">
        <f>E5498*G5485</f>
        <v>0</v>
      </c>
      <c r="J5498" s="58"/>
      <c r="K5498" s="50"/>
      <c r="L5498" s="50"/>
      <c r="M5498" s="50"/>
      <c r="N5498" s="50"/>
      <c r="O5498" s="50"/>
    </row>
    <row r="5499" spans="1:15">
      <c r="A5499" s="517" t="s">
        <v>8</v>
      </c>
      <c r="B5499" s="518">
        <f>VLOOKUP(A5499,'Materiales '!$C$2:$G$396,3,0)</f>
        <v>0</v>
      </c>
      <c r="C5499" s="88">
        <f>VLOOKUP(A5499,'Materiales '!$C$2:$G$396,3,0)</f>
        <v>0</v>
      </c>
      <c r="D5499" s="89" t="str">
        <f>VLOOKUP(A5499,'Materiales '!$C$2:$G$396,4,0)</f>
        <v>-</v>
      </c>
      <c r="E5499" s="90">
        <v>8</v>
      </c>
      <c r="F5499" s="508" t="e">
        <f t="shared" si="322"/>
        <v>#VALUE!</v>
      </c>
      <c r="G5499" s="519"/>
      <c r="H5499" s="111"/>
      <c r="I5499">
        <f>E5499*G5485</f>
        <v>0</v>
      </c>
      <c r="J5499" s="58"/>
      <c r="K5499" s="50"/>
      <c r="L5499" s="50"/>
      <c r="M5499" s="50"/>
      <c r="N5499" s="50"/>
      <c r="O5499" s="50"/>
    </row>
    <row r="5500" spans="1:15">
      <c r="A5500" s="517" t="s">
        <v>8</v>
      </c>
      <c r="B5500" s="518">
        <f>VLOOKUP(A5500,'Materiales '!$C$2:$G$396,3,0)</f>
        <v>0</v>
      </c>
      <c r="C5500" s="88">
        <f>VLOOKUP(A5500,'Materiales '!$C$2:$G$396,3,0)</f>
        <v>0</v>
      </c>
      <c r="D5500" s="89" t="str">
        <f>VLOOKUP(A5500,'Materiales '!$C$2:$G$396,4,0)</f>
        <v>-</v>
      </c>
      <c r="E5500" s="90">
        <v>3</v>
      </c>
      <c r="F5500" s="508" t="e">
        <f t="shared" si="322"/>
        <v>#VALUE!</v>
      </c>
      <c r="G5500" s="519"/>
      <c r="H5500" s="111"/>
      <c r="I5500">
        <f>E5500*G5485</f>
        <v>0</v>
      </c>
      <c r="J5500" s="58"/>
      <c r="K5500" s="50"/>
      <c r="L5500" s="50"/>
      <c r="M5500" s="50"/>
      <c r="N5500" s="50"/>
      <c r="O5500" s="50"/>
    </row>
    <row r="5501" spans="1:15" ht="21.75" customHeight="1">
      <c r="A5501" s="517" t="s">
        <v>8</v>
      </c>
      <c r="B5501" s="518">
        <f>VLOOKUP(A5501,'Materiales '!$C$2:$G$396,3,0)</f>
        <v>0</v>
      </c>
      <c r="C5501" s="88">
        <f>VLOOKUP(A5501,'Materiales '!$C$2:$G$396,3,0)</f>
        <v>0</v>
      </c>
      <c r="D5501" s="89" t="str">
        <f>VLOOKUP(A5501,'Materiales '!$C$2:$G$396,4,0)</f>
        <v>-</v>
      </c>
      <c r="E5501" s="90">
        <v>0.5</v>
      </c>
      <c r="F5501" s="508" t="e">
        <f t="shared" si="322"/>
        <v>#VALUE!</v>
      </c>
      <c r="G5501" s="519"/>
      <c r="H5501" s="111"/>
      <c r="I5501">
        <f>E5501*G5485</f>
        <v>0</v>
      </c>
      <c r="J5501" s="58"/>
      <c r="K5501" s="50"/>
      <c r="L5501" s="50"/>
      <c r="M5501" s="50"/>
      <c r="N5501" s="50"/>
      <c r="O5501" s="50"/>
    </row>
    <row r="5502" spans="1:15">
      <c r="A5502" s="517" t="s">
        <v>8</v>
      </c>
      <c r="B5502" s="518">
        <f>VLOOKUP(A5502,'Materiales '!$C$2:$G$396,3,0)</f>
        <v>0</v>
      </c>
      <c r="C5502" s="88">
        <f>VLOOKUP(A5502,'Materiales '!$C$2:$G$396,3,0)</f>
        <v>0</v>
      </c>
      <c r="D5502" s="89" t="str">
        <f>VLOOKUP(A5502,'Materiales '!$C$2:$G$396,4,0)</f>
        <v>-</v>
      </c>
      <c r="E5502" s="90"/>
      <c r="F5502" s="508" t="e">
        <f>E5502*D5502</f>
        <v>#VALUE!</v>
      </c>
      <c r="G5502" s="519"/>
      <c r="H5502" s="110"/>
      <c r="I5502">
        <f>E5502*G5485</f>
        <v>0</v>
      </c>
      <c r="J5502" s="58"/>
      <c r="K5502" s="50"/>
      <c r="L5502" s="50"/>
      <c r="M5502" s="50"/>
      <c r="N5502" s="50"/>
      <c r="O5502" s="50"/>
    </row>
    <row r="5503" spans="1:15">
      <c r="A5503" s="517" t="s">
        <v>8</v>
      </c>
      <c r="B5503" s="518">
        <f>VLOOKUP(A5503,'Materiales '!$C$2:$G$396,3,0)</f>
        <v>0</v>
      </c>
      <c r="C5503" s="88">
        <f>VLOOKUP(A5503,'Materiales '!$C$2:$G$396,3,0)</f>
        <v>0</v>
      </c>
      <c r="D5503" s="89" t="str">
        <f>VLOOKUP(A5503,'Materiales '!$C$2:$G$396,4,0)</f>
        <v>-</v>
      </c>
      <c r="E5503" s="90"/>
      <c r="F5503" s="508" t="e">
        <f t="shared" ref="F5503:F5506" si="323">E5503*D5503</f>
        <v>#VALUE!</v>
      </c>
      <c r="G5503" s="519"/>
      <c r="H5503" s="111"/>
      <c r="I5503">
        <f>E5503*G5485</f>
        <v>0</v>
      </c>
      <c r="J5503" s="58"/>
      <c r="K5503" s="50"/>
      <c r="L5503" s="50"/>
      <c r="M5503" s="50"/>
      <c r="N5503" s="50"/>
      <c r="O5503" s="50"/>
    </row>
    <row r="5504" spans="1:15">
      <c r="A5504" s="517" t="s">
        <v>8</v>
      </c>
      <c r="B5504" s="518">
        <f>VLOOKUP(A5504,'Materiales '!$C$2:$G$396,3,0)</f>
        <v>0</v>
      </c>
      <c r="C5504" s="88">
        <f>VLOOKUP(A5504,'Materiales '!$C$2:$G$396,3,0)</f>
        <v>0</v>
      </c>
      <c r="D5504" s="89" t="str">
        <f>VLOOKUP(A5504,'Materiales '!$C$2:$G$396,4,0)</f>
        <v>-</v>
      </c>
      <c r="E5504" s="90"/>
      <c r="F5504" s="508" t="e">
        <f t="shared" si="323"/>
        <v>#VALUE!</v>
      </c>
      <c r="G5504" s="519"/>
      <c r="H5504" s="111"/>
      <c r="I5504">
        <f>E5504*G5485</f>
        <v>0</v>
      </c>
      <c r="J5504" s="58"/>
      <c r="K5504" s="50"/>
      <c r="L5504" s="50"/>
      <c r="M5504" s="50"/>
      <c r="N5504" s="50"/>
      <c r="O5504" s="50"/>
    </row>
    <row r="5505" spans="1:15">
      <c r="A5505" s="517" t="s">
        <v>8</v>
      </c>
      <c r="B5505" s="518">
        <f>VLOOKUP(A5505,'Materiales '!$C$2:$G$396,3,0)</f>
        <v>0</v>
      </c>
      <c r="C5505" s="88">
        <f>VLOOKUP(A5505,'Materiales '!$C$2:$G$396,3,0)</f>
        <v>0</v>
      </c>
      <c r="D5505" s="89" t="str">
        <f>VLOOKUP(A5505,'Materiales '!$C$2:$G$396,4,0)</f>
        <v>-</v>
      </c>
      <c r="E5505" s="90"/>
      <c r="F5505" s="508" t="e">
        <f t="shared" si="323"/>
        <v>#VALUE!</v>
      </c>
      <c r="G5505" s="519"/>
      <c r="H5505" s="111"/>
      <c r="I5505">
        <f>E5505*G5485</f>
        <v>0</v>
      </c>
      <c r="J5505" s="58"/>
      <c r="K5505" s="50"/>
      <c r="L5505" s="50"/>
      <c r="M5505" s="50"/>
      <c r="N5505" s="50"/>
      <c r="O5505" s="50"/>
    </row>
    <row r="5506" spans="1:15">
      <c r="A5506" s="517" t="s">
        <v>8</v>
      </c>
      <c r="B5506" s="518">
        <f>VLOOKUP(A5506,'Materiales '!$C$2:$G$396,3,0)</f>
        <v>0</v>
      </c>
      <c r="C5506" s="88">
        <f>VLOOKUP(A5506,'Materiales '!$C$2:$G$396,3,0)</f>
        <v>0</v>
      </c>
      <c r="D5506" s="89" t="str">
        <f>VLOOKUP(A5506,'Materiales '!$C$2:$G$396,4,0)</f>
        <v>-</v>
      </c>
      <c r="E5506" s="90"/>
      <c r="F5506" s="508" t="e">
        <f t="shared" si="323"/>
        <v>#VALUE!</v>
      </c>
      <c r="G5506" s="519"/>
      <c r="H5506" s="111"/>
      <c r="I5506">
        <f>E5506*G5485</f>
        <v>0</v>
      </c>
      <c r="J5506" s="58"/>
      <c r="K5506" s="50"/>
      <c r="L5506" s="50"/>
      <c r="M5506" s="50"/>
      <c r="N5506" s="50"/>
      <c r="O5506" s="50"/>
    </row>
    <row r="5507" spans="1:15">
      <c r="A5507" s="517" t="s">
        <v>8</v>
      </c>
      <c r="B5507" s="518">
        <f>VLOOKUP(A5507,'Materiales '!$C$2:$G$396,3,0)</f>
        <v>0</v>
      </c>
      <c r="C5507" s="88">
        <f>VLOOKUP(A5507,'Materiales '!$C$2:$G$396,3,0)</f>
        <v>0</v>
      </c>
      <c r="D5507" s="89" t="str">
        <f>VLOOKUP(A5507,'Materiales '!$C$2:$G$396,4,0)</f>
        <v>-</v>
      </c>
      <c r="E5507" s="90"/>
      <c r="F5507" s="508" t="e">
        <f>E5507*D5507</f>
        <v>#VALUE!</v>
      </c>
      <c r="G5507" s="519"/>
      <c r="H5507" s="110"/>
      <c r="I5507">
        <f>E5507*G5485</f>
        <v>0</v>
      </c>
      <c r="J5507" s="58"/>
      <c r="K5507" s="50"/>
      <c r="L5507" s="50"/>
      <c r="M5507" s="50"/>
      <c r="N5507" s="50"/>
      <c r="O5507" s="50"/>
    </row>
    <row r="5508" spans="1:15">
      <c r="A5508" s="520" t="s">
        <v>4098</v>
      </c>
      <c r="B5508" s="521"/>
      <c r="C5508" s="521"/>
      <c r="D5508" s="521"/>
      <c r="E5508" s="521"/>
      <c r="F5508" s="521"/>
      <c r="G5508" s="522"/>
      <c r="H5508" s="106" t="e">
        <f>SUM(F5494:F5507)</f>
        <v>#VALUE!</v>
      </c>
      <c r="J5508" s="58"/>
      <c r="K5508" s="50"/>
      <c r="L5508" s="50"/>
      <c r="M5508" s="50"/>
      <c r="N5508" s="50"/>
      <c r="O5508" s="50"/>
    </row>
    <row r="5509" spans="1:15">
      <c r="A5509" s="523" t="s">
        <v>4220</v>
      </c>
      <c r="B5509" s="524"/>
      <c r="C5509" s="524"/>
      <c r="D5509" s="524"/>
      <c r="E5509" s="525"/>
      <c r="F5509" s="524"/>
      <c r="G5509" s="524"/>
      <c r="H5509" s="526"/>
      <c r="J5509" s="58"/>
      <c r="K5509" s="50"/>
      <c r="L5509" s="50"/>
      <c r="M5509" s="50"/>
      <c r="N5509" s="50"/>
      <c r="O5509" s="50"/>
    </row>
    <row r="5510" spans="1:15">
      <c r="A5510" s="527" t="s">
        <v>7</v>
      </c>
      <c r="B5510" s="528"/>
      <c r="C5510" s="98" t="s">
        <v>4221</v>
      </c>
      <c r="D5510" s="97" t="s">
        <v>4222</v>
      </c>
      <c r="E5510" s="187" t="s">
        <v>4223</v>
      </c>
      <c r="F5510" s="529" t="s">
        <v>4207</v>
      </c>
      <c r="G5510" s="529"/>
      <c r="H5510" s="109"/>
      <c r="K5510" s="50"/>
      <c r="L5510" s="50"/>
      <c r="M5510" s="50"/>
      <c r="N5510" s="50"/>
      <c r="O5510" s="50"/>
    </row>
    <row r="5511" spans="1:15">
      <c r="A5511" s="506" t="s">
        <v>3928</v>
      </c>
      <c r="B5511" s="507"/>
      <c r="C5511" s="213">
        <v>1</v>
      </c>
      <c r="D5511" s="92">
        <v>0.1</v>
      </c>
      <c r="E5511" s="93" t="str">
        <f>VLOOKUP(A5511,'Equip, Herr y Transp'!$B$2:$E$217,3,0)</f>
        <v>TR</v>
      </c>
      <c r="F5511" s="530" t="e">
        <f>E5511*D5511*C5511</f>
        <v>#VALUE!</v>
      </c>
      <c r="G5511" s="531"/>
      <c r="H5511" s="107"/>
      <c r="M5511" s="50"/>
    </row>
    <row r="5512" spans="1:15">
      <c r="A5512" s="532" t="s">
        <v>4205</v>
      </c>
      <c r="B5512" s="533"/>
      <c r="C5512" s="533"/>
      <c r="D5512" s="533"/>
      <c r="E5512" s="533"/>
      <c r="F5512" s="533"/>
      <c r="G5512" s="533"/>
      <c r="H5512" s="95" t="e">
        <f>F5511</f>
        <v>#VALUE!</v>
      </c>
    </row>
    <row r="5513" spans="1:15">
      <c r="A5513" s="523" t="s">
        <v>4224</v>
      </c>
      <c r="B5513" s="524"/>
      <c r="C5513" s="524"/>
      <c r="D5513" s="524"/>
      <c r="E5513" s="524"/>
      <c r="F5513" s="524"/>
      <c r="G5513" s="524"/>
      <c r="H5513" s="526"/>
    </row>
    <row r="5514" spans="1:15">
      <c r="A5514" s="527" t="s">
        <v>7</v>
      </c>
      <c r="B5514" s="528"/>
      <c r="C5514" s="96" t="s">
        <v>1</v>
      </c>
      <c r="D5514" s="97" t="s">
        <v>4225</v>
      </c>
      <c r="E5514" s="98" t="s">
        <v>4204</v>
      </c>
      <c r="F5514" s="527" t="s">
        <v>5</v>
      </c>
      <c r="G5514" s="534"/>
      <c r="H5514" s="109"/>
    </row>
    <row r="5515" spans="1:15">
      <c r="A5515" s="506" t="s">
        <v>4191</v>
      </c>
      <c r="B5515" s="507"/>
      <c r="C5515" s="91">
        <v>1</v>
      </c>
      <c r="D5515" s="94">
        <f>VLOOKUP(A5515,'Mano Obra'!$B$2:$T$117,19,0)</f>
        <v>152456</v>
      </c>
      <c r="E5515" s="218">
        <f>H5478</f>
        <v>0.4375</v>
      </c>
      <c r="F5515" s="508">
        <f>E5515*D5515*C5515</f>
        <v>66699.5</v>
      </c>
      <c r="G5515" s="509"/>
      <c r="H5515" s="111"/>
      <c r="I5515" s="59"/>
      <c r="J5515" s="117">
        <f>((('Mano Obra'!$M$4/30)*F5515)/D5515)*G5485</f>
        <v>0</v>
      </c>
    </row>
    <row r="5516" spans="1:15">
      <c r="A5516" s="510" t="s">
        <v>4192</v>
      </c>
      <c r="B5516" s="511">
        <f>VLOOKUP(A5516,'Mano Obra'!$B$3:$D$290,2,0)</f>
        <v>1900000</v>
      </c>
      <c r="C5516" s="91">
        <v>1</v>
      </c>
      <c r="D5516" s="94">
        <f>VLOOKUP(A5516,'Mano Obra'!$B$2:$T$117,19,0)</f>
        <v>110488</v>
      </c>
      <c r="E5516" s="218">
        <f>H5478</f>
        <v>0.4375</v>
      </c>
      <c r="F5516" s="508">
        <f t="shared" ref="F5516:F5517" si="324">E5516*D5516*C5516</f>
        <v>48338.5</v>
      </c>
      <c r="G5516" s="509"/>
      <c r="H5516" s="111"/>
      <c r="J5516" s="117">
        <f>((('Mano Obra'!$M$5/30)*F5516)/D5516)*G5485</f>
        <v>0</v>
      </c>
    </row>
    <row r="5517" spans="1:15">
      <c r="A5517" s="510" t="s">
        <v>4181</v>
      </c>
      <c r="B5517" s="511">
        <f>VLOOKUP(A5517,'Mano Obra'!$B$3:$D$290,2,0)</f>
        <v>1000000</v>
      </c>
      <c r="C5517" s="91">
        <v>1</v>
      </c>
      <c r="D5517" s="94">
        <f>VLOOKUP(A5517,'Mano Obra'!$B$2:$T$117,19,0)</f>
        <v>67424</v>
      </c>
      <c r="E5517" s="218">
        <f>H5478</f>
        <v>0.4375</v>
      </c>
      <c r="F5517" s="508">
        <f t="shared" si="324"/>
        <v>29498</v>
      </c>
      <c r="G5517" s="509"/>
      <c r="H5517" s="110"/>
      <c r="J5517" s="117">
        <f>((('Mano Obra'!$M$6/30)*F5517)/D5517)*G5485</f>
        <v>0</v>
      </c>
    </row>
    <row r="5518" spans="1:15">
      <c r="A5518" s="512" t="s">
        <v>4100</v>
      </c>
      <c r="B5518" s="512"/>
      <c r="C5518" s="512"/>
      <c r="D5518" s="512"/>
      <c r="E5518" s="512"/>
      <c r="F5518" s="512"/>
      <c r="G5518" s="512"/>
      <c r="H5518" s="95">
        <f>SUM(F5515:F5517)</f>
        <v>144536</v>
      </c>
      <c r="J5518" s="117"/>
    </row>
    <row r="5519" spans="1:15">
      <c r="A5519" s="208" t="s">
        <v>4226</v>
      </c>
      <c r="B5519" s="186"/>
      <c r="C5519" s="186"/>
      <c r="D5519" s="183"/>
      <c r="E5519" s="184"/>
      <c r="F5519" s="185"/>
      <c r="G5519" s="184"/>
      <c r="H5519" s="193"/>
    </row>
    <row r="5520" spans="1:15">
      <c r="A5520" s="513" t="s">
        <v>4213</v>
      </c>
      <c r="B5520" s="514"/>
      <c r="C5520" s="514"/>
      <c r="D5520" s="514"/>
      <c r="E5520" s="181"/>
      <c r="F5520" s="182" t="s">
        <v>4227</v>
      </c>
      <c r="G5520" s="181" t="s">
        <v>4228</v>
      </c>
      <c r="H5520" s="194"/>
    </row>
    <row r="5521" spans="1:14">
      <c r="A5521" s="204" t="s">
        <v>4096</v>
      </c>
      <c r="B5521" s="62"/>
      <c r="C5521" s="62"/>
      <c r="D5521" s="63"/>
      <c r="E5521" s="68"/>
      <c r="F5521" s="69">
        <v>0</v>
      </c>
      <c r="G5521" s="70" t="e">
        <f>F5521*H5486</f>
        <v>#VALUE!</v>
      </c>
      <c r="H5521" s="193"/>
    </row>
    <row r="5522" spans="1:14">
      <c r="A5522" s="205" t="s">
        <v>4229</v>
      </c>
      <c r="B5522" s="71"/>
      <c r="C5522" s="71"/>
      <c r="D5522" s="72"/>
      <c r="E5522" s="68"/>
      <c r="F5522" s="69">
        <v>0</v>
      </c>
      <c r="G5522" s="70" t="e">
        <f>F5522*H5486</f>
        <v>#VALUE!</v>
      </c>
      <c r="H5522" s="193"/>
    </row>
    <row r="5523" spans="1:14">
      <c r="A5523" s="205" t="s">
        <v>4</v>
      </c>
      <c r="B5523" s="71"/>
      <c r="C5523" s="71"/>
      <c r="D5523" s="72"/>
      <c r="E5523" s="68"/>
      <c r="F5523" s="69">
        <v>0</v>
      </c>
      <c r="G5523" s="70" t="e">
        <f>F5523*H5486</f>
        <v>#VALUE!</v>
      </c>
      <c r="H5523" s="193"/>
    </row>
    <row r="5524" spans="1:14">
      <c r="A5524" s="206"/>
      <c r="B5524" s="73"/>
      <c r="C5524" s="65"/>
      <c r="D5524" s="74"/>
      <c r="E5524" s="75"/>
      <c r="F5524" s="76"/>
      <c r="G5524" s="77"/>
      <c r="H5524" s="195"/>
    </row>
    <row r="5525" spans="1:14">
      <c r="A5525" s="207"/>
      <c r="B5525" s="73"/>
      <c r="C5525" s="73"/>
      <c r="D5525" s="74"/>
      <c r="E5525" s="78"/>
      <c r="F5525" s="515" t="s">
        <v>4230</v>
      </c>
      <c r="G5525" s="516"/>
      <c r="H5525" s="214" t="e">
        <f>H5486+G5521+G5522+G5523</f>
        <v>#VALUE!</v>
      </c>
    </row>
    <row r="5526" spans="1:14">
      <c r="A5526" s="73"/>
      <c r="B5526" s="73"/>
      <c r="C5526" s="73"/>
      <c r="D5526" s="74"/>
      <c r="E5526" s="360"/>
      <c r="F5526" s="361"/>
      <c r="G5526" s="361"/>
      <c r="H5526" s="362"/>
    </row>
    <row r="5527" spans="1:14">
      <c r="A5527" s="80"/>
      <c r="B5527" s="80"/>
      <c r="C5527" s="80"/>
      <c r="D5527" s="80"/>
      <c r="E5527" s="80"/>
      <c r="F5527" s="80"/>
      <c r="G5527" s="80"/>
      <c r="H5527" s="353"/>
    </row>
    <row r="5528" spans="1:14">
      <c r="A5528" s="537" t="s">
        <v>4214</v>
      </c>
      <c r="B5528" s="538"/>
      <c r="C5528" s="538"/>
      <c r="D5528" s="538"/>
      <c r="E5528" s="538"/>
      <c r="F5528" s="538"/>
      <c r="G5528" s="538"/>
      <c r="H5528" s="539"/>
    </row>
    <row r="5529" spans="1:14">
      <c r="A5529" s="81"/>
      <c r="B5529" s="82"/>
      <c r="C5529" s="82"/>
      <c r="D5529" s="82"/>
      <c r="E5529" s="82"/>
      <c r="F5529" s="83"/>
      <c r="G5529" s="84"/>
      <c r="H5529" s="352">
        <f>ROUND((80/60)/8,4)</f>
        <v>0.16669999999999999</v>
      </c>
      <c r="I5529" s="105"/>
    </row>
    <row r="5530" spans="1:14">
      <c r="A5530" s="540" t="s">
        <v>4209</v>
      </c>
      <c r="B5530" s="542" t="str">
        <f>COSTOS!$C$14</f>
        <v>MODERNIZACION A TECNOLOGIA LED</v>
      </c>
      <c r="C5530" s="542"/>
      <c r="D5530" s="542"/>
      <c r="E5530" s="542"/>
      <c r="F5530" s="542"/>
      <c r="G5530" s="542"/>
      <c r="H5530" s="543" t="s">
        <v>4210</v>
      </c>
    </row>
    <row r="5531" spans="1:14">
      <c r="A5531" s="541"/>
      <c r="B5531" s="542"/>
      <c r="C5531" s="542"/>
      <c r="D5531" s="542"/>
      <c r="E5531" s="542"/>
      <c r="F5531" s="542"/>
      <c r="G5531" s="542"/>
      <c r="H5531" s="543"/>
    </row>
    <row r="5532" spans="1:14">
      <c r="A5532" s="541"/>
      <c r="B5532" s="542"/>
      <c r="C5532" s="542"/>
      <c r="D5532" s="542"/>
      <c r="E5532" s="542"/>
      <c r="F5532" s="542"/>
      <c r="G5532" s="542"/>
      <c r="H5532" s="543"/>
    </row>
    <row r="5533" spans="1:14" ht="15" customHeight="1">
      <c r="A5533" s="541"/>
      <c r="B5533" s="542"/>
      <c r="C5533" s="542"/>
      <c r="D5533" s="542"/>
      <c r="E5533" s="542"/>
      <c r="F5533" s="542"/>
      <c r="G5533" s="542"/>
      <c r="H5533" s="197">
        <f ca="1">TODAY()</f>
        <v>44889</v>
      </c>
      <c r="K5533" t="s">
        <v>4380</v>
      </c>
      <c r="L5533" t="s">
        <v>4381</v>
      </c>
      <c r="M5533" t="s">
        <v>4382</v>
      </c>
      <c r="N5533" t="s">
        <v>4383</v>
      </c>
    </row>
    <row r="5534" spans="1:14" ht="60.75" customHeight="1">
      <c r="A5534" s="209" t="s">
        <v>4211</v>
      </c>
      <c r="B5534" s="544" t="str">
        <f>COSTOS!$D$16</f>
        <v>Luminarias</v>
      </c>
      <c r="C5534" s="544"/>
      <c r="D5534" s="544"/>
      <c r="E5534" s="544"/>
      <c r="F5534" s="544"/>
      <c r="G5534" s="60" t="s">
        <v>4212</v>
      </c>
      <c r="H5534" s="363">
        <v>2.27</v>
      </c>
      <c r="K5534" s="55" t="e">
        <f>H5559</f>
        <v>#VALUE!</v>
      </c>
      <c r="L5534" s="55">
        <f>H5569</f>
        <v>55072.345600000001</v>
      </c>
      <c r="M5534" s="55" t="e">
        <f>H5542</f>
        <v>#VALUE!</v>
      </c>
      <c r="N5534" s="55" t="e">
        <f>H5563</f>
        <v>#VALUE!</v>
      </c>
    </row>
    <row r="5535" spans="1:14" ht="43.2" customHeight="1">
      <c r="A5535" s="210" t="s">
        <v>4213</v>
      </c>
      <c r="B5535" s="545" t="str">
        <f>VLOOKUP(H5534,COSTOS!C:M,2,0)</f>
        <v>Poste concreto de 14 x 750 kgf</v>
      </c>
      <c r="C5535" s="546"/>
      <c r="D5535" s="546"/>
      <c r="E5535" s="547"/>
      <c r="F5535" s="61" t="s">
        <v>0</v>
      </c>
      <c r="G5535" s="328" t="str">
        <f>VLOOKUP(H5534,COSTOS!C:M,8,0)</f>
        <v>Und</v>
      </c>
      <c r="H5535" s="248"/>
      <c r="I5535" s="278"/>
      <c r="J5535" s="280"/>
      <c r="K5535" s="280"/>
      <c r="L5535" s="280"/>
    </row>
    <row r="5536" spans="1:14">
      <c r="A5536" s="211"/>
      <c r="B5536" s="102"/>
      <c r="C5536" s="102"/>
      <c r="D5536" s="102"/>
      <c r="E5536" s="103"/>
      <c r="F5536" s="104" t="s">
        <v>1</v>
      </c>
      <c r="G5536" s="328">
        <f>VLOOKUP(H5534,COSTOS!C:M,9,0)</f>
        <v>0</v>
      </c>
      <c r="H5536" s="329"/>
      <c r="I5536" s="279"/>
    </row>
    <row r="5537" spans="1:15">
      <c r="A5537" s="212" t="s">
        <v>4215</v>
      </c>
      <c r="B5537" s="65"/>
      <c r="C5537" s="65"/>
      <c r="D5537" s="66"/>
      <c r="E5537" s="190"/>
      <c r="F5537" s="191"/>
      <c r="G5537" s="192" t="s">
        <v>4216</v>
      </c>
      <c r="H5537" s="198" t="e">
        <f>H5542+H5559+H5563+H5569</f>
        <v>#VALUE!</v>
      </c>
    </row>
    <row r="5538" spans="1:15" ht="41.4">
      <c r="A5538" s="548" t="s">
        <v>4213</v>
      </c>
      <c r="B5538" s="548"/>
      <c r="C5538" s="548"/>
      <c r="D5538" s="67" t="s">
        <v>0</v>
      </c>
      <c r="E5538" s="188" t="s">
        <v>4217</v>
      </c>
      <c r="F5538" s="189" t="s">
        <v>4204</v>
      </c>
      <c r="G5538" s="64" t="s">
        <v>2</v>
      </c>
      <c r="H5538" s="199" t="s">
        <v>4218</v>
      </c>
      <c r="K5538" s="281"/>
    </row>
    <row r="5539" spans="1:15">
      <c r="A5539" s="517" t="s">
        <v>3946</v>
      </c>
      <c r="B5539" s="549">
        <f>VLOOKUP(A5539,'Equip, Herr y Transp'!$B$2:$E$738,2,0)</f>
        <v>2</v>
      </c>
      <c r="C5539" s="549"/>
      <c r="D5539" s="85">
        <f>VLOOKUP(A5539,'Equip, Herr y Transp'!$B$2:$E$217,2,0)</f>
        <v>2</v>
      </c>
      <c r="E5539" s="85" t="str">
        <f>VLOOKUP(A5539,'Equip, Herr y Transp'!$B$2:$E$217,3,0)</f>
        <v>EQU</v>
      </c>
      <c r="F5539" s="86">
        <f>H5529</f>
        <v>0.16669999999999999</v>
      </c>
      <c r="G5539" s="112" t="e">
        <f>F5539*E5539</f>
        <v>#VALUE!</v>
      </c>
      <c r="H5539" s="108"/>
    </row>
    <row r="5540" spans="1:15">
      <c r="A5540" s="517" t="s">
        <v>3894</v>
      </c>
      <c r="B5540" s="549">
        <f>VLOOKUP(A5540,'Equip, Herr y Transp'!$B$2:$E$738,2,0)</f>
        <v>4</v>
      </c>
      <c r="C5540" s="549"/>
      <c r="D5540" s="85">
        <f>VLOOKUP(A5540,'Equip, Herr y Transp'!$B$2:$E$217,2,0)</f>
        <v>4</v>
      </c>
      <c r="E5540" s="85" t="str">
        <f>VLOOKUP(A5540,'Equip, Herr y Transp'!$B$2:$E$217,3,0)</f>
        <v>TR</v>
      </c>
      <c r="F5540" s="86">
        <f>H5529</f>
        <v>0.16669999999999999</v>
      </c>
      <c r="G5540" s="112" t="e">
        <f>F5540*E5540</f>
        <v>#VALUE!</v>
      </c>
      <c r="H5540" s="107"/>
    </row>
    <row r="5541" spans="1:15">
      <c r="A5541" s="517" t="s">
        <v>8</v>
      </c>
      <c r="B5541" s="549" t="e">
        <f>VLOOKUP(A5541,'Equip, Herr y Transp'!$B$2:$E$738,2,0)</f>
        <v>#N/A</v>
      </c>
      <c r="C5541" s="549"/>
      <c r="D5541" s="85" t="e">
        <f>VLOOKUP(A5541,'Equip, Herr y Transp'!$B$2:$E$217,2,0)</f>
        <v>#N/A</v>
      </c>
      <c r="E5541" s="85" t="e">
        <f>VLOOKUP(A5541,'Equip, Herr y Transp'!$B$2:$E$217,3,0)</f>
        <v>#N/A</v>
      </c>
      <c r="F5541" s="86">
        <f>F5540</f>
        <v>0.16669999999999999</v>
      </c>
      <c r="G5541" s="112" t="e">
        <f>F5541*E5541</f>
        <v>#N/A</v>
      </c>
      <c r="H5541" s="107"/>
    </row>
    <row r="5542" spans="1:15">
      <c r="A5542" s="520" t="s">
        <v>4099</v>
      </c>
      <c r="B5542" s="521"/>
      <c r="C5542" s="521"/>
      <c r="D5542" s="521"/>
      <c r="E5542" s="521"/>
      <c r="F5542" s="521"/>
      <c r="G5542" s="521"/>
      <c r="H5542" s="87" t="e">
        <f>SUM(G5539:G5541)</f>
        <v>#VALUE!</v>
      </c>
    </row>
    <row r="5543" spans="1:15">
      <c r="A5543" s="550" t="s">
        <v>4219</v>
      </c>
      <c r="B5543" s="551"/>
      <c r="C5543" s="551"/>
      <c r="D5543" s="551"/>
      <c r="E5543" s="551"/>
      <c r="F5543" s="551"/>
      <c r="G5543" s="551"/>
      <c r="H5543" s="552"/>
      <c r="K5543" s="50"/>
      <c r="L5543" s="50"/>
      <c r="M5543" s="50"/>
      <c r="N5543" s="50"/>
      <c r="O5543" s="50"/>
    </row>
    <row r="5544" spans="1:15" ht="30" customHeight="1">
      <c r="A5544" s="553" t="s">
        <v>7</v>
      </c>
      <c r="B5544" s="554"/>
      <c r="C5544" s="99" t="s">
        <v>0</v>
      </c>
      <c r="D5544" s="100" t="s">
        <v>4097</v>
      </c>
      <c r="E5544" s="101" t="s">
        <v>1</v>
      </c>
      <c r="F5544" s="555" t="s">
        <v>4207</v>
      </c>
      <c r="G5544" s="555"/>
      <c r="H5544" s="196"/>
      <c r="K5544" s="50"/>
      <c r="L5544" s="50"/>
      <c r="M5544" s="50"/>
      <c r="N5544" s="50"/>
      <c r="O5544" s="50"/>
    </row>
    <row r="5545" spans="1:15">
      <c r="A5545" s="535" t="s">
        <v>4815</v>
      </c>
      <c r="B5545" s="536"/>
      <c r="C5545" s="88">
        <f>VLOOKUP(A5545,'Materiales '!$C$2:$G$396,3,0)</f>
        <v>4</v>
      </c>
      <c r="D5545" s="89" t="str">
        <f>VLOOKUP(A5545,'Materiales '!$C$2:$G$396,4,0)</f>
        <v>Und</v>
      </c>
      <c r="E5545" s="90">
        <v>1</v>
      </c>
      <c r="F5545" s="508" t="e">
        <f>E5545*D5545</f>
        <v>#VALUE!</v>
      </c>
      <c r="G5545" s="519"/>
      <c r="H5545" s="111"/>
      <c r="I5545">
        <f>E5545*G5536</f>
        <v>0</v>
      </c>
      <c r="J5545" s="57"/>
      <c r="K5545" s="50"/>
      <c r="L5545" s="50"/>
      <c r="M5545" s="50"/>
      <c r="N5545" s="50"/>
      <c r="O5545" s="50"/>
    </row>
    <row r="5546" spans="1:15">
      <c r="A5546" s="535" t="s">
        <v>4617</v>
      </c>
      <c r="B5546" s="536"/>
      <c r="C5546" s="88">
        <f>VLOOKUP(A5546,'Materiales '!$C$2:$G$396,3,0)</f>
        <v>3</v>
      </c>
      <c r="D5546" s="89" t="str">
        <f>VLOOKUP(A5546,'Materiales '!$C$2:$G$396,4,0)</f>
        <v>Rollo</v>
      </c>
      <c r="E5546" s="90">
        <v>1</v>
      </c>
      <c r="F5546" s="508" t="e">
        <f t="shared" ref="F5546:F5552" si="325">E5546*D5546</f>
        <v>#VALUE!</v>
      </c>
      <c r="G5546" s="519"/>
      <c r="H5546" s="111"/>
      <c r="I5546">
        <f>E5546*G5536</f>
        <v>0</v>
      </c>
      <c r="J5546" s="57"/>
      <c r="K5546" s="50"/>
      <c r="L5546" s="50"/>
      <c r="M5546" s="50"/>
      <c r="N5546" s="50"/>
      <c r="O5546" s="50"/>
    </row>
    <row r="5547" spans="1:15">
      <c r="A5547" s="517" t="s">
        <v>8</v>
      </c>
      <c r="B5547" s="518">
        <f>VLOOKUP(A5547,'Materiales '!$C$2:$G$396,3,0)</f>
        <v>0</v>
      </c>
      <c r="C5547" s="88">
        <f>VLOOKUP(A5547,'Materiales '!$C$2:$G$396,3,0)</f>
        <v>0</v>
      </c>
      <c r="D5547" s="89" t="str">
        <f>VLOOKUP(A5547,'Materiales '!$C$2:$G$396,4,0)</f>
        <v>-</v>
      </c>
      <c r="E5547" s="90">
        <v>6</v>
      </c>
      <c r="F5547" s="508" t="e">
        <f t="shared" si="325"/>
        <v>#VALUE!</v>
      </c>
      <c r="G5547" s="519"/>
      <c r="H5547" s="111"/>
      <c r="I5547">
        <f>E5547*G5536</f>
        <v>0</v>
      </c>
      <c r="J5547" s="58"/>
      <c r="K5547" s="50"/>
      <c r="L5547" s="50"/>
      <c r="M5547" s="50"/>
      <c r="N5547" s="50"/>
      <c r="O5547" s="50"/>
    </row>
    <row r="5548" spans="1:15">
      <c r="A5548" s="517" t="s">
        <v>8</v>
      </c>
      <c r="B5548" s="518">
        <f>VLOOKUP(A5548,'Materiales '!$C$2:$G$396,3,0)</f>
        <v>0</v>
      </c>
      <c r="C5548" s="88">
        <f>VLOOKUP(A5548,'Materiales '!$C$2:$G$396,3,0)</f>
        <v>0</v>
      </c>
      <c r="D5548" s="89" t="str">
        <f>VLOOKUP(A5548,'Materiales '!$C$2:$G$396,4,0)</f>
        <v>-</v>
      </c>
      <c r="E5548" s="90">
        <v>3</v>
      </c>
      <c r="F5548" s="508" t="e">
        <f t="shared" si="325"/>
        <v>#VALUE!</v>
      </c>
      <c r="G5548" s="519"/>
      <c r="H5548" s="111"/>
      <c r="I5548">
        <f>E5548*G5536</f>
        <v>0</v>
      </c>
      <c r="J5548" s="58"/>
      <c r="K5548" s="50"/>
      <c r="L5548" s="50"/>
      <c r="M5548" s="50"/>
      <c r="N5548" s="50"/>
      <c r="O5548" s="50"/>
    </row>
    <row r="5549" spans="1:15">
      <c r="A5549" s="517" t="s">
        <v>8</v>
      </c>
      <c r="B5549" s="518">
        <f>VLOOKUP(A5549,'Materiales '!$C$2:$G$396,3,0)</f>
        <v>0</v>
      </c>
      <c r="C5549" s="88">
        <f>VLOOKUP(A5549,'Materiales '!$C$2:$G$396,3,0)</f>
        <v>0</v>
      </c>
      <c r="D5549" s="89" t="str">
        <f>VLOOKUP(A5549,'Materiales '!$C$2:$G$396,4,0)</f>
        <v>-</v>
      </c>
      <c r="E5549" s="90">
        <v>2</v>
      </c>
      <c r="F5549" s="508" t="e">
        <f t="shared" si="325"/>
        <v>#VALUE!</v>
      </c>
      <c r="G5549" s="519"/>
      <c r="H5549" s="111"/>
      <c r="I5549">
        <f>E5549*G5536</f>
        <v>0</v>
      </c>
      <c r="J5549" s="58"/>
      <c r="K5549" s="50"/>
      <c r="L5549" s="50"/>
      <c r="M5549" s="50"/>
      <c r="N5549" s="50"/>
      <c r="O5549" s="50"/>
    </row>
    <row r="5550" spans="1:15">
      <c r="A5550" s="517" t="s">
        <v>8</v>
      </c>
      <c r="B5550" s="518">
        <f>VLOOKUP(A5550,'Materiales '!$C$2:$G$396,3,0)</f>
        <v>0</v>
      </c>
      <c r="C5550" s="88">
        <f>VLOOKUP(A5550,'Materiales '!$C$2:$G$396,3,0)</f>
        <v>0</v>
      </c>
      <c r="D5550" s="89" t="str">
        <f>VLOOKUP(A5550,'Materiales '!$C$2:$G$396,4,0)</f>
        <v>-</v>
      </c>
      <c r="E5550" s="90">
        <v>8</v>
      </c>
      <c r="F5550" s="508" t="e">
        <f t="shared" si="325"/>
        <v>#VALUE!</v>
      </c>
      <c r="G5550" s="519"/>
      <c r="H5550" s="111"/>
      <c r="I5550">
        <f>E5550*G5536</f>
        <v>0</v>
      </c>
      <c r="J5550" s="58"/>
      <c r="K5550" s="50"/>
      <c r="L5550" s="50"/>
      <c r="M5550" s="50"/>
      <c r="N5550" s="50"/>
      <c r="O5550" s="50"/>
    </row>
    <row r="5551" spans="1:15">
      <c r="A5551" s="517" t="s">
        <v>8</v>
      </c>
      <c r="B5551" s="518">
        <f>VLOOKUP(A5551,'Materiales '!$C$2:$G$396,3,0)</f>
        <v>0</v>
      </c>
      <c r="C5551" s="88">
        <f>VLOOKUP(A5551,'Materiales '!$C$2:$G$396,3,0)</f>
        <v>0</v>
      </c>
      <c r="D5551" s="89" t="str">
        <f>VLOOKUP(A5551,'Materiales '!$C$2:$G$396,4,0)</f>
        <v>-</v>
      </c>
      <c r="E5551" s="90">
        <v>3</v>
      </c>
      <c r="F5551" s="508" t="e">
        <f t="shared" si="325"/>
        <v>#VALUE!</v>
      </c>
      <c r="G5551" s="519"/>
      <c r="H5551" s="111"/>
      <c r="I5551">
        <f>E5551*G5536</f>
        <v>0</v>
      </c>
      <c r="J5551" s="58"/>
      <c r="K5551" s="50"/>
      <c r="L5551" s="50"/>
      <c r="M5551" s="50"/>
      <c r="N5551" s="50"/>
      <c r="O5551" s="50"/>
    </row>
    <row r="5552" spans="1:15" ht="21.75" customHeight="1">
      <c r="A5552" s="517" t="s">
        <v>8</v>
      </c>
      <c r="B5552" s="518">
        <f>VLOOKUP(A5552,'Materiales '!$C$2:$G$396,3,0)</f>
        <v>0</v>
      </c>
      <c r="C5552" s="88">
        <f>VLOOKUP(A5552,'Materiales '!$C$2:$G$396,3,0)</f>
        <v>0</v>
      </c>
      <c r="D5552" s="89" t="str">
        <f>VLOOKUP(A5552,'Materiales '!$C$2:$G$396,4,0)</f>
        <v>-</v>
      </c>
      <c r="E5552" s="90">
        <v>0.5</v>
      </c>
      <c r="F5552" s="508" t="e">
        <f t="shared" si="325"/>
        <v>#VALUE!</v>
      </c>
      <c r="G5552" s="519"/>
      <c r="H5552" s="111"/>
      <c r="I5552">
        <f>E5552*G5536</f>
        <v>0</v>
      </c>
      <c r="J5552" s="58"/>
      <c r="K5552" s="50"/>
      <c r="L5552" s="50"/>
      <c r="M5552" s="50"/>
      <c r="N5552" s="50"/>
      <c r="O5552" s="50"/>
    </row>
    <row r="5553" spans="1:15">
      <c r="A5553" s="517" t="s">
        <v>8</v>
      </c>
      <c r="B5553" s="518">
        <f>VLOOKUP(A5553,'Materiales '!$C$2:$G$396,3,0)</f>
        <v>0</v>
      </c>
      <c r="C5553" s="88">
        <f>VLOOKUP(A5553,'Materiales '!$C$2:$G$396,3,0)</f>
        <v>0</v>
      </c>
      <c r="D5553" s="89" t="str">
        <f>VLOOKUP(A5553,'Materiales '!$C$2:$G$396,4,0)</f>
        <v>-</v>
      </c>
      <c r="E5553" s="90"/>
      <c r="F5553" s="508" t="e">
        <f>E5553*D5553</f>
        <v>#VALUE!</v>
      </c>
      <c r="G5553" s="519"/>
      <c r="H5553" s="110"/>
      <c r="I5553">
        <f>E5553*G5536</f>
        <v>0</v>
      </c>
      <c r="J5553" s="58"/>
      <c r="K5553" s="50"/>
      <c r="L5553" s="50"/>
      <c r="M5553" s="50"/>
      <c r="N5553" s="50"/>
      <c r="O5553" s="50"/>
    </row>
    <row r="5554" spans="1:15">
      <c r="A5554" s="517" t="s">
        <v>8</v>
      </c>
      <c r="B5554" s="518">
        <f>VLOOKUP(A5554,'Materiales '!$C$2:$G$396,3,0)</f>
        <v>0</v>
      </c>
      <c r="C5554" s="88">
        <f>VLOOKUP(A5554,'Materiales '!$C$2:$G$396,3,0)</f>
        <v>0</v>
      </c>
      <c r="D5554" s="89" t="str">
        <f>VLOOKUP(A5554,'Materiales '!$C$2:$G$396,4,0)</f>
        <v>-</v>
      </c>
      <c r="E5554" s="90"/>
      <c r="F5554" s="508" t="e">
        <f t="shared" ref="F5554:F5557" si="326">E5554*D5554</f>
        <v>#VALUE!</v>
      </c>
      <c r="G5554" s="519"/>
      <c r="H5554" s="111"/>
      <c r="I5554">
        <f>E5554*G5536</f>
        <v>0</v>
      </c>
      <c r="J5554" s="58"/>
      <c r="K5554" s="50"/>
      <c r="L5554" s="50"/>
      <c r="M5554" s="50"/>
      <c r="N5554" s="50"/>
      <c r="O5554" s="50"/>
    </row>
    <row r="5555" spans="1:15">
      <c r="A5555" s="517" t="s">
        <v>8</v>
      </c>
      <c r="B5555" s="518">
        <f>VLOOKUP(A5555,'Materiales '!$C$2:$G$396,3,0)</f>
        <v>0</v>
      </c>
      <c r="C5555" s="88">
        <f>VLOOKUP(A5555,'Materiales '!$C$2:$G$396,3,0)</f>
        <v>0</v>
      </c>
      <c r="D5555" s="89" t="str">
        <f>VLOOKUP(A5555,'Materiales '!$C$2:$G$396,4,0)</f>
        <v>-</v>
      </c>
      <c r="E5555" s="90"/>
      <c r="F5555" s="508" t="e">
        <f t="shared" si="326"/>
        <v>#VALUE!</v>
      </c>
      <c r="G5555" s="519"/>
      <c r="H5555" s="111"/>
      <c r="I5555">
        <f>E5555*G5536</f>
        <v>0</v>
      </c>
      <c r="J5555" s="58"/>
      <c r="K5555" s="50"/>
      <c r="L5555" s="50"/>
      <c r="M5555" s="50"/>
      <c r="N5555" s="50"/>
      <c r="O5555" s="50"/>
    </row>
    <row r="5556" spans="1:15">
      <c r="A5556" s="517" t="s">
        <v>8</v>
      </c>
      <c r="B5556" s="518">
        <f>VLOOKUP(A5556,'Materiales '!$C$2:$G$396,3,0)</f>
        <v>0</v>
      </c>
      <c r="C5556" s="88">
        <f>VLOOKUP(A5556,'Materiales '!$C$2:$G$396,3,0)</f>
        <v>0</v>
      </c>
      <c r="D5556" s="89" t="str">
        <f>VLOOKUP(A5556,'Materiales '!$C$2:$G$396,4,0)</f>
        <v>-</v>
      </c>
      <c r="E5556" s="90"/>
      <c r="F5556" s="508" t="e">
        <f t="shared" si="326"/>
        <v>#VALUE!</v>
      </c>
      <c r="G5556" s="519"/>
      <c r="H5556" s="111"/>
      <c r="I5556">
        <f>E5556*G5536</f>
        <v>0</v>
      </c>
      <c r="J5556" s="58"/>
      <c r="K5556" s="50"/>
      <c r="L5556" s="50"/>
      <c r="M5556" s="50"/>
      <c r="N5556" s="50"/>
      <c r="O5556" s="50"/>
    </row>
    <row r="5557" spans="1:15">
      <c r="A5557" s="517" t="s">
        <v>8</v>
      </c>
      <c r="B5557" s="518">
        <f>VLOOKUP(A5557,'Materiales '!$C$2:$G$396,3,0)</f>
        <v>0</v>
      </c>
      <c r="C5557" s="88">
        <f>VLOOKUP(A5557,'Materiales '!$C$2:$G$396,3,0)</f>
        <v>0</v>
      </c>
      <c r="D5557" s="89" t="str">
        <f>VLOOKUP(A5557,'Materiales '!$C$2:$G$396,4,0)</f>
        <v>-</v>
      </c>
      <c r="E5557" s="90"/>
      <c r="F5557" s="508" t="e">
        <f t="shared" si="326"/>
        <v>#VALUE!</v>
      </c>
      <c r="G5557" s="519"/>
      <c r="H5557" s="111"/>
      <c r="I5557">
        <f>E5557*G5536</f>
        <v>0</v>
      </c>
      <c r="J5557" s="58"/>
      <c r="K5557" s="50"/>
      <c r="L5557" s="50"/>
      <c r="M5557" s="50"/>
      <c r="N5557" s="50"/>
      <c r="O5557" s="50"/>
    </row>
    <row r="5558" spans="1:15">
      <c r="A5558" s="517" t="s">
        <v>8</v>
      </c>
      <c r="B5558" s="518">
        <f>VLOOKUP(A5558,'Materiales '!$C$2:$G$396,3,0)</f>
        <v>0</v>
      </c>
      <c r="C5558" s="88">
        <f>VLOOKUP(A5558,'Materiales '!$C$2:$G$396,3,0)</f>
        <v>0</v>
      </c>
      <c r="D5558" s="89" t="str">
        <f>VLOOKUP(A5558,'Materiales '!$C$2:$G$396,4,0)</f>
        <v>-</v>
      </c>
      <c r="E5558" s="90"/>
      <c r="F5558" s="508" t="e">
        <f>E5558*D5558</f>
        <v>#VALUE!</v>
      </c>
      <c r="G5558" s="519"/>
      <c r="H5558" s="110"/>
      <c r="I5558">
        <f>E5558*G5536</f>
        <v>0</v>
      </c>
      <c r="J5558" s="58"/>
      <c r="K5558" s="50"/>
      <c r="L5558" s="50"/>
      <c r="M5558" s="50"/>
      <c r="N5558" s="50"/>
      <c r="O5558" s="50"/>
    </row>
    <row r="5559" spans="1:15">
      <c r="A5559" s="520" t="s">
        <v>4098</v>
      </c>
      <c r="B5559" s="521"/>
      <c r="C5559" s="521"/>
      <c r="D5559" s="521"/>
      <c r="E5559" s="521"/>
      <c r="F5559" s="521"/>
      <c r="G5559" s="522"/>
      <c r="H5559" s="106" t="e">
        <f>SUM(F5545:F5558)</f>
        <v>#VALUE!</v>
      </c>
      <c r="J5559" s="58"/>
      <c r="K5559" s="50"/>
      <c r="L5559" s="50"/>
      <c r="M5559" s="50"/>
      <c r="N5559" s="50"/>
      <c r="O5559" s="50"/>
    </row>
    <row r="5560" spans="1:15">
      <c r="A5560" s="523" t="s">
        <v>4220</v>
      </c>
      <c r="B5560" s="524"/>
      <c r="C5560" s="524"/>
      <c r="D5560" s="524"/>
      <c r="E5560" s="525"/>
      <c r="F5560" s="524"/>
      <c r="G5560" s="524"/>
      <c r="H5560" s="526"/>
      <c r="J5560" s="58"/>
      <c r="K5560" s="50"/>
      <c r="L5560" s="50"/>
      <c r="M5560" s="50"/>
      <c r="N5560" s="50"/>
      <c r="O5560" s="50"/>
    </row>
    <row r="5561" spans="1:15">
      <c r="A5561" s="527" t="s">
        <v>7</v>
      </c>
      <c r="B5561" s="528"/>
      <c r="C5561" s="98" t="s">
        <v>4221</v>
      </c>
      <c r="D5561" s="97" t="s">
        <v>4222</v>
      </c>
      <c r="E5561" s="187" t="s">
        <v>4223</v>
      </c>
      <c r="F5561" s="529" t="s">
        <v>4207</v>
      </c>
      <c r="G5561" s="529"/>
      <c r="H5561" s="109"/>
      <c r="K5561" s="50"/>
      <c r="L5561" s="50"/>
      <c r="M5561" s="50"/>
      <c r="N5561" s="50"/>
      <c r="O5561" s="50"/>
    </row>
    <row r="5562" spans="1:15">
      <c r="A5562" s="506" t="s">
        <v>3928</v>
      </c>
      <c r="B5562" s="507"/>
      <c r="C5562" s="213">
        <v>1</v>
      </c>
      <c r="D5562" s="92">
        <v>0.1</v>
      </c>
      <c r="E5562" s="93" t="str">
        <f>VLOOKUP(A5562,'Equip, Herr y Transp'!$B$2:$E$217,3,0)</f>
        <v>TR</v>
      </c>
      <c r="F5562" s="530" t="e">
        <f>E5562*D5562*C5562</f>
        <v>#VALUE!</v>
      </c>
      <c r="G5562" s="531"/>
      <c r="H5562" s="107"/>
      <c r="M5562" s="50"/>
    </row>
    <row r="5563" spans="1:15">
      <c r="A5563" s="532" t="s">
        <v>4205</v>
      </c>
      <c r="B5563" s="533"/>
      <c r="C5563" s="533"/>
      <c r="D5563" s="533"/>
      <c r="E5563" s="533"/>
      <c r="F5563" s="533"/>
      <c r="G5563" s="533"/>
      <c r="H5563" s="95" t="e">
        <f>F5562</f>
        <v>#VALUE!</v>
      </c>
    </row>
    <row r="5564" spans="1:15">
      <c r="A5564" s="523" t="s">
        <v>4224</v>
      </c>
      <c r="B5564" s="524"/>
      <c r="C5564" s="524"/>
      <c r="D5564" s="524"/>
      <c r="E5564" s="524"/>
      <c r="F5564" s="524"/>
      <c r="G5564" s="524"/>
      <c r="H5564" s="526"/>
    </row>
    <row r="5565" spans="1:15">
      <c r="A5565" s="527" t="s">
        <v>7</v>
      </c>
      <c r="B5565" s="528"/>
      <c r="C5565" s="96" t="s">
        <v>1</v>
      </c>
      <c r="D5565" s="97" t="s">
        <v>4225</v>
      </c>
      <c r="E5565" s="98" t="s">
        <v>4204</v>
      </c>
      <c r="F5565" s="527" t="s">
        <v>5</v>
      </c>
      <c r="G5565" s="534"/>
      <c r="H5565" s="109"/>
    </row>
    <row r="5566" spans="1:15">
      <c r="A5566" s="506" t="s">
        <v>4191</v>
      </c>
      <c r="B5566" s="507"/>
      <c r="C5566" s="91">
        <v>1</v>
      </c>
      <c r="D5566" s="94">
        <f>VLOOKUP(A5566,'Mano Obra'!$B$2:$T$117,19,0)</f>
        <v>152456</v>
      </c>
      <c r="E5566" s="218">
        <f>H5529</f>
        <v>0.16669999999999999</v>
      </c>
      <c r="F5566" s="508">
        <f>E5566*D5566*C5566</f>
        <v>25414.415199999999</v>
      </c>
      <c r="G5566" s="509"/>
      <c r="H5566" s="111"/>
      <c r="I5566" s="59"/>
      <c r="J5566" s="117">
        <f>((('Mano Obra'!$M$4/30)*F5566)/D5566)*G5536</f>
        <v>0</v>
      </c>
    </row>
    <row r="5567" spans="1:15">
      <c r="A5567" s="510" t="s">
        <v>4192</v>
      </c>
      <c r="B5567" s="511">
        <f>VLOOKUP(A5567,'Mano Obra'!$B$3:$D$290,2,0)</f>
        <v>1900000</v>
      </c>
      <c r="C5567" s="91">
        <v>1</v>
      </c>
      <c r="D5567" s="94">
        <f>VLOOKUP(A5567,'Mano Obra'!$B$2:$T$117,19,0)</f>
        <v>110488</v>
      </c>
      <c r="E5567" s="218">
        <f>H5529</f>
        <v>0.16669999999999999</v>
      </c>
      <c r="F5567" s="508">
        <f t="shared" ref="F5567:F5568" si="327">E5567*D5567*C5567</f>
        <v>18418.349599999998</v>
      </c>
      <c r="G5567" s="509"/>
      <c r="H5567" s="111"/>
      <c r="J5567" s="117">
        <f>((('Mano Obra'!$M$5/30)*F5567)/D5567)*G5536</f>
        <v>0</v>
      </c>
    </row>
    <row r="5568" spans="1:15">
      <c r="A5568" s="510" t="s">
        <v>4181</v>
      </c>
      <c r="B5568" s="511">
        <f>VLOOKUP(A5568,'Mano Obra'!$B$3:$D$290,2,0)</f>
        <v>1000000</v>
      </c>
      <c r="C5568" s="91">
        <v>1</v>
      </c>
      <c r="D5568" s="94">
        <f>VLOOKUP(A5568,'Mano Obra'!$B$2:$T$117,19,0)</f>
        <v>67424</v>
      </c>
      <c r="E5568" s="218">
        <f>H5529</f>
        <v>0.16669999999999999</v>
      </c>
      <c r="F5568" s="508">
        <f t="shared" si="327"/>
        <v>11239.5808</v>
      </c>
      <c r="G5568" s="509"/>
      <c r="H5568" s="110"/>
      <c r="J5568" s="117">
        <f>((('Mano Obra'!$M$6/30)*F5568)/D5568)*G5536</f>
        <v>0</v>
      </c>
    </row>
    <row r="5569" spans="1:14">
      <c r="A5569" s="512" t="s">
        <v>4100</v>
      </c>
      <c r="B5569" s="512"/>
      <c r="C5569" s="512"/>
      <c r="D5569" s="512"/>
      <c r="E5569" s="512"/>
      <c r="F5569" s="512"/>
      <c r="G5569" s="512"/>
      <c r="H5569" s="95">
        <f>SUM(F5566:F5568)</f>
        <v>55072.345600000001</v>
      </c>
      <c r="J5569" s="117"/>
    </row>
    <row r="5570" spans="1:14">
      <c r="A5570" s="208" t="s">
        <v>4226</v>
      </c>
      <c r="B5570" s="186"/>
      <c r="C5570" s="186"/>
      <c r="D5570" s="183"/>
      <c r="E5570" s="184"/>
      <c r="F5570" s="185"/>
      <c r="G5570" s="184"/>
      <c r="H5570" s="193"/>
    </row>
    <row r="5571" spans="1:14">
      <c r="A5571" s="513" t="s">
        <v>4213</v>
      </c>
      <c r="B5571" s="514"/>
      <c r="C5571" s="514"/>
      <c r="D5571" s="514"/>
      <c r="E5571" s="181"/>
      <c r="F5571" s="182" t="s">
        <v>4227</v>
      </c>
      <c r="G5571" s="181" t="s">
        <v>4228</v>
      </c>
      <c r="H5571" s="194"/>
    </row>
    <row r="5572" spans="1:14">
      <c r="A5572" s="204" t="s">
        <v>4096</v>
      </c>
      <c r="B5572" s="62"/>
      <c r="C5572" s="62"/>
      <c r="D5572" s="63"/>
      <c r="E5572" s="68"/>
      <c r="F5572" s="69">
        <v>0</v>
      </c>
      <c r="G5572" s="70" t="e">
        <f>F5572*H5537</f>
        <v>#VALUE!</v>
      </c>
      <c r="H5572" s="193"/>
    </row>
    <row r="5573" spans="1:14">
      <c r="A5573" s="205" t="s">
        <v>4229</v>
      </c>
      <c r="B5573" s="71"/>
      <c r="C5573" s="71"/>
      <c r="D5573" s="72"/>
      <c r="E5573" s="68"/>
      <c r="F5573" s="69">
        <v>0</v>
      </c>
      <c r="G5573" s="70" t="e">
        <f>F5573*H5537</f>
        <v>#VALUE!</v>
      </c>
      <c r="H5573" s="193"/>
    </row>
    <row r="5574" spans="1:14">
      <c r="A5574" s="205" t="s">
        <v>4</v>
      </c>
      <c r="B5574" s="71"/>
      <c r="C5574" s="71"/>
      <c r="D5574" s="72"/>
      <c r="E5574" s="68"/>
      <c r="F5574" s="69">
        <v>0</v>
      </c>
      <c r="G5574" s="70" t="e">
        <f>F5574*H5537</f>
        <v>#VALUE!</v>
      </c>
      <c r="H5574" s="193"/>
    </row>
    <row r="5575" spans="1:14">
      <c r="A5575" s="206"/>
      <c r="B5575" s="73"/>
      <c r="C5575" s="65"/>
      <c r="D5575" s="74"/>
      <c r="E5575" s="75"/>
      <c r="F5575" s="76"/>
      <c r="G5575" s="77"/>
      <c r="H5575" s="195"/>
    </row>
    <row r="5576" spans="1:14">
      <c r="A5576" s="207"/>
      <c r="B5576" s="73"/>
      <c r="C5576" s="73"/>
      <c r="D5576" s="74"/>
      <c r="E5576" s="78"/>
      <c r="F5576" s="515" t="s">
        <v>4230</v>
      </c>
      <c r="G5576" s="516"/>
      <c r="H5576" s="214" t="e">
        <f>H5537+G5572+G5573+G5574</f>
        <v>#VALUE!</v>
      </c>
    </row>
    <row r="5577" spans="1:14">
      <c r="A5577" s="73"/>
      <c r="B5577" s="73"/>
      <c r="C5577" s="73"/>
      <c r="D5577" s="74"/>
      <c r="E5577" s="360"/>
      <c r="F5577" s="361"/>
      <c r="G5577" s="361"/>
      <c r="H5577" s="362"/>
    </row>
    <row r="5578" spans="1:14">
      <c r="A5578" s="80"/>
      <c r="B5578" s="80"/>
      <c r="C5578" s="80"/>
      <c r="D5578" s="80"/>
      <c r="E5578" s="80"/>
      <c r="F5578" s="80"/>
      <c r="G5578" s="80"/>
      <c r="H5578" s="353"/>
    </row>
    <row r="5579" spans="1:14">
      <c r="A5579" s="537" t="s">
        <v>4214</v>
      </c>
      <c r="B5579" s="538"/>
      <c r="C5579" s="538"/>
      <c r="D5579" s="538"/>
      <c r="E5579" s="538"/>
      <c r="F5579" s="538"/>
      <c r="G5579" s="538"/>
      <c r="H5579" s="539"/>
    </row>
    <row r="5580" spans="1:14">
      <c r="A5580" s="81"/>
      <c r="B5580" s="82"/>
      <c r="C5580" s="82"/>
      <c r="D5580" s="82"/>
      <c r="E5580" s="82"/>
      <c r="F5580" s="83"/>
      <c r="G5580" s="84"/>
      <c r="H5580" s="352">
        <f>ROUND((140/60)/8,4)</f>
        <v>0.29170000000000001</v>
      </c>
      <c r="I5580" s="105"/>
    </row>
    <row r="5581" spans="1:14">
      <c r="A5581" s="540" t="s">
        <v>4209</v>
      </c>
      <c r="B5581" s="542" t="str">
        <f>COSTOS!$C$14</f>
        <v>MODERNIZACION A TECNOLOGIA LED</v>
      </c>
      <c r="C5581" s="542"/>
      <c r="D5581" s="542"/>
      <c r="E5581" s="542"/>
      <c r="F5581" s="542"/>
      <c r="G5581" s="542"/>
      <c r="H5581" s="543" t="s">
        <v>4210</v>
      </c>
    </row>
    <row r="5582" spans="1:14">
      <c r="A5582" s="541"/>
      <c r="B5582" s="542"/>
      <c r="C5582" s="542"/>
      <c r="D5582" s="542"/>
      <c r="E5582" s="542"/>
      <c r="F5582" s="542"/>
      <c r="G5582" s="542"/>
      <c r="H5582" s="543"/>
    </row>
    <row r="5583" spans="1:14">
      <c r="A5583" s="541"/>
      <c r="B5583" s="542"/>
      <c r="C5583" s="542"/>
      <c r="D5583" s="542"/>
      <c r="E5583" s="542"/>
      <c r="F5583" s="542"/>
      <c r="G5583" s="542"/>
      <c r="H5583" s="543"/>
    </row>
    <row r="5584" spans="1:14" ht="15" customHeight="1">
      <c r="A5584" s="541"/>
      <c r="B5584" s="542"/>
      <c r="C5584" s="542"/>
      <c r="D5584" s="542"/>
      <c r="E5584" s="542"/>
      <c r="F5584" s="542"/>
      <c r="G5584" s="542"/>
      <c r="H5584" s="197">
        <f ca="1">TODAY()</f>
        <v>44889</v>
      </c>
      <c r="K5584" t="s">
        <v>4380</v>
      </c>
      <c r="L5584" t="s">
        <v>4381</v>
      </c>
      <c r="M5584" t="s">
        <v>4382</v>
      </c>
      <c r="N5584" t="s">
        <v>4383</v>
      </c>
    </row>
    <row r="5585" spans="1:15" ht="60.75" customHeight="1">
      <c r="A5585" s="209" t="s">
        <v>4211</v>
      </c>
      <c r="B5585" s="544" t="str">
        <f>COSTOS!$D$16</f>
        <v>Luminarias</v>
      </c>
      <c r="C5585" s="544"/>
      <c r="D5585" s="544"/>
      <c r="E5585" s="544"/>
      <c r="F5585" s="544"/>
      <c r="G5585" s="60" t="s">
        <v>4212</v>
      </c>
      <c r="H5585" s="363">
        <v>2.2799999999999998</v>
      </c>
      <c r="K5585" s="55" t="e">
        <f>H5610</f>
        <v>#VALUE!</v>
      </c>
      <c r="L5585" s="55">
        <f>H5620</f>
        <v>96368.345600000001</v>
      </c>
      <c r="M5585" s="55" t="e">
        <f>H5593</f>
        <v>#VALUE!</v>
      </c>
      <c r="N5585" s="55" t="e">
        <f>H5614</f>
        <v>#VALUE!</v>
      </c>
    </row>
    <row r="5586" spans="1:15" ht="43.2" customHeight="1">
      <c r="A5586" s="210" t="s">
        <v>4213</v>
      </c>
      <c r="B5586" s="545" t="str">
        <f>VLOOKUP(H5585,COSTOS!C:M,2,0)</f>
        <v>Poste concreto de 16 x 750 kgf</v>
      </c>
      <c r="C5586" s="546"/>
      <c r="D5586" s="546"/>
      <c r="E5586" s="547"/>
      <c r="F5586" s="61" t="s">
        <v>0</v>
      </c>
      <c r="G5586" s="328" t="str">
        <f>VLOOKUP(H5585,COSTOS!C:M,8,0)</f>
        <v>Und</v>
      </c>
      <c r="H5586" s="248"/>
      <c r="I5586" s="278"/>
      <c r="J5586" s="280"/>
      <c r="K5586" s="280"/>
      <c r="L5586" s="280"/>
    </row>
    <row r="5587" spans="1:15">
      <c r="A5587" s="211"/>
      <c r="B5587" s="102"/>
      <c r="C5587" s="102"/>
      <c r="D5587" s="102"/>
      <c r="E5587" s="103"/>
      <c r="F5587" s="104" t="s">
        <v>1</v>
      </c>
      <c r="G5587" s="328">
        <f>VLOOKUP(H5585,COSTOS!C:M,9,0)</f>
        <v>0</v>
      </c>
      <c r="H5587" s="329"/>
      <c r="I5587" s="279"/>
    </row>
    <row r="5588" spans="1:15">
      <c r="A5588" s="212" t="s">
        <v>4215</v>
      </c>
      <c r="B5588" s="65"/>
      <c r="C5588" s="65"/>
      <c r="D5588" s="66"/>
      <c r="E5588" s="190"/>
      <c r="F5588" s="191"/>
      <c r="G5588" s="192" t="s">
        <v>4216</v>
      </c>
      <c r="H5588" s="198" t="e">
        <f>H5593+H5610+H5614+H5620</f>
        <v>#VALUE!</v>
      </c>
    </row>
    <row r="5589" spans="1:15" ht="41.4">
      <c r="A5589" s="548" t="s">
        <v>4213</v>
      </c>
      <c r="B5589" s="548"/>
      <c r="C5589" s="548"/>
      <c r="D5589" s="67" t="s">
        <v>0</v>
      </c>
      <c r="E5589" s="188" t="s">
        <v>4217</v>
      </c>
      <c r="F5589" s="189" t="s">
        <v>4204</v>
      </c>
      <c r="G5589" s="64" t="s">
        <v>2</v>
      </c>
      <c r="H5589" s="199" t="s">
        <v>4218</v>
      </c>
      <c r="K5589" s="281"/>
    </row>
    <row r="5590" spans="1:15">
      <c r="A5590" s="517" t="s">
        <v>3946</v>
      </c>
      <c r="B5590" s="549">
        <f>VLOOKUP(A5590,'Equip, Herr y Transp'!$B$2:$E$738,2,0)</f>
        <v>2</v>
      </c>
      <c r="C5590" s="549"/>
      <c r="D5590" s="85">
        <f>VLOOKUP(A5590,'Equip, Herr y Transp'!$B$2:$E$217,2,0)</f>
        <v>2</v>
      </c>
      <c r="E5590" s="85" t="str">
        <f>VLOOKUP(A5590,'Equip, Herr y Transp'!$B$2:$E$217,3,0)</f>
        <v>EQU</v>
      </c>
      <c r="F5590" s="86">
        <f>H5580</f>
        <v>0.29170000000000001</v>
      </c>
      <c r="G5590" s="112" t="e">
        <f>F5590*E5590</f>
        <v>#VALUE!</v>
      </c>
      <c r="H5590" s="108"/>
    </row>
    <row r="5591" spans="1:15">
      <c r="A5591" s="517" t="s">
        <v>3894</v>
      </c>
      <c r="B5591" s="549">
        <f>VLOOKUP(A5591,'Equip, Herr y Transp'!$B$2:$E$738,2,0)</f>
        <v>4</v>
      </c>
      <c r="C5591" s="549"/>
      <c r="D5591" s="85">
        <f>VLOOKUP(A5591,'Equip, Herr y Transp'!$B$2:$E$217,2,0)</f>
        <v>4</v>
      </c>
      <c r="E5591" s="85" t="str">
        <f>VLOOKUP(A5591,'Equip, Herr y Transp'!$B$2:$E$217,3,0)</f>
        <v>TR</v>
      </c>
      <c r="F5591" s="86">
        <f>H5580</f>
        <v>0.29170000000000001</v>
      </c>
      <c r="G5591" s="112" t="e">
        <f>F5591*E5591</f>
        <v>#VALUE!</v>
      </c>
      <c r="H5591" s="107"/>
    </row>
    <row r="5592" spans="1:15">
      <c r="A5592" s="517" t="s">
        <v>8</v>
      </c>
      <c r="B5592" s="549" t="e">
        <f>VLOOKUP(A5592,'Equip, Herr y Transp'!$B$2:$E$738,2,0)</f>
        <v>#N/A</v>
      </c>
      <c r="C5592" s="549"/>
      <c r="D5592" s="85" t="e">
        <f>VLOOKUP(A5592,'Equip, Herr y Transp'!$B$2:$E$217,2,0)</f>
        <v>#N/A</v>
      </c>
      <c r="E5592" s="85" t="e">
        <f>VLOOKUP(A5592,'Equip, Herr y Transp'!$B$2:$E$217,3,0)</f>
        <v>#N/A</v>
      </c>
      <c r="F5592" s="86">
        <f>F5591</f>
        <v>0.29170000000000001</v>
      </c>
      <c r="G5592" s="112" t="e">
        <f>F5592*E5592</f>
        <v>#N/A</v>
      </c>
      <c r="H5592" s="107"/>
    </row>
    <row r="5593" spans="1:15">
      <c r="A5593" s="520" t="s">
        <v>4099</v>
      </c>
      <c r="B5593" s="521"/>
      <c r="C5593" s="521"/>
      <c r="D5593" s="521"/>
      <c r="E5593" s="521"/>
      <c r="F5593" s="521"/>
      <c r="G5593" s="521"/>
      <c r="H5593" s="87" t="e">
        <f>SUM(G5590:G5592)</f>
        <v>#VALUE!</v>
      </c>
    </row>
    <row r="5594" spans="1:15">
      <c r="A5594" s="550" t="s">
        <v>4219</v>
      </c>
      <c r="B5594" s="551"/>
      <c r="C5594" s="551"/>
      <c r="D5594" s="551"/>
      <c r="E5594" s="551"/>
      <c r="F5594" s="551"/>
      <c r="G5594" s="551"/>
      <c r="H5594" s="552"/>
      <c r="K5594" s="50"/>
      <c r="L5594" s="50"/>
      <c r="M5594" s="50"/>
      <c r="N5594" s="50"/>
      <c r="O5594" s="50"/>
    </row>
    <row r="5595" spans="1:15" ht="30" customHeight="1">
      <c r="A5595" s="553" t="s">
        <v>7</v>
      </c>
      <c r="B5595" s="554"/>
      <c r="C5595" s="99" t="s">
        <v>0</v>
      </c>
      <c r="D5595" s="100" t="s">
        <v>4097</v>
      </c>
      <c r="E5595" s="101" t="s">
        <v>1</v>
      </c>
      <c r="F5595" s="555" t="s">
        <v>4207</v>
      </c>
      <c r="G5595" s="555"/>
      <c r="H5595" s="196"/>
      <c r="K5595" s="50"/>
      <c r="L5595" s="50"/>
      <c r="M5595" s="50"/>
      <c r="N5595" s="50"/>
      <c r="O5595" s="50"/>
    </row>
    <row r="5596" spans="1:15">
      <c r="A5596" s="535" t="s">
        <v>4824</v>
      </c>
      <c r="B5596" s="536"/>
      <c r="C5596" s="88">
        <f>VLOOKUP(A5596,'Materiales '!$C$2:$G$396,3,0)</f>
        <v>4</v>
      </c>
      <c r="D5596" s="89" t="str">
        <f>VLOOKUP(A5596,'Materiales '!$C$2:$G$396,4,0)</f>
        <v>Und</v>
      </c>
      <c r="E5596" s="90">
        <v>1</v>
      </c>
      <c r="F5596" s="508" t="e">
        <f>E5596*D5596</f>
        <v>#VALUE!</v>
      </c>
      <c r="G5596" s="519"/>
      <c r="H5596" s="111"/>
      <c r="I5596">
        <f>E5596*G5587</f>
        <v>0</v>
      </c>
      <c r="J5596" s="57"/>
      <c r="K5596" s="50"/>
      <c r="L5596" s="50"/>
      <c r="M5596" s="50"/>
      <c r="N5596" s="50"/>
      <c r="O5596" s="50"/>
    </row>
    <row r="5597" spans="1:15">
      <c r="A5597" s="535" t="s">
        <v>4617</v>
      </c>
      <c r="B5597" s="536"/>
      <c r="C5597" s="88">
        <f>VLOOKUP(A5597,'Materiales '!$C$2:$G$396,3,0)</f>
        <v>3</v>
      </c>
      <c r="D5597" s="89" t="str">
        <f>VLOOKUP(A5597,'Materiales '!$C$2:$G$396,4,0)</f>
        <v>Rollo</v>
      </c>
      <c r="E5597" s="90">
        <v>1</v>
      </c>
      <c r="F5597" s="508" t="e">
        <f t="shared" ref="F5597:F5603" si="328">E5597*D5597</f>
        <v>#VALUE!</v>
      </c>
      <c r="G5597" s="519"/>
      <c r="H5597" s="111"/>
      <c r="I5597">
        <f>E5597*G5587</f>
        <v>0</v>
      </c>
      <c r="J5597" s="57"/>
      <c r="K5597" s="50"/>
      <c r="L5597" s="50"/>
      <c r="M5597" s="50"/>
      <c r="N5597" s="50"/>
      <c r="O5597" s="50"/>
    </row>
    <row r="5598" spans="1:15">
      <c r="A5598" s="517" t="s">
        <v>8</v>
      </c>
      <c r="B5598" s="518">
        <f>VLOOKUP(A5598,'Materiales '!$C$2:$G$396,3,0)</f>
        <v>0</v>
      </c>
      <c r="C5598" s="88">
        <f>VLOOKUP(A5598,'Materiales '!$C$2:$G$396,3,0)</f>
        <v>0</v>
      </c>
      <c r="D5598" s="89" t="str">
        <f>VLOOKUP(A5598,'Materiales '!$C$2:$G$396,4,0)</f>
        <v>-</v>
      </c>
      <c r="E5598" s="90">
        <v>6</v>
      </c>
      <c r="F5598" s="508" t="e">
        <f t="shared" si="328"/>
        <v>#VALUE!</v>
      </c>
      <c r="G5598" s="519"/>
      <c r="H5598" s="111"/>
      <c r="I5598">
        <f>E5598*G5587</f>
        <v>0</v>
      </c>
      <c r="J5598" s="58"/>
      <c r="K5598" s="50"/>
      <c r="L5598" s="50"/>
      <c r="M5598" s="50"/>
      <c r="N5598" s="50"/>
      <c r="O5598" s="50"/>
    </row>
    <row r="5599" spans="1:15">
      <c r="A5599" s="517" t="s">
        <v>8</v>
      </c>
      <c r="B5599" s="518">
        <f>VLOOKUP(A5599,'Materiales '!$C$2:$G$396,3,0)</f>
        <v>0</v>
      </c>
      <c r="C5599" s="88">
        <f>VLOOKUP(A5599,'Materiales '!$C$2:$G$396,3,0)</f>
        <v>0</v>
      </c>
      <c r="D5599" s="89" t="str">
        <f>VLOOKUP(A5599,'Materiales '!$C$2:$G$396,4,0)</f>
        <v>-</v>
      </c>
      <c r="E5599" s="90">
        <v>3</v>
      </c>
      <c r="F5599" s="508" t="e">
        <f t="shared" si="328"/>
        <v>#VALUE!</v>
      </c>
      <c r="G5599" s="519"/>
      <c r="H5599" s="111"/>
      <c r="I5599">
        <f>E5599*G5587</f>
        <v>0</v>
      </c>
      <c r="J5599" s="58"/>
      <c r="K5599" s="50"/>
      <c r="L5599" s="50"/>
      <c r="M5599" s="50"/>
      <c r="N5599" s="50"/>
      <c r="O5599" s="50"/>
    </row>
    <row r="5600" spans="1:15">
      <c r="A5600" s="517" t="s">
        <v>8</v>
      </c>
      <c r="B5600" s="518">
        <f>VLOOKUP(A5600,'Materiales '!$C$2:$G$396,3,0)</f>
        <v>0</v>
      </c>
      <c r="C5600" s="88">
        <f>VLOOKUP(A5600,'Materiales '!$C$2:$G$396,3,0)</f>
        <v>0</v>
      </c>
      <c r="D5600" s="89" t="str">
        <f>VLOOKUP(A5600,'Materiales '!$C$2:$G$396,4,0)</f>
        <v>-</v>
      </c>
      <c r="E5600" s="90">
        <v>2</v>
      </c>
      <c r="F5600" s="508" t="e">
        <f t="shared" si="328"/>
        <v>#VALUE!</v>
      </c>
      <c r="G5600" s="519"/>
      <c r="H5600" s="111"/>
      <c r="I5600">
        <f>E5600*G5587</f>
        <v>0</v>
      </c>
      <c r="J5600" s="58"/>
      <c r="K5600" s="50"/>
      <c r="L5600" s="50"/>
      <c r="M5600" s="50"/>
      <c r="N5600" s="50"/>
      <c r="O5600" s="50"/>
    </row>
    <row r="5601" spans="1:15">
      <c r="A5601" s="517" t="s">
        <v>8</v>
      </c>
      <c r="B5601" s="518">
        <f>VLOOKUP(A5601,'Materiales '!$C$2:$G$396,3,0)</f>
        <v>0</v>
      </c>
      <c r="C5601" s="88">
        <f>VLOOKUP(A5601,'Materiales '!$C$2:$G$396,3,0)</f>
        <v>0</v>
      </c>
      <c r="D5601" s="89" t="str">
        <f>VLOOKUP(A5601,'Materiales '!$C$2:$G$396,4,0)</f>
        <v>-</v>
      </c>
      <c r="E5601" s="90">
        <v>8</v>
      </c>
      <c r="F5601" s="508" t="e">
        <f t="shared" si="328"/>
        <v>#VALUE!</v>
      </c>
      <c r="G5601" s="519"/>
      <c r="H5601" s="111"/>
      <c r="I5601">
        <f>E5601*G5587</f>
        <v>0</v>
      </c>
      <c r="J5601" s="58"/>
      <c r="K5601" s="50"/>
      <c r="L5601" s="50"/>
      <c r="M5601" s="50"/>
      <c r="N5601" s="50"/>
      <c r="O5601" s="50"/>
    </row>
    <row r="5602" spans="1:15">
      <c r="A5602" s="517" t="s">
        <v>8</v>
      </c>
      <c r="B5602" s="518">
        <f>VLOOKUP(A5602,'Materiales '!$C$2:$G$396,3,0)</f>
        <v>0</v>
      </c>
      <c r="C5602" s="88">
        <f>VLOOKUP(A5602,'Materiales '!$C$2:$G$396,3,0)</f>
        <v>0</v>
      </c>
      <c r="D5602" s="89" t="str">
        <f>VLOOKUP(A5602,'Materiales '!$C$2:$G$396,4,0)</f>
        <v>-</v>
      </c>
      <c r="E5602" s="90">
        <v>3</v>
      </c>
      <c r="F5602" s="508" t="e">
        <f t="shared" si="328"/>
        <v>#VALUE!</v>
      </c>
      <c r="G5602" s="519"/>
      <c r="H5602" s="111"/>
      <c r="I5602">
        <f>E5602*G5587</f>
        <v>0</v>
      </c>
      <c r="J5602" s="58"/>
      <c r="K5602" s="50"/>
      <c r="L5602" s="50"/>
      <c r="M5602" s="50"/>
      <c r="N5602" s="50"/>
      <c r="O5602" s="50"/>
    </row>
    <row r="5603" spans="1:15" ht="21.75" customHeight="1">
      <c r="A5603" s="517" t="s">
        <v>8</v>
      </c>
      <c r="B5603" s="518">
        <f>VLOOKUP(A5603,'Materiales '!$C$2:$G$396,3,0)</f>
        <v>0</v>
      </c>
      <c r="C5603" s="88">
        <f>VLOOKUP(A5603,'Materiales '!$C$2:$G$396,3,0)</f>
        <v>0</v>
      </c>
      <c r="D5603" s="89" t="str">
        <f>VLOOKUP(A5603,'Materiales '!$C$2:$G$396,4,0)</f>
        <v>-</v>
      </c>
      <c r="E5603" s="90">
        <v>0.5</v>
      </c>
      <c r="F5603" s="508" t="e">
        <f t="shared" si="328"/>
        <v>#VALUE!</v>
      </c>
      <c r="G5603" s="519"/>
      <c r="H5603" s="111"/>
      <c r="I5603">
        <f>E5603*G5587</f>
        <v>0</v>
      </c>
      <c r="J5603" s="58"/>
      <c r="K5603" s="50"/>
      <c r="L5603" s="50"/>
      <c r="M5603" s="50"/>
      <c r="N5603" s="50"/>
      <c r="O5603" s="50"/>
    </row>
    <row r="5604" spans="1:15">
      <c r="A5604" s="517" t="s">
        <v>8</v>
      </c>
      <c r="B5604" s="518">
        <f>VLOOKUP(A5604,'Materiales '!$C$2:$G$396,3,0)</f>
        <v>0</v>
      </c>
      <c r="C5604" s="88">
        <f>VLOOKUP(A5604,'Materiales '!$C$2:$G$396,3,0)</f>
        <v>0</v>
      </c>
      <c r="D5604" s="89" t="str">
        <f>VLOOKUP(A5604,'Materiales '!$C$2:$G$396,4,0)</f>
        <v>-</v>
      </c>
      <c r="E5604" s="90"/>
      <c r="F5604" s="508" t="e">
        <f>E5604*D5604</f>
        <v>#VALUE!</v>
      </c>
      <c r="G5604" s="519"/>
      <c r="H5604" s="110"/>
      <c r="I5604">
        <f>E5604*G5587</f>
        <v>0</v>
      </c>
      <c r="J5604" s="58"/>
      <c r="K5604" s="50"/>
      <c r="L5604" s="50"/>
      <c r="M5604" s="50"/>
      <c r="N5604" s="50"/>
      <c r="O5604" s="50"/>
    </row>
    <row r="5605" spans="1:15">
      <c r="A5605" s="517" t="s">
        <v>8</v>
      </c>
      <c r="B5605" s="518">
        <f>VLOOKUP(A5605,'Materiales '!$C$2:$G$396,3,0)</f>
        <v>0</v>
      </c>
      <c r="C5605" s="88">
        <f>VLOOKUP(A5605,'Materiales '!$C$2:$G$396,3,0)</f>
        <v>0</v>
      </c>
      <c r="D5605" s="89" t="str">
        <f>VLOOKUP(A5605,'Materiales '!$C$2:$G$396,4,0)</f>
        <v>-</v>
      </c>
      <c r="E5605" s="90"/>
      <c r="F5605" s="508" t="e">
        <f t="shared" ref="F5605:F5608" si="329">E5605*D5605</f>
        <v>#VALUE!</v>
      </c>
      <c r="G5605" s="519"/>
      <c r="H5605" s="111"/>
      <c r="I5605">
        <f>E5605*G5587</f>
        <v>0</v>
      </c>
      <c r="J5605" s="58"/>
      <c r="K5605" s="50"/>
      <c r="L5605" s="50"/>
      <c r="M5605" s="50"/>
      <c r="N5605" s="50"/>
      <c r="O5605" s="50"/>
    </row>
    <row r="5606" spans="1:15">
      <c r="A5606" s="517" t="s">
        <v>8</v>
      </c>
      <c r="B5606" s="518">
        <f>VLOOKUP(A5606,'Materiales '!$C$2:$G$396,3,0)</f>
        <v>0</v>
      </c>
      <c r="C5606" s="88">
        <f>VLOOKUP(A5606,'Materiales '!$C$2:$G$396,3,0)</f>
        <v>0</v>
      </c>
      <c r="D5606" s="89" t="str">
        <f>VLOOKUP(A5606,'Materiales '!$C$2:$G$396,4,0)</f>
        <v>-</v>
      </c>
      <c r="E5606" s="90"/>
      <c r="F5606" s="508" t="e">
        <f t="shared" si="329"/>
        <v>#VALUE!</v>
      </c>
      <c r="G5606" s="519"/>
      <c r="H5606" s="111"/>
      <c r="I5606">
        <f>E5606*G5587</f>
        <v>0</v>
      </c>
      <c r="J5606" s="58"/>
      <c r="K5606" s="50"/>
      <c r="L5606" s="50"/>
      <c r="M5606" s="50"/>
      <c r="N5606" s="50"/>
      <c r="O5606" s="50"/>
    </row>
    <row r="5607" spans="1:15">
      <c r="A5607" s="517" t="s">
        <v>8</v>
      </c>
      <c r="B5607" s="518">
        <f>VLOOKUP(A5607,'Materiales '!$C$2:$G$396,3,0)</f>
        <v>0</v>
      </c>
      <c r="C5607" s="88">
        <f>VLOOKUP(A5607,'Materiales '!$C$2:$G$396,3,0)</f>
        <v>0</v>
      </c>
      <c r="D5607" s="89" t="str">
        <f>VLOOKUP(A5607,'Materiales '!$C$2:$G$396,4,0)</f>
        <v>-</v>
      </c>
      <c r="E5607" s="90"/>
      <c r="F5607" s="508" t="e">
        <f t="shared" si="329"/>
        <v>#VALUE!</v>
      </c>
      <c r="G5607" s="519"/>
      <c r="H5607" s="111"/>
      <c r="I5607">
        <f>E5607*G5587</f>
        <v>0</v>
      </c>
      <c r="J5607" s="58"/>
      <c r="K5607" s="50"/>
      <c r="L5607" s="50"/>
      <c r="M5607" s="50"/>
      <c r="N5607" s="50"/>
      <c r="O5607" s="50"/>
    </row>
    <row r="5608" spans="1:15">
      <c r="A5608" s="517" t="s">
        <v>8</v>
      </c>
      <c r="B5608" s="518">
        <f>VLOOKUP(A5608,'Materiales '!$C$2:$G$396,3,0)</f>
        <v>0</v>
      </c>
      <c r="C5608" s="88">
        <f>VLOOKUP(A5608,'Materiales '!$C$2:$G$396,3,0)</f>
        <v>0</v>
      </c>
      <c r="D5608" s="89" t="str">
        <f>VLOOKUP(A5608,'Materiales '!$C$2:$G$396,4,0)</f>
        <v>-</v>
      </c>
      <c r="E5608" s="90"/>
      <c r="F5608" s="508" t="e">
        <f t="shared" si="329"/>
        <v>#VALUE!</v>
      </c>
      <c r="G5608" s="519"/>
      <c r="H5608" s="111"/>
      <c r="I5608">
        <f>E5608*G5587</f>
        <v>0</v>
      </c>
      <c r="J5608" s="58"/>
      <c r="K5608" s="50"/>
      <c r="L5608" s="50"/>
      <c r="M5608" s="50"/>
      <c r="N5608" s="50"/>
      <c r="O5608" s="50"/>
    </row>
    <row r="5609" spans="1:15">
      <c r="A5609" s="517" t="s">
        <v>8</v>
      </c>
      <c r="B5609" s="518">
        <f>VLOOKUP(A5609,'Materiales '!$C$2:$G$396,3,0)</f>
        <v>0</v>
      </c>
      <c r="C5609" s="88">
        <f>VLOOKUP(A5609,'Materiales '!$C$2:$G$396,3,0)</f>
        <v>0</v>
      </c>
      <c r="D5609" s="89" t="str">
        <f>VLOOKUP(A5609,'Materiales '!$C$2:$G$396,4,0)</f>
        <v>-</v>
      </c>
      <c r="E5609" s="90"/>
      <c r="F5609" s="508" t="e">
        <f>E5609*D5609</f>
        <v>#VALUE!</v>
      </c>
      <c r="G5609" s="519"/>
      <c r="H5609" s="110"/>
      <c r="I5609">
        <f>E5609*G5587</f>
        <v>0</v>
      </c>
      <c r="J5609" s="58"/>
      <c r="K5609" s="50"/>
      <c r="L5609" s="50"/>
      <c r="M5609" s="50"/>
      <c r="N5609" s="50"/>
      <c r="O5609" s="50"/>
    </row>
    <row r="5610" spans="1:15">
      <c r="A5610" s="520" t="s">
        <v>4098</v>
      </c>
      <c r="B5610" s="521"/>
      <c r="C5610" s="521"/>
      <c r="D5610" s="521"/>
      <c r="E5610" s="521"/>
      <c r="F5610" s="521"/>
      <c r="G5610" s="522"/>
      <c r="H5610" s="106" t="e">
        <f>SUM(F5596:F5609)</f>
        <v>#VALUE!</v>
      </c>
      <c r="J5610" s="58"/>
      <c r="K5610" s="50"/>
      <c r="L5610" s="50"/>
      <c r="M5610" s="50"/>
      <c r="N5610" s="50"/>
      <c r="O5610" s="50"/>
    </row>
    <row r="5611" spans="1:15">
      <c r="A5611" s="523" t="s">
        <v>4220</v>
      </c>
      <c r="B5611" s="524"/>
      <c r="C5611" s="524"/>
      <c r="D5611" s="524"/>
      <c r="E5611" s="525"/>
      <c r="F5611" s="524"/>
      <c r="G5611" s="524"/>
      <c r="H5611" s="526"/>
      <c r="J5611" s="58"/>
      <c r="K5611" s="50"/>
      <c r="L5611" s="50"/>
      <c r="M5611" s="50"/>
      <c r="N5611" s="50"/>
      <c r="O5611" s="50"/>
    </row>
    <row r="5612" spans="1:15">
      <c r="A5612" s="527" t="s">
        <v>7</v>
      </c>
      <c r="B5612" s="528"/>
      <c r="C5612" s="98" t="s">
        <v>4221</v>
      </c>
      <c r="D5612" s="97" t="s">
        <v>4222</v>
      </c>
      <c r="E5612" s="187" t="s">
        <v>4223</v>
      </c>
      <c r="F5612" s="529" t="s">
        <v>4207</v>
      </c>
      <c r="G5612" s="529"/>
      <c r="H5612" s="109"/>
      <c r="K5612" s="50"/>
      <c r="L5612" s="50"/>
      <c r="M5612" s="50"/>
      <c r="N5612" s="50"/>
      <c r="O5612" s="50"/>
    </row>
    <row r="5613" spans="1:15">
      <c r="A5613" s="506" t="s">
        <v>3893</v>
      </c>
      <c r="B5613" s="507"/>
      <c r="C5613" s="213">
        <v>1</v>
      </c>
      <c r="D5613" s="92">
        <v>0.3</v>
      </c>
      <c r="E5613" s="93" t="str">
        <f>VLOOKUP(A5613,'Equip, Herr y Transp'!$B$2:$E$217,3,0)</f>
        <v>TR</v>
      </c>
      <c r="F5613" s="530" t="e">
        <f>E5613*D5613*C5613</f>
        <v>#VALUE!</v>
      </c>
      <c r="G5613" s="531"/>
      <c r="H5613" s="107"/>
      <c r="M5613" s="50"/>
    </row>
    <row r="5614" spans="1:15">
      <c r="A5614" s="532" t="s">
        <v>4205</v>
      </c>
      <c r="B5614" s="533"/>
      <c r="C5614" s="533"/>
      <c r="D5614" s="533"/>
      <c r="E5614" s="533"/>
      <c r="F5614" s="533"/>
      <c r="G5614" s="533"/>
      <c r="H5614" s="95" t="e">
        <f>F5613</f>
        <v>#VALUE!</v>
      </c>
    </row>
    <row r="5615" spans="1:15">
      <c r="A5615" s="523" t="s">
        <v>4224</v>
      </c>
      <c r="B5615" s="524"/>
      <c r="C5615" s="524"/>
      <c r="D5615" s="524"/>
      <c r="E5615" s="524"/>
      <c r="F5615" s="524"/>
      <c r="G5615" s="524"/>
      <c r="H5615" s="526"/>
    </row>
    <row r="5616" spans="1:15">
      <c r="A5616" s="527" t="s">
        <v>7</v>
      </c>
      <c r="B5616" s="528"/>
      <c r="C5616" s="96" t="s">
        <v>1</v>
      </c>
      <c r="D5616" s="97" t="s">
        <v>4225</v>
      </c>
      <c r="E5616" s="98" t="s">
        <v>4204</v>
      </c>
      <c r="F5616" s="527" t="s">
        <v>5</v>
      </c>
      <c r="G5616" s="534"/>
      <c r="H5616" s="109"/>
    </row>
    <row r="5617" spans="1:10">
      <c r="A5617" s="506" t="s">
        <v>4191</v>
      </c>
      <c r="B5617" s="507"/>
      <c r="C5617" s="91">
        <v>1</v>
      </c>
      <c r="D5617" s="94">
        <f>VLOOKUP(A5617,'Mano Obra'!$B$2:$T$117,19,0)</f>
        <v>152456</v>
      </c>
      <c r="E5617" s="218">
        <f>H5580</f>
        <v>0.29170000000000001</v>
      </c>
      <c r="F5617" s="508">
        <f>E5617*D5617*C5617</f>
        <v>44471.415200000003</v>
      </c>
      <c r="G5617" s="509"/>
      <c r="H5617" s="111"/>
      <c r="I5617" s="59"/>
      <c r="J5617" s="117">
        <f>((('Mano Obra'!$M$4/30)*F5617)/D5617)*G5587</f>
        <v>0</v>
      </c>
    </row>
    <row r="5618" spans="1:10">
      <c r="A5618" s="510" t="s">
        <v>4192</v>
      </c>
      <c r="B5618" s="511">
        <f>VLOOKUP(A5618,'Mano Obra'!$B$3:$D$290,2,0)</f>
        <v>1900000</v>
      </c>
      <c r="C5618" s="91">
        <v>1</v>
      </c>
      <c r="D5618" s="94">
        <f>VLOOKUP(A5618,'Mano Obra'!$B$2:$T$117,19,0)</f>
        <v>110488</v>
      </c>
      <c r="E5618" s="218">
        <f>H5580</f>
        <v>0.29170000000000001</v>
      </c>
      <c r="F5618" s="508">
        <f t="shared" ref="F5618:F5619" si="330">E5618*D5618*C5618</f>
        <v>32229.349600000001</v>
      </c>
      <c r="G5618" s="509"/>
      <c r="H5618" s="111"/>
      <c r="J5618" s="117">
        <f>((('Mano Obra'!$M$5/30)*F5618)/D5618)*G5587</f>
        <v>0</v>
      </c>
    </row>
    <row r="5619" spans="1:10">
      <c r="A5619" s="510" t="s">
        <v>4181</v>
      </c>
      <c r="B5619" s="511">
        <f>VLOOKUP(A5619,'Mano Obra'!$B$3:$D$290,2,0)</f>
        <v>1000000</v>
      </c>
      <c r="C5619" s="91">
        <v>1</v>
      </c>
      <c r="D5619" s="94">
        <f>VLOOKUP(A5619,'Mano Obra'!$B$2:$T$117,19,0)</f>
        <v>67424</v>
      </c>
      <c r="E5619" s="218">
        <f>H5580</f>
        <v>0.29170000000000001</v>
      </c>
      <c r="F5619" s="508">
        <f t="shared" si="330"/>
        <v>19667.5808</v>
      </c>
      <c r="G5619" s="509"/>
      <c r="H5619" s="110"/>
      <c r="J5619" s="117">
        <f>((('Mano Obra'!$M$6/30)*F5619)/D5619)*G5587</f>
        <v>0</v>
      </c>
    </row>
    <row r="5620" spans="1:10">
      <c r="A5620" s="512" t="s">
        <v>4100</v>
      </c>
      <c r="B5620" s="512"/>
      <c r="C5620" s="512"/>
      <c r="D5620" s="512"/>
      <c r="E5620" s="512"/>
      <c r="F5620" s="512"/>
      <c r="G5620" s="512"/>
      <c r="H5620" s="95">
        <f>SUM(F5617:F5619)</f>
        <v>96368.345600000001</v>
      </c>
      <c r="J5620" s="117"/>
    </row>
    <row r="5621" spans="1:10">
      <c r="A5621" s="208" t="s">
        <v>4226</v>
      </c>
      <c r="B5621" s="186"/>
      <c r="C5621" s="186"/>
      <c r="D5621" s="183"/>
      <c r="E5621" s="184"/>
      <c r="F5621" s="185"/>
      <c r="G5621" s="184"/>
      <c r="H5621" s="193"/>
    </row>
    <row r="5622" spans="1:10">
      <c r="A5622" s="513" t="s">
        <v>4213</v>
      </c>
      <c r="B5622" s="514"/>
      <c r="C5622" s="514"/>
      <c r="D5622" s="514"/>
      <c r="E5622" s="181"/>
      <c r="F5622" s="182" t="s">
        <v>4227</v>
      </c>
      <c r="G5622" s="181" t="s">
        <v>4228</v>
      </c>
      <c r="H5622" s="194"/>
    </row>
    <row r="5623" spans="1:10">
      <c r="A5623" s="204" t="s">
        <v>4096</v>
      </c>
      <c r="B5623" s="62"/>
      <c r="C5623" s="62"/>
      <c r="D5623" s="63"/>
      <c r="E5623" s="68"/>
      <c r="F5623" s="69">
        <v>0</v>
      </c>
      <c r="G5623" s="70" t="e">
        <f>F5623*H5588</f>
        <v>#VALUE!</v>
      </c>
      <c r="H5623" s="193"/>
    </row>
    <row r="5624" spans="1:10">
      <c r="A5624" s="205" t="s">
        <v>4229</v>
      </c>
      <c r="B5624" s="71"/>
      <c r="C5624" s="71"/>
      <c r="D5624" s="72"/>
      <c r="E5624" s="68"/>
      <c r="F5624" s="69">
        <v>0</v>
      </c>
      <c r="G5624" s="70" t="e">
        <f>F5624*H5588</f>
        <v>#VALUE!</v>
      </c>
      <c r="H5624" s="193"/>
    </row>
    <row r="5625" spans="1:10">
      <c r="A5625" s="205" t="s">
        <v>4</v>
      </c>
      <c r="B5625" s="71"/>
      <c r="C5625" s="71"/>
      <c r="D5625" s="72"/>
      <c r="E5625" s="68"/>
      <c r="F5625" s="69">
        <v>0</v>
      </c>
      <c r="G5625" s="70" t="e">
        <f>F5625*H5588</f>
        <v>#VALUE!</v>
      </c>
      <c r="H5625" s="193"/>
    </row>
    <row r="5626" spans="1:10">
      <c r="A5626" s="206"/>
      <c r="B5626" s="73"/>
      <c r="C5626" s="65"/>
      <c r="D5626" s="74"/>
      <c r="E5626" s="75"/>
      <c r="F5626" s="76"/>
      <c r="G5626" s="77"/>
      <c r="H5626" s="195"/>
    </row>
    <row r="5627" spans="1:10">
      <c r="A5627" s="207"/>
      <c r="B5627" s="73"/>
      <c r="C5627" s="73"/>
      <c r="D5627" s="74"/>
      <c r="E5627" s="78"/>
      <c r="F5627" s="515" t="s">
        <v>4230</v>
      </c>
      <c r="G5627" s="516"/>
      <c r="H5627" s="214" t="e">
        <f>H5588+G5623+G5624+G5625</f>
        <v>#VALUE!</v>
      </c>
    </row>
    <row r="5628" spans="1:10">
      <c r="A5628" s="73"/>
      <c r="B5628" s="73"/>
      <c r="C5628" s="73"/>
      <c r="D5628" s="74"/>
      <c r="E5628" s="360"/>
      <c r="F5628" s="361"/>
      <c r="G5628" s="361"/>
      <c r="H5628" s="362"/>
    </row>
    <row r="5629" spans="1:10">
      <c r="A5629" s="80"/>
      <c r="B5629" s="80"/>
      <c r="C5629" s="80"/>
      <c r="D5629" s="80"/>
      <c r="E5629" s="80"/>
      <c r="F5629" s="80"/>
      <c r="G5629" s="80"/>
      <c r="H5629" s="353"/>
    </row>
    <row r="5630" spans="1:10">
      <c r="A5630" s="537" t="s">
        <v>4214</v>
      </c>
      <c r="B5630" s="538"/>
      <c r="C5630" s="538"/>
      <c r="D5630" s="538"/>
      <c r="E5630" s="538"/>
      <c r="F5630" s="538"/>
      <c r="G5630" s="538"/>
      <c r="H5630" s="539"/>
    </row>
    <row r="5631" spans="1:10">
      <c r="A5631" s="81"/>
      <c r="B5631" s="82"/>
      <c r="C5631" s="82"/>
      <c r="D5631" s="82"/>
      <c r="E5631" s="82"/>
      <c r="F5631" s="83"/>
      <c r="G5631" s="84"/>
      <c r="H5631" s="352">
        <f>ROUND((80/60)/8,4)</f>
        <v>0.16669999999999999</v>
      </c>
      <c r="I5631" s="105"/>
    </row>
    <row r="5632" spans="1:10">
      <c r="A5632" s="540" t="s">
        <v>4209</v>
      </c>
      <c r="B5632" s="542" t="str">
        <f>COSTOS!$C$14</f>
        <v>MODERNIZACION A TECNOLOGIA LED</v>
      </c>
      <c r="C5632" s="542"/>
      <c r="D5632" s="542"/>
      <c r="E5632" s="542"/>
      <c r="F5632" s="542"/>
      <c r="G5632" s="542"/>
      <c r="H5632" s="543" t="s">
        <v>4210</v>
      </c>
    </row>
    <row r="5633" spans="1:15">
      <c r="A5633" s="541"/>
      <c r="B5633" s="542"/>
      <c r="C5633" s="542"/>
      <c r="D5633" s="542"/>
      <c r="E5633" s="542"/>
      <c r="F5633" s="542"/>
      <c r="G5633" s="542"/>
      <c r="H5633" s="543"/>
    </row>
    <row r="5634" spans="1:15">
      <c r="A5634" s="541"/>
      <c r="B5634" s="542"/>
      <c r="C5634" s="542"/>
      <c r="D5634" s="542"/>
      <c r="E5634" s="542"/>
      <c r="F5634" s="542"/>
      <c r="G5634" s="542"/>
      <c r="H5634" s="543"/>
    </row>
    <row r="5635" spans="1:15" ht="15" customHeight="1">
      <c r="A5635" s="541"/>
      <c r="B5635" s="542"/>
      <c r="C5635" s="542"/>
      <c r="D5635" s="542"/>
      <c r="E5635" s="542"/>
      <c r="F5635" s="542"/>
      <c r="G5635" s="542"/>
      <c r="H5635" s="197">
        <f ca="1">TODAY()</f>
        <v>44889</v>
      </c>
      <c r="K5635" t="s">
        <v>4380</v>
      </c>
      <c r="L5635" t="s">
        <v>4381</v>
      </c>
      <c r="M5635" t="s">
        <v>4382</v>
      </c>
      <c r="N5635" t="s">
        <v>4383</v>
      </c>
    </row>
    <row r="5636" spans="1:15" ht="60.75" customHeight="1">
      <c r="A5636" s="209" t="s">
        <v>4211</v>
      </c>
      <c r="B5636" s="544" t="str">
        <f>COSTOS!$D$16</f>
        <v>Luminarias</v>
      </c>
      <c r="C5636" s="544"/>
      <c r="D5636" s="544"/>
      <c r="E5636" s="544"/>
      <c r="F5636" s="544"/>
      <c r="G5636" s="60" t="s">
        <v>4212</v>
      </c>
      <c r="H5636" s="363">
        <v>2.29</v>
      </c>
      <c r="K5636" s="55" t="e">
        <f>H5661</f>
        <v>#VALUE!</v>
      </c>
      <c r="L5636" s="55">
        <f>H5671</f>
        <v>55072.345600000001</v>
      </c>
      <c r="M5636" s="55" t="e">
        <f>H5644</f>
        <v>#VALUE!</v>
      </c>
      <c r="N5636" s="55" t="e">
        <f>H5665</f>
        <v>#VALUE!</v>
      </c>
    </row>
    <row r="5637" spans="1:15" ht="43.2" customHeight="1">
      <c r="A5637" s="210" t="s">
        <v>4213</v>
      </c>
      <c r="B5637" s="545" t="str">
        <f>VLOOKUP(H5636,COSTOS!C:M,2,0)</f>
        <v>Poste concreto de 14 x 510 kgf</v>
      </c>
      <c r="C5637" s="546"/>
      <c r="D5637" s="546"/>
      <c r="E5637" s="547"/>
      <c r="F5637" s="61" t="s">
        <v>0</v>
      </c>
      <c r="G5637" s="328" t="str">
        <f>VLOOKUP(H5636,COSTOS!C:M,8,0)</f>
        <v>Und</v>
      </c>
      <c r="H5637" s="248"/>
      <c r="I5637" s="278"/>
      <c r="J5637" s="280"/>
      <c r="K5637" s="280"/>
      <c r="L5637" s="280"/>
    </row>
    <row r="5638" spans="1:15">
      <c r="A5638" s="211"/>
      <c r="B5638" s="102"/>
      <c r="C5638" s="102"/>
      <c r="D5638" s="102"/>
      <c r="E5638" s="103"/>
      <c r="F5638" s="104" t="s">
        <v>1</v>
      </c>
      <c r="G5638" s="328">
        <f>VLOOKUP(H5636,COSTOS!C:M,9,0)</f>
        <v>0</v>
      </c>
      <c r="H5638" s="329"/>
      <c r="I5638" s="279"/>
    </row>
    <row r="5639" spans="1:15">
      <c r="A5639" s="212" t="s">
        <v>4215</v>
      </c>
      <c r="B5639" s="65"/>
      <c r="C5639" s="65"/>
      <c r="D5639" s="66"/>
      <c r="E5639" s="190"/>
      <c r="F5639" s="191"/>
      <c r="G5639" s="192" t="s">
        <v>4216</v>
      </c>
      <c r="H5639" s="198" t="e">
        <f>H5644+H5661+H5665+H5671</f>
        <v>#VALUE!</v>
      </c>
    </row>
    <row r="5640" spans="1:15" ht="41.4">
      <c r="A5640" s="548" t="s">
        <v>4213</v>
      </c>
      <c r="B5640" s="548"/>
      <c r="C5640" s="548"/>
      <c r="D5640" s="67" t="s">
        <v>0</v>
      </c>
      <c r="E5640" s="188" t="s">
        <v>4217</v>
      </c>
      <c r="F5640" s="189" t="s">
        <v>4204</v>
      </c>
      <c r="G5640" s="64" t="s">
        <v>2</v>
      </c>
      <c r="H5640" s="199" t="s">
        <v>4218</v>
      </c>
      <c r="K5640" s="281"/>
    </row>
    <row r="5641" spans="1:15">
      <c r="A5641" s="517" t="s">
        <v>3946</v>
      </c>
      <c r="B5641" s="549">
        <f>VLOOKUP(A5641,'Equip, Herr y Transp'!$B$2:$E$738,2,0)</f>
        <v>2</v>
      </c>
      <c r="C5641" s="549"/>
      <c r="D5641" s="85">
        <f>VLOOKUP(A5641,'Equip, Herr y Transp'!$B$2:$E$217,2,0)</f>
        <v>2</v>
      </c>
      <c r="E5641" s="85" t="str">
        <f>VLOOKUP(A5641,'Equip, Herr y Transp'!$B$2:$E$217,3,0)</f>
        <v>EQU</v>
      </c>
      <c r="F5641" s="86">
        <f>H5631</f>
        <v>0.16669999999999999</v>
      </c>
      <c r="G5641" s="112" t="e">
        <f>F5641*E5641</f>
        <v>#VALUE!</v>
      </c>
      <c r="H5641" s="108"/>
    </row>
    <row r="5642" spans="1:15">
      <c r="A5642" s="517" t="s">
        <v>3894</v>
      </c>
      <c r="B5642" s="549">
        <f>VLOOKUP(A5642,'Equip, Herr y Transp'!$B$2:$E$738,2,0)</f>
        <v>4</v>
      </c>
      <c r="C5642" s="549"/>
      <c r="D5642" s="85">
        <f>VLOOKUP(A5642,'Equip, Herr y Transp'!$B$2:$E$217,2,0)</f>
        <v>4</v>
      </c>
      <c r="E5642" s="85" t="str">
        <f>VLOOKUP(A5642,'Equip, Herr y Transp'!$B$2:$E$217,3,0)</f>
        <v>TR</v>
      </c>
      <c r="F5642" s="86">
        <f>H5631</f>
        <v>0.16669999999999999</v>
      </c>
      <c r="G5642" s="112" t="e">
        <f>F5642*E5642</f>
        <v>#VALUE!</v>
      </c>
      <c r="H5642" s="107"/>
    </row>
    <row r="5643" spans="1:15">
      <c r="A5643" s="517" t="s">
        <v>8</v>
      </c>
      <c r="B5643" s="549" t="e">
        <f>VLOOKUP(A5643,'Equip, Herr y Transp'!$B$2:$E$738,2,0)</f>
        <v>#N/A</v>
      </c>
      <c r="C5643" s="549"/>
      <c r="D5643" s="85" t="e">
        <f>VLOOKUP(A5643,'Equip, Herr y Transp'!$B$2:$E$217,2,0)</f>
        <v>#N/A</v>
      </c>
      <c r="E5643" s="85" t="e">
        <f>VLOOKUP(A5643,'Equip, Herr y Transp'!$B$2:$E$217,3,0)</f>
        <v>#N/A</v>
      </c>
      <c r="F5643" s="86">
        <f>F5642</f>
        <v>0.16669999999999999</v>
      </c>
      <c r="G5643" s="112" t="e">
        <f>F5643*E5643</f>
        <v>#N/A</v>
      </c>
      <c r="H5643" s="107"/>
    </row>
    <row r="5644" spans="1:15">
      <c r="A5644" s="520" t="s">
        <v>4099</v>
      </c>
      <c r="B5644" s="521"/>
      <c r="C5644" s="521"/>
      <c r="D5644" s="521"/>
      <c r="E5644" s="521"/>
      <c r="F5644" s="521"/>
      <c r="G5644" s="521"/>
      <c r="H5644" s="87" t="e">
        <f>SUM(G5641:G5643)</f>
        <v>#VALUE!</v>
      </c>
    </row>
    <row r="5645" spans="1:15">
      <c r="A5645" s="550" t="s">
        <v>4219</v>
      </c>
      <c r="B5645" s="551"/>
      <c r="C5645" s="551"/>
      <c r="D5645" s="551"/>
      <c r="E5645" s="551"/>
      <c r="F5645" s="551"/>
      <c r="G5645" s="551"/>
      <c r="H5645" s="552"/>
      <c r="K5645" s="50"/>
      <c r="L5645" s="50"/>
      <c r="M5645" s="50"/>
      <c r="N5645" s="50"/>
      <c r="O5645" s="50"/>
    </row>
    <row r="5646" spans="1:15" ht="30" customHeight="1">
      <c r="A5646" s="553" t="s">
        <v>7</v>
      </c>
      <c r="B5646" s="554"/>
      <c r="C5646" s="99" t="s">
        <v>0</v>
      </c>
      <c r="D5646" s="100" t="s">
        <v>4097</v>
      </c>
      <c r="E5646" s="101" t="s">
        <v>1</v>
      </c>
      <c r="F5646" s="555" t="s">
        <v>4207</v>
      </c>
      <c r="G5646" s="555"/>
      <c r="H5646" s="196"/>
      <c r="K5646" s="50"/>
      <c r="L5646" s="50"/>
      <c r="M5646" s="50"/>
      <c r="N5646" s="50"/>
      <c r="O5646" s="50"/>
    </row>
    <row r="5647" spans="1:15">
      <c r="A5647" s="535" t="s">
        <v>4984</v>
      </c>
      <c r="B5647" s="536"/>
      <c r="C5647" s="88">
        <f>VLOOKUP(A5647,'Materiales '!$C$2:$G$396,3,0)</f>
        <v>4</v>
      </c>
      <c r="D5647" s="89" t="str">
        <f>VLOOKUP(A5647,'Materiales '!$C$2:$G$396,4,0)</f>
        <v>Und</v>
      </c>
      <c r="E5647" s="90">
        <v>1</v>
      </c>
      <c r="F5647" s="508" t="e">
        <f>E5647*D5647</f>
        <v>#VALUE!</v>
      </c>
      <c r="G5647" s="519"/>
      <c r="H5647" s="111"/>
      <c r="I5647">
        <f>E5647*G5638</f>
        <v>0</v>
      </c>
      <c r="J5647" s="57"/>
      <c r="K5647" s="50"/>
      <c r="L5647" s="50"/>
      <c r="M5647" s="50"/>
      <c r="N5647" s="50"/>
      <c r="O5647" s="50"/>
    </row>
    <row r="5648" spans="1:15">
      <c r="A5648" s="535" t="s">
        <v>4617</v>
      </c>
      <c r="B5648" s="536"/>
      <c r="C5648" s="88">
        <f>VLOOKUP(A5648,'Materiales '!$C$2:$G$396,3,0)</f>
        <v>3</v>
      </c>
      <c r="D5648" s="89" t="str">
        <f>VLOOKUP(A5648,'Materiales '!$C$2:$G$396,4,0)</f>
        <v>Rollo</v>
      </c>
      <c r="E5648" s="90">
        <v>1</v>
      </c>
      <c r="F5648" s="508" t="e">
        <f t="shared" ref="F5648:F5654" si="331">E5648*D5648</f>
        <v>#VALUE!</v>
      </c>
      <c r="G5648" s="519"/>
      <c r="H5648" s="111"/>
      <c r="I5648">
        <f>E5648*G5638</f>
        <v>0</v>
      </c>
      <c r="J5648" s="57"/>
      <c r="K5648" s="50"/>
      <c r="L5648" s="50"/>
      <c r="M5648" s="50"/>
      <c r="N5648" s="50"/>
      <c r="O5648" s="50"/>
    </row>
    <row r="5649" spans="1:15">
      <c r="A5649" s="517" t="s">
        <v>8</v>
      </c>
      <c r="B5649" s="518">
        <f>VLOOKUP(A5649,'Materiales '!$C$2:$G$396,3,0)</f>
        <v>0</v>
      </c>
      <c r="C5649" s="88">
        <f>VLOOKUP(A5649,'Materiales '!$C$2:$G$396,3,0)</f>
        <v>0</v>
      </c>
      <c r="D5649" s="89" t="str">
        <f>VLOOKUP(A5649,'Materiales '!$C$2:$G$396,4,0)</f>
        <v>-</v>
      </c>
      <c r="E5649" s="90">
        <v>6</v>
      </c>
      <c r="F5649" s="508" t="e">
        <f t="shared" si="331"/>
        <v>#VALUE!</v>
      </c>
      <c r="G5649" s="519"/>
      <c r="H5649" s="111"/>
      <c r="I5649">
        <f>E5649*G5638</f>
        <v>0</v>
      </c>
      <c r="J5649" s="58"/>
      <c r="K5649" s="50"/>
      <c r="L5649" s="50"/>
      <c r="M5649" s="50"/>
      <c r="N5649" s="50"/>
      <c r="O5649" s="50"/>
    </row>
    <row r="5650" spans="1:15">
      <c r="A5650" s="517" t="s">
        <v>8</v>
      </c>
      <c r="B5650" s="518">
        <f>VLOOKUP(A5650,'Materiales '!$C$2:$G$396,3,0)</f>
        <v>0</v>
      </c>
      <c r="C5650" s="88">
        <f>VLOOKUP(A5650,'Materiales '!$C$2:$G$396,3,0)</f>
        <v>0</v>
      </c>
      <c r="D5650" s="89" t="str">
        <f>VLOOKUP(A5650,'Materiales '!$C$2:$G$396,4,0)</f>
        <v>-</v>
      </c>
      <c r="E5650" s="90">
        <v>3</v>
      </c>
      <c r="F5650" s="508" t="e">
        <f t="shared" si="331"/>
        <v>#VALUE!</v>
      </c>
      <c r="G5650" s="519"/>
      <c r="H5650" s="111"/>
      <c r="I5650">
        <f>E5650*G5638</f>
        <v>0</v>
      </c>
      <c r="J5650" s="58"/>
      <c r="K5650" s="50"/>
      <c r="L5650" s="50"/>
      <c r="M5650" s="50"/>
      <c r="N5650" s="50"/>
      <c r="O5650" s="50"/>
    </row>
    <row r="5651" spans="1:15">
      <c r="A5651" s="517" t="s">
        <v>8</v>
      </c>
      <c r="B5651" s="518">
        <f>VLOOKUP(A5651,'Materiales '!$C$2:$G$396,3,0)</f>
        <v>0</v>
      </c>
      <c r="C5651" s="88">
        <f>VLOOKUP(A5651,'Materiales '!$C$2:$G$396,3,0)</f>
        <v>0</v>
      </c>
      <c r="D5651" s="89" t="str">
        <f>VLOOKUP(A5651,'Materiales '!$C$2:$G$396,4,0)</f>
        <v>-</v>
      </c>
      <c r="E5651" s="90">
        <v>2</v>
      </c>
      <c r="F5651" s="508" t="e">
        <f t="shared" si="331"/>
        <v>#VALUE!</v>
      </c>
      <c r="G5651" s="519"/>
      <c r="H5651" s="111"/>
      <c r="I5651">
        <f>E5651*G5638</f>
        <v>0</v>
      </c>
      <c r="J5651" s="58"/>
      <c r="K5651" s="50"/>
      <c r="L5651" s="50"/>
      <c r="M5651" s="50"/>
      <c r="N5651" s="50"/>
      <c r="O5651" s="50"/>
    </row>
    <row r="5652" spans="1:15">
      <c r="A5652" s="517" t="s">
        <v>8</v>
      </c>
      <c r="B5652" s="518">
        <f>VLOOKUP(A5652,'Materiales '!$C$2:$G$396,3,0)</f>
        <v>0</v>
      </c>
      <c r="C5652" s="88">
        <f>VLOOKUP(A5652,'Materiales '!$C$2:$G$396,3,0)</f>
        <v>0</v>
      </c>
      <c r="D5652" s="89" t="str">
        <f>VLOOKUP(A5652,'Materiales '!$C$2:$G$396,4,0)</f>
        <v>-</v>
      </c>
      <c r="E5652" s="90">
        <v>8</v>
      </c>
      <c r="F5652" s="508" t="e">
        <f t="shared" si="331"/>
        <v>#VALUE!</v>
      </c>
      <c r="G5652" s="519"/>
      <c r="H5652" s="111"/>
      <c r="I5652">
        <f>E5652*G5638</f>
        <v>0</v>
      </c>
      <c r="J5652" s="58"/>
      <c r="K5652" s="50"/>
      <c r="L5652" s="50"/>
      <c r="M5652" s="50"/>
      <c r="N5652" s="50"/>
      <c r="O5652" s="50"/>
    </row>
    <row r="5653" spans="1:15">
      <c r="A5653" s="517" t="s">
        <v>8</v>
      </c>
      <c r="B5653" s="518">
        <f>VLOOKUP(A5653,'Materiales '!$C$2:$G$396,3,0)</f>
        <v>0</v>
      </c>
      <c r="C5653" s="88">
        <f>VLOOKUP(A5653,'Materiales '!$C$2:$G$396,3,0)</f>
        <v>0</v>
      </c>
      <c r="D5653" s="89" t="str">
        <f>VLOOKUP(A5653,'Materiales '!$C$2:$G$396,4,0)</f>
        <v>-</v>
      </c>
      <c r="E5653" s="90">
        <v>3</v>
      </c>
      <c r="F5653" s="508" t="e">
        <f t="shared" si="331"/>
        <v>#VALUE!</v>
      </c>
      <c r="G5653" s="519"/>
      <c r="H5653" s="111"/>
      <c r="I5653">
        <f>E5653*G5638</f>
        <v>0</v>
      </c>
      <c r="J5653" s="58"/>
      <c r="K5653" s="50"/>
      <c r="L5653" s="50"/>
      <c r="M5653" s="50"/>
      <c r="N5653" s="50"/>
      <c r="O5653" s="50"/>
    </row>
    <row r="5654" spans="1:15" ht="21.75" customHeight="1">
      <c r="A5654" s="517" t="s">
        <v>8</v>
      </c>
      <c r="B5654" s="518">
        <f>VLOOKUP(A5654,'Materiales '!$C$2:$G$396,3,0)</f>
        <v>0</v>
      </c>
      <c r="C5654" s="88">
        <f>VLOOKUP(A5654,'Materiales '!$C$2:$G$396,3,0)</f>
        <v>0</v>
      </c>
      <c r="D5654" s="89" t="str">
        <f>VLOOKUP(A5654,'Materiales '!$C$2:$G$396,4,0)</f>
        <v>-</v>
      </c>
      <c r="E5654" s="90">
        <v>0.5</v>
      </c>
      <c r="F5654" s="508" t="e">
        <f t="shared" si="331"/>
        <v>#VALUE!</v>
      </c>
      <c r="G5654" s="519"/>
      <c r="H5654" s="111"/>
      <c r="I5654">
        <f>E5654*G5638</f>
        <v>0</v>
      </c>
      <c r="J5654" s="58"/>
      <c r="K5654" s="50"/>
      <c r="L5654" s="50"/>
      <c r="M5654" s="50"/>
      <c r="N5654" s="50"/>
      <c r="O5654" s="50"/>
    </row>
    <row r="5655" spans="1:15">
      <c r="A5655" s="517" t="s">
        <v>8</v>
      </c>
      <c r="B5655" s="518">
        <f>VLOOKUP(A5655,'Materiales '!$C$2:$G$396,3,0)</f>
        <v>0</v>
      </c>
      <c r="C5655" s="88">
        <f>VLOOKUP(A5655,'Materiales '!$C$2:$G$396,3,0)</f>
        <v>0</v>
      </c>
      <c r="D5655" s="89" t="str">
        <f>VLOOKUP(A5655,'Materiales '!$C$2:$G$396,4,0)</f>
        <v>-</v>
      </c>
      <c r="E5655" s="90"/>
      <c r="F5655" s="508" t="e">
        <f>E5655*D5655</f>
        <v>#VALUE!</v>
      </c>
      <c r="G5655" s="519"/>
      <c r="H5655" s="110"/>
      <c r="I5655">
        <f>E5655*G5638</f>
        <v>0</v>
      </c>
      <c r="J5655" s="58"/>
      <c r="K5655" s="50"/>
      <c r="L5655" s="50"/>
      <c r="M5655" s="50"/>
      <c r="N5655" s="50"/>
      <c r="O5655" s="50"/>
    </row>
    <row r="5656" spans="1:15">
      <c r="A5656" s="517" t="s">
        <v>8</v>
      </c>
      <c r="B5656" s="518">
        <f>VLOOKUP(A5656,'Materiales '!$C$2:$G$396,3,0)</f>
        <v>0</v>
      </c>
      <c r="C5656" s="88">
        <f>VLOOKUP(A5656,'Materiales '!$C$2:$G$396,3,0)</f>
        <v>0</v>
      </c>
      <c r="D5656" s="89" t="str">
        <f>VLOOKUP(A5656,'Materiales '!$C$2:$G$396,4,0)</f>
        <v>-</v>
      </c>
      <c r="E5656" s="90"/>
      <c r="F5656" s="508" t="e">
        <f t="shared" ref="F5656:F5659" si="332">E5656*D5656</f>
        <v>#VALUE!</v>
      </c>
      <c r="G5656" s="519"/>
      <c r="H5656" s="111"/>
      <c r="I5656">
        <f>E5656*G5638</f>
        <v>0</v>
      </c>
      <c r="J5656" s="58"/>
      <c r="K5656" s="50"/>
      <c r="L5656" s="50"/>
      <c r="M5656" s="50"/>
      <c r="N5656" s="50"/>
      <c r="O5656" s="50"/>
    </row>
    <row r="5657" spans="1:15">
      <c r="A5657" s="517" t="s">
        <v>8</v>
      </c>
      <c r="B5657" s="518">
        <f>VLOOKUP(A5657,'Materiales '!$C$2:$G$396,3,0)</f>
        <v>0</v>
      </c>
      <c r="C5657" s="88">
        <f>VLOOKUP(A5657,'Materiales '!$C$2:$G$396,3,0)</f>
        <v>0</v>
      </c>
      <c r="D5657" s="89" t="str">
        <f>VLOOKUP(A5657,'Materiales '!$C$2:$G$396,4,0)</f>
        <v>-</v>
      </c>
      <c r="E5657" s="90"/>
      <c r="F5657" s="508" t="e">
        <f t="shared" si="332"/>
        <v>#VALUE!</v>
      </c>
      <c r="G5657" s="519"/>
      <c r="H5657" s="111"/>
      <c r="I5657">
        <f>E5657*G5638</f>
        <v>0</v>
      </c>
      <c r="J5657" s="58"/>
      <c r="K5657" s="50"/>
      <c r="L5657" s="50"/>
      <c r="M5657" s="50"/>
      <c r="N5657" s="50"/>
      <c r="O5657" s="50"/>
    </row>
    <row r="5658" spans="1:15">
      <c r="A5658" s="517" t="s">
        <v>8</v>
      </c>
      <c r="B5658" s="518">
        <f>VLOOKUP(A5658,'Materiales '!$C$2:$G$396,3,0)</f>
        <v>0</v>
      </c>
      <c r="C5658" s="88">
        <f>VLOOKUP(A5658,'Materiales '!$C$2:$G$396,3,0)</f>
        <v>0</v>
      </c>
      <c r="D5658" s="89" t="str">
        <f>VLOOKUP(A5658,'Materiales '!$C$2:$G$396,4,0)</f>
        <v>-</v>
      </c>
      <c r="E5658" s="90"/>
      <c r="F5658" s="508" t="e">
        <f t="shared" si="332"/>
        <v>#VALUE!</v>
      </c>
      <c r="G5658" s="519"/>
      <c r="H5658" s="111"/>
      <c r="I5658">
        <f>E5658*G5638</f>
        <v>0</v>
      </c>
      <c r="J5658" s="58"/>
      <c r="K5658" s="50"/>
      <c r="L5658" s="50"/>
      <c r="M5658" s="50"/>
      <c r="N5658" s="50"/>
      <c r="O5658" s="50"/>
    </row>
    <row r="5659" spans="1:15">
      <c r="A5659" s="517" t="s">
        <v>8</v>
      </c>
      <c r="B5659" s="518">
        <f>VLOOKUP(A5659,'Materiales '!$C$2:$G$396,3,0)</f>
        <v>0</v>
      </c>
      <c r="C5659" s="88">
        <f>VLOOKUP(A5659,'Materiales '!$C$2:$G$396,3,0)</f>
        <v>0</v>
      </c>
      <c r="D5659" s="89" t="str">
        <f>VLOOKUP(A5659,'Materiales '!$C$2:$G$396,4,0)</f>
        <v>-</v>
      </c>
      <c r="E5659" s="90"/>
      <c r="F5659" s="508" t="e">
        <f t="shared" si="332"/>
        <v>#VALUE!</v>
      </c>
      <c r="G5659" s="519"/>
      <c r="H5659" s="111"/>
      <c r="I5659">
        <f>E5659*G5638</f>
        <v>0</v>
      </c>
      <c r="J5659" s="58"/>
      <c r="K5659" s="50"/>
      <c r="L5659" s="50"/>
      <c r="M5659" s="50"/>
      <c r="N5659" s="50"/>
      <c r="O5659" s="50"/>
    </row>
    <row r="5660" spans="1:15">
      <c r="A5660" s="517" t="s">
        <v>8</v>
      </c>
      <c r="B5660" s="518">
        <f>VLOOKUP(A5660,'Materiales '!$C$2:$G$396,3,0)</f>
        <v>0</v>
      </c>
      <c r="C5660" s="88">
        <f>VLOOKUP(A5660,'Materiales '!$C$2:$G$396,3,0)</f>
        <v>0</v>
      </c>
      <c r="D5660" s="89" t="str">
        <f>VLOOKUP(A5660,'Materiales '!$C$2:$G$396,4,0)</f>
        <v>-</v>
      </c>
      <c r="E5660" s="90"/>
      <c r="F5660" s="508" t="e">
        <f>E5660*D5660</f>
        <v>#VALUE!</v>
      </c>
      <c r="G5660" s="519"/>
      <c r="H5660" s="110"/>
      <c r="I5660">
        <f>E5660*G5638</f>
        <v>0</v>
      </c>
      <c r="J5660" s="58"/>
      <c r="K5660" s="50"/>
      <c r="L5660" s="50"/>
      <c r="M5660" s="50"/>
      <c r="N5660" s="50"/>
      <c r="O5660" s="50"/>
    </row>
    <row r="5661" spans="1:15">
      <c r="A5661" s="520" t="s">
        <v>4098</v>
      </c>
      <c r="B5661" s="521"/>
      <c r="C5661" s="521"/>
      <c r="D5661" s="521"/>
      <c r="E5661" s="521"/>
      <c r="F5661" s="521"/>
      <c r="G5661" s="522"/>
      <c r="H5661" s="106" t="e">
        <f>SUM(F5647:F5660)</f>
        <v>#VALUE!</v>
      </c>
      <c r="J5661" s="58"/>
      <c r="K5661" s="50"/>
      <c r="L5661" s="50"/>
      <c r="M5661" s="50"/>
      <c r="N5661" s="50"/>
      <c r="O5661" s="50"/>
    </row>
    <row r="5662" spans="1:15">
      <c r="A5662" s="523" t="s">
        <v>4220</v>
      </c>
      <c r="B5662" s="524"/>
      <c r="C5662" s="524"/>
      <c r="D5662" s="524"/>
      <c r="E5662" s="525"/>
      <c r="F5662" s="524"/>
      <c r="G5662" s="524"/>
      <c r="H5662" s="526"/>
      <c r="J5662" s="58"/>
      <c r="K5662" s="50"/>
      <c r="L5662" s="50"/>
      <c r="M5662" s="50"/>
      <c r="N5662" s="50"/>
      <c r="O5662" s="50"/>
    </row>
    <row r="5663" spans="1:15">
      <c r="A5663" s="527" t="s">
        <v>7</v>
      </c>
      <c r="B5663" s="528"/>
      <c r="C5663" s="98" t="s">
        <v>4221</v>
      </c>
      <c r="D5663" s="97" t="s">
        <v>4222</v>
      </c>
      <c r="E5663" s="187" t="s">
        <v>4223</v>
      </c>
      <c r="F5663" s="529" t="s">
        <v>4207</v>
      </c>
      <c r="G5663" s="529"/>
      <c r="H5663" s="109"/>
      <c r="K5663" s="50"/>
      <c r="L5663" s="50"/>
      <c r="M5663" s="50"/>
      <c r="N5663" s="50"/>
      <c r="O5663" s="50"/>
    </row>
    <row r="5664" spans="1:15">
      <c r="A5664" s="506" t="s">
        <v>3893</v>
      </c>
      <c r="B5664" s="507"/>
      <c r="C5664" s="213">
        <v>1</v>
      </c>
      <c r="D5664" s="92">
        <v>0.3</v>
      </c>
      <c r="E5664" s="93" t="str">
        <f>VLOOKUP(A5664,'Equip, Herr y Transp'!$B$2:$E$217,3,0)</f>
        <v>TR</v>
      </c>
      <c r="F5664" s="530" t="e">
        <f>E5664*D5664*C5664</f>
        <v>#VALUE!</v>
      </c>
      <c r="G5664" s="531"/>
      <c r="H5664" s="107"/>
      <c r="M5664" s="50"/>
    </row>
    <row r="5665" spans="1:10">
      <c r="A5665" s="532" t="s">
        <v>4205</v>
      </c>
      <c r="B5665" s="533"/>
      <c r="C5665" s="533"/>
      <c r="D5665" s="533"/>
      <c r="E5665" s="533"/>
      <c r="F5665" s="533"/>
      <c r="G5665" s="533"/>
      <c r="H5665" s="95" t="e">
        <f>F5664</f>
        <v>#VALUE!</v>
      </c>
    </row>
    <row r="5666" spans="1:10">
      <c r="A5666" s="523" t="s">
        <v>4224</v>
      </c>
      <c r="B5666" s="524"/>
      <c r="C5666" s="524"/>
      <c r="D5666" s="524"/>
      <c r="E5666" s="524"/>
      <c r="F5666" s="524"/>
      <c r="G5666" s="524"/>
      <c r="H5666" s="526"/>
    </row>
    <row r="5667" spans="1:10">
      <c r="A5667" s="527" t="s">
        <v>7</v>
      </c>
      <c r="B5667" s="528"/>
      <c r="C5667" s="96" t="s">
        <v>1</v>
      </c>
      <c r="D5667" s="97" t="s">
        <v>4225</v>
      </c>
      <c r="E5667" s="98" t="s">
        <v>4204</v>
      </c>
      <c r="F5667" s="527" t="s">
        <v>5</v>
      </c>
      <c r="G5667" s="534"/>
      <c r="H5667" s="109"/>
    </row>
    <row r="5668" spans="1:10">
      <c r="A5668" s="506" t="s">
        <v>4191</v>
      </c>
      <c r="B5668" s="507"/>
      <c r="C5668" s="91">
        <v>1</v>
      </c>
      <c r="D5668" s="94">
        <f>VLOOKUP(A5668,'Mano Obra'!$B$2:$T$117,19,0)</f>
        <v>152456</v>
      </c>
      <c r="E5668" s="218">
        <f>H5631</f>
        <v>0.16669999999999999</v>
      </c>
      <c r="F5668" s="508">
        <f>E5668*D5668*C5668</f>
        <v>25414.415199999999</v>
      </c>
      <c r="G5668" s="509"/>
      <c r="H5668" s="111"/>
      <c r="I5668" s="59"/>
      <c r="J5668" s="117">
        <f>((('Mano Obra'!$M$4/30)*F5668)/D5668)*G5638</f>
        <v>0</v>
      </c>
    </row>
    <row r="5669" spans="1:10">
      <c r="A5669" s="510" t="s">
        <v>4192</v>
      </c>
      <c r="B5669" s="511">
        <f>VLOOKUP(A5669,'Mano Obra'!$B$3:$D$290,2,0)</f>
        <v>1900000</v>
      </c>
      <c r="C5669" s="91">
        <v>1</v>
      </c>
      <c r="D5669" s="94">
        <f>VLOOKUP(A5669,'Mano Obra'!$B$2:$T$117,19,0)</f>
        <v>110488</v>
      </c>
      <c r="E5669" s="218">
        <f>H5631</f>
        <v>0.16669999999999999</v>
      </c>
      <c r="F5669" s="508">
        <f t="shared" ref="F5669:F5670" si="333">E5669*D5669*C5669</f>
        <v>18418.349599999998</v>
      </c>
      <c r="G5669" s="509"/>
      <c r="H5669" s="111"/>
      <c r="J5669" s="117">
        <f>((('Mano Obra'!$M$5/30)*F5669)/D5669)*G5638</f>
        <v>0</v>
      </c>
    </row>
    <row r="5670" spans="1:10">
      <c r="A5670" s="510" t="s">
        <v>4181</v>
      </c>
      <c r="B5670" s="511">
        <f>VLOOKUP(A5670,'Mano Obra'!$B$3:$D$290,2,0)</f>
        <v>1000000</v>
      </c>
      <c r="C5670" s="91">
        <v>1</v>
      </c>
      <c r="D5670" s="94">
        <f>VLOOKUP(A5670,'Mano Obra'!$B$2:$T$117,19,0)</f>
        <v>67424</v>
      </c>
      <c r="E5670" s="218">
        <f>H5631</f>
        <v>0.16669999999999999</v>
      </c>
      <c r="F5670" s="508">
        <f t="shared" si="333"/>
        <v>11239.5808</v>
      </c>
      <c r="G5670" s="509"/>
      <c r="H5670" s="110"/>
      <c r="J5670" s="117">
        <f>((('Mano Obra'!$M$6/30)*F5670)/D5670)*G5638</f>
        <v>0</v>
      </c>
    </row>
    <row r="5671" spans="1:10">
      <c r="A5671" s="512" t="s">
        <v>4100</v>
      </c>
      <c r="B5671" s="512"/>
      <c r="C5671" s="512"/>
      <c r="D5671" s="512"/>
      <c r="E5671" s="512"/>
      <c r="F5671" s="512"/>
      <c r="G5671" s="512"/>
      <c r="H5671" s="95">
        <f>SUM(F5668:F5670)</f>
        <v>55072.345600000001</v>
      </c>
      <c r="J5671" s="117"/>
    </row>
    <row r="5672" spans="1:10">
      <c r="A5672" s="208" t="s">
        <v>4226</v>
      </c>
      <c r="B5672" s="186"/>
      <c r="C5672" s="186"/>
      <c r="D5672" s="183"/>
      <c r="E5672" s="184"/>
      <c r="F5672" s="185"/>
      <c r="G5672" s="184"/>
      <c r="H5672" s="193"/>
    </row>
    <row r="5673" spans="1:10">
      <c r="A5673" s="513" t="s">
        <v>4213</v>
      </c>
      <c r="B5673" s="514"/>
      <c r="C5673" s="514"/>
      <c r="D5673" s="514"/>
      <c r="E5673" s="181"/>
      <c r="F5673" s="182" t="s">
        <v>4227</v>
      </c>
      <c r="G5673" s="181" t="s">
        <v>4228</v>
      </c>
      <c r="H5673" s="194"/>
    </row>
    <row r="5674" spans="1:10">
      <c r="A5674" s="204" t="s">
        <v>4096</v>
      </c>
      <c r="B5674" s="62"/>
      <c r="C5674" s="62"/>
      <c r="D5674" s="63"/>
      <c r="E5674" s="68"/>
      <c r="F5674" s="69">
        <v>0</v>
      </c>
      <c r="G5674" s="70" t="e">
        <f>F5674*H5639</f>
        <v>#VALUE!</v>
      </c>
      <c r="H5674" s="193"/>
    </row>
    <row r="5675" spans="1:10">
      <c r="A5675" s="205" t="s">
        <v>4229</v>
      </c>
      <c r="B5675" s="71"/>
      <c r="C5675" s="71"/>
      <c r="D5675" s="72"/>
      <c r="E5675" s="68"/>
      <c r="F5675" s="69">
        <v>0</v>
      </c>
      <c r="G5675" s="70" t="e">
        <f>F5675*H5639</f>
        <v>#VALUE!</v>
      </c>
      <c r="H5675" s="193"/>
    </row>
    <row r="5676" spans="1:10">
      <c r="A5676" s="205" t="s">
        <v>4</v>
      </c>
      <c r="B5676" s="71"/>
      <c r="C5676" s="71"/>
      <c r="D5676" s="72"/>
      <c r="E5676" s="68"/>
      <c r="F5676" s="69">
        <v>0</v>
      </c>
      <c r="G5676" s="70" t="e">
        <f>F5676*H5639</f>
        <v>#VALUE!</v>
      </c>
      <c r="H5676" s="193"/>
    </row>
    <row r="5677" spans="1:10">
      <c r="A5677" s="206"/>
      <c r="B5677" s="73"/>
      <c r="C5677" s="65"/>
      <c r="D5677" s="74"/>
      <c r="E5677" s="75"/>
      <c r="F5677" s="76"/>
      <c r="G5677" s="77"/>
      <c r="H5677" s="195"/>
    </row>
    <row r="5678" spans="1:10">
      <c r="A5678" s="207"/>
      <c r="B5678" s="73"/>
      <c r="C5678" s="73"/>
      <c r="D5678" s="74"/>
      <c r="E5678" s="78"/>
      <c r="F5678" s="515" t="s">
        <v>4230</v>
      </c>
      <c r="G5678" s="516"/>
      <c r="H5678" s="214" t="e">
        <f>H5639+G5674+G5675+G5676</f>
        <v>#VALUE!</v>
      </c>
    </row>
    <row r="5679" spans="1:10">
      <c r="A5679" s="73"/>
      <c r="B5679" s="73"/>
      <c r="C5679" s="73"/>
      <c r="D5679" s="74"/>
      <c r="E5679" s="360"/>
      <c r="F5679" s="361"/>
      <c r="G5679" s="361"/>
      <c r="H5679" s="362"/>
    </row>
    <row r="5681" spans="1:14">
      <c r="A5681" s="80"/>
      <c r="B5681" s="80"/>
      <c r="C5681" s="80"/>
      <c r="D5681" s="80"/>
      <c r="E5681" s="80"/>
      <c r="F5681" s="80"/>
      <c r="G5681" s="80"/>
      <c r="H5681" s="353"/>
    </row>
    <row r="5682" spans="1:14">
      <c r="A5682" s="537" t="s">
        <v>4214</v>
      </c>
      <c r="B5682" s="538"/>
      <c r="C5682" s="538"/>
      <c r="D5682" s="538"/>
      <c r="E5682" s="538"/>
      <c r="F5682" s="538"/>
      <c r="G5682" s="538"/>
      <c r="H5682" s="539"/>
    </row>
    <row r="5683" spans="1:14">
      <c r="A5683" s="81"/>
      <c r="B5683" s="82"/>
      <c r="C5683" s="82"/>
      <c r="D5683" s="82"/>
      <c r="E5683" s="82"/>
      <c r="F5683" s="83"/>
      <c r="G5683" s="84"/>
      <c r="H5683" s="352">
        <f>ROUND((13/60)/8,4)</f>
        <v>2.7099999999999999E-2</v>
      </c>
      <c r="I5683" s="105"/>
    </row>
    <row r="5684" spans="1:14">
      <c r="A5684" s="540" t="s">
        <v>4209</v>
      </c>
      <c r="B5684" s="542" t="str">
        <f>COSTOS!$C$14</f>
        <v>MODERNIZACION A TECNOLOGIA LED</v>
      </c>
      <c r="C5684" s="542"/>
      <c r="D5684" s="542"/>
      <c r="E5684" s="542"/>
      <c r="F5684" s="542"/>
      <c r="G5684" s="542"/>
      <c r="H5684" s="543" t="s">
        <v>4210</v>
      </c>
    </row>
    <row r="5685" spans="1:14">
      <c r="A5685" s="541"/>
      <c r="B5685" s="542"/>
      <c r="C5685" s="542"/>
      <c r="D5685" s="542"/>
      <c r="E5685" s="542"/>
      <c r="F5685" s="542"/>
      <c r="G5685" s="542"/>
      <c r="H5685" s="543"/>
    </row>
    <row r="5686" spans="1:14">
      <c r="A5686" s="541"/>
      <c r="B5686" s="542"/>
      <c r="C5686" s="542"/>
      <c r="D5686" s="542"/>
      <c r="E5686" s="542"/>
      <c r="F5686" s="542"/>
      <c r="G5686" s="542"/>
      <c r="H5686" s="543"/>
    </row>
    <row r="5687" spans="1:14" ht="15" customHeight="1">
      <c r="A5687" s="541"/>
      <c r="B5687" s="542"/>
      <c r="C5687" s="542"/>
      <c r="D5687" s="542"/>
      <c r="E5687" s="542"/>
      <c r="F5687" s="542"/>
      <c r="G5687" s="542"/>
      <c r="H5687" s="197">
        <f ca="1">TODAY()</f>
        <v>44889</v>
      </c>
      <c r="K5687" t="s">
        <v>4380</v>
      </c>
      <c r="L5687" t="s">
        <v>4381</v>
      </c>
      <c r="M5687" t="s">
        <v>4382</v>
      </c>
      <c r="N5687" t="s">
        <v>4383</v>
      </c>
    </row>
    <row r="5688" spans="1:14" ht="60.75" customHeight="1">
      <c r="A5688" s="209" t="s">
        <v>4211</v>
      </c>
      <c r="B5688" s="544" t="str">
        <f>COSTOS!$D$16</f>
        <v>Luminarias</v>
      </c>
      <c r="C5688" s="544"/>
      <c r="D5688" s="544"/>
      <c r="E5688" s="544"/>
      <c r="F5688" s="544"/>
      <c r="G5688" s="60" t="s">
        <v>4212</v>
      </c>
      <c r="H5688" s="359">
        <v>3.1</v>
      </c>
      <c r="K5688" s="55" t="e">
        <f>H5714</f>
        <v>#VALUE!</v>
      </c>
      <c r="L5688" s="55">
        <f>H5724</f>
        <v>8952.9727999999996</v>
      </c>
      <c r="M5688" s="55" t="e">
        <f>H5697</f>
        <v>#VALUE!</v>
      </c>
      <c r="N5688" s="55" t="e">
        <f>H5718</f>
        <v>#VALUE!</v>
      </c>
    </row>
    <row r="5689" spans="1:14" ht="43.2" customHeight="1">
      <c r="A5689" s="210" t="s">
        <v>4213</v>
      </c>
      <c r="B5689" s="545" t="str">
        <f>VLOOKUP(H5688,COSTOS!C:M,2,0)</f>
        <v>Red de baja tensión  3x14awg Cu en tubo PVC 1/2" subterraneo, para conexionado de BALAS DE PISO. Terreno en concreto, incluye resane y curado en concreto. X 500m</v>
      </c>
      <c r="C5689" s="546"/>
      <c r="D5689" s="546"/>
      <c r="E5689" s="547"/>
      <c r="F5689" s="61" t="s">
        <v>0</v>
      </c>
      <c r="G5689" s="328" t="str">
        <f>VLOOKUP(H5688,COSTOS!C:M,8,0)</f>
        <v>Und</v>
      </c>
      <c r="H5689" s="248"/>
      <c r="I5689" s="278"/>
      <c r="J5689" s="280"/>
      <c r="K5689" s="280"/>
      <c r="L5689" s="280"/>
    </row>
    <row r="5690" spans="1:14">
      <c r="A5690" s="211"/>
      <c r="B5690" s="102"/>
      <c r="C5690" s="102"/>
      <c r="D5690" s="102"/>
      <c r="E5690" s="103"/>
      <c r="F5690" s="104" t="s">
        <v>1</v>
      </c>
      <c r="G5690" s="328">
        <f>VLOOKUP(H5688,COSTOS!C:M,9,0)</f>
        <v>0</v>
      </c>
      <c r="H5690" s="329"/>
      <c r="I5690" s="279"/>
    </row>
    <row r="5691" spans="1:14">
      <c r="A5691" s="212" t="s">
        <v>4215</v>
      </c>
      <c r="B5691" s="65"/>
      <c r="C5691" s="65"/>
      <c r="D5691" s="66"/>
      <c r="E5691" s="190"/>
      <c r="F5691" s="191"/>
      <c r="G5691" s="192" t="s">
        <v>4216</v>
      </c>
      <c r="H5691" s="198" t="e">
        <f>H5697+H5714+H5718+H5724</f>
        <v>#VALUE!</v>
      </c>
    </row>
    <row r="5692" spans="1:14" ht="41.4">
      <c r="A5692" s="548" t="s">
        <v>4213</v>
      </c>
      <c r="B5692" s="548"/>
      <c r="C5692" s="548"/>
      <c r="D5692" s="67" t="s">
        <v>0</v>
      </c>
      <c r="E5692" s="188" t="s">
        <v>4217</v>
      </c>
      <c r="F5692" s="189" t="s">
        <v>4204</v>
      </c>
      <c r="G5692" s="64" t="s">
        <v>2</v>
      </c>
      <c r="H5692" s="199" t="s">
        <v>4218</v>
      </c>
      <c r="K5692" s="281"/>
    </row>
    <row r="5693" spans="1:14">
      <c r="A5693" s="517" t="s">
        <v>3946</v>
      </c>
      <c r="B5693" s="549">
        <f>VLOOKUP(A5693,'Equip, Herr y Transp'!$B$2:$E$738,2,0)</f>
        <v>2</v>
      </c>
      <c r="C5693" s="549"/>
      <c r="D5693" s="85">
        <f>VLOOKUP(A5693,'Equip, Herr y Transp'!$B$2:$E$217,2,0)</f>
        <v>2</v>
      </c>
      <c r="E5693" s="85" t="str">
        <f>VLOOKUP(A5693,'Equip, Herr y Transp'!$B$2:$E$217,3,0)</f>
        <v>EQU</v>
      </c>
      <c r="F5693" s="86">
        <f>H5683</f>
        <v>2.7099999999999999E-2</v>
      </c>
      <c r="G5693" s="112" t="e">
        <f>F5693*E5693</f>
        <v>#VALUE!</v>
      </c>
      <c r="H5693" s="108"/>
    </row>
    <row r="5694" spans="1:14">
      <c r="A5694" s="517" t="s">
        <v>3927</v>
      </c>
      <c r="B5694" s="549">
        <f>VLOOKUP(A5694,'Equip, Herr y Transp'!$B$2:$E$738,2,0)</f>
        <v>2</v>
      </c>
      <c r="C5694" s="549"/>
      <c r="D5694" s="85">
        <f>VLOOKUP(A5694,'Equip, Herr y Transp'!$B$2:$E$217,2,0)</f>
        <v>2</v>
      </c>
      <c r="E5694" s="85" t="str">
        <f>VLOOKUP(A5694,'Equip, Herr y Transp'!$B$2:$E$217,3,0)</f>
        <v>EQU</v>
      </c>
      <c r="F5694" s="86">
        <f>H5683</f>
        <v>2.7099999999999999E-2</v>
      </c>
      <c r="G5694" s="112" t="e">
        <f>F5694*E5694</f>
        <v>#VALUE!</v>
      </c>
      <c r="H5694" s="107"/>
    </row>
    <row r="5695" spans="1:14">
      <c r="A5695" s="517" t="s">
        <v>4140</v>
      </c>
      <c r="B5695" s="549">
        <f>VLOOKUP(A5695,'Equip, Herr y Transp'!$B$2:$E$738,2,0)</f>
        <v>1</v>
      </c>
      <c r="C5695" s="549"/>
      <c r="D5695" s="85">
        <f>VLOOKUP(A5695,'Equip, Herr y Transp'!$B$2:$E$217,2,0)</f>
        <v>1</v>
      </c>
      <c r="E5695" s="85" t="str">
        <f>VLOOKUP(A5695,'Equip, Herr y Transp'!$B$2:$E$217,3,0)</f>
        <v>ELEC</v>
      </c>
      <c r="F5695" s="86">
        <f>H5683</f>
        <v>2.7099999999999999E-2</v>
      </c>
      <c r="G5695" s="112" t="e">
        <f>F5695*E5695</f>
        <v>#VALUE!</v>
      </c>
      <c r="H5695" s="107"/>
    </row>
    <row r="5696" spans="1:14">
      <c r="A5696" s="517" t="s">
        <v>3926</v>
      </c>
      <c r="B5696" s="549">
        <f>VLOOKUP(A5696,'Equip, Herr y Transp'!$B$2:$E$738,2,0)</f>
        <v>2</v>
      </c>
      <c r="C5696" s="549"/>
      <c r="D5696" s="85">
        <f>VLOOKUP(A5696,'Equip, Herr y Transp'!$B$2:$E$217,2,0)</f>
        <v>2</v>
      </c>
      <c r="E5696" s="85" t="str">
        <f>VLOOKUP(A5696,'Equip, Herr y Transp'!$B$2:$E$217,3,0)</f>
        <v>EQU</v>
      </c>
      <c r="F5696" s="86">
        <f>H5683</f>
        <v>2.7099999999999999E-2</v>
      </c>
      <c r="G5696" s="112" t="e">
        <f>F5696*E5696</f>
        <v>#VALUE!</v>
      </c>
      <c r="H5696" s="107"/>
    </row>
    <row r="5697" spans="1:15">
      <c r="A5697" s="520" t="s">
        <v>4099</v>
      </c>
      <c r="B5697" s="521"/>
      <c r="C5697" s="521"/>
      <c r="D5697" s="521"/>
      <c r="E5697" s="521"/>
      <c r="F5697" s="521"/>
      <c r="G5697" s="521"/>
      <c r="H5697" s="87" t="e">
        <f>SUM(G5693:G5696)</f>
        <v>#VALUE!</v>
      </c>
    </row>
    <row r="5698" spans="1:15">
      <c r="A5698" s="550" t="s">
        <v>4219</v>
      </c>
      <c r="B5698" s="551"/>
      <c r="C5698" s="551"/>
      <c r="D5698" s="551"/>
      <c r="E5698" s="551"/>
      <c r="F5698" s="551"/>
      <c r="G5698" s="551"/>
      <c r="H5698" s="552"/>
      <c r="K5698" s="50"/>
      <c r="L5698" s="50"/>
      <c r="M5698" s="50"/>
      <c r="N5698" s="50"/>
      <c r="O5698" s="50"/>
    </row>
    <row r="5699" spans="1:15" ht="30" customHeight="1">
      <c r="A5699" s="553" t="s">
        <v>7</v>
      </c>
      <c r="B5699" s="554"/>
      <c r="C5699" s="99" t="s">
        <v>0</v>
      </c>
      <c r="D5699" s="100" t="s">
        <v>4097</v>
      </c>
      <c r="E5699" s="101" t="s">
        <v>1</v>
      </c>
      <c r="F5699" s="555" t="s">
        <v>4207</v>
      </c>
      <c r="G5699" s="555"/>
      <c r="H5699" s="196"/>
      <c r="K5699" s="50"/>
      <c r="L5699" s="50"/>
      <c r="M5699" s="50"/>
      <c r="N5699" s="50"/>
      <c r="O5699" s="50"/>
    </row>
    <row r="5700" spans="1:15">
      <c r="A5700" s="535" t="s">
        <v>4439</v>
      </c>
      <c r="B5700" s="536"/>
      <c r="C5700" s="88">
        <f>VLOOKUP(A5700,'Materiales '!$C$2:$G$396,3,0)</f>
        <v>2</v>
      </c>
      <c r="D5700" s="89" t="str">
        <f>VLOOKUP(A5700,'Materiales '!$C$2:$G$396,4,0)</f>
        <v>Ml</v>
      </c>
      <c r="E5700" s="90">
        <v>1</v>
      </c>
      <c r="F5700" s="508" t="e">
        <f>E5700*D5700</f>
        <v>#VALUE!</v>
      </c>
      <c r="G5700" s="519"/>
      <c r="H5700" s="111"/>
      <c r="I5700">
        <f>E5700*G5690</f>
        <v>0</v>
      </c>
      <c r="J5700" s="57"/>
      <c r="K5700" s="50"/>
      <c r="L5700" s="50"/>
      <c r="M5700" s="50"/>
      <c r="N5700" s="50"/>
      <c r="O5700" s="50"/>
    </row>
    <row r="5701" spans="1:15">
      <c r="A5701" s="535" t="s">
        <v>4588</v>
      </c>
      <c r="B5701" s="536"/>
      <c r="C5701" s="88">
        <f>VLOOKUP(A5701,'Materiales '!$C$2:$G$396,3,0)</f>
        <v>4</v>
      </c>
      <c r="D5701" s="89" t="str">
        <f>VLOOKUP(A5701,'Materiales '!$C$2:$G$396,4,0)</f>
        <v>Und</v>
      </c>
      <c r="E5701" s="90">
        <v>0.34</v>
      </c>
      <c r="F5701" s="508" t="e">
        <f t="shared" ref="F5701:F5707" si="334">E5701*D5701</f>
        <v>#VALUE!</v>
      </c>
      <c r="G5701" s="519"/>
      <c r="H5701" s="111"/>
      <c r="I5701">
        <f>E5701*G5690</f>
        <v>0</v>
      </c>
      <c r="J5701" s="57"/>
      <c r="K5701" s="50"/>
      <c r="L5701" s="50"/>
      <c r="M5701" s="50"/>
      <c r="N5701" s="50"/>
      <c r="O5701" s="50"/>
    </row>
    <row r="5702" spans="1:15">
      <c r="A5702" s="517" t="s">
        <v>4617</v>
      </c>
      <c r="B5702" s="518">
        <f>VLOOKUP(A5702,'Materiales '!$C$2:$G$396,3,0)</f>
        <v>3</v>
      </c>
      <c r="C5702" s="88">
        <f>VLOOKUP(A5702,'Materiales '!$C$2:$G$396,3,0)</f>
        <v>3</v>
      </c>
      <c r="D5702" s="89" t="str">
        <f>VLOOKUP(A5702,'Materiales '!$C$2:$G$396,4,0)</f>
        <v>Rollo</v>
      </c>
      <c r="E5702" s="90">
        <v>0.3</v>
      </c>
      <c r="F5702" s="508" t="e">
        <f t="shared" si="334"/>
        <v>#VALUE!</v>
      </c>
      <c r="G5702" s="519"/>
      <c r="H5702" s="111"/>
      <c r="I5702">
        <f>E5702*G5690</f>
        <v>0</v>
      </c>
      <c r="J5702" s="58"/>
      <c r="K5702" s="50"/>
      <c r="L5702" s="50"/>
      <c r="M5702" s="50"/>
      <c r="N5702" s="50"/>
      <c r="O5702" s="50"/>
    </row>
    <row r="5703" spans="1:15">
      <c r="A5703" s="517" t="s">
        <v>4570</v>
      </c>
      <c r="B5703" s="518">
        <f>VLOOKUP(A5703,'Materiales '!$C$2:$G$396,3,0)</f>
        <v>4</v>
      </c>
      <c r="C5703" s="88">
        <f>VLOOKUP(A5703,'Materiales '!$C$2:$G$396,3,0)</f>
        <v>4</v>
      </c>
      <c r="D5703" s="89" t="str">
        <f>VLOOKUP(A5703,'Materiales '!$C$2:$G$396,4,0)</f>
        <v>Und</v>
      </c>
      <c r="E5703" s="90">
        <v>0.08</v>
      </c>
      <c r="F5703" s="508" t="e">
        <f t="shared" si="334"/>
        <v>#VALUE!</v>
      </c>
      <c r="G5703" s="519"/>
      <c r="H5703" s="111"/>
      <c r="I5703">
        <f>E5703*G5690</f>
        <v>0</v>
      </c>
      <c r="J5703" s="58"/>
      <c r="K5703" s="50"/>
      <c r="L5703" s="50"/>
      <c r="M5703" s="50"/>
      <c r="N5703" s="50"/>
      <c r="O5703" s="50"/>
    </row>
    <row r="5704" spans="1:15">
      <c r="A5704" s="517" t="s">
        <v>8</v>
      </c>
      <c r="B5704" s="518">
        <f>VLOOKUP(A5704,'Materiales '!$C$2:$G$396,3,0)</f>
        <v>0</v>
      </c>
      <c r="C5704" s="88">
        <f>VLOOKUP(A5704,'Materiales '!$C$2:$G$396,3,0)</f>
        <v>0</v>
      </c>
      <c r="D5704" s="89" t="str">
        <f>VLOOKUP(A5704,'Materiales '!$C$2:$G$396,4,0)</f>
        <v>-</v>
      </c>
      <c r="E5704" s="90">
        <v>2</v>
      </c>
      <c r="F5704" s="508" t="e">
        <f t="shared" si="334"/>
        <v>#VALUE!</v>
      </c>
      <c r="G5704" s="519"/>
      <c r="H5704" s="111"/>
      <c r="I5704">
        <f>E5704*G5690</f>
        <v>0</v>
      </c>
      <c r="J5704" s="58"/>
      <c r="K5704" s="50"/>
      <c r="L5704" s="50"/>
      <c r="M5704" s="50"/>
      <c r="N5704" s="50"/>
      <c r="O5704" s="50"/>
    </row>
    <row r="5705" spans="1:15">
      <c r="A5705" s="517" t="s">
        <v>8</v>
      </c>
      <c r="B5705" s="518">
        <f>VLOOKUP(A5705,'Materiales '!$C$2:$G$396,3,0)</f>
        <v>0</v>
      </c>
      <c r="C5705" s="88">
        <f>VLOOKUP(A5705,'Materiales '!$C$2:$G$396,3,0)</f>
        <v>0</v>
      </c>
      <c r="D5705" s="89" t="str">
        <f>VLOOKUP(A5705,'Materiales '!$C$2:$G$396,4,0)</f>
        <v>-</v>
      </c>
      <c r="E5705" s="90">
        <v>8</v>
      </c>
      <c r="F5705" s="508" t="e">
        <f t="shared" si="334"/>
        <v>#VALUE!</v>
      </c>
      <c r="G5705" s="519"/>
      <c r="H5705" s="111"/>
      <c r="I5705">
        <f>E5705*G5690</f>
        <v>0</v>
      </c>
      <c r="J5705" s="58"/>
      <c r="K5705" s="50"/>
      <c r="L5705" s="50"/>
      <c r="M5705" s="50"/>
      <c r="N5705" s="50"/>
      <c r="O5705" s="50"/>
    </row>
    <row r="5706" spans="1:15">
      <c r="A5706" s="517" t="s">
        <v>8</v>
      </c>
      <c r="B5706" s="518">
        <f>VLOOKUP(A5706,'Materiales '!$C$2:$G$396,3,0)</f>
        <v>0</v>
      </c>
      <c r="C5706" s="88">
        <f>VLOOKUP(A5706,'Materiales '!$C$2:$G$396,3,0)</f>
        <v>0</v>
      </c>
      <c r="D5706" s="89" t="str">
        <f>VLOOKUP(A5706,'Materiales '!$C$2:$G$396,4,0)</f>
        <v>-</v>
      </c>
      <c r="E5706" s="90">
        <v>3</v>
      </c>
      <c r="F5706" s="508" t="e">
        <f t="shared" si="334"/>
        <v>#VALUE!</v>
      </c>
      <c r="G5706" s="519"/>
      <c r="H5706" s="111"/>
      <c r="I5706">
        <f>E5706*G5690</f>
        <v>0</v>
      </c>
      <c r="J5706" s="58"/>
      <c r="K5706" s="50"/>
      <c r="L5706" s="50"/>
      <c r="M5706" s="50"/>
      <c r="N5706" s="50"/>
      <c r="O5706" s="50"/>
    </row>
    <row r="5707" spans="1:15" ht="21.75" customHeight="1">
      <c r="A5707" s="517" t="s">
        <v>8</v>
      </c>
      <c r="B5707" s="518">
        <f>VLOOKUP(A5707,'Materiales '!$C$2:$G$396,3,0)</f>
        <v>0</v>
      </c>
      <c r="C5707" s="88">
        <f>VLOOKUP(A5707,'Materiales '!$C$2:$G$396,3,0)</f>
        <v>0</v>
      </c>
      <c r="D5707" s="89" t="str">
        <f>VLOOKUP(A5707,'Materiales '!$C$2:$G$396,4,0)</f>
        <v>-</v>
      </c>
      <c r="E5707" s="90">
        <v>0.5</v>
      </c>
      <c r="F5707" s="508" t="e">
        <f t="shared" si="334"/>
        <v>#VALUE!</v>
      </c>
      <c r="G5707" s="519"/>
      <c r="H5707" s="111"/>
      <c r="I5707">
        <f>E5707*G5690</f>
        <v>0</v>
      </c>
      <c r="J5707" s="58"/>
      <c r="K5707" s="50"/>
      <c r="L5707" s="50"/>
      <c r="M5707" s="50"/>
      <c r="N5707" s="50"/>
      <c r="O5707" s="50"/>
    </row>
    <row r="5708" spans="1:15">
      <c r="A5708" s="517" t="s">
        <v>8</v>
      </c>
      <c r="B5708" s="518">
        <f>VLOOKUP(A5708,'Materiales '!$C$2:$G$396,3,0)</f>
        <v>0</v>
      </c>
      <c r="C5708" s="88">
        <f>VLOOKUP(A5708,'Materiales '!$C$2:$G$396,3,0)</f>
        <v>0</v>
      </c>
      <c r="D5708" s="89" t="str">
        <f>VLOOKUP(A5708,'Materiales '!$C$2:$G$396,4,0)</f>
        <v>-</v>
      </c>
      <c r="E5708" s="90"/>
      <c r="F5708" s="508" t="e">
        <f>E5708*D5708</f>
        <v>#VALUE!</v>
      </c>
      <c r="G5708" s="519"/>
      <c r="H5708" s="110"/>
      <c r="I5708">
        <f>E5708*G5690</f>
        <v>0</v>
      </c>
      <c r="J5708" s="58"/>
      <c r="K5708" s="50"/>
      <c r="L5708" s="50"/>
      <c r="M5708" s="50"/>
      <c r="N5708" s="50"/>
      <c r="O5708" s="50"/>
    </row>
    <row r="5709" spans="1:15">
      <c r="A5709" s="517" t="s">
        <v>8</v>
      </c>
      <c r="B5709" s="518">
        <f>VLOOKUP(A5709,'Materiales '!$C$2:$G$396,3,0)</f>
        <v>0</v>
      </c>
      <c r="C5709" s="88">
        <f>VLOOKUP(A5709,'Materiales '!$C$2:$G$396,3,0)</f>
        <v>0</v>
      </c>
      <c r="D5709" s="89" t="str">
        <f>VLOOKUP(A5709,'Materiales '!$C$2:$G$396,4,0)</f>
        <v>-</v>
      </c>
      <c r="E5709" s="90"/>
      <c r="F5709" s="508" t="e">
        <f t="shared" ref="F5709:F5712" si="335">E5709*D5709</f>
        <v>#VALUE!</v>
      </c>
      <c r="G5709" s="519"/>
      <c r="H5709" s="111"/>
      <c r="I5709">
        <f>E5709*G5690</f>
        <v>0</v>
      </c>
      <c r="J5709" s="58"/>
      <c r="K5709" s="50"/>
      <c r="L5709" s="50"/>
      <c r="M5709" s="50"/>
      <c r="N5709" s="50"/>
      <c r="O5709" s="50"/>
    </row>
    <row r="5710" spans="1:15">
      <c r="A5710" s="517" t="s">
        <v>8</v>
      </c>
      <c r="B5710" s="518">
        <f>VLOOKUP(A5710,'Materiales '!$C$2:$G$396,3,0)</f>
        <v>0</v>
      </c>
      <c r="C5710" s="88">
        <f>VLOOKUP(A5710,'Materiales '!$C$2:$G$396,3,0)</f>
        <v>0</v>
      </c>
      <c r="D5710" s="89" t="str">
        <f>VLOOKUP(A5710,'Materiales '!$C$2:$G$396,4,0)</f>
        <v>-</v>
      </c>
      <c r="E5710" s="90"/>
      <c r="F5710" s="508" t="e">
        <f t="shared" si="335"/>
        <v>#VALUE!</v>
      </c>
      <c r="G5710" s="519"/>
      <c r="H5710" s="111"/>
      <c r="I5710">
        <f>E5710*G5690</f>
        <v>0</v>
      </c>
      <c r="J5710" s="58"/>
      <c r="K5710" s="50"/>
      <c r="L5710" s="50"/>
      <c r="M5710" s="50"/>
      <c r="N5710" s="50"/>
      <c r="O5710" s="50"/>
    </row>
    <row r="5711" spans="1:15">
      <c r="A5711" s="517" t="s">
        <v>8</v>
      </c>
      <c r="B5711" s="518">
        <f>VLOOKUP(A5711,'Materiales '!$C$2:$G$396,3,0)</f>
        <v>0</v>
      </c>
      <c r="C5711" s="88">
        <f>VLOOKUP(A5711,'Materiales '!$C$2:$G$396,3,0)</f>
        <v>0</v>
      </c>
      <c r="D5711" s="89" t="str">
        <f>VLOOKUP(A5711,'Materiales '!$C$2:$G$396,4,0)</f>
        <v>-</v>
      </c>
      <c r="E5711" s="90"/>
      <c r="F5711" s="508" t="e">
        <f t="shared" si="335"/>
        <v>#VALUE!</v>
      </c>
      <c r="G5711" s="519"/>
      <c r="H5711" s="111"/>
      <c r="I5711">
        <f>E5711*G5690</f>
        <v>0</v>
      </c>
      <c r="J5711" s="58"/>
      <c r="K5711" s="50"/>
      <c r="L5711" s="50"/>
      <c r="M5711" s="50"/>
      <c r="N5711" s="50"/>
      <c r="O5711" s="50"/>
    </row>
    <row r="5712" spans="1:15">
      <c r="A5712" s="517" t="s">
        <v>8</v>
      </c>
      <c r="B5712" s="518">
        <f>VLOOKUP(A5712,'Materiales '!$C$2:$G$396,3,0)</f>
        <v>0</v>
      </c>
      <c r="C5712" s="88">
        <f>VLOOKUP(A5712,'Materiales '!$C$2:$G$396,3,0)</f>
        <v>0</v>
      </c>
      <c r="D5712" s="89" t="str">
        <f>VLOOKUP(A5712,'Materiales '!$C$2:$G$396,4,0)</f>
        <v>-</v>
      </c>
      <c r="E5712" s="90"/>
      <c r="F5712" s="508" t="e">
        <f t="shared" si="335"/>
        <v>#VALUE!</v>
      </c>
      <c r="G5712" s="519"/>
      <c r="H5712" s="111"/>
      <c r="I5712">
        <f>E5712*G5690</f>
        <v>0</v>
      </c>
      <c r="J5712" s="58"/>
      <c r="K5712" s="50"/>
      <c r="L5712" s="50"/>
      <c r="M5712" s="50"/>
      <c r="N5712" s="50"/>
      <c r="O5712" s="50"/>
    </row>
    <row r="5713" spans="1:15">
      <c r="A5713" s="517" t="s">
        <v>8</v>
      </c>
      <c r="B5713" s="518">
        <f>VLOOKUP(A5713,'Materiales '!$C$2:$G$396,3,0)</f>
        <v>0</v>
      </c>
      <c r="C5713" s="88">
        <f>VLOOKUP(A5713,'Materiales '!$C$2:$G$396,3,0)</f>
        <v>0</v>
      </c>
      <c r="D5713" s="89" t="str">
        <f>VLOOKUP(A5713,'Materiales '!$C$2:$G$396,4,0)</f>
        <v>-</v>
      </c>
      <c r="E5713" s="90"/>
      <c r="F5713" s="508" t="e">
        <f>E5713*D5713</f>
        <v>#VALUE!</v>
      </c>
      <c r="G5713" s="519"/>
      <c r="H5713" s="110"/>
      <c r="I5713">
        <f>E5713*G5690</f>
        <v>0</v>
      </c>
      <c r="J5713" s="58"/>
      <c r="K5713" s="50"/>
      <c r="L5713" s="50"/>
      <c r="M5713" s="50"/>
      <c r="N5713" s="50"/>
      <c r="O5713" s="50"/>
    </row>
    <row r="5714" spans="1:15">
      <c r="A5714" s="520" t="s">
        <v>4098</v>
      </c>
      <c r="B5714" s="521"/>
      <c r="C5714" s="521"/>
      <c r="D5714" s="521"/>
      <c r="E5714" s="521"/>
      <c r="F5714" s="521"/>
      <c r="G5714" s="522"/>
      <c r="H5714" s="106" t="e">
        <f>SUM(F5700:F5713)</f>
        <v>#VALUE!</v>
      </c>
      <c r="J5714" s="58"/>
      <c r="K5714" s="50"/>
      <c r="L5714" s="50"/>
      <c r="M5714" s="50"/>
      <c r="N5714" s="50"/>
      <c r="O5714" s="50"/>
    </row>
    <row r="5715" spans="1:15">
      <c r="A5715" s="523" t="s">
        <v>4220</v>
      </c>
      <c r="B5715" s="524"/>
      <c r="C5715" s="524"/>
      <c r="D5715" s="524"/>
      <c r="E5715" s="525"/>
      <c r="F5715" s="524"/>
      <c r="G5715" s="524"/>
      <c r="H5715" s="526"/>
      <c r="J5715" s="58"/>
      <c r="K5715" s="50"/>
      <c r="L5715" s="50"/>
      <c r="M5715" s="50"/>
      <c r="N5715" s="50"/>
      <c r="O5715" s="50"/>
    </row>
    <row r="5716" spans="1:15">
      <c r="A5716" s="527" t="s">
        <v>7</v>
      </c>
      <c r="B5716" s="528"/>
      <c r="C5716" s="98" t="s">
        <v>4221</v>
      </c>
      <c r="D5716" s="97" t="s">
        <v>4222</v>
      </c>
      <c r="E5716" s="187" t="s">
        <v>4223</v>
      </c>
      <c r="F5716" s="529" t="s">
        <v>4207</v>
      </c>
      <c r="G5716" s="529"/>
      <c r="H5716" s="109"/>
      <c r="K5716" s="50"/>
      <c r="L5716" s="50"/>
      <c r="M5716" s="50"/>
      <c r="N5716" s="50"/>
      <c r="O5716" s="50"/>
    </row>
    <row r="5717" spans="1:15">
      <c r="A5717" s="506" t="s">
        <v>3928</v>
      </c>
      <c r="B5717" s="507"/>
      <c r="C5717" s="213">
        <v>1</v>
      </c>
      <c r="D5717" s="92">
        <v>0.01</v>
      </c>
      <c r="E5717" s="93" t="str">
        <f>VLOOKUP(A5717,'Equip, Herr y Transp'!$B$2:$E$217,3,0)</f>
        <v>TR</v>
      </c>
      <c r="F5717" s="530" t="e">
        <f>E5717*D5717*C5717</f>
        <v>#VALUE!</v>
      </c>
      <c r="G5717" s="531"/>
      <c r="H5717" s="107"/>
      <c r="M5717" s="50"/>
    </row>
    <row r="5718" spans="1:15">
      <c r="A5718" s="532" t="s">
        <v>4205</v>
      </c>
      <c r="B5718" s="533"/>
      <c r="C5718" s="533"/>
      <c r="D5718" s="533"/>
      <c r="E5718" s="533"/>
      <c r="F5718" s="533"/>
      <c r="G5718" s="533"/>
      <c r="H5718" s="95" t="e">
        <f>F5717</f>
        <v>#VALUE!</v>
      </c>
    </row>
    <row r="5719" spans="1:15">
      <c r="A5719" s="523" t="s">
        <v>4224</v>
      </c>
      <c r="B5719" s="524"/>
      <c r="C5719" s="524"/>
      <c r="D5719" s="524"/>
      <c r="E5719" s="524"/>
      <c r="F5719" s="524"/>
      <c r="G5719" s="524"/>
      <c r="H5719" s="526"/>
    </row>
    <row r="5720" spans="1:15">
      <c r="A5720" s="527" t="s">
        <v>7</v>
      </c>
      <c r="B5720" s="528"/>
      <c r="C5720" s="96" t="s">
        <v>1</v>
      </c>
      <c r="D5720" s="97" t="s">
        <v>4225</v>
      </c>
      <c r="E5720" s="98" t="s">
        <v>4204</v>
      </c>
      <c r="F5720" s="527" t="s">
        <v>5</v>
      </c>
      <c r="G5720" s="534"/>
      <c r="H5720" s="109"/>
    </row>
    <row r="5721" spans="1:15">
      <c r="A5721" s="506" t="s">
        <v>4191</v>
      </c>
      <c r="B5721" s="507"/>
      <c r="C5721" s="91">
        <v>1</v>
      </c>
      <c r="D5721" s="94">
        <f>VLOOKUP(A5721,'Mano Obra'!$B$2:$T$117,19,0)</f>
        <v>152456</v>
      </c>
      <c r="E5721" s="218">
        <f>H5683</f>
        <v>2.7099999999999999E-2</v>
      </c>
      <c r="F5721" s="508">
        <f>E5721*D5721*C5721</f>
        <v>4131.5576000000001</v>
      </c>
      <c r="G5721" s="509"/>
      <c r="H5721" s="111"/>
      <c r="I5721" s="59"/>
      <c r="J5721" s="117">
        <f>((('Mano Obra'!$M$4/30)*F5721)/D5721)*G5690</f>
        <v>0</v>
      </c>
    </row>
    <row r="5722" spans="1:15">
      <c r="A5722" s="510" t="s">
        <v>4192</v>
      </c>
      <c r="B5722" s="511">
        <f>VLOOKUP(A5722,'Mano Obra'!$B$3:$D$290,2,0)</f>
        <v>1900000</v>
      </c>
      <c r="C5722" s="91">
        <v>1</v>
      </c>
      <c r="D5722" s="94">
        <f>VLOOKUP(A5722,'Mano Obra'!$B$2:$T$117,19,0)</f>
        <v>110488</v>
      </c>
      <c r="E5722" s="218">
        <f>H5683</f>
        <v>2.7099999999999999E-2</v>
      </c>
      <c r="F5722" s="508">
        <f t="shared" ref="F5722:F5723" si="336">E5722*D5722*C5722</f>
        <v>2994.2248</v>
      </c>
      <c r="G5722" s="509"/>
      <c r="H5722" s="111"/>
      <c r="J5722" s="117">
        <f>((('Mano Obra'!$M$5/30)*F5722)/D5722)*G5690</f>
        <v>0</v>
      </c>
    </row>
    <row r="5723" spans="1:15">
      <c r="A5723" s="510" t="s">
        <v>4181</v>
      </c>
      <c r="B5723" s="511">
        <f>VLOOKUP(A5723,'Mano Obra'!$B$3:$D$290,2,0)</f>
        <v>1000000</v>
      </c>
      <c r="C5723" s="91">
        <v>1</v>
      </c>
      <c r="D5723" s="94">
        <f>VLOOKUP(A5723,'Mano Obra'!$B$2:$T$117,19,0)</f>
        <v>67424</v>
      </c>
      <c r="E5723" s="218">
        <f>H5683</f>
        <v>2.7099999999999999E-2</v>
      </c>
      <c r="F5723" s="508">
        <f t="shared" si="336"/>
        <v>1827.1904</v>
      </c>
      <c r="G5723" s="509"/>
      <c r="H5723" s="110"/>
      <c r="J5723" s="117">
        <f>((('Mano Obra'!$M$6/30)*F5723)/D5723)*G5690</f>
        <v>0</v>
      </c>
    </row>
    <row r="5724" spans="1:15">
      <c r="A5724" s="512" t="s">
        <v>4100</v>
      </c>
      <c r="B5724" s="512"/>
      <c r="C5724" s="512"/>
      <c r="D5724" s="512"/>
      <c r="E5724" s="512"/>
      <c r="F5724" s="512"/>
      <c r="G5724" s="512"/>
      <c r="H5724" s="95">
        <f>SUM(F5721:F5723)</f>
        <v>8952.9727999999996</v>
      </c>
      <c r="J5724" s="117"/>
    </row>
    <row r="5725" spans="1:15">
      <c r="A5725" s="208" t="s">
        <v>4226</v>
      </c>
      <c r="B5725" s="186"/>
      <c r="C5725" s="186"/>
      <c r="D5725" s="183"/>
      <c r="E5725" s="184"/>
      <c r="F5725" s="185"/>
      <c r="G5725" s="184"/>
      <c r="H5725" s="193"/>
    </row>
    <row r="5726" spans="1:15">
      <c r="A5726" s="513" t="s">
        <v>4213</v>
      </c>
      <c r="B5726" s="514"/>
      <c r="C5726" s="514"/>
      <c r="D5726" s="514"/>
      <c r="E5726" s="181"/>
      <c r="F5726" s="182" t="s">
        <v>4227</v>
      </c>
      <c r="G5726" s="181" t="s">
        <v>4228</v>
      </c>
      <c r="H5726" s="194"/>
    </row>
    <row r="5727" spans="1:15">
      <c r="A5727" s="204" t="s">
        <v>4096</v>
      </c>
      <c r="B5727" s="62"/>
      <c r="C5727" s="62"/>
      <c r="D5727" s="63"/>
      <c r="E5727" s="68"/>
      <c r="F5727" s="69">
        <v>0</v>
      </c>
      <c r="G5727" s="70" t="e">
        <f>F5727*H5691</f>
        <v>#VALUE!</v>
      </c>
      <c r="H5727" s="193"/>
    </row>
    <row r="5728" spans="1:15">
      <c r="A5728" s="205" t="s">
        <v>4229</v>
      </c>
      <c r="B5728" s="71"/>
      <c r="C5728" s="71"/>
      <c r="D5728" s="72"/>
      <c r="E5728" s="68"/>
      <c r="F5728" s="69">
        <v>0</v>
      </c>
      <c r="G5728" s="70" t="e">
        <f>F5728*H5691</f>
        <v>#VALUE!</v>
      </c>
      <c r="H5728" s="193"/>
    </row>
    <row r="5729" spans="1:14">
      <c r="A5729" s="205" t="s">
        <v>4</v>
      </c>
      <c r="B5729" s="71"/>
      <c r="C5729" s="71"/>
      <c r="D5729" s="72"/>
      <c r="E5729" s="68"/>
      <c r="F5729" s="69">
        <v>0</v>
      </c>
      <c r="G5729" s="70" t="e">
        <f>F5729*H5691</f>
        <v>#VALUE!</v>
      </c>
      <c r="H5729" s="193"/>
    </row>
    <row r="5730" spans="1:14">
      <c r="A5730" s="206"/>
      <c r="B5730" s="73"/>
      <c r="C5730" s="65"/>
      <c r="D5730" s="74"/>
      <c r="E5730" s="75"/>
      <c r="F5730" s="76"/>
      <c r="G5730" s="77"/>
      <c r="H5730" s="195"/>
    </row>
    <row r="5731" spans="1:14">
      <c r="A5731" s="207"/>
      <c r="B5731" s="73"/>
      <c r="C5731" s="73"/>
      <c r="D5731" s="74"/>
      <c r="E5731" s="78"/>
      <c r="F5731" s="515" t="s">
        <v>4230</v>
      </c>
      <c r="G5731" s="516"/>
      <c r="H5731" s="214" t="e">
        <f>H5691+G5727+G5728+G5729</f>
        <v>#VALUE!</v>
      </c>
    </row>
    <row r="5733" spans="1:14">
      <c r="A5733" s="80"/>
      <c r="B5733" s="80"/>
      <c r="C5733" s="80"/>
      <c r="D5733" s="80"/>
      <c r="E5733" s="80"/>
      <c r="F5733" s="80"/>
      <c r="G5733" s="80"/>
      <c r="H5733" s="353"/>
    </row>
    <row r="5734" spans="1:14">
      <c r="A5734" s="537" t="s">
        <v>4214</v>
      </c>
      <c r="B5734" s="538"/>
      <c r="C5734" s="538"/>
      <c r="D5734" s="538"/>
      <c r="E5734" s="538"/>
      <c r="F5734" s="538"/>
      <c r="G5734" s="538"/>
      <c r="H5734" s="539"/>
    </row>
    <row r="5735" spans="1:14">
      <c r="A5735" s="81"/>
      <c r="B5735" s="82"/>
      <c r="C5735" s="82"/>
      <c r="D5735" s="82"/>
      <c r="E5735" s="82"/>
      <c r="F5735" s="83"/>
      <c r="G5735" s="84"/>
      <c r="H5735" s="352">
        <f>ROUND((7/60)/8,4)</f>
        <v>1.46E-2</v>
      </c>
      <c r="I5735" s="105"/>
    </row>
    <row r="5736" spans="1:14">
      <c r="A5736" s="540" t="s">
        <v>4209</v>
      </c>
      <c r="B5736" s="542" t="str">
        <f>COSTOS!$C$14</f>
        <v>MODERNIZACION A TECNOLOGIA LED</v>
      </c>
      <c r="C5736" s="542"/>
      <c r="D5736" s="542"/>
      <c r="E5736" s="542"/>
      <c r="F5736" s="542"/>
      <c r="G5736" s="542"/>
      <c r="H5736" s="543" t="s">
        <v>4210</v>
      </c>
    </row>
    <row r="5737" spans="1:14">
      <c r="A5737" s="541"/>
      <c r="B5737" s="542"/>
      <c r="C5737" s="542"/>
      <c r="D5737" s="542"/>
      <c r="E5737" s="542"/>
      <c r="F5737" s="542"/>
      <c r="G5737" s="542"/>
      <c r="H5737" s="543"/>
    </row>
    <row r="5738" spans="1:14">
      <c r="A5738" s="541"/>
      <c r="B5738" s="542"/>
      <c r="C5738" s="542"/>
      <c r="D5738" s="542"/>
      <c r="E5738" s="542"/>
      <c r="F5738" s="542"/>
      <c r="G5738" s="542"/>
      <c r="H5738" s="543"/>
    </row>
    <row r="5739" spans="1:14" ht="15" customHeight="1">
      <c r="A5739" s="541"/>
      <c r="B5739" s="542"/>
      <c r="C5739" s="542"/>
      <c r="D5739" s="542"/>
      <c r="E5739" s="542"/>
      <c r="F5739" s="542"/>
      <c r="G5739" s="542"/>
      <c r="H5739" s="197">
        <f ca="1">TODAY()</f>
        <v>44889</v>
      </c>
      <c r="K5739" t="s">
        <v>4380</v>
      </c>
      <c r="L5739" t="s">
        <v>4381</v>
      </c>
      <c r="M5739" t="s">
        <v>4382</v>
      </c>
      <c r="N5739" t="s">
        <v>4383</v>
      </c>
    </row>
    <row r="5740" spans="1:14" ht="60.75" customHeight="1">
      <c r="A5740" s="209" t="s">
        <v>4211</v>
      </c>
      <c r="B5740" s="544" t="str">
        <f>COSTOS!$D$16</f>
        <v>Luminarias</v>
      </c>
      <c r="C5740" s="544"/>
      <c r="D5740" s="544"/>
      <c r="E5740" s="544"/>
      <c r="F5740" s="544"/>
      <c r="G5740" s="60" t="s">
        <v>4212</v>
      </c>
      <c r="H5740" s="359">
        <v>3.2</v>
      </c>
      <c r="K5740" s="55" t="e">
        <f>H5766</f>
        <v>#VALUE!</v>
      </c>
      <c r="L5740" s="55">
        <f>H5776</f>
        <v>4823.3728000000001</v>
      </c>
      <c r="M5740" s="55" t="e">
        <f>H5749</f>
        <v>#VALUE!</v>
      </c>
      <c r="N5740" s="55" t="e">
        <f>H5770</f>
        <v>#VALUE!</v>
      </c>
    </row>
    <row r="5741" spans="1:14" ht="43.2" customHeight="1">
      <c r="A5741" s="210" t="s">
        <v>4213</v>
      </c>
      <c r="B5741" s="545" t="str">
        <f>VLOOKUP(H5740,COSTOS!C:M,2,0)</f>
        <v>Tubería EMT de 1/2" con red 3x12 awg para instalacion de luminarias. Adosado en pared. Incluye instalacion de elementos de fijacion, soporte y conexionado x 500 m</v>
      </c>
      <c r="C5741" s="546"/>
      <c r="D5741" s="546"/>
      <c r="E5741" s="547"/>
      <c r="F5741" s="61" t="s">
        <v>0</v>
      </c>
      <c r="G5741" s="328" t="str">
        <f>VLOOKUP(H5740,COSTOS!C:M,8,0)</f>
        <v>Und</v>
      </c>
      <c r="H5741" s="248"/>
      <c r="I5741" s="278"/>
      <c r="J5741" s="280"/>
      <c r="K5741" s="280"/>
      <c r="L5741" s="280"/>
    </row>
    <row r="5742" spans="1:14">
      <c r="A5742" s="211"/>
      <c r="B5742" s="102"/>
      <c r="C5742" s="102"/>
      <c r="D5742" s="102"/>
      <c r="E5742" s="103"/>
      <c r="F5742" s="104" t="s">
        <v>1</v>
      </c>
      <c r="G5742" s="328">
        <f>VLOOKUP(H5740,COSTOS!C:M,9,0)</f>
        <v>0</v>
      </c>
      <c r="H5742" s="329"/>
      <c r="I5742" s="279"/>
    </row>
    <row r="5743" spans="1:14">
      <c r="A5743" s="212" t="s">
        <v>4215</v>
      </c>
      <c r="B5743" s="65"/>
      <c r="C5743" s="65"/>
      <c r="D5743" s="66"/>
      <c r="E5743" s="190"/>
      <c r="F5743" s="191"/>
      <c r="G5743" s="192" t="s">
        <v>4216</v>
      </c>
      <c r="H5743" s="198" t="e">
        <f>H5749+H5766+H5770+H5776</f>
        <v>#VALUE!</v>
      </c>
    </row>
    <row r="5744" spans="1:14" ht="41.4">
      <c r="A5744" s="548" t="s">
        <v>4213</v>
      </c>
      <c r="B5744" s="548"/>
      <c r="C5744" s="548"/>
      <c r="D5744" s="67" t="s">
        <v>0</v>
      </c>
      <c r="E5744" s="188" t="s">
        <v>4217</v>
      </c>
      <c r="F5744" s="189" t="s">
        <v>4204</v>
      </c>
      <c r="G5744" s="64" t="s">
        <v>2</v>
      </c>
      <c r="H5744" s="199" t="s">
        <v>4218</v>
      </c>
      <c r="K5744" s="281"/>
    </row>
    <row r="5745" spans="1:15">
      <c r="A5745" s="517" t="s">
        <v>3946</v>
      </c>
      <c r="B5745" s="549">
        <f>VLOOKUP(A5745,'Equip, Herr y Transp'!$B$2:$E$738,2,0)</f>
        <v>2</v>
      </c>
      <c r="C5745" s="549"/>
      <c r="D5745" s="85">
        <f>VLOOKUP(A5745,'Equip, Herr y Transp'!$B$2:$E$217,2,0)</f>
        <v>2</v>
      </c>
      <c r="E5745" s="85" t="str">
        <f>VLOOKUP(A5745,'Equip, Herr y Transp'!$B$2:$E$217,3,0)</f>
        <v>EQU</v>
      </c>
      <c r="F5745" s="86">
        <f>H5735</f>
        <v>1.46E-2</v>
      </c>
      <c r="G5745" s="112" t="e">
        <f>F5745*E5745</f>
        <v>#VALUE!</v>
      </c>
      <c r="H5745" s="108"/>
    </row>
    <row r="5746" spans="1:15">
      <c r="A5746" s="517" t="s">
        <v>3902</v>
      </c>
      <c r="B5746" s="549">
        <f>VLOOKUP(A5746,'Equip, Herr y Transp'!$B$2:$E$738,2,0)</f>
        <v>2</v>
      </c>
      <c r="C5746" s="549"/>
      <c r="D5746" s="85">
        <f>VLOOKUP(A5746,'Equip, Herr y Transp'!$B$2:$E$217,2,0)</f>
        <v>2</v>
      </c>
      <c r="E5746" s="85" t="str">
        <f>VLOOKUP(A5746,'Equip, Herr y Transp'!$B$2:$E$217,3,0)</f>
        <v>EQU</v>
      </c>
      <c r="F5746" s="86">
        <f>H5735</f>
        <v>1.46E-2</v>
      </c>
      <c r="G5746" s="112" t="e">
        <f>F5746*E5746</f>
        <v>#VALUE!</v>
      </c>
      <c r="H5746" s="107"/>
    </row>
    <row r="5747" spans="1:15">
      <c r="A5747" s="517" t="s">
        <v>4142</v>
      </c>
      <c r="B5747" s="549">
        <f>VLOOKUP(A5747,'Equip, Herr y Transp'!$B$2:$E$738,2,0)</f>
        <v>2</v>
      </c>
      <c r="C5747" s="549"/>
      <c r="D5747" s="85">
        <f>VLOOKUP(A5747,'Equip, Herr y Transp'!$B$2:$E$217,2,0)</f>
        <v>2</v>
      </c>
      <c r="E5747" s="85" t="str">
        <f>VLOOKUP(A5747,'Equip, Herr y Transp'!$B$2:$E$217,3,0)</f>
        <v>EQU</v>
      </c>
      <c r="F5747" s="86">
        <f>H5735</f>
        <v>1.46E-2</v>
      </c>
      <c r="G5747" s="112" t="e">
        <f>F5747*E5747</f>
        <v>#VALUE!</v>
      </c>
      <c r="H5747" s="107"/>
    </row>
    <row r="5748" spans="1:15">
      <c r="A5748" s="517" t="s">
        <v>3914</v>
      </c>
      <c r="B5748" s="549">
        <f>VLOOKUP(A5748,'Equip, Herr y Transp'!$B$2:$E$738,2,0)</f>
        <v>2</v>
      </c>
      <c r="C5748" s="549"/>
      <c r="D5748" s="85">
        <f>VLOOKUP(A5748,'Equip, Herr y Transp'!$B$2:$E$217,2,0)</f>
        <v>2</v>
      </c>
      <c r="E5748" s="85" t="str">
        <f>VLOOKUP(A5748,'Equip, Herr y Transp'!$B$2:$E$217,3,0)</f>
        <v>EQU</v>
      </c>
      <c r="F5748" s="86">
        <f>H5735</f>
        <v>1.46E-2</v>
      </c>
      <c r="G5748" s="112" t="e">
        <f>F5748*E5748</f>
        <v>#VALUE!</v>
      </c>
      <c r="H5748" s="107"/>
    </row>
    <row r="5749" spans="1:15">
      <c r="A5749" s="520" t="s">
        <v>4099</v>
      </c>
      <c r="B5749" s="521"/>
      <c r="C5749" s="521"/>
      <c r="D5749" s="521"/>
      <c r="E5749" s="521"/>
      <c r="F5749" s="521"/>
      <c r="G5749" s="521"/>
      <c r="H5749" s="87" t="e">
        <f>SUM(G5745:G5748)</f>
        <v>#VALUE!</v>
      </c>
    </row>
    <row r="5750" spans="1:15">
      <c r="A5750" s="550" t="s">
        <v>4219</v>
      </c>
      <c r="B5750" s="551"/>
      <c r="C5750" s="551"/>
      <c r="D5750" s="551"/>
      <c r="E5750" s="551"/>
      <c r="F5750" s="551"/>
      <c r="G5750" s="551"/>
      <c r="H5750" s="552"/>
      <c r="K5750" s="50"/>
      <c r="L5750" s="50"/>
      <c r="M5750" s="50"/>
      <c r="N5750" s="50"/>
      <c r="O5750" s="50"/>
    </row>
    <row r="5751" spans="1:15" ht="30" customHeight="1">
      <c r="A5751" s="553" t="s">
        <v>7</v>
      </c>
      <c r="B5751" s="554"/>
      <c r="C5751" s="99" t="s">
        <v>0</v>
      </c>
      <c r="D5751" s="100" t="s">
        <v>4097</v>
      </c>
      <c r="E5751" s="101" t="s">
        <v>1</v>
      </c>
      <c r="F5751" s="555" t="s">
        <v>4207</v>
      </c>
      <c r="G5751" s="555"/>
      <c r="H5751" s="196"/>
      <c r="K5751" s="50"/>
      <c r="L5751" s="50"/>
      <c r="M5751" s="50"/>
      <c r="N5751" s="50"/>
      <c r="O5751" s="50"/>
    </row>
    <row r="5752" spans="1:15">
      <c r="A5752" s="535" t="s">
        <v>4638</v>
      </c>
      <c r="B5752" s="536"/>
      <c r="C5752" s="88">
        <f>VLOOKUP(A5752,'Materiales '!$C$2:$G$396,3,0)</f>
        <v>2</v>
      </c>
      <c r="D5752" s="89" t="str">
        <f>VLOOKUP(A5752,'Materiales '!$C$2:$G$396,4,0)</f>
        <v>Ml</v>
      </c>
      <c r="E5752" s="90">
        <v>3</v>
      </c>
      <c r="F5752" s="508" t="e">
        <f>E5752*D5752</f>
        <v>#VALUE!</v>
      </c>
      <c r="G5752" s="519"/>
      <c r="H5752" s="111"/>
      <c r="I5752">
        <f>E5752*G5742</f>
        <v>0</v>
      </c>
      <c r="J5752" s="57"/>
      <c r="K5752" s="50"/>
      <c r="L5752" s="50"/>
      <c r="M5752" s="50"/>
      <c r="N5752" s="50"/>
      <c r="O5752" s="50"/>
    </row>
    <row r="5753" spans="1:15">
      <c r="A5753" s="535" t="s">
        <v>4639</v>
      </c>
      <c r="B5753" s="536"/>
      <c r="C5753" s="88">
        <f>VLOOKUP(A5753,'Materiales '!$C$2:$G$396,3,0)</f>
        <v>4</v>
      </c>
      <c r="D5753" s="89" t="str">
        <f>VLOOKUP(A5753,'Materiales '!$C$2:$G$396,4,0)</f>
        <v>Und</v>
      </c>
      <c r="E5753" s="90">
        <v>0.34</v>
      </c>
      <c r="F5753" s="508" t="e">
        <f t="shared" ref="F5753:F5759" si="337">E5753*D5753</f>
        <v>#VALUE!</v>
      </c>
      <c r="G5753" s="519"/>
      <c r="H5753" s="111"/>
      <c r="I5753">
        <f>E5753*G5742</f>
        <v>0</v>
      </c>
      <c r="J5753" s="57"/>
      <c r="K5753" s="50"/>
      <c r="L5753" s="50"/>
      <c r="M5753" s="50"/>
      <c r="N5753" s="50"/>
      <c r="O5753" s="50"/>
    </row>
    <row r="5754" spans="1:15">
      <c r="A5754" s="517" t="s">
        <v>4640</v>
      </c>
      <c r="B5754" s="518">
        <f>VLOOKUP(A5754,'Materiales '!$C$2:$G$396,3,0)</f>
        <v>4</v>
      </c>
      <c r="C5754" s="88">
        <f>VLOOKUP(A5754,'Materiales '!$C$2:$G$396,3,0)</f>
        <v>4</v>
      </c>
      <c r="D5754" s="89" t="str">
        <f>VLOOKUP(A5754,'Materiales '!$C$2:$G$396,4,0)</f>
        <v>Und</v>
      </c>
      <c r="E5754" s="90">
        <v>0.1</v>
      </c>
      <c r="F5754" s="508" t="e">
        <f t="shared" si="337"/>
        <v>#VALUE!</v>
      </c>
      <c r="G5754" s="519"/>
      <c r="H5754" s="111"/>
      <c r="I5754">
        <f>E5754*G5742</f>
        <v>0</v>
      </c>
      <c r="J5754" s="58"/>
      <c r="K5754" s="50"/>
      <c r="L5754" s="50"/>
      <c r="M5754" s="50"/>
      <c r="N5754" s="50"/>
      <c r="O5754" s="50"/>
    </row>
    <row r="5755" spans="1:15">
      <c r="A5755" s="517" t="s">
        <v>4641</v>
      </c>
      <c r="B5755" s="518">
        <f>VLOOKUP(A5755,'Materiales '!$C$2:$G$396,3,0)</f>
        <v>4</v>
      </c>
      <c r="C5755" s="88">
        <f>VLOOKUP(A5755,'Materiales '!$C$2:$G$396,3,0)</f>
        <v>4</v>
      </c>
      <c r="D5755" s="89" t="str">
        <f>VLOOKUP(A5755,'Materiales '!$C$2:$G$396,4,0)</f>
        <v>Und</v>
      </c>
      <c r="E5755" s="90">
        <v>0.33</v>
      </c>
      <c r="F5755" s="508" t="e">
        <f t="shared" si="337"/>
        <v>#VALUE!</v>
      </c>
      <c r="G5755" s="519"/>
      <c r="H5755" s="111"/>
      <c r="I5755">
        <f>E5755*G5742</f>
        <v>0</v>
      </c>
      <c r="J5755" s="58"/>
      <c r="K5755" s="50"/>
      <c r="L5755" s="50"/>
      <c r="M5755" s="50"/>
      <c r="N5755" s="50"/>
      <c r="O5755" s="50"/>
    </row>
    <row r="5756" spans="1:15">
      <c r="A5756" s="517" t="s">
        <v>4628</v>
      </c>
      <c r="B5756" s="518">
        <f>VLOOKUP(A5756,'Materiales '!$C$2:$G$396,3,0)</f>
        <v>4</v>
      </c>
      <c r="C5756" s="88">
        <f>VLOOKUP(A5756,'Materiales '!$C$2:$G$396,3,0)</f>
        <v>4</v>
      </c>
      <c r="D5756" s="89" t="str">
        <f>VLOOKUP(A5756,'Materiales '!$C$2:$G$396,4,0)</f>
        <v>Und</v>
      </c>
      <c r="E5756" s="90">
        <v>0.05</v>
      </c>
      <c r="F5756" s="508" t="e">
        <f t="shared" si="337"/>
        <v>#VALUE!</v>
      </c>
      <c r="G5756" s="519"/>
      <c r="H5756" s="111"/>
      <c r="I5756">
        <f>E5756*G5742</f>
        <v>0</v>
      </c>
      <c r="J5756" s="58"/>
      <c r="K5756" s="50"/>
      <c r="L5756" s="50"/>
      <c r="M5756" s="50"/>
      <c r="N5756" s="50"/>
      <c r="O5756" s="50"/>
    </row>
    <row r="5757" spans="1:15">
      <c r="A5757" s="517" t="s">
        <v>8</v>
      </c>
      <c r="B5757" s="518">
        <f>VLOOKUP(A5757,'Materiales '!$C$2:$G$396,3,0)</f>
        <v>0</v>
      </c>
      <c r="C5757" s="88">
        <f>VLOOKUP(A5757,'Materiales '!$C$2:$G$396,3,0)</f>
        <v>0</v>
      </c>
      <c r="D5757" s="89" t="str">
        <f>VLOOKUP(A5757,'Materiales '!$C$2:$G$396,4,0)</f>
        <v>-</v>
      </c>
      <c r="E5757" s="90">
        <v>8</v>
      </c>
      <c r="F5757" s="508" t="e">
        <f t="shared" si="337"/>
        <v>#VALUE!</v>
      </c>
      <c r="G5757" s="519"/>
      <c r="H5757" s="111"/>
      <c r="I5757">
        <f>E5757*G5742</f>
        <v>0</v>
      </c>
      <c r="J5757" s="58"/>
      <c r="K5757" s="50"/>
      <c r="L5757" s="50"/>
      <c r="M5757" s="50"/>
      <c r="N5757" s="50"/>
      <c r="O5757" s="50"/>
    </row>
    <row r="5758" spans="1:15">
      <c r="A5758" s="517" t="s">
        <v>8</v>
      </c>
      <c r="B5758" s="518">
        <f>VLOOKUP(A5758,'Materiales '!$C$2:$G$396,3,0)</f>
        <v>0</v>
      </c>
      <c r="C5758" s="88">
        <f>VLOOKUP(A5758,'Materiales '!$C$2:$G$396,3,0)</f>
        <v>0</v>
      </c>
      <c r="D5758" s="89" t="str">
        <f>VLOOKUP(A5758,'Materiales '!$C$2:$G$396,4,0)</f>
        <v>-</v>
      </c>
      <c r="E5758" s="90">
        <v>3</v>
      </c>
      <c r="F5758" s="508" t="e">
        <f t="shared" si="337"/>
        <v>#VALUE!</v>
      </c>
      <c r="G5758" s="519"/>
      <c r="H5758" s="111"/>
      <c r="I5758">
        <f>E5758*G5742</f>
        <v>0</v>
      </c>
      <c r="J5758" s="58"/>
      <c r="K5758" s="50"/>
      <c r="L5758" s="50"/>
      <c r="M5758" s="50"/>
      <c r="N5758" s="50"/>
      <c r="O5758" s="50"/>
    </row>
    <row r="5759" spans="1:15" ht="21.75" customHeight="1">
      <c r="A5759" s="517" t="s">
        <v>8</v>
      </c>
      <c r="B5759" s="518">
        <f>VLOOKUP(A5759,'Materiales '!$C$2:$G$396,3,0)</f>
        <v>0</v>
      </c>
      <c r="C5759" s="88">
        <f>VLOOKUP(A5759,'Materiales '!$C$2:$G$396,3,0)</f>
        <v>0</v>
      </c>
      <c r="D5759" s="89" t="str">
        <f>VLOOKUP(A5759,'Materiales '!$C$2:$G$396,4,0)</f>
        <v>-</v>
      </c>
      <c r="E5759" s="90">
        <v>0.5</v>
      </c>
      <c r="F5759" s="508" t="e">
        <f t="shared" si="337"/>
        <v>#VALUE!</v>
      </c>
      <c r="G5759" s="519"/>
      <c r="H5759" s="111"/>
      <c r="I5759">
        <f>E5759*G5742</f>
        <v>0</v>
      </c>
      <c r="J5759" s="58"/>
      <c r="K5759" s="50"/>
      <c r="L5759" s="50"/>
      <c r="M5759" s="50"/>
      <c r="N5759" s="50"/>
      <c r="O5759" s="50"/>
    </row>
    <row r="5760" spans="1:15">
      <c r="A5760" s="517" t="s">
        <v>8</v>
      </c>
      <c r="B5760" s="518">
        <f>VLOOKUP(A5760,'Materiales '!$C$2:$G$396,3,0)</f>
        <v>0</v>
      </c>
      <c r="C5760" s="88">
        <f>VLOOKUP(A5760,'Materiales '!$C$2:$G$396,3,0)</f>
        <v>0</v>
      </c>
      <c r="D5760" s="89" t="str">
        <f>VLOOKUP(A5760,'Materiales '!$C$2:$G$396,4,0)</f>
        <v>-</v>
      </c>
      <c r="E5760" s="90"/>
      <c r="F5760" s="508" t="e">
        <f>E5760*D5760</f>
        <v>#VALUE!</v>
      </c>
      <c r="G5760" s="519"/>
      <c r="H5760" s="110"/>
      <c r="I5760">
        <f>E5760*G5742</f>
        <v>0</v>
      </c>
      <c r="J5760" s="58"/>
      <c r="K5760" s="50"/>
      <c r="L5760" s="50"/>
      <c r="M5760" s="50"/>
      <c r="N5760" s="50"/>
      <c r="O5760" s="50"/>
    </row>
    <row r="5761" spans="1:15">
      <c r="A5761" s="517" t="s">
        <v>8</v>
      </c>
      <c r="B5761" s="518">
        <f>VLOOKUP(A5761,'Materiales '!$C$2:$G$396,3,0)</f>
        <v>0</v>
      </c>
      <c r="C5761" s="88">
        <f>VLOOKUP(A5761,'Materiales '!$C$2:$G$396,3,0)</f>
        <v>0</v>
      </c>
      <c r="D5761" s="89" t="str">
        <f>VLOOKUP(A5761,'Materiales '!$C$2:$G$396,4,0)</f>
        <v>-</v>
      </c>
      <c r="E5761" s="90"/>
      <c r="F5761" s="508" t="e">
        <f t="shared" ref="F5761:F5764" si="338">E5761*D5761</f>
        <v>#VALUE!</v>
      </c>
      <c r="G5761" s="519"/>
      <c r="H5761" s="111"/>
      <c r="I5761">
        <f>E5761*G5742</f>
        <v>0</v>
      </c>
      <c r="J5761" s="58"/>
      <c r="K5761" s="50"/>
      <c r="L5761" s="50"/>
      <c r="M5761" s="50"/>
      <c r="N5761" s="50"/>
      <c r="O5761" s="50"/>
    </row>
    <row r="5762" spans="1:15">
      <c r="A5762" s="517" t="s">
        <v>8</v>
      </c>
      <c r="B5762" s="518">
        <f>VLOOKUP(A5762,'Materiales '!$C$2:$G$396,3,0)</f>
        <v>0</v>
      </c>
      <c r="C5762" s="88">
        <f>VLOOKUP(A5762,'Materiales '!$C$2:$G$396,3,0)</f>
        <v>0</v>
      </c>
      <c r="D5762" s="89" t="str">
        <f>VLOOKUP(A5762,'Materiales '!$C$2:$G$396,4,0)</f>
        <v>-</v>
      </c>
      <c r="E5762" s="90"/>
      <c r="F5762" s="508" t="e">
        <f t="shared" si="338"/>
        <v>#VALUE!</v>
      </c>
      <c r="G5762" s="519"/>
      <c r="H5762" s="111"/>
      <c r="I5762">
        <f>E5762*G5742</f>
        <v>0</v>
      </c>
      <c r="J5762" s="58"/>
      <c r="K5762" s="50"/>
      <c r="L5762" s="50"/>
      <c r="M5762" s="50"/>
      <c r="N5762" s="50"/>
      <c r="O5762" s="50"/>
    </row>
    <row r="5763" spans="1:15">
      <c r="A5763" s="517" t="s">
        <v>8</v>
      </c>
      <c r="B5763" s="518">
        <f>VLOOKUP(A5763,'Materiales '!$C$2:$G$396,3,0)</f>
        <v>0</v>
      </c>
      <c r="C5763" s="88">
        <f>VLOOKUP(A5763,'Materiales '!$C$2:$G$396,3,0)</f>
        <v>0</v>
      </c>
      <c r="D5763" s="89" t="str">
        <f>VLOOKUP(A5763,'Materiales '!$C$2:$G$396,4,0)</f>
        <v>-</v>
      </c>
      <c r="E5763" s="90"/>
      <c r="F5763" s="508" t="e">
        <f t="shared" si="338"/>
        <v>#VALUE!</v>
      </c>
      <c r="G5763" s="519"/>
      <c r="H5763" s="111"/>
      <c r="I5763">
        <f>E5763*G5742</f>
        <v>0</v>
      </c>
      <c r="J5763" s="58"/>
      <c r="K5763" s="50"/>
      <c r="L5763" s="50"/>
      <c r="M5763" s="50"/>
      <c r="N5763" s="50"/>
      <c r="O5763" s="50"/>
    </row>
    <row r="5764" spans="1:15">
      <c r="A5764" s="517" t="s">
        <v>8</v>
      </c>
      <c r="B5764" s="518">
        <f>VLOOKUP(A5764,'Materiales '!$C$2:$G$396,3,0)</f>
        <v>0</v>
      </c>
      <c r="C5764" s="88">
        <f>VLOOKUP(A5764,'Materiales '!$C$2:$G$396,3,0)</f>
        <v>0</v>
      </c>
      <c r="D5764" s="89" t="str">
        <f>VLOOKUP(A5764,'Materiales '!$C$2:$G$396,4,0)</f>
        <v>-</v>
      </c>
      <c r="E5764" s="90"/>
      <c r="F5764" s="508" t="e">
        <f t="shared" si="338"/>
        <v>#VALUE!</v>
      </c>
      <c r="G5764" s="519"/>
      <c r="H5764" s="111"/>
      <c r="I5764">
        <f>E5764*G5742</f>
        <v>0</v>
      </c>
      <c r="J5764" s="58"/>
      <c r="K5764" s="50"/>
      <c r="L5764" s="50"/>
      <c r="M5764" s="50"/>
      <c r="N5764" s="50"/>
      <c r="O5764" s="50"/>
    </row>
    <row r="5765" spans="1:15">
      <c r="A5765" s="517" t="s">
        <v>8</v>
      </c>
      <c r="B5765" s="518">
        <f>VLOOKUP(A5765,'Materiales '!$C$2:$G$396,3,0)</f>
        <v>0</v>
      </c>
      <c r="C5765" s="88">
        <f>VLOOKUP(A5765,'Materiales '!$C$2:$G$396,3,0)</f>
        <v>0</v>
      </c>
      <c r="D5765" s="89" t="str">
        <f>VLOOKUP(A5765,'Materiales '!$C$2:$G$396,4,0)</f>
        <v>-</v>
      </c>
      <c r="E5765" s="90"/>
      <c r="F5765" s="508" t="e">
        <f>E5765*D5765</f>
        <v>#VALUE!</v>
      </c>
      <c r="G5765" s="519"/>
      <c r="H5765" s="110"/>
      <c r="I5765">
        <f>E5765*G5742</f>
        <v>0</v>
      </c>
      <c r="J5765" s="58"/>
      <c r="K5765" s="50"/>
      <c r="L5765" s="50"/>
      <c r="M5765" s="50"/>
      <c r="N5765" s="50"/>
      <c r="O5765" s="50"/>
    </row>
    <row r="5766" spans="1:15">
      <c r="A5766" s="520" t="s">
        <v>4098</v>
      </c>
      <c r="B5766" s="521"/>
      <c r="C5766" s="521"/>
      <c r="D5766" s="521"/>
      <c r="E5766" s="521"/>
      <c r="F5766" s="521"/>
      <c r="G5766" s="522"/>
      <c r="H5766" s="106" t="e">
        <f>SUM(F5752:F5765)</f>
        <v>#VALUE!</v>
      </c>
      <c r="J5766" s="58"/>
      <c r="K5766" s="50"/>
      <c r="L5766" s="50"/>
      <c r="M5766" s="50"/>
      <c r="N5766" s="50"/>
      <c r="O5766" s="50"/>
    </row>
    <row r="5767" spans="1:15">
      <c r="A5767" s="523" t="s">
        <v>4220</v>
      </c>
      <c r="B5767" s="524"/>
      <c r="C5767" s="524"/>
      <c r="D5767" s="524"/>
      <c r="E5767" s="525"/>
      <c r="F5767" s="524"/>
      <c r="G5767" s="524"/>
      <c r="H5767" s="526"/>
      <c r="J5767" s="58"/>
      <c r="K5767" s="50"/>
      <c r="L5767" s="50"/>
      <c r="M5767" s="50"/>
      <c r="N5767" s="50"/>
      <c r="O5767" s="50"/>
    </row>
    <row r="5768" spans="1:15">
      <c r="A5768" s="527" t="s">
        <v>7</v>
      </c>
      <c r="B5768" s="528"/>
      <c r="C5768" s="98" t="s">
        <v>4221</v>
      </c>
      <c r="D5768" s="97" t="s">
        <v>4222</v>
      </c>
      <c r="E5768" s="187" t="s">
        <v>4223</v>
      </c>
      <c r="F5768" s="529" t="s">
        <v>4207</v>
      </c>
      <c r="G5768" s="529"/>
      <c r="H5768" s="109"/>
      <c r="K5768" s="50"/>
      <c r="L5768" s="50"/>
      <c r="M5768" s="50"/>
      <c r="N5768" s="50"/>
      <c r="O5768" s="50"/>
    </row>
    <row r="5769" spans="1:15">
      <c r="A5769" s="506" t="s">
        <v>3928</v>
      </c>
      <c r="B5769" s="507"/>
      <c r="C5769" s="213">
        <v>1</v>
      </c>
      <c r="D5769" s="92">
        <v>0.01</v>
      </c>
      <c r="E5769" s="93" t="str">
        <f>VLOOKUP(A5769,'Equip, Herr y Transp'!$B$2:$E$217,3,0)</f>
        <v>TR</v>
      </c>
      <c r="F5769" s="530" t="e">
        <f>E5769*D5769*C5769</f>
        <v>#VALUE!</v>
      </c>
      <c r="G5769" s="531"/>
      <c r="H5769" s="107"/>
      <c r="M5769" s="50"/>
    </row>
    <row r="5770" spans="1:15">
      <c r="A5770" s="532" t="s">
        <v>4205</v>
      </c>
      <c r="B5770" s="533"/>
      <c r="C5770" s="533"/>
      <c r="D5770" s="533"/>
      <c r="E5770" s="533"/>
      <c r="F5770" s="533"/>
      <c r="G5770" s="533"/>
      <c r="H5770" s="95" t="e">
        <f>F5769</f>
        <v>#VALUE!</v>
      </c>
    </row>
    <row r="5771" spans="1:15">
      <c r="A5771" s="523" t="s">
        <v>4224</v>
      </c>
      <c r="B5771" s="524"/>
      <c r="C5771" s="524"/>
      <c r="D5771" s="524"/>
      <c r="E5771" s="524"/>
      <c r="F5771" s="524"/>
      <c r="G5771" s="524"/>
      <c r="H5771" s="526"/>
    </row>
    <row r="5772" spans="1:15">
      <c r="A5772" s="527" t="s">
        <v>7</v>
      </c>
      <c r="B5772" s="528"/>
      <c r="C5772" s="96" t="s">
        <v>1</v>
      </c>
      <c r="D5772" s="97" t="s">
        <v>4225</v>
      </c>
      <c r="E5772" s="98" t="s">
        <v>4204</v>
      </c>
      <c r="F5772" s="527" t="s">
        <v>5</v>
      </c>
      <c r="G5772" s="534"/>
      <c r="H5772" s="109"/>
    </row>
    <row r="5773" spans="1:15">
      <c r="A5773" s="506" t="s">
        <v>4191</v>
      </c>
      <c r="B5773" s="507"/>
      <c r="C5773" s="91">
        <v>1</v>
      </c>
      <c r="D5773" s="94">
        <f>VLOOKUP(A5773,'Mano Obra'!$B$2:$T$117,19,0)</f>
        <v>152456</v>
      </c>
      <c r="E5773" s="218">
        <f>H5735</f>
        <v>1.46E-2</v>
      </c>
      <c r="F5773" s="508">
        <f>E5773*D5773*C5773</f>
        <v>2225.8575999999998</v>
      </c>
      <c r="G5773" s="509"/>
      <c r="H5773" s="111"/>
      <c r="I5773" s="59"/>
      <c r="J5773" s="117">
        <f>((('Mano Obra'!$M$4/30)*F5773)/D5773)*G5742</f>
        <v>0</v>
      </c>
    </row>
    <row r="5774" spans="1:15">
      <c r="A5774" s="510" t="s">
        <v>4192</v>
      </c>
      <c r="B5774" s="511">
        <f>VLOOKUP(A5774,'Mano Obra'!$B$3:$D$290,2,0)</f>
        <v>1900000</v>
      </c>
      <c r="C5774" s="91">
        <v>1</v>
      </c>
      <c r="D5774" s="94">
        <f>VLOOKUP(A5774,'Mano Obra'!$B$2:$T$117,19,0)</f>
        <v>110488</v>
      </c>
      <c r="E5774" s="218">
        <f>H5735</f>
        <v>1.46E-2</v>
      </c>
      <c r="F5774" s="508">
        <f t="shared" ref="F5774:F5775" si="339">E5774*D5774*C5774</f>
        <v>1613.1248000000001</v>
      </c>
      <c r="G5774" s="509"/>
      <c r="H5774" s="111"/>
      <c r="J5774" s="117">
        <f>((('Mano Obra'!$M$5/30)*F5774)/D5774)*G5742</f>
        <v>0</v>
      </c>
    </row>
    <row r="5775" spans="1:15">
      <c r="A5775" s="510" t="s">
        <v>4181</v>
      </c>
      <c r="B5775" s="511">
        <f>VLOOKUP(A5775,'Mano Obra'!$B$3:$D$290,2,0)</f>
        <v>1000000</v>
      </c>
      <c r="C5775" s="91">
        <v>1</v>
      </c>
      <c r="D5775" s="94">
        <f>VLOOKUP(A5775,'Mano Obra'!$B$2:$T$117,19,0)</f>
        <v>67424</v>
      </c>
      <c r="E5775" s="218">
        <f>H5735</f>
        <v>1.46E-2</v>
      </c>
      <c r="F5775" s="508">
        <f t="shared" si="339"/>
        <v>984.3904</v>
      </c>
      <c r="G5775" s="509"/>
      <c r="H5775" s="110"/>
      <c r="J5775" s="117">
        <f>((('Mano Obra'!$M$6/30)*F5775)/D5775)*G5742</f>
        <v>0</v>
      </c>
    </row>
    <row r="5776" spans="1:15">
      <c r="A5776" s="512" t="s">
        <v>4100</v>
      </c>
      <c r="B5776" s="512"/>
      <c r="C5776" s="512"/>
      <c r="D5776" s="512"/>
      <c r="E5776" s="512"/>
      <c r="F5776" s="512"/>
      <c r="G5776" s="512"/>
      <c r="H5776" s="95">
        <f>SUM(F5773:F5775)</f>
        <v>4823.3728000000001</v>
      </c>
      <c r="J5776" s="117"/>
    </row>
    <row r="5777" spans="1:14">
      <c r="A5777" s="208" t="s">
        <v>4226</v>
      </c>
      <c r="B5777" s="186"/>
      <c r="C5777" s="186"/>
      <c r="D5777" s="183"/>
      <c r="E5777" s="184"/>
      <c r="F5777" s="185"/>
      <c r="G5777" s="184"/>
      <c r="H5777" s="193"/>
    </row>
    <row r="5778" spans="1:14">
      <c r="A5778" s="513" t="s">
        <v>4213</v>
      </c>
      <c r="B5778" s="514"/>
      <c r="C5778" s="514"/>
      <c r="D5778" s="514"/>
      <c r="E5778" s="181"/>
      <c r="F5778" s="182" t="s">
        <v>4227</v>
      </c>
      <c r="G5778" s="181" t="s">
        <v>4228</v>
      </c>
      <c r="H5778" s="194"/>
    </row>
    <row r="5779" spans="1:14">
      <c r="A5779" s="204" t="s">
        <v>4096</v>
      </c>
      <c r="B5779" s="62"/>
      <c r="C5779" s="62"/>
      <c r="D5779" s="63"/>
      <c r="E5779" s="68"/>
      <c r="F5779" s="69">
        <v>0</v>
      </c>
      <c r="G5779" s="70" t="e">
        <f>F5779*H5743</f>
        <v>#VALUE!</v>
      </c>
      <c r="H5779" s="193"/>
    </row>
    <row r="5780" spans="1:14">
      <c r="A5780" s="205" t="s">
        <v>4229</v>
      </c>
      <c r="B5780" s="71"/>
      <c r="C5780" s="71"/>
      <c r="D5780" s="72"/>
      <c r="E5780" s="68"/>
      <c r="F5780" s="69">
        <v>0</v>
      </c>
      <c r="G5780" s="70" t="e">
        <f>F5780*H5743</f>
        <v>#VALUE!</v>
      </c>
      <c r="H5780" s="193"/>
    </row>
    <row r="5781" spans="1:14">
      <c r="A5781" s="205" t="s">
        <v>4</v>
      </c>
      <c r="B5781" s="71"/>
      <c r="C5781" s="71"/>
      <c r="D5781" s="72"/>
      <c r="E5781" s="68"/>
      <c r="F5781" s="69">
        <v>0</v>
      </c>
      <c r="G5781" s="70" t="e">
        <f>F5781*H5743</f>
        <v>#VALUE!</v>
      </c>
      <c r="H5781" s="193"/>
    </row>
    <row r="5782" spans="1:14">
      <c r="A5782" s="206"/>
      <c r="B5782" s="73"/>
      <c r="C5782" s="65"/>
      <c r="D5782" s="74"/>
      <c r="E5782" s="75"/>
      <c r="F5782" s="76"/>
      <c r="G5782" s="77"/>
      <c r="H5782" s="195"/>
    </row>
    <row r="5783" spans="1:14">
      <c r="A5783" s="207"/>
      <c r="B5783" s="73"/>
      <c r="C5783" s="73"/>
      <c r="D5783" s="74"/>
      <c r="E5783" s="78"/>
      <c r="F5783" s="515" t="s">
        <v>4230</v>
      </c>
      <c r="G5783" s="516"/>
      <c r="H5783" s="214" t="e">
        <f>H5743+G5779+G5780+G5781</f>
        <v>#VALUE!</v>
      </c>
    </row>
    <row r="5785" spans="1:14">
      <c r="A5785" s="80"/>
      <c r="B5785" s="80"/>
      <c r="C5785" s="80"/>
      <c r="D5785" s="80"/>
      <c r="E5785" s="80"/>
      <c r="F5785" s="80"/>
      <c r="G5785" s="80"/>
      <c r="H5785" s="353"/>
    </row>
    <row r="5786" spans="1:14">
      <c r="A5786" s="537" t="s">
        <v>4214</v>
      </c>
      <c r="B5786" s="538"/>
      <c r="C5786" s="538"/>
      <c r="D5786" s="538"/>
      <c r="E5786" s="538"/>
      <c r="F5786" s="538"/>
      <c r="G5786" s="538"/>
      <c r="H5786" s="539"/>
    </row>
    <row r="5787" spans="1:14">
      <c r="A5787" s="81"/>
      <c r="B5787" s="82"/>
      <c r="C5787" s="82"/>
      <c r="D5787" s="82"/>
      <c r="E5787" s="82"/>
      <c r="F5787" s="83"/>
      <c r="G5787" s="84"/>
      <c r="H5787" s="352">
        <f>ROUND((9/60)/8,4)</f>
        <v>1.8800000000000001E-2</v>
      </c>
      <c r="I5787" s="105"/>
    </row>
    <row r="5788" spans="1:14">
      <c r="A5788" s="540" t="s">
        <v>4209</v>
      </c>
      <c r="B5788" s="542" t="str">
        <f>COSTOS!$C$14</f>
        <v>MODERNIZACION A TECNOLOGIA LED</v>
      </c>
      <c r="C5788" s="542"/>
      <c r="D5788" s="542"/>
      <c r="E5788" s="542"/>
      <c r="F5788" s="542"/>
      <c r="G5788" s="542"/>
      <c r="H5788" s="543" t="s">
        <v>4210</v>
      </c>
    </row>
    <row r="5789" spans="1:14">
      <c r="A5789" s="541"/>
      <c r="B5789" s="542"/>
      <c r="C5789" s="542"/>
      <c r="D5789" s="542"/>
      <c r="E5789" s="542"/>
      <c r="F5789" s="542"/>
      <c r="G5789" s="542"/>
      <c r="H5789" s="543"/>
    </row>
    <row r="5790" spans="1:14">
      <c r="A5790" s="541"/>
      <c r="B5790" s="542"/>
      <c r="C5790" s="542"/>
      <c r="D5790" s="542"/>
      <c r="E5790" s="542"/>
      <c r="F5790" s="542"/>
      <c r="G5790" s="542"/>
      <c r="H5790" s="543"/>
    </row>
    <row r="5791" spans="1:14" ht="15" customHeight="1">
      <c r="A5791" s="541"/>
      <c r="B5791" s="542"/>
      <c r="C5791" s="542"/>
      <c r="D5791" s="542"/>
      <c r="E5791" s="542"/>
      <c r="F5791" s="542"/>
      <c r="G5791" s="542"/>
      <c r="H5791" s="197">
        <f ca="1">TODAY()</f>
        <v>44889</v>
      </c>
      <c r="K5791" t="s">
        <v>4380</v>
      </c>
      <c r="L5791" t="s">
        <v>4381</v>
      </c>
      <c r="M5791" t="s">
        <v>4382</v>
      </c>
      <c r="N5791" t="s">
        <v>4383</v>
      </c>
    </row>
    <row r="5792" spans="1:14" ht="60.75" customHeight="1">
      <c r="A5792" s="209" t="s">
        <v>4211</v>
      </c>
      <c r="B5792" s="544" t="str">
        <f>COSTOS!$D$16</f>
        <v>Luminarias</v>
      </c>
      <c r="C5792" s="544"/>
      <c r="D5792" s="544"/>
      <c r="E5792" s="544"/>
      <c r="F5792" s="544"/>
      <c r="G5792" s="60" t="s">
        <v>4212</v>
      </c>
      <c r="H5792" s="359">
        <v>3.3</v>
      </c>
      <c r="K5792" s="55" t="e">
        <f>H5818</f>
        <v>#VALUE!</v>
      </c>
      <c r="L5792" s="55">
        <f>H5828</f>
        <v>6210.9184000000005</v>
      </c>
      <c r="M5792" s="55" t="e">
        <f>H5801</f>
        <v>#VALUE!</v>
      </c>
      <c r="N5792" s="55" t="e">
        <f>H5822</f>
        <v>#VALUE!</v>
      </c>
    </row>
    <row r="5793" spans="1:15" ht="43.2" customHeight="1">
      <c r="A5793" s="210" t="s">
        <v>4213</v>
      </c>
      <c r="B5793" s="545" t="str">
        <f>VLOOKUP(H5792,COSTOS!C:M,2,0)</f>
        <v>Tubería IMC de 1/2" con red 3x12 awg para instalacion de luminarias. Adosado en pared. Incluye instalacion de elementos de fijacion, soporte y conexionado x 500m</v>
      </c>
      <c r="C5793" s="546"/>
      <c r="D5793" s="546"/>
      <c r="E5793" s="547"/>
      <c r="F5793" s="61" t="s">
        <v>0</v>
      </c>
      <c r="G5793" s="328" t="str">
        <f>VLOOKUP(H5792,COSTOS!C:M,8,0)</f>
        <v>Und</v>
      </c>
      <c r="H5793" s="248"/>
      <c r="I5793" s="278"/>
      <c r="J5793" s="280"/>
      <c r="K5793" s="280"/>
      <c r="L5793" s="280"/>
    </row>
    <row r="5794" spans="1:15">
      <c r="A5794" s="211"/>
      <c r="B5794" s="102"/>
      <c r="C5794" s="102"/>
      <c r="D5794" s="102"/>
      <c r="E5794" s="103"/>
      <c r="F5794" s="104" t="s">
        <v>1</v>
      </c>
      <c r="G5794" s="328">
        <f>VLOOKUP(H5792,COSTOS!C:M,9,0)</f>
        <v>0</v>
      </c>
      <c r="H5794" s="329"/>
      <c r="I5794" s="279"/>
    </row>
    <row r="5795" spans="1:15">
      <c r="A5795" s="212" t="s">
        <v>4215</v>
      </c>
      <c r="B5795" s="65"/>
      <c r="C5795" s="65"/>
      <c r="D5795" s="66"/>
      <c r="E5795" s="190"/>
      <c r="F5795" s="191"/>
      <c r="G5795" s="192" t="s">
        <v>4216</v>
      </c>
      <c r="H5795" s="198" t="e">
        <f>H5801+H5818+H5822+H5828</f>
        <v>#VALUE!</v>
      </c>
    </row>
    <row r="5796" spans="1:15" ht="41.4">
      <c r="A5796" s="548" t="s">
        <v>4213</v>
      </c>
      <c r="B5796" s="548"/>
      <c r="C5796" s="548"/>
      <c r="D5796" s="67" t="s">
        <v>0</v>
      </c>
      <c r="E5796" s="188" t="s">
        <v>4217</v>
      </c>
      <c r="F5796" s="189" t="s">
        <v>4204</v>
      </c>
      <c r="G5796" s="64" t="s">
        <v>2</v>
      </c>
      <c r="H5796" s="199" t="s">
        <v>4218</v>
      </c>
      <c r="K5796" s="281"/>
    </row>
    <row r="5797" spans="1:15">
      <c r="A5797" s="517" t="s">
        <v>3946</v>
      </c>
      <c r="B5797" s="549">
        <f>VLOOKUP(A5797,'Equip, Herr y Transp'!$B$2:$E$738,2,0)</f>
        <v>2</v>
      </c>
      <c r="C5797" s="549"/>
      <c r="D5797" s="85">
        <f>VLOOKUP(A5797,'Equip, Herr y Transp'!$B$2:$E$217,2,0)</f>
        <v>2</v>
      </c>
      <c r="E5797" s="85" t="str">
        <f>VLOOKUP(A5797,'Equip, Herr y Transp'!$B$2:$E$217,3,0)</f>
        <v>EQU</v>
      </c>
      <c r="F5797" s="86">
        <f>H5787</f>
        <v>1.8800000000000001E-2</v>
      </c>
      <c r="G5797" s="112" t="e">
        <f>F5797*E5797</f>
        <v>#VALUE!</v>
      </c>
      <c r="H5797" s="108"/>
    </row>
    <row r="5798" spans="1:15">
      <c r="A5798" s="517" t="s">
        <v>3902</v>
      </c>
      <c r="B5798" s="549">
        <f>VLOOKUP(A5798,'Equip, Herr y Transp'!$B$2:$E$738,2,0)</f>
        <v>2</v>
      </c>
      <c r="C5798" s="549"/>
      <c r="D5798" s="85">
        <f>VLOOKUP(A5798,'Equip, Herr y Transp'!$B$2:$E$217,2,0)</f>
        <v>2</v>
      </c>
      <c r="E5798" s="85" t="str">
        <f>VLOOKUP(A5798,'Equip, Herr y Transp'!$B$2:$E$217,3,0)</f>
        <v>EQU</v>
      </c>
      <c r="F5798" s="86">
        <f>H5787</f>
        <v>1.8800000000000001E-2</v>
      </c>
      <c r="G5798" s="112" t="e">
        <f>F5798*E5798</f>
        <v>#VALUE!</v>
      </c>
      <c r="H5798" s="107"/>
    </row>
    <row r="5799" spans="1:15">
      <c r="A5799" s="517" t="s">
        <v>4142</v>
      </c>
      <c r="B5799" s="549">
        <f>VLOOKUP(A5799,'Equip, Herr y Transp'!$B$2:$E$738,2,0)</f>
        <v>2</v>
      </c>
      <c r="C5799" s="549"/>
      <c r="D5799" s="85">
        <f>VLOOKUP(A5799,'Equip, Herr y Transp'!$B$2:$E$217,2,0)</f>
        <v>2</v>
      </c>
      <c r="E5799" s="85" t="str">
        <f>VLOOKUP(A5799,'Equip, Herr y Transp'!$B$2:$E$217,3,0)</f>
        <v>EQU</v>
      </c>
      <c r="F5799" s="86">
        <f>H5787</f>
        <v>1.8800000000000001E-2</v>
      </c>
      <c r="G5799" s="112" t="e">
        <f>F5799*E5799</f>
        <v>#VALUE!</v>
      </c>
      <c r="H5799" s="107"/>
    </row>
    <row r="5800" spans="1:15">
      <c r="A5800" s="517" t="s">
        <v>3914</v>
      </c>
      <c r="B5800" s="549">
        <f>VLOOKUP(A5800,'Equip, Herr y Transp'!$B$2:$E$738,2,0)</f>
        <v>2</v>
      </c>
      <c r="C5800" s="549"/>
      <c r="D5800" s="85">
        <f>VLOOKUP(A5800,'Equip, Herr y Transp'!$B$2:$E$217,2,0)</f>
        <v>2</v>
      </c>
      <c r="E5800" s="85" t="str">
        <f>VLOOKUP(A5800,'Equip, Herr y Transp'!$B$2:$E$217,3,0)</f>
        <v>EQU</v>
      </c>
      <c r="F5800" s="86">
        <f>H5787</f>
        <v>1.8800000000000001E-2</v>
      </c>
      <c r="G5800" s="112" t="e">
        <f>F5800*E5800</f>
        <v>#VALUE!</v>
      </c>
      <c r="H5800" s="107"/>
    </row>
    <row r="5801" spans="1:15">
      <c r="A5801" s="520" t="s">
        <v>4099</v>
      </c>
      <c r="B5801" s="521"/>
      <c r="C5801" s="521"/>
      <c r="D5801" s="521"/>
      <c r="E5801" s="521"/>
      <c r="F5801" s="521"/>
      <c r="G5801" s="521"/>
      <c r="H5801" s="87" t="e">
        <f>SUM(G5797:G5800)</f>
        <v>#VALUE!</v>
      </c>
    </row>
    <row r="5802" spans="1:15">
      <c r="A5802" s="550" t="s">
        <v>4219</v>
      </c>
      <c r="B5802" s="551"/>
      <c r="C5802" s="551"/>
      <c r="D5802" s="551"/>
      <c r="E5802" s="551"/>
      <c r="F5802" s="551"/>
      <c r="G5802" s="551"/>
      <c r="H5802" s="552"/>
      <c r="K5802" s="50"/>
      <c r="L5802" s="50"/>
      <c r="M5802" s="50"/>
      <c r="N5802" s="50"/>
      <c r="O5802" s="50"/>
    </row>
    <row r="5803" spans="1:15" ht="30" customHeight="1">
      <c r="A5803" s="553" t="s">
        <v>7</v>
      </c>
      <c r="B5803" s="554"/>
      <c r="C5803" s="99" t="s">
        <v>0</v>
      </c>
      <c r="D5803" s="100" t="s">
        <v>4097</v>
      </c>
      <c r="E5803" s="101" t="s">
        <v>1</v>
      </c>
      <c r="F5803" s="555" t="s">
        <v>4207</v>
      </c>
      <c r="G5803" s="555"/>
      <c r="H5803" s="196"/>
      <c r="K5803" s="50"/>
      <c r="L5803" s="50"/>
      <c r="M5803" s="50"/>
      <c r="N5803" s="50"/>
      <c r="O5803" s="50"/>
    </row>
    <row r="5804" spans="1:15">
      <c r="A5804" s="535" t="s">
        <v>4638</v>
      </c>
      <c r="B5804" s="536"/>
      <c r="C5804" s="88">
        <f>VLOOKUP(A5804,'Materiales '!$C$2:$G$396,3,0)</f>
        <v>2</v>
      </c>
      <c r="D5804" s="89" t="str">
        <f>VLOOKUP(A5804,'Materiales '!$C$2:$G$396,4,0)</f>
        <v>Ml</v>
      </c>
      <c r="E5804" s="90">
        <v>3</v>
      </c>
      <c r="F5804" s="508" t="e">
        <f>E5804*D5804</f>
        <v>#VALUE!</v>
      </c>
      <c r="G5804" s="519"/>
      <c r="H5804" s="111"/>
      <c r="I5804">
        <f>E5804*G5794</f>
        <v>0</v>
      </c>
      <c r="J5804" s="57"/>
      <c r="K5804" s="50"/>
      <c r="L5804" s="50"/>
      <c r="M5804" s="50"/>
      <c r="N5804" s="50"/>
      <c r="O5804" s="50"/>
    </row>
    <row r="5805" spans="1:15">
      <c r="A5805" s="535" t="s">
        <v>4642</v>
      </c>
      <c r="B5805" s="536"/>
      <c r="C5805" s="88">
        <f>VLOOKUP(A5805,'Materiales '!$C$2:$G$396,3,0)</f>
        <v>4</v>
      </c>
      <c r="D5805" s="89" t="str">
        <f>VLOOKUP(A5805,'Materiales '!$C$2:$G$396,4,0)</f>
        <v>Und</v>
      </c>
      <c r="E5805" s="90">
        <v>0.34</v>
      </c>
      <c r="F5805" s="508" t="e">
        <f t="shared" ref="F5805:F5811" si="340">E5805*D5805</f>
        <v>#VALUE!</v>
      </c>
      <c r="G5805" s="519"/>
      <c r="H5805" s="111"/>
      <c r="I5805">
        <f>E5805*G5794</f>
        <v>0</v>
      </c>
      <c r="J5805" s="57"/>
      <c r="K5805" s="50"/>
      <c r="L5805" s="50"/>
      <c r="M5805" s="50"/>
      <c r="N5805" s="50"/>
      <c r="O5805" s="50"/>
    </row>
    <row r="5806" spans="1:15">
      <c r="A5806" s="517" t="s">
        <v>4628</v>
      </c>
      <c r="B5806" s="518">
        <f>VLOOKUP(A5806,'Materiales '!$C$2:$G$396,3,0)</f>
        <v>4</v>
      </c>
      <c r="C5806" s="88">
        <f>VLOOKUP(A5806,'Materiales '!$C$2:$G$396,3,0)</f>
        <v>4</v>
      </c>
      <c r="D5806" s="89" t="str">
        <f>VLOOKUP(A5806,'Materiales '!$C$2:$G$396,4,0)</f>
        <v>Und</v>
      </c>
      <c r="E5806" s="90">
        <v>0.08</v>
      </c>
      <c r="F5806" s="508" t="e">
        <f t="shared" si="340"/>
        <v>#VALUE!</v>
      </c>
      <c r="G5806" s="519"/>
      <c r="H5806" s="111"/>
      <c r="I5806">
        <f>E5806*G5794</f>
        <v>0</v>
      </c>
      <c r="J5806" s="58"/>
      <c r="K5806" s="50"/>
      <c r="L5806" s="50"/>
      <c r="M5806" s="50"/>
      <c r="N5806" s="50"/>
      <c r="O5806" s="50"/>
    </row>
    <row r="5807" spans="1:15">
      <c r="A5807" s="517" t="s">
        <v>8</v>
      </c>
      <c r="B5807" s="518">
        <f>VLOOKUP(A5807,'Materiales '!$C$2:$G$396,3,0)</f>
        <v>0</v>
      </c>
      <c r="C5807" s="88">
        <f>VLOOKUP(A5807,'Materiales '!$C$2:$G$396,3,0)</f>
        <v>0</v>
      </c>
      <c r="D5807" s="89" t="str">
        <f>VLOOKUP(A5807,'Materiales '!$C$2:$G$396,4,0)</f>
        <v>-</v>
      </c>
      <c r="E5807" s="90"/>
      <c r="F5807" s="508" t="e">
        <f t="shared" si="340"/>
        <v>#VALUE!</v>
      </c>
      <c r="G5807" s="519"/>
      <c r="H5807" s="111"/>
      <c r="I5807">
        <f>E5807*G5794</f>
        <v>0</v>
      </c>
      <c r="J5807" s="58"/>
      <c r="K5807" s="50"/>
      <c r="L5807" s="50"/>
      <c r="M5807" s="50"/>
      <c r="N5807" s="50"/>
      <c r="O5807" s="50"/>
    </row>
    <row r="5808" spans="1:15">
      <c r="A5808" s="517" t="s">
        <v>8</v>
      </c>
      <c r="B5808" s="518">
        <f>VLOOKUP(A5808,'Materiales '!$C$2:$G$396,3,0)</f>
        <v>0</v>
      </c>
      <c r="C5808" s="88">
        <f>VLOOKUP(A5808,'Materiales '!$C$2:$G$396,3,0)</f>
        <v>0</v>
      </c>
      <c r="D5808" s="89" t="str">
        <f>VLOOKUP(A5808,'Materiales '!$C$2:$G$396,4,0)</f>
        <v>-</v>
      </c>
      <c r="E5808" s="90"/>
      <c r="F5808" s="508" t="e">
        <f t="shared" si="340"/>
        <v>#VALUE!</v>
      </c>
      <c r="G5808" s="519"/>
      <c r="H5808" s="111"/>
      <c r="I5808">
        <f>E5808*G5794</f>
        <v>0</v>
      </c>
      <c r="J5808" s="58"/>
      <c r="K5808" s="50"/>
      <c r="L5808" s="50"/>
      <c r="M5808" s="50"/>
      <c r="N5808" s="50"/>
      <c r="O5808" s="50"/>
    </row>
    <row r="5809" spans="1:15">
      <c r="A5809" s="517" t="s">
        <v>8</v>
      </c>
      <c r="B5809" s="518">
        <f>VLOOKUP(A5809,'Materiales '!$C$2:$G$396,3,0)</f>
        <v>0</v>
      </c>
      <c r="C5809" s="88">
        <f>VLOOKUP(A5809,'Materiales '!$C$2:$G$396,3,0)</f>
        <v>0</v>
      </c>
      <c r="D5809" s="89" t="str">
        <f>VLOOKUP(A5809,'Materiales '!$C$2:$G$396,4,0)</f>
        <v>-</v>
      </c>
      <c r="E5809" s="90"/>
      <c r="F5809" s="508" t="e">
        <f t="shared" si="340"/>
        <v>#VALUE!</v>
      </c>
      <c r="G5809" s="519"/>
      <c r="H5809" s="111"/>
      <c r="I5809">
        <f>E5809*G5794</f>
        <v>0</v>
      </c>
      <c r="J5809" s="58"/>
      <c r="K5809" s="50"/>
      <c r="L5809" s="50"/>
      <c r="M5809" s="50"/>
      <c r="N5809" s="50"/>
      <c r="O5809" s="50"/>
    </row>
    <row r="5810" spans="1:15">
      <c r="A5810" s="517" t="s">
        <v>8</v>
      </c>
      <c r="B5810" s="518">
        <f>VLOOKUP(A5810,'Materiales '!$C$2:$G$396,3,0)</f>
        <v>0</v>
      </c>
      <c r="C5810" s="88">
        <f>VLOOKUP(A5810,'Materiales '!$C$2:$G$396,3,0)</f>
        <v>0</v>
      </c>
      <c r="D5810" s="89" t="str">
        <f>VLOOKUP(A5810,'Materiales '!$C$2:$G$396,4,0)</f>
        <v>-</v>
      </c>
      <c r="E5810" s="90"/>
      <c r="F5810" s="508" t="e">
        <f t="shared" si="340"/>
        <v>#VALUE!</v>
      </c>
      <c r="G5810" s="519"/>
      <c r="H5810" s="111"/>
      <c r="I5810">
        <f>E5810*G5794</f>
        <v>0</v>
      </c>
      <c r="J5810" s="58"/>
      <c r="K5810" s="50"/>
      <c r="L5810" s="50"/>
      <c r="M5810" s="50"/>
      <c r="N5810" s="50"/>
      <c r="O5810" s="50"/>
    </row>
    <row r="5811" spans="1:15" ht="21.75" customHeight="1">
      <c r="A5811" s="517" t="s">
        <v>8</v>
      </c>
      <c r="B5811" s="518">
        <f>VLOOKUP(A5811,'Materiales '!$C$2:$G$396,3,0)</f>
        <v>0</v>
      </c>
      <c r="C5811" s="88">
        <f>VLOOKUP(A5811,'Materiales '!$C$2:$G$396,3,0)</f>
        <v>0</v>
      </c>
      <c r="D5811" s="89" t="str">
        <f>VLOOKUP(A5811,'Materiales '!$C$2:$G$396,4,0)</f>
        <v>-</v>
      </c>
      <c r="E5811" s="90"/>
      <c r="F5811" s="508" t="e">
        <f t="shared" si="340"/>
        <v>#VALUE!</v>
      </c>
      <c r="G5811" s="519"/>
      <c r="H5811" s="111"/>
      <c r="I5811">
        <f>E5811*G5794</f>
        <v>0</v>
      </c>
      <c r="J5811" s="58"/>
      <c r="K5811" s="50"/>
      <c r="L5811" s="50"/>
      <c r="M5811" s="50"/>
      <c r="N5811" s="50"/>
      <c r="O5811" s="50"/>
    </row>
    <row r="5812" spans="1:15">
      <c r="A5812" s="517" t="s">
        <v>8</v>
      </c>
      <c r="B5812" s="518">
        <f>VLOOKUP(A5812,'Materiales '!$C$2:$G$396,3,0)</f>
        <v>0</v>
      </c>
      <c r="C5812" s="88">
        <f>VLOOKUP(A5812,'Materiales '!$C$2:$G$396,3,0)</f>
        <v>0</v>
      </c>
      <c r="D5812" s="89" t="str">
        <f>VLOOKUP(A5812,'Materiales '!$C$2:$G$396,4,0)</f>
        <v>-</v>
      </c>
      <c r="E5812" s="90"/>
      <c r="F5812" s="508" t="e">
        <f>E5812*D5812</f>
        <v>#VALUE!</v>
      </c>
      <c r="G5812" s="519"/>
      <c r="H5812" s="110"/>
      <c r="I5812">
        <f>E5812*G5794</f>
        <v>0</v>
      </c>
      <c r="J5812" s="58"/>
      <c r="K5812" s="50"/>
      <c r="L5812" s="50"/>
      <c r="M5812" s="50"/>
      <c r="N5812" s="50"/>
      <c r="O5812" s="50"/>
    </row>
    <row r="5813" spans="1:15">
      <c r="A5813" s="517" t="s">
        <v>8</v>
      </c>
      <c r="B5813" s="518">
        <f>VLOOKUP(A5813,'Materiales '!$C$2:$G$396,3,0)</f>
        <v>0</v>
      </c>
      <c r="C5813" s="88">
        <f>VLOOKUP(A5813,'Materiales '!$C$2:$G$396,3,0)</f>
        <v>0</v>
      </c>
      <c r="D5813" s="89" t="str">
        <f>VLOOKUP(A5813,'Materiales '!$C$2:$G$396,4,0)</f>
        <v>-</v>
      </c>
      <c r="E5813" s="90"/>
      <c r="F5813" s="508" t="e">
        <f t="shared" ref="F5813:F5816" si="341">E5813*D5813</f>
        <v>#VALUE!</v>
      </c>
      <c r="G5813" s="519"/>
      <c r="H5813" s="111"/>
      <c r="I5813">
        <f>E5813*G5794</f>
        <v>0</v>
      </c>
      <c r="J5813" s="58"/>
      <c r="K5813" s="50"/>
      <c r="L5813" s="50"/>
      <c r="M5813" s="50"/>
      <c r="N5813" s="50"/>
      <c r="O5813" s="50"/>
    </row>
    <row r="5814" spans="1:15">
      <c r="A5814" s="517" t="s">
        <v>8</v>
      </c>
      <c r="B5814" s="518">
        <f>VLOOKUP(A5814,'Materiales '!$C$2:$G$396,3,0)</f>
        <v>0</v>
      </c>
      <c r="C5814" s="88">
        <f>VLOOKUP(A5814,'Materiales '!$C$2:$G$396,3,0)</f>
        <v>0</v>
      </c>
      <c r="D5814" s="89" t="str">
        <f>VLOOKUP(A5814,'Materiales '!$C$2:$G$396,4,0)</f>
        <v>-</v>
      </c>
      <c r="E5814" s="90"/>
      <c r="F5814" s="508" t="e">
        <f t="shared" si="341"/>
        <v>#VALUE!</v>
      </c>
      <c r="G5814" s="519"/>
      <c r="H5814" s="111"/>
      <c r="I5814">
        <f>E5814*G5794</f>
        <v>0</v>
      </c>
      <c r="J5814" s="58"/>
      <c r="K5814" s="50"/>
      <c r="L5814" s="50"/>
      <c r="M5814" s="50"/>
      <c r="N5814" s="50"/>
      <c r="O5814" s="50"/>
    </row>
    <row r="5815" spans="1:15">
      <c r="A5815" s="517" t="s">
        <v>8</v>
      </c>
      <c r="B5815" s="518">
        <f>VLOOKUP(A5815,'Materiales '!$C$2:$G$396,3,0)</f>
        <v>0</v>
      </c>
      <c r="C5815" s="88">
        <f>VLOOKUP(A5815,'Materiales '!$C$2:$G$396,3,0)</f>
        <v>0</v>
      </c>
      <c r="D5815" s="89" t="str">
        <f>VLOOKUP(A5815,'Materiales '!$C$2:$G$396,4,0)</f>
        <v>-</v>
      </c>
      <c r="E5815" s="90"/>
      <c r="F5815" s="508" t="e">
        <f t="shared" si="341"/>
        <v>#VALUE!</v>
      </c>
      <c r="G5815" s="519"/>
      <c r="H5815" s="111"/>
      <c r="I5815">
        <f>E5815*G5794</f>
        <v>0</v>
      </c>
      <c r="J5815" s="58"/>
      <c r="K5815" s="50"/>
      <c r="L5815" s="50"/>
      <c r="M5815" s="50"/>
      <c r="N5815" s="50"/>
      <c r="O5815" s="50"/>
    </row>
    <row r="5816" spans="1:15">
      <c r="A5816" s="517" t="s">
        <v>8</v>
      </c>
      <c r="B5816" s="518">
        <f>VLOOKUP(A5816,'Materiales '!$C$2:$G$396,3,0)</f>
        <v>0</v>
      </c>
      <c r="C5816" s="88">
        <f>VLOOKUP(A5816,'Materiales '!$C$2:$G$396,3,0)</f>
        <v>0</v>
      </c>
      <c r="D5816" s="89" t="str">
        <f>VLOOKUP(A5816,'Materiales '!$C$2:$G$396,4,0)</f>
        <v>-</v>
      </c>
      <c r="E5816" s="90"/>
      <c r="F5816" s="508" t="e">
        <f t="shared" si="341"/>
        <v>#VALUE!</v>
      </c>
      <c r="G5816" s="519"/>
      <c r="H5816" s="111"/>
      <c r="I5816">
        <f>E5816*G5794</f>
        <v>0</v>
      </c>
      <c r="J5816" s="58"/>
      <c r="K5816" s="50"/>
      <c r="L5816" s="50"/>
      <c r="M5816" s="50"/>
      <c r="N5816" s="50"/>
      <c r="O5816" s="50"/>
    </row>
    <row r="5817" spans="1:15">
      <c r="A5817" s="517" t="s">
        <v>8</v>
      </c>
      <c r="B5817" s="518">
        <f>VLOOKUP(A5817,'Materiales '!$C$2:$G$396,3,0)</f>
        <v>0</v>
      </c>
      <c r="C5817" s="88">
        <f>VLOOKUP(A5817,'Materiales '!$C$2:$G$396,3,0)</f>
        <v>0</v>
      </c>
      <c r="D5817" s="89" t="str">
        <f>VLOOKUP(A5817,'Materiales '!$C$2:$G$396,4,0)</f>
        <v>-</v>
      </c>
      <c r="E5817" s="90"/>
      <c r="F5817" s="508" t="e">
        <f>E5817*D5817</f>
        <v>#VALUE!</v>
      </c>
      <c r="G5817" s="519"/>
      <c r="H5817" s="110"/>
      <c r="I5817">
        <f>E5817*G5794</f>
        <v>0</v>
      </c>
      <c r="J5817" s="58"/>
      <c r="K5817" s="50"/>
      <c r="L5817" s="50"/>
      <c r="M5817" s="50"/>
      <c r="N5817" s="50"/>
      <c r="O5817" s="50"/>
    </row>
    <row r="5818" spans="1:15">
      <c r="A5818" s="520" t="s">
        <v>4098</v>
      </c>
      <c r="B5818" s="521"/>
      <c r="C5818" s="521"/>
      <c r="D5818" s="521"/>
      <c r="E5818" s="521"/>
      <c r="F5818" s="521"/>
      <c r="G5818" s="522"/>
      <c r="H5818" s="106" t="e">
        <f>SUM(F5804:F5817)</f>
        <v>#VALUE!</v>
      </c>
      <c r="J5818" s="58"/>
      <c r="K5818" s="50"/>
      <c r="L5818" s="50"/>
      <c r="M5818" s="50"/>
      <c r="N5818" s="50"/>
      <c r="O5818" s="50"/>
    </row>
    <row r="5819" spans="1:15">
      <c r="A5819" s="523" t="s">
        <v>4220</v>
      </c>
      <c r="B5819" s="524"/>
      <c r="C5819" s="524"/>
      <c r="D5819" s="524"/>
      <c r="E5819" s="525"/>
      <c r="F5819" s="524"/>
      <c r="G5819" s="524"/>
      <c r="H5819" s="526"/>
      <c r="J5819" s="58"/>
      <c r="K5819" s="50"/>
      <c r="L5819" s="50"/>
      <c r="M5819" s="50"/>
      <c r="N5819" s="50"/>
      <c r="O5819" s="50"/>
    </row>
    <row r="5820" spans="1:15">
      <c r="A5820" s="527" t="s">
        <v>7</v>
      </c>
      <c r="B5820" s="528"/>
      <c r="C5820" s="98" t="s">
        <v>4221</v>
      </c>
      <c r="D5820" s="97" t="s">
        <v>4222</v>
      </c>
      <c r="E5820" s="187" t="s">
        <v>4223</v>
      </c>
      <c r="F5820" s="529" t="s">
        <v>4207</v>
      </c>
      <c r="G5820" s="529"/>
      <c r="H5820" s="109"/>
      <c r="K5820" s="50"/>
      <c r="L5820" s="50"/>
      <c r="M5820" s="50"/>
      <c r="N5820" s="50"/>
      <c r="O5820" s="50"/>
    </row>
    <row r="5821" spans="1:15">
      <c r="A5821" s="506" t="s">
        <v>3928</v>
      </c>
      <c r="B5821" s="507"/>
      <c r="C5821" s="213">
        <v>1</v>
      </c>
      <c r="D5821" s="92">
        <v>0.01</v>
      </c>
      <c r="E5821" s="93" t="str">
        <f>VLOOKUP(A5821,'Equip, Herr y Transp'!$B$2:$E$217,3,0)</f>
        <v>TR</v>
      </c>
      <c r="F5821" s="530" t="e">
        <f>E5821*D5821*C5821</f>
        <v>#VALUE!</v>
      </c>
      <c r="G5821" s="531"/>
      <c r="H5821" s="107"/>
      <c r="M5821" s="50"/>
    </row>
    <row r="5822" spans="1:15">
      <c r="A5822" s="532" t="s">
        <v>4205</v>
      </c>
      <c r="B5822" s="533"/>
      <c r="C5822" s="533"/>
      <c r="D5822" s="533"/>
      <c r="E5822" s="533"/>
      <c r="F5822" s="533"/>
      <c r="G5822" s="533"/>
      <c r="H5822" s="95" t="e">
        <f>F5821</f>
        <v>#VALUE!</v>
      </c>
    </row>
    <row r="5823" spans="1:15">
      <c r="A5823" s="523" t="s">
        <v>4224</v>
      </c>
      <c r="B5823" s="524"/>
      <c r="C5823" s="524"/>
      <c r="D5823" s="524"/>
      <c r="E5823" s="524"/>
      <c r="F5823" s="524"/>
      <c r="G5823" s="524"/>
      <c r="H5823" s="526"/>
    </row>
    <row r="5824" spans="1:15">
      <c r="A5824" s="527" t="s">
        <v>7</v>
      </c>
      <c r="B5824" s="528"/>
      <c r="C5824" s="96" t="s">
        <v>1</v>
      </c>
      <c r="D5824" s="97" t="s">
        <v>4225</v>
      </c>
      <c r="E5824" s="98" t="s">
        <v>4204</v>
      </c>
      <c r="F5824" s="527" t="s">
        <v>5</v>
      </c>
      <c r="G5824" s="534"/>
      <c r="H5824" s="109"/>
    </row>
    <row r="5825" spans="1:10">
      <c r="A5825" s="506" t="s">
        <v>4191</v>
      </c>
      <c r="B5825" s="507"/>
      <c r="C5825" s="91">
        <v>1</v>
      </c>
      <c r="D5825" s="94">
        <f>VLOOKUP(A5825,'Mano Obra'!$B$2:$T$117,19,0)</f>
        <v>152456</v>
      </c>
      <c r="E5825" s="218">
        <f>H5787</f>
        <v>1.8800000000000001E-2</v>
      </c>
      <c r="F5825" s="508">
        <f>E5825*D5825*C5825</f>
        <v>2866.1728000000003</v>
      </c>
      <c r="G5825" s="509"/>
      <c r="H5825" s="111"/>
      <c r="I5825" s="59"/>
      <c r="J5825" s="117">
        <f>((('Mano Obra'!$M$4/30)*F5825)/D5825)*G5794</f>
        <v>0</v>
      </c>
    </row>
    <row r="5826" spans="1:10">
      <c r="A5826" s="510" t="s">
        <v>4192</v>
      </c>
      <c r="B5826" s="511">
        <f>VLOOKUP(A5826,'Mano Obra'!$B$3:$D$290,2,0)</f>
        <v>1900000</v>
      </c>
      <c r="C5826" s="91">
        <v>1</v>
      </c>
      <c r="D5826" s="94">
        <f>VLOOKUP(A5826,'Mano Obra'!$B$2:$T$117,19,0)</f>
        <v>110488</v>
      </c>
      <c r="E5826" s="218">
        <f>H5787</f>
        <v>1.8800000000000001E-2</v>
      </c>
      <c r="F5826" s="508">
        <f t="shared" ref="F5826:F5827" si="342">E5826*D5826*C5826</f>
        <v>2077.1743999999999</v>
      </c>
      <c r="G5826" s="509"/>
      <c r="H5826" s="111"/>
      <c r="J5826" s="117">
        <f>((('Mano Obra'!$M$5/30)*F5826)/D5826)*G5794</f>
        <v>0</v>
      </c>
    </row>
    <row r="5827" spans="1:10">
      <c r="A5827" s="510" t="s">
        <v>4181</v>
      </c>
      <c r="B5827" s="511">
        <f>VLOOKUP(A5827,'Mano Obra'!$B$3:$D$290,2,0)</f>
        <v>1000000</v>
      </c>
      <c r="C5827" s="91">
        <v>1</v>
      </c>
      <c r="D5827" s="94">
        <f>VLOOKUP(A5827,'Mano Obra'!$B$2:$T$117,19,0)</f>
        <v>67424</v>
      </c>
      <c r="E5827" s="218">
        <f>H5787</f>
        <v>1.8800000000000001E-2</v>
      </c>
      <c r="F5827" s="508">
        <f t="shared" si="342"/>
        <v>1267.5712000000001</v>
      </c>
      <c r="G5827" s="509"/>
      <c r="H5827" s="110"/>
      <c r="J5827" s="117">
        <f>((('Mano Obra'!$M$6/30)*F5827)/D5827)*G5794</f>
        <v>0</v>
      </c>
    </row>
    <row r="5828" spans="1:10">
      <c r="A5828" s="512" t="s">
        <v>4100</v>
      </c>
      <c r="B5828" s="512"/>
      <c r="C5828" s="512"/>
      <c r="D5828" s="512"/>
      <c r="E5828" s="512"/>
      <c r="F5828" s="512"/>
      <c r="G5828" s="512"/>
      <c r="H5828" s="95">
        <f>SUM(F5825:F5827)</f>
        <v>6210.9184000000005</v>
      </c>
      <c r="J5828" s="117"/>
    </row>
    <row r="5829" spans="1:10">
      <c r="A5829" s="208" t="s">
        <v>4226</v>
      </c>
      <c r="B5829" s="186"/>
      <c r="C5829" s="186"/>
      <c r="D5829" s="183"/>
      <c r="E5829" s="184"/>
      <c r="F5829" s="185"/>
      <c r="G5829" s="184"/>
      <c r="H5829" s="193"/>
    </row>
    <row r="5830" spans="1:10">
      <c r="A5830" s="513" t="s">
        <v>4213</v>
      </c>
      <c r="B5830" s="514"/>
      <c r="C5830" s="514"/>
      <c r="D5830" s="514"/>
      <c r="E5830" s="181"/>
      <c r="F5830" s="182" t="s">
        <v>4227</v>
      </c>
      <c r="G5830" s="181" t="s">
        <v>4228</v>
      </c>
      <c r="H5830" s="194"/>
    </row>
    <row r="5831" spans="1:10">
      <c r="A5831" s="204" t="s">
        <v>4096</v>
      </c>
      <c r="B5831" s="62"/>
      <c r="C5831" s="62"/>
      <c r="D5831" s="63"/>
      <c r="E5831" s="68"/>
      <c r="F5831" s="69">
        <v>0</v>
      </c>
      <c r="G5831" s="70" t="e">
        <f>F5831*H5795</f>
        <v>#VALUE!</v>
      </c>
      <c r="H5831" s="193"/>
    </row>
    <row r="5832" spans="1:10">
      <c r="A5832" s="205" t="s">
        <v>4229</v>
      </c>
      <c r="B5832" s="71"/>
      <c r="C5832" s="71"/>
      <c r="D5832" s="72"/>
      <c r="E5832" s="68"/>
      <c r="F5832" s="69">
        <v>0</v>
      </c>
      <c r="G5832" s="70" t="e">
        <f>F5832*H5795</f>
        <v>#VALUE!</v>
      </c>
      <c r="H5832" s="193"/>
    </row>
    <row r="5833" spans="1:10">
      <c r="A5833" s="205" t="s">
        <v>4</v>
      </c>
      <c r="B5833" s="71"/>
      <c r="C5833" s="71"/>
      <c r="D5833" s="72"/>
      <c r="E5833" s="68"/>
      <c r="F5833" s="69">
        <v>0</v>
      </c>
      <c r="G5833" s="70" t="e">
        <f>F5833*H5795</f>
        <v>#VALUE!</v>
      </c>
      <c r="H5833" s="193"/>
    </row>
    <row r="5834" spans="1:10">
      <c r="A5834" s="206"/>
      <c r="B5834" s="73"/>
      <c r="C5834" s="65"/>
      <c r="D5834" s="74"/>
      <c r="E5834" s="75"/>
      <c r="F5834" s="76"/>
      <c r="G5834" s="77"/>
      <c r="H5834" s="195"/>
    </row>
    <row r="5835" spans="1:10">
      <c r="A5835" s="207"/>
      <c r="B5835" s="73"/>
      <c r="C5835" s="73"/>
      <c r="D5835" s="74"/>
      <c r="E5835" s="78"/>
      <c r="F5835" s="515" t="s">
        <v>4230</v>
      </c>
      <c r="G5835" s="516"/>
      <c r="H5835" s="214" t="e">
        <f>H5795+G5831+G5832+G5833</f>
        <v>#VALUE!</v>
      </c>
    </row>
    <row r="5837" spans="1:10">
      <c r="A5837" s="80"/>
      <c r="B5837" s="80"/>
      <c r="C5837" s="80"/>
      <c r="D5837" s="80"/>
      <c r="E5837" s="80"/>
      <c r="F5837" s="80"/>
      <c r="G5837" s="80"/>
      <c r="H5837" s="353"/>
    </row>
    <row r="5838" spans="1:10">
      <c r="A5838" s="537" t="s">
        <v>4214</v>
      </c>
      <c r="B5838" s="538"/>
      <c r="C5838" s="538"/>
      <c r="D5838" s="538"/>
      <c r="E5838" s="538"/>
      <c r="F5838" s="538"/>
      <c r="G5838" s="538"/>
      <c r="H5838" s="539"/>
    </row>
    <row r="5839" spans="1:10">
      <c r="A5839" s="81"/>
      <c r="B5839" s="82"/>
      <c r="C5839" s="82"/>
      <c r="D5839" s="82"/>
      <c r="E5839" s="82"/>
      <c r="F5839" s="83"/>
      <c r="G5839" s="84"/>
      <c r="H5839" s="352">
        <f>ROUND((5/60)/8,4)</f>
        <v>1.04E-2</v>
      </c>
      <c r="I5839" s="105"/>
    </row>
    <row r="5840" spans="1:10">
      <c r="A5840" s="540" t="s">
        <v>4209</v>
      </c>
      <c r="B5840" s="542" t="str">
        <f>COSTOS!$C$14</f>
        <v>MODERNIZACION A TECNOLOGIA LED</v>
      </c>
      <c r="C5840" s="542"/>
      <c r="D5840" s="542"/>
      <c r="E5840" s="542"/>
      <c r="F5840" s="542"/>
      <c r="G5840" s="542"/>
      <c r="H5840" s="543" t="s">
        <v>4210</v>
      </c>
    </row>
    <row r="5841" spans="1:15">
      <c r="A5841" s="541"/>
      <c r="B5841" s="542"/>
      <c r="C5841" s="542"/>
      <c r="D5841" s="542"/>
      <c r="E5841" s="542"/>
      <c r="F5841" s="542"/>
      <c r="G5841" s="542"/>
      <c r="H5841" s="543"/>
    </row>
    <row r="5842" spans="1:15">
      <c r="A5842" s="541"/>
      <c r="B5842" s="542"/>
      <c r="C5842" s="542"/>
      <c r="D5842" s="542"/>
      <c r="E5842" s="542"/>
      <c r="F5842" s="542"/>
      <c r="G5842" s="542"/>
      <c r="H5842" s="543"/>
    </row>
    <row r="5843" spans="1:15" ht="15" customHeight="1">
      <c r="A5843" s="541"/>
      <c r="B5843" s="542"/>
      <c r="C5843" s="542"/>
      <c r="D5843" s="542"/>
      <c r="E5843" s="542"/>
      <c r="F5843" s="542"/>
      <c r="G5843" s="542"/>
      <c r="H5843" s="197">
        <f ca="1">TODAY()</f>
        <v>44889</v>
      </c>
      <c r="K5843" t="s">
        <v>4380</v>
      </c>
      <c r="L5843" t="s">
        <v>4381</v>
      </c>
      <c r="M5843" t="s">
        <v>4382</v>
      </c>
      <c r="N5843" t="s">
        <v>4383</v>
      </c>
    </row>
    <row r="5844" spans="1:15" ht="60.75" customHeight="1">
      <c r="A5844" s="209" t="s">
        <v>4211</v>
      </c>
      <c r="B5844" s="544" t="str">
        <f>COSTOS!$D$16</f>
        <v>Luminarias</v>
      </c>
      <c r="C5844" s="544"/>
      <c r="D5844" s="544"/>
      <c r="E5844" s="544"/>
      <c r="F5844" s="544"/>
      <c r="G5844" s="60" t="s">
        <v>4212</v>
      </c>
      <c r="H5844" s="359">
        <v>3.4</v>
      </c>
      <c r="K5844" s="55" t="e">
        <f>H5870</f>
        <v>#VALUE!</v>
      </c>
      <c r="L5844" s="55">
        <f>H5880</f>
        <v>3435.8271999999997</v>
      </c>
      <c r="M5844" s="55" t="e">
        <f>H5853</f>
        <v>#VALUE!</v>
      </c>
      <c r="N5844" s="55" t="e">
        <f>H5874</f>
        <v>#VALUE!</v>
      </c>
    </row>
    <row r="5845" spans="1:15" ht="43.2" customHeight="1">
      <c r="A5845" s="210" t="s">
        <v>4213</v>
      </c>
      <c r="B5845" s="545" t="str">
        <f>VLOOKUP(H5844,COSTOS!C:M,2,0)</f>
        <v>Red Aerea 2x6+6 AWG AL x 500m</v>
      </c>
      <c r="C5845" s="546"/>
      <c r="D5845" s="546"/>
      <c r="E5845" s="547"/>
      <c r="F5845" s="61" t="s">
        <v>0</v>
      </c>
      <c r="G5845" s="328" t="str">
        <f>VLOOKUP(H5844,COSTOS!C:M,8,0)</f>
        <v>Und</v>
      </c>
      <c r="H5845" s="248"/>
      <c r="I5845" s="278"/>
      <c r="J5845" s="280"/>
      <c r="K5845" s="280"/>
      <c r="L5845" s="280"/>
    </row>
    <row r="5846" spans="1:15">
      <c r="A5846" s="211"/>
      <c r="B5846" s="102"/>
      <c r="C5846" s="102"/>
      <c r="D5846" s="102"/>
      <c r="E5846" s="103"/>
      <c r="F5846" s="104" t="s">
        <v>1</v>
      </c>
      <c r="G5846" s="328">
        <f>VLOOKUP(H5844,COSTOS!C:M,9,0)</f>
        <v>0</v>
      </c>
      <c r="H5846" s="329"/>
      <c r="I5846" s="279"/>
    </row>
    <row r="5847" spans="1:15">
      <c r="A5847" s="212" t="s">
        <v>4215</v>
      </c>
      <c r="B5847" s="65"/>
      <c r="C5847" s="65"/>
      <c r="D5847" s="66"/>
      <c r="E5847" s="190"/>
      <c r="F5847" s="191"/>
      <c r="G5847" s="192" t="s">
        <v>4216</v>
      </c>
      <c r="H5847" s="198" t="e">
        <f>H5853+H5870+H5874+H5880</f>
        <v>#VALUE!</v>
      </c>
    </row>
    <row r="5848" spans="1:15" ht="41.4">
      <c r="A5848" s="548" t="s">
        <v>4213</v>
      </c>
      <c r="B5848" s="548"/>
      <c r="C5848" s="548"/>
      <c r="D5848" s="67" t="s">
        <v>0</v>
      </c>
      <c r="E5848" s="188" t="s">
        <v>4217</v>
      </c>
      <c r="F5848" s="189" t="s">
        <v>4204</v>
      </c>
      <c r="G5848" s="64" t="s">
        <v>2</v>
      </c>
      <c r="H5848" s="199" t="s">
        <v>4218</v>
      </c>
      <c r="K5848" s="281"/>
    </row>
    <row r="5849" spans="1:15">
      <c r="A5849" s="517" t="s">
        <v>3946</v>
      </c>
      <c r="B5849" s="549">
        <f>VLOOKUP(A5849,'Equip, Herr y Transp'!$B$2:$E$738,2,0)</f>
        <v>2</v>
      </c>
      <c r="C5849" s="549"/>
      <c r="D5849" s="85">
        <f>VLOOKUP(A5849,'Equip, Herr y Transp'!$B$2:$E$217,2,0)</f>
        <v>2</v>
      </c>
      <c r="E5849" s="85" t="str">
        <f>VLOOKUP(A5849,'Equip, Herr y Transp'!$B$2:$E$217,3,0)</f>
        <v>EQU</v>
      </c>
      <c r="F5849" s="86">
        <f>H5839</f>
        <v>1.04E-2</v>
      </c>
      <c r="G5849" s="112" t="e">
        <f>F5849*E5849</f>
        <v>#VALUE!</v>
      </c>
      <c r="H5849" s="108"/>
    </row>
    <row r="5850" spans="1:15">
      <c r="A5850" s="517" t="s">
        <v>3904</v>
      </c>
      <c r="B5850" s="549">
        <f>VLOOKUP(A5850,'Equip, Herr y Transp'!$B$2:$E$738,2,0)</f>
        <v>2</v>
      </c>
      <c r="C5850" s="549"/>
      <c r="D5850" s="85">
        <f>VLOOKUP(A5850,'Equip, Herr y Transp'!$B$2:$E$217,2,0)</f>
        <v>2</v>
      </c>
      <c r="E5850" s="85" t="str">
        <f>VLOOKUP(A5850,'Equip, Herr y Transp'!$B$2:$E$217,3,0)</f>
        <v>EQU</v>
      </c>
      <c r="F5850" s="86">
        <f>H5839</f>
        <v>1.04E-2</v>
      </c>
      <c r="G5850" s="112" t="e">
        <f>F5850*E5850</f>
        <v>#VALUE!</v>
      </c>
      <c r="H5850" s="107"/>
    </row>
    <row r="5851" spans="1:15">
      <c r="A5851" s="517" t="s">
        <v>8</v>
      </c>
      <c r="B5851" s="549" t="e">
        <f>VLOOKUP(A5851,'Equip, Herr y Transp'!$B$2:$E$738,2,0)</f>
        <v>#N/A</v>
      </c>
      <c r="C5851" s="549"/>
      <c r="D5851" s="85" t="e">
        <f>VLOOKUP(A5851,'Equip, Herr y Transp'!$B$2:$E$217,2,0)</f>
        <v>#N/A</v>
      </c>
      <c r="E5851" s="85" t="e">
        <f>VLOOKUP(A5851,'Equip, Herr y Transp'!$B$2:$E$217,3,0)</f>
        <v>#N/A</v>
      </c>
      <c r="F5851" s="86">
        <f>H5839</f>
        <v>1.04E-2</v>
      </c>
      <c r="G5851" s="112" t="e">
        <f>F5851*E5851</f>
        <v>#N/A</v>
      </c>
      <c r="H5851" s="107"/>
    </row>
    <row r="5852" spans="1:15">
      <c r="A5852" s="517" t="s">
        <v>8</v>
      </c>
      <c r="B5852" s="549" t="e">
        <f>VLOOKUP(A5852,'Equip, Herr y Transp'!$B$2:$E$738,2,0)</f>
        <v>#N/A</v>
      </c>
      <c r="C5852" s="549"/>
      <c r="D5852" s="85" t="e">
        <f>VLOOKUP(A5852,'Equip, Herr y Transp'!$B$2:$E$217,2,0)</f>
        <v>#N/A</v>
      </c>
      <c r="E5852" s="85" t="e">
        <f>VLOOKUP(A5852,'Equip, Herr y Transp'!$B$2:$E$217,3,0)</f>
        <v>#N/A</v>
      </c>
      <c r="F5852" s="86">
        <f>H5839</f>
        <v>1.04E-2</v>
      </c>
      <c r="G5852" s="112" t="e">
        <f>F5852*E5852</f>
        <v>#N/A</v>
      </c>
      <c r="H5852" s="107"/>
    </row>
    <row r="5853" spans="1:15">
      <c r="A5853" s="520" t="s">
        <v>4099</v>
      </c>
      <c r="B5853" s="521"/>
      <c r="C5853" s="521"/>
      <c r="D5853" s="521"/>
      <c r="E5853" s="521"/>
      <c r="F5853" s="521"/>
      <c r="G5853" s="521"/>
      <c r="H5853" s="87" t="e">
        <f>SUM(G5849:G5852)</f>
        <v>#VALUE!</v>
      </c>
    </row>
    <row r="5854" spans="1:15">
      <c r="A5854" s="550" t="s">
        <v>4219</v>
      </c>
      <c r="B5854" s="551"/>
      <c r="C5854" s="551"/>
      <c r="D5854" s="551"/>
      <c r="E5854" s="551"/>
      <c r="F5854" s="551"/>
      <c r="G5854" s="551"/>
      <c r="H5854" s="552"/>
      <c r="K5854" s="50"/>
      <c r="L5854" s="50"/>
      <c r="M5854" s="50"/>
      <c r="N5854" s="50"/>
      <c r="O5854" s="50"/>
    </row>
    <row r="5855" spans="1:15" ht="30" customHeight="1">
      <c r="A5855" s="553" t="s">
        <v>7</v>
      </c>
      <c r="B5855" s="554"/>
      <c r="C5855" s="99" t="s">
        <v>0</v>
      </c>
      <c r="D5855" s="100" t="s">
        <v>4097</v>
      </c>
      <c r="E5855" s="101" t="s">
        <v>1</v>
      </c>
      <c r="F5855" s="555" t="s">
        <v>4207</v>
      </c>
      <c r="G5855" s="555"/>
      <c r="H5855" s="196"/>
      <c r="K5855" s="50"/>
      <c r="L5855" s="50"/>
      <c r="M5855" s="50"/>
      <c r="N5855" s="50"/>
      <c r="O5855" s="50"/>
    </row>
    <row r="5856" spans="1:15">
      <c r="A5856" s="535" t="s">
        <v>4435</v>
      </c>
      <c r="B5856" s="536"/>
      <c r="C5856" s="88">
        <f>VLOOKUP(A5856,'Materiales '!$C$2:$G$396,3,0)</f>
        <v>2</v>
      </c>
      <c r="D5856" s="89" t="str">
        <f>VLOOKUP(A5856,'Materiales '!$C$2:$G$396,4,0)</f>
        <v>Ml</v>
      </c>
      <c r="E5856" s="90">
        <v>3</v>
      </c>
      <c r="F5856" s="508" t="e">
        <f>E5856*D5856</f>
        <v>#VALUE!</v>
      </c>
      <c r="G5856" s="519"/>
      <c r="H5856" s="111"/>
      <c r="I5856">
        <f>E5856*G5846</f>
        <v>0</v>
      </c>
      <c r="J5856" s="57"/>
      <c r="K5856" s="50"/>
      <c r="L5856" s="50"/>
      <c r="M5856" s="50"/>
      <c r="N5856" s="50"/>
      <c r="O5856" s="50"/>
    </row>
    <row r="5857" spans="1:15">
      <c r="A5857" s="535" t="s">
        <v>8</v>
      </c>
      <c r="B5857" s="536"/>
      <c r="C5857" s="88">
        <f>VLOOKUP(A5857,'Materiales '!$C$2:$G$396,3,0)</f>
        <v>0</v>
      </c>
      <c r="D5857" s="89" t="str">
        <f>VLOOKUP(A5857,'Materiales '!$C$2:$G$396,4,0)</f>
        <v>-</v>
      </c>
      <c r="E5857" s="90"/>
      <c r="F5857" s="508" t="e">
        <f t="shared" ref="F5857:F5863" si="343">E5857*D5857</f>
        <v>#VALUE!</v>
      </c>
      <c r="G5857" s="519"/>
      <c r="H5857" s="111"/>
      <c r="I5857">
        <f>E5857*G5846</f>
        <v>0</v>
      </c>
      <c r="J5857" s="57"/>
      <c r="K5857" s="50"/>
      <c r="L5857" s="50"/>
      <c r="M5857" s="50"/>
      <c r="N5857" s="50"/>
      <c r="O5857" s="50"/>
    </row>
    <row r="5858" spans="1:15">
      <c r="A5858" s="517" t="s">
        <v>8</v>
      </c>
      <c r="B5858" s="518">
        <f>VLOOKUP(A5858,'Materiales '!$C$2:$G$396,3,0)</f>
        <v>0</v>
      </c>
      <c r="C5858" s="88">
        <f>VLOOKUP(A5858,'Materiales '!$C$2:$G$396,3,0)</f>
        <v>0</v>
      </c>
      <c r="D5858" s="89" t="str">
        <f>VLOOKUP(A5858,'Materiales '!$C$2:$G$396,4,0)</f>
        <v>-</v>
      </c>
      <c r="E5858" s="90"/>
      <c r="F5858" s="508" t="e">
        <f t="shared" si="343"/>
        <v>#VALUE!</v>
      </c>
      <c r="G5858" s="519"/>
      <c r="H5858" s="111"/>
      <c r="I5858">
        <f>E5858*G5846</f>
        <v>0</v>
      </c>
      <c r="J5858" s="58"/>
      <c r="K5858" s="50"/>
      <c r="L5858" s="50"/>
      <c r="M5858" s="50"/>
      <c r="N5858" s="50"/>
      <c r="O5858" s="50"/>
    </row>
    <row r="5859" spans="1:15">
      <c r="A5859" s="517" t="s">
        <v>8</v>
      </c>
      <c r="B5859" s="518">
        <f>VLOOKUP(A5859,'Materiales '!$C$2:$G$396,3,0)</f>
        <v>0</v>
      </c>
      <c r="C5859" s="88">
        <f>VLOOKUP(A5859,'Materiales '!$C$2:$G$396,3,0)</f>
        <v>0</v>
      </c>
      <c r="D5859" s="89" t="str">
        <f>VLOOKUP(A5859,'Materiales '!$C$2:$G$396,4,0)</f>
        <v>-</v>
      </c>
      <c r="E5859" s="90"/>
      <c r="F5859" s="508" t="e">
        <f t="shared" si="343"/>
        <v>#VALUE!</v>
      </c>
      <c r="G5859" s="519"/>
      <c r="H5859" s="111"/>
      <c r="I5859">
        <f>E5859*G5846</f>
        <v>0</v>
      </c>
      <c r="J5859" s="58"/>
      <c r="K5859" s="50"/>
      <c r="L5859" s="50"/>
      <c r="M5859" s="50"/>
      <c r="N5859" s="50"/>
      <c r="O5859" s="50"/>
    </row>
    <row r="5860" spans="1:15">
      <c r="A5860" s="517" t="s">
        <v>8</v>
      </c>
      <c r="B5860" s="518">
        <f>VLOOKUP(A5860,'Materiales '!$C$2:$G$396,3,0)</f>
        <v>0</v>
      </c>
      <c r="C5860" s="88">
        <f>VLOOKUP(A5860,'Materiales '!$C$2:$G$396,3,0)</f>
        <v>0</v>
      </c>
      <c r="D5860" s="89" t="str">
        <f>VLOOKUP(A5860,'Materiales '!$C$2:$G$396,4,0)</f>
        <v>-</v>
      </c>
      <c r="E5860" s="90"/>
      <c r="F5860" s="508" t="e">
        <f t="shared" si="343"/>
        <v>#VALUE!</v>
      </c>
      <c r="G5860" s="519"/>
      <c r="H5860" s="111"/>
      <c r="I5860">
        <f>E5860*G5846</f>
        <v>0</v>
      </c>
      <c r="J5860" s="58"/>
      <c r="K5860" s="50"/>
      <c r="L5860" s="50"/>
      <c r="M5860" s="50"/>
      <c r="N5860" s="50"/>
      <c r="O5860" s="50"/>
    </row>
    <row r="5861" spans="1:15">
      <c r="A5861" s="517" t="s">
        <v>8</v>
      </c>
      <c r="B5861" s="518">
        <f>VLOOKUP(A5861,'Materiales '!$C$2:$G$396,3,0)</f>
        <v>0</v>
      </c>
      <c r="C5861" s="88">
        <f>VLOOKUP(A5861,'Materiales '!$C$2:$G$396,3,0)</f>
        <v>0</v>
      </c>
      <c r="D5861" s="89" t="str">
        <f>VLOOKUP(A5861,'Materiales '!$C$2:$G$396,4,0)</f>
        <v>-</v>
      </c>
      <c r="E5861" s="90"/>
      <c r="F5861" s="508" t="e">
        <f t="shared" si="343"/>
        <v>#VALUE!</v>
      </c>
      <c r="G5861" s="519"/>
      <c r="H5861" s="111"/>
      <c r="I5861">
        <f>E5861*G5846</f>
        <v>0</v>
      </c>
      <c r="J5861" s="58"/>
      <c r="K5861" s="50"/>
      <c r="L5861" s="50"/>
      <c r="M5861" s="50"/>
      <c r="N5861" s="50"/>
      <c r="O5861" s="50"/>
    </row>
    <row r="5862" spans="1:15">
      <c r="A5862" s="517" t="s">
        <v>8</v>
      </c>
      <c r="B5862" s="518">
        <f>VLOOKUP(A5862,'Materiales '!$C$2:$G$396,3,0)</f>
        <v>0</v>
      </c>
      <c r="C5862" s="88">
        <f>VLOOKUP(A5862,'Materiales '!$C$2:$G$396,3,0)</f>
        <v>0</v>
      </c>
      <c r="D5862" s="89" t="str">
        <f>VLOOKUP(A5862,'Materiales '!$C$2:$G$396,4,0)</f>
        <v>-</v>
      </c>
      <c r="E5862" s="90"/>
      <c r="F5862" s="508" t="e">
        <f t="shared" si="343"/>
        <v>#VALUE!</v>
      </c>
      <c r="G5862" s="519"/>
      <c r="H5862" s="111"/>
      <c r="I5862">
        <f>E5862*G5846</f>
        <v>0</v>
      </c>
      <c r="J5862" s="58"/>
      <c r="K5862" s="50"/>
      <c r="L5862" s="50"/>
      <c r="M5862" s="50"/>
      <c r="N5862" s="50"/>
      <c r="O5862" s="50"/>
    </row>
    <row r="5863" spans="1:15" ht="21.75" customHeight="1">
      <c r="A5863" s="517" t="s">
        <v>8</v>
      </c>
      <c r="B5863" s="518">
        <f>VLOOKUP(A5863,'Materiales '!$C$2:$G$396,3,0)</f>
        <v>0</v>
      </c>
      <c r="C5863" s="88">
        <f>VLOOKUP(A5863,'Materiales '!$C$2:$G$396,3,0)</f>
        <v>0</v>
      </c>
      <c r="D5863" s="89" t="str">
        <f>VLOOKUP(A5863,'Materiales '!$C$2:$G$396,4,0)</f>
        <v>-</v>
      </c>
      <c r="E5863" s="90"/>
      <c r="F5863" s="508" t="e">
        <f t="shared" si="343"/>
        <v>#VALUE!</v>
      </c>
      <c r="G5863" s="519"/>
      <c r="H5863" s="111"/>
      <c r="I5863">
        <f>E5863*G5846</f>
        <v>0</v>
      </c>
      <c r="J5863" s="58"/>
      <c r="K5863" s="50"/>
      <c r="L5863" s="50"/>
      <c r="M5863" s="50"/>
      <c r="N5863" s="50"/>
      <c r="O5863" s="50"/>
    </row>
    <row r="5864" spans="1:15">
      <c r="A5864" s="517" t="s">
        <v>8</v>
      </c>
      <c r="B5864" s="518">
        <f>VLOOKUP(A5864,'Materiales '!$C$2:$G$396,3,0)</f>
        <v>0</v>
      </c>
      <c r="C5864" s="88">
        <f>VLOOKUP(A5864,'Materiales '!$C$2:$G$396,3,0)</f>
        <v>0</v>
      </c>
      <c r="D5864" s="89" t="str">
        <f>VLOOKUP(A5864,'Materiales '!$C$2:$G$396,4,0)</f>
        <v>-</v>
      </c>
      <c r="E5864" s="90"/>
      <c r="F5864" s="508" t="e">
        <f>E5864*D5864</f>
        <v>#VALUE!</v>
      </c>
      <c r="G5864" s="519"/>
      <c r="H5864" s="110"/>
      <c r="I5864">
        <f>E5864*G5846</f>
        <v>0</v>
      </c>
      <c r="J5864" s="58"/>
      <c r="K5864" s="50"/>
      <c r="L5864" s="50"/>
      <c r="M5864" s="50"/>
      <c r="N5864" s="50"/>
      <c r="O5864" s="50"/>
    </row>
    <row r="5865" spans="1:15">
      <c r="A5865" s="517" t="s">
        <v>8</v>
      </c>
      <c r="B5865" s="518">
        <f>VLOOKUP(A5865,'Materiales '!$C$2:$G$396,3,0)</f>
        <v>0</v>
      </c>
      <c r="C5865" s="88">
        <f>VLOOKUP(A5865,'Materiales '!$C$2:$G$396,3,0)</f>
        <v>0</v>
      </c>
      <c r="D5865" s="89" t="str">
        <f>VLOOKUP(A5865,'Materiales '!$C$2:$G$396,4,0)</f>
        <v>-</v>
      </c>
      <c r="E5865" s="90"/>
      <c r="F5865" s="508" t="e">
        <f t="shared" ref="F5865:F5868" si="344">E5865*D5865</f>
        <v>#VALUE!</v>
      </c>
      <c r="G5865" s="519"/>
      <c r="H5865" s="111"/>
      <c r="I5865">
        <f>E5865*G5846</f>
        <v>0</v>
      </c>
      <c r="J5865" s="58"/>
      <c r="K5865" s="50"/>
      <c r="L5865" s="50"/>
      <c r="M5865" s="50"/>
      <c r="N5865" s="50"/>
      <c r="O5865" s="50"/>
    </row>
    <row r="5866" spans="1:15">
      <c r="A5866" s="517" t="s">
        <v>8</v>
      </c>
      <c r="B5866" s="518">
        <f>VLOOKUP(A5866,'Materiales '!$C$2:$G$396,3,0)</f>
        <v>0</v>
      </c>
      <c r="C5866" s="88">
        <f>VLOOKUP(A5866,'Materiales '!$C$2:$G$396,3,0)</f>
        <v>0</v>
      </c>
      <c r="D5866" s="89" t="str">
        <f>VLOOKUP(A5866,'Materiales '!$C$2:$G$396,4,0)</f>
        <v>-</v>
      </c>
      <c r="E5866" s="90"/>
      <c r="F5866" s="508" t="e">
        <f t="shared" si="344"/>
        <v>#VALUE!</v>
      </c>
      <c r="G5866" s="519"/>
      <c r="H5866" s="111"/>
      <c r="I5866">
        <f>E5866*G5846</f>
        <v>0</v>
      </c>
      <c r="J5866" s="58"/>
      <c r="K5866" s="50"/>
      <c r="L5866" s="50"/>
      <c r="M5866" s="50"/>
      <c r="N5866" s="50"/>
      <c r="O5866" s="50"/>
    </row>
    <row r="5867" spans="1:15">
      <c r="A5867" s="517" t="s">
        <v>8</v>
      </c>
      <c r="B5867" s="518">
        <f>VLOOKUP(A5867,'Materiales '!$C$2:$G$396,3,0)</f>
        <v>0</v>
      </c>
      <c r="C5867" s="88">
        <f>VLOOKUP(A5867,'Materiales '!$C$2:$G$396,3,0)</f>
        <v>0</v>
      </c>
      <c r="D5867" s="89" t="str">
        <f>VLOOKUP(A5867,'Materiales '!$C$2:$G$396,4,0)</f>
        <v>-</v>
      </c>
      <c r="E5867" s="90"/>
      <c r="F5867" s="508" t="e">
        <f t="shared" si="344"/>
        <v>#VALUE!</v>
      </c>
      <c r="G5867" s="519"/>
      <c r="H5867" s="111"/>
      <c r="I5867">
        <f>E5867*G5846</f>
        <v>0</v>
      </c>
      <c r="J5867" s="58"/>
      <c r="K5867" s="50"/>
      <c r="L5867" s="50"/>
      <c r="M5867" s="50"/>
      <c r="N5867" s="50"/>
      <c r="O5867" s="50"/>
    </row>
    <row r="5868" spans="1:15">
      <c r="A5868" s="517" t="s">
        <v>8</v>
      </c>
      <c r="B5868" s="518">
        <f>VLOOKUP(A5868,'Materiales '!$C$2:$G$396,3,0)</f>
        <v>0</v>
      </c>
      <c r="C5868" s="88">
        <f>VLOOKUP(A5868,'Materiales '!$C$2:$G$396,3,0)</f>
        <v>0</v>
      </c>
      <c r="D5868" s="89" t="str">
        <f>VLOOKUP(A5868,'Materiales '!$C$2:$G$396,4,0)</f>
        <v>-</v>
      </c>
      <c r="E5868" s="90"/>
      <c r="F5868" s="508" t="e">
        <f t="shared" si="344"/>
        <v>#VALUE!</v>
      </c>
      <c r="G5868" s="519"/>
      <c r="H5868" s="111"/>
      <c r="I5868">
        <f>E5868*G5846</f>
        <v>0</v>
      </c>
      <c r="J5868" s="58"/>
      <c r="K5868" s="50"/>
      <c r="L5868" s="50"/>
      <c r="M5868" s="50"/>
      <c r="N5868" s="50"/>
      <c r="O5868" s="50"/>
    </row>
    <row r="5869" spans="1:15">
      <c r="A5869" s="517" t="s">
        <v>8</v>
      </c>
      <c r="B5869" s="518">
        <f>VLOOKUP(A5869,'Materiales '!$C$2:$G$396,3,0)</f>
        <v>0</v>
      </c>
      <c r="C5869" s="88">
        <f>VLOOKUP(A5869,'Materiales '!$C$2:$G$396,3,0)</f>
        <v>0</v>
      </c>
      <c r="D5869" s="89" t="str">
        <f>VLOOKUP(A5869,'Materiales '!$C$2:$G$396,4,0)</f>
        <v>-</v>
      </c>
      <c r="E5869" s="90"/>
      <c r="F5869" s="508" t="e">
        <f>E5869*D5869</f>
        <v>#VALUE!</v>
      </c>
      <c r="G5869" s="519"/>
      <c r="H5869" s="110"/>
      <c r="I5869">
        <f>E5869*G5846</f>
        <v>0</v>
      </c>
      <c r="J5869" s="58"/>
      <c r="K5869" s="50"/>
      <c r="L5869" s="50"/>
      <c r="M5869" s="50"/>
      <c r="N5869" s="50"/>
      <c r="O5869" s="50"/>
    </row>
    <row r="5870" spans="1:15">
      <c r="A5870" s="520" t="s">
        <v>4098</v>
      </c>
      <c r="B5870" s="521"/>
      <c r="C5870" s="521"/>
      <c r="D5870" s="521"/>
      <c r="E5870" s="521"/>
      <c r="F5870" s="521"/>
      <c r="G5870" s="522"/>
      <c r="H5870" s="106" t="e">
        <f>SUM(F5856:F5869)</f>
        <v>#VALUE!</v>
      </c>
      <c r="J5870" s="58"/>
      <c r="K5870" s="50"/>
      <c r="L5870" s="50"/>
      <c r="M5870" s="50"/>
      <c r="N5870" s="50"/>
      <c r="O5870" s="50"/>
    </row>
    <row r="5871" spans="1:15">
      <c r="A5871" s="523" t="s">
        <v>4220</v>
      </c>
      <c r="B5871" s="524"/>
      <c r="C5871" s="524"/>
      <c r="D5871" s="524"/>
      <c r="E5871" s="525"/>
      <c r="F5871" s="524"/>
      <c r="G5871" s="524"/>
      <c r="H5871" s="526"/>
      <c r="J5871" s="58"/>
      <c r="K5871" s="50"/>
      <c r="L5871" s="50"/>
      <c r="M5871" s="50"/>
      <c r="N5871" s="50"/>
      <c r="O5871" s="50"/>
    </row>
    <row r="5872" spans="1:15">
      <c r="A5872" s="527" t="s">
        <v>7</v>
      </c>
      <c r="B5872" s="528"/>
      <c r="C5872" s="98" t="s">
        <v>4221</v>
      </c>
      <c r="D5872" s="97" t="s">
        <v>4222</v>
      </c>
      <c r="E5872" s="187" t="s">
        <v>4223</v>
      </c>
      <c r="F5872" s="529" t="s">
        <v>4207</v>
      </c>
      <c r="G5872" s="529"/>
      <c r="H5872" s="109"/>
      <c r="K5872" s="50"/>
      <c r="L5872" s="50"/>
      <c r="M5872" s="50"/>
      <c r="N5872" s="50"/>
      <c r="O5872" s="50"/>
    </row>
    <row r="5873" spans="1:13">
      <c r="A5873" s="506" t="s">
        <v>3928</v>
      </c>
      <c r="B5873" s="507"/>
      <c r="C5873" s="213">
        <v>1</v>
      </c>
      <c r="D5873" s="92">
        <v>5.0000000000000001E-3</v>
      </c>
      <c r="E5873" s="93" t="str">
        <f>VLOOKUP(A5873,'Equip, Herr y Transp'!$B$2:$E$217,3,0)</f>
        <v>TR</v>
      </c>
      <c r="F5873" s="530" t="e">
        <f>E5873*D5873*C5873</f>
        <v>#VALUE!</v>
      </c>
      <c r="G5873" s="531"/>
      <c r="H5873" s="107"/>
      <c r="M5873" s="50"/>
    </row>
    <row r="5874" spans="1:13">
      <c r="A5874" s="532" t="s">
        <v>4205</v>
      </c>
      <c r="B5874" s="533"/>
      <c r="C5874" s="533"/>
      <c r="D5874" s="533"/>
      <c r="E5874" s="533"/>
      <c r="F5874" s="533"/>
      <c r="G5874" s="533"/>
      <c r="H5874" s="95" t="e">
        <f>F5873</f>
        <v>#VALUE!</v>
      </c>
    </row>
    <row r="5875" spans="1:13">
      <c r="A5875" s="523" t="s">
        <v>4224</v>
      </c>
      <c r="B5875" s="524"/>
      <c r="C5875" s="524"/>
      <c r="D5875" s="524"/>
      <c r="E5875" s="524"/>
      <c r="F5875" s="524"/>
      <c r="G5875" s="524"/>
      <c r="H5875" s="526"/>
    </row>
    <row r="5876" spans="1:13">
      <c r="A5876" s="527" t="s">
        <v>7</v>
      </c>
      <c r="B5876" s="528"/>
      <c r="C5876" s="96" t="s">
        <v>1</v>
      </c>
      <c r="D5876" s="97" t="s">
        <v>4225</v>
      </c>
      <c r="E5876" s="98" t="s">
        <v>4204</v>
      </c>
      <c r="F5876" s="527" t="s">
        <v>5</v>
      </c>
      <c r="G5876" s="534"/>
      <c r="H5876" s="109"/>
    </row>
    <row r="5877" spans="1:13">
      <c r="A5877" s="506" t="s">
        <v>4191</v>
      </c>
      <c r="B5877" s="507"/>
      <c r="C5877" s="91">
        <v>1</v>
      </c>
      <c r="D5877" s="94">
        <f>VLOOKUP(A5877,'Mano Obra'!$B$2:$T$117,19,0)</f>
        <v>152456</v>
      </c>
      <c r="E5877" s="218">
        <f>H5839</f>
        <v>1.04E-2</v>
      </c>
      <c r="F5877" s="508">
        <f>E5877*D5877*C5877</f>
        <v>1585.5423999999998</v>
      </c>
      <c r="G5877" s="509"/>
      <c r="H5877" s="111"/>
      <c r="I5877" s="59"/>
      <c r="J5877" s="117">
        <f>((('Mano Obra'!$M$4/30)*F5877)/D5877)*G5846</f>
        <v>0</v>
      </c>
    </row>
    <row r="5878" spans="1:13">
      <c r="A5878" s="510" t="s">
        <v>4192</v>
      </c>
      <c r="B5878" s="511">
        <f>VLOOKUP(A5878,'Mano Obra'!$B$3:$D$290,2,0)</f>
        <v>1900000</v>
      </c>
      <c r="C5878" s="91">
        <v>1</v>
      </c>
      <c r="D5878" s="94">
        <f>VLOOKUP(A5878,'Mano Obra'!$B$2:$T$117,19,0)</f>
        <v>110488</v>
      </c>
      <c r="E5878" s="218">
        <f>H5839</f>
        <v>1.04E-2</v>
      </c>
      <c r="F5878" s="508">
        <f t="shared" ref="F5878:F5879" si="345">E5878*D5878*C5878</f>
        <v>1149.0752</v>
      </c>
      <c r="G5878" s="509"/>
      <c r="H5878" s="111"/>
      <c r="J5878" s="117">
        <f>((('Mano Obra'!$M$5/30)*F5878)/D5878)*G5846</f>
        <v>0</v>
      </c>
    </row>
    <row r="5879" spans="1:13">
      <c r="A5879" s="510" t="s">
        <v>4181</v>
      </c>
      <c r="B5879" s="511">
        <f>VLOOKUP(A5879,'Mano Obra'!$B$3:$D$290,2,0)</f>
        <v>1000000</v>
      </c>
      <c r="C5879" s="91">
        <v>1</v>
      </c>
      <c r="D5879" s="94">
        <f>VLOOKUP(A5879,'Mano Obra'!$B$2:$T$117,19,0)</f>
        <v>67424</v>
      </c>
      <c r="E5879" s="218">
        <f>H5839</f>
        <v>1.04E-2</v>
      </c>
      <c r="F5879" s="508">
        <f t="shared" si="345"/>
        <v>701.20960000000002</v>
      </c>
      <c r="G5879" s="509"/>
      <c r="H5879" s="110"/>
      <c r="J5879" s="117">
        <f>((('Mano Obra'!$M$6/30)*F5879)/D5879)*G5846</f>
        <v>0</v>
      </c>
    </row>
    <row r="5880" spans="1:13">
      <c r="A5880" s="512" t="s">
        <v>4100</v>
      </c>
      <c r="B5880" s="512"/>
      <c r="C5880" s="512"/>
      <c r="D5880" s="512"/>
      <c r="E5880" s="512"/>
      <c r="F5880" s="512"/>
      <c r="G5880" s="512"/>
      <c r="H5880" s="95">
        <f>SUM(F5877:F5879)</f>
        <v>3435.8271999999997</v>
      </c>
      <c r="J5880" s="117"/>
    </row>
    <row r="5881" spans="1:13">
      <c r="A5881" s="208" t="s">
        <v>4226</v>
      </c>
      <c r="B5881" s="186"/>
      <c r="C5881" s="186"/>
      <c r="D5881" s="183"/>
      <c r="E5881" s="184"/>
      <c r="F5881" s="185"/>
      <c r="G5881" s="184"/>
      <c r="H5881" s="193"/>
    </row>
    <row r="5882" spans="1:13">
      <c r="A5882" s="513" t="s">
        <v>4213</v>
      </c>
      <c r="B5882" s="514"/>
      <c r="C5882" s="514"/>
      <c r="D5882" s="514"/>
      <c r="E5882" s="181"/>
      <c r="F5882" s="182" t="s">
        <v>4227</v>
      </c>
      <c r="G5882" s="181" t="s">
        <v>4228</v>
      </c>
      <c r="H5882" s="194"/>
    </row>
    <row r="5883" spans="1:13">
      <c r="A5883" s="204" t="s">
        <v>4096</v>
      </c>
      <c r="B5883" s="62"/>
      <c r="C5883" s="62"/>
      <c r="D5883" s="63"/>
      <c r="E5883" s="68"/>
      <c r="F5883" s="69">
        <v>0</v>
      </c>
      <c r="G5883" s="70" t="e">
        <f>F5883*H5847</f>
        <v>#VALUE!</v>
      </c>
      <c r="H5883" s="193"/>
    </row>
    <row r="5884" spans="1:13">
      <c r="A5884" s="205" t="s">
        <v>4229</v>
      </c>
      <c r="B5884" s="71"/>
      <c r="C5884" s="71"/>
      <c r="D5884" s="72"/>
      <c r="E5884" s="68"/>
      <c r="F5884" s="69">
        <v>0</v>
      </c>
      <c r="G5884" s="70" t="e">
        <f>F5884*H5847</f>
        <v>#VALUE!</v>
      </c>
      <c r="H5884" s="193"/>
    </row>
    <row r="5885" spans="1:13">
      <c r="A5885" s="205" t="s">
        <v>4</v>
      </c>
      <c r="B5885" s="71"/>
      <c r="C5885" s="71"/>
      <c r="D5885" s="72"/>
      <c r="E5885" s="68"/>
      <c r="F5885" s="69">
        <v>0</v>
      </c>
      <c r="G5885" s="70" t="e">
        <f>F5885*H5847</f>
        <v>#VALUE!</v>
      </c>
      <c r="H5885" s="193"/>
    </row>
    <row r="5886" spans="1:13">
      <c r="A5886" s="206"/>
      <c r="B5886" s="73"/>
      <c r="C5886" s="65"/>
      <c r="D5886" s="74"/>
      <c r="E5886" s="75"/>
      <c r="F5886" s="76"/>
      <c r="G5886" s="77"/>
      <c r="H5886" s="195"/>
    </row>
    <row r="5887" spans="1:13">
      <c r="A5887" s="207"/>
      <c r="B5887" s="73"/>
      <c r="C5887" s="73"/>
      <c r="D5887" s="74"/>
      <c r="E5887" s="78"/>
      <c r="F5887" s="515" t="s">
        <v>4230</v>
      </c>
      <c r="G5887" s="516"/>
      <c r="H5887" s="214" t="e">
        <f>H5847+G5883+G5884+G5885</f>
        <v>#VALUE!</v>
      </c>
    </row>
    <row r="5889" spans="1:14">
      <c r="A5889" s="80"/>
      <c r="B5889" s="80"/>
      <c r="C5889" s="80"/>
      <c r="D5889" s="80"/>
      <c r="E5889" s="80"/>
      <c r="F5889" s="80"/>
      <c r="G5889" s="80"/>
      <c r="H5889" s="353"/>
    </row>
    <row r="5890" spans="1:14">
      <c r="A5890" s="537" t="s">
        <v>4214</v>
      </c>
      <c r="B5890" s="538"/>
      <c r="C5890" s="538"/>
      <c r="D5890" s="538"/>
      <c r="E5890" s="538"/>
      <c r="F5890" s="538"/>
      <c r="G5890" s="538"/>
      <c r="H5890" s="539"/>
    </row>
    <row r="5891" spans="1:14">
      <c r="A5891" s="81"/>
      <c r="B5891" s="82"/>
      <c r="C5891" s="82"/>
      <c r="D5891" s="82"/>
      <c r="E5891" s="82"/>
      <c r="F5891" s="83"/>
      <c r="G5891" s="84"/>
      <c r="H5891" s="352">
        <f>ROUND((5/60)/8,4)</f>
        <v>1.04E-2</v>
      </c>
      <c r="I5891" s="105"/>
    </row>
    <row r="5892" spans="1:14">
      <c r="A5892" s="540" t="s">
        <v>4209</v>
      </c>
      <c r="B5892" s="542" t="str">
        <f>COSTOS!$C$14</f>
        <v>MODERNIZACION A TECNOLOGIA LED</v>
      </c>
      <c r="C5892" s="542"/>
      <c r="D5892" s="542"/>
      <c r="E5892" s="542"/>
      <c r="F5892" s="542"/>
      <c r="G5892" s="542"/>
      <c r="H5892" s="543" t="s">
        <v>4210</v>
      </c>
    </row>
    <row r="5893" spans="1:14">
      <c r="A5893" s="541"/>
      <c r="B5893" s="542"/>
      <c r="C5893" s="542"/>
      <c r="D5893" s="542"/>
      <c r="E5893" s="542"/>
      <c r="F5893" s="542"/>
      <c r="G5893" s="542"/>
      <c r="H5893" s="543"/>
    </row>
    <row r="5894" spans="1:14">
      <c r="A5894" s="541"/>
      <c r="B5894" s="542"/>
      <c r="C5894" s="542"/>
      <c r="D5894" s="542"/>
      <c r="E5894" s="542"/>
      <c r="F5894" s="542"/>
      <c r="G5894" s="542"/>
      <c r="H5894" s="543"/>
    </row>
    <row r="5895" spans="1:14" ht="15" customHeight="1">
      <c r="A5895" s="541"/>
      <c r="B5895" s="542"/>
      <c r="C5895" s="542"/>
      <c r="D5895" s="542"/>
      <c r="E5895" s="542"/>
      <c r="F5895" s="542"/>
      <c r="G5895" s="542"/>
      <c r="H5895" s="197">
        <f ca="1">TODAY()</f>
        <v>44889</v>
      </c>
      <c r="K5895" t="s">
        <v>4380</v>
      </c>
      <c r="L5895" t="s">
        <v>4381</v>
      </c>
      <c r="M5895" t="s">
        <v>4382</v>
      </c>
      <c r="N5895" t="s">
        <v>4383</v>
      </c>
    </row>
    <row r="5896" spans="1:14" ht="60.75" customHeight="1">
      <c r="A5896" s="209" t="s">
        <v>4211</v>
      </c>
      <c r="B5896" s="544" t="str">
        <f>COSTOS!$D$16</f>
        <v>Luminarias</v>
      </c>
      <c r="C5896" s="544"/>
      <c r="D5896" s="544"/>
      <c r="E5896" s="544"/>
      <c r="F5896" s="544"/>
      <c r="G5896" s="60" t="s">
        <v>4212</v>
      </c>
      <c r="H5896" s="359">
        <v>3.5</v>
      </c>
      <c r="K5896" s="55" t="e">
        <f>H5922</f>
        <v>#VALUE!</v>
      </c>
      <c r="L5896" s="55">
        <f>H5932</f>
        <v>3435.8271999999997</v>
      </c>
      <c r="M5896" s="55" t="e">
        <f>H5905</f>
        <v>#VALUE!</v>
      </c>
      <c r="N5896" s="55" t="e">
        <f>H5926</f>
        <v>#VALUE!</v>
      </c>
    </row>
    <row r="5897" spans="1:14" ht="43.2" customHeight="1">
      <c r="A5897" s="210" t="s">
        <v>4213</v>
      </c>
      <c r="B5897" s="545" t="str">
        <f>VLOOKUP(H5896,COSTOS!C:M,2,0)</f>
        <v>Red Aerea 2x2+2 AWG AL x 500m</v>
      </c>
      <c r="C5897" s="546"/>
      <c r="D5897" s="546"/>
      <c r="E5897" s="547"/>
      <c r="F5897" s="61" t="s">
        <v>0</v>
      </c>
      <c r="G5897" s="328" t="str">
        <f>VLOOKUP(H5896,COSTOS!C:M,8,0)</f>
        <v>Und</v>
      </c>
      <c r="H5897" s="248"/>
      <c r="I5897" s="278"/>
      <c r="J5897" s="280"/>
      <c r="K5897" s="280"/>
      <c r="L5897" s="280"/>
    </row>
    <row r="5898" spans="1:14">
      <c r="A5898" s="211"/>
      <c r="B5898" s="102"/>
      <c r="C5898" s="102"/>
      <c r="D5898" s="102"/>
      <c r="E5898" s="103"/>
      <c r="F5898" s="104" t="s">
        <v>1</v>
      </c>
      <c r="G5898" s="328">
        <f>VLOOKUP(H5896,COSTOS!C:M,9,0)</f>
        <v>0</v>
      </c>
      <c r="H5898" s="329"/>
      <c r="I5898" s="279"/>
    </row>
    <row r="5899" spans="1:14">
      <c r="A5899" s="212" t="s">
        <v>4215</v>
      </c>
      <c r="B5899" s="65"/>
      <c r="C5899" s="65"/>
      <c r="D5899" s="66"/>
      <c r="E5899" s="190"/>
      <c r="F5899" s="191"/>
      <c r="G5899" s="192" t="s">
        <v>4216</v>
      </c>
      <c r="H5899" s="198" t="e">
        <f>H5905+H5922+H5926+H5932</f>
        <v>#VALUE!</v>
      </c>
    </row>
    <row r="5900" spans="1:14" ht="41.4">
      <c r="A5900" s="548" t="s">
        <v>4213</v>
      </c>
      <c r="B5900" s="548"/>
      <c r="C5900" s="548"/>
      <c r="D5900" s="67" t="s">
        <v>0</v>
      </c>
      <c r="E5900" s="188" t="s">
        <v>4217</v>
      </c>
      <c r="F5900" s="189" t="s">
        <v>4204</v>
      </c>
      <c r="G5900" s="64" t="s">
        <v>2</v>
      </c>
      <c r="H5900" s="199" t="s">
        <v>4218</v>
      </c>
      <c r="K5900" s="281"/>
    </row>
    <row r="5901" spans="1:14">
      <c r="A5901" s="517" t="s">
        <v>3946</v>
      </c>
      <c r="B5901" s="549">
        <f>VLOOKUP(A5901,'Equip, Herr y Transp'!$B$2:$E$738,2,0)</f>
        <v>2</v>
      </c>
      <c r="C5901" s="549"/>
      <c r="D5901" s="85">
        <f>VLOOKUP(A5901,'Equip, Herr y Transp'!$B$2:$E$217,2,0)</f>
        <v>2</v>
      </c>
      <c r="E5901" s="85" t="str">
        <f>VLOOKUP(A5901,'Equip, Herr y Transp'!$B$2:$E$217,3,0)</f>
        <v>EQU</v>
      </c>
      <c r="F5901" s="86">
        <f>H5891</f>
        <v>1.04E-2</v>
      </c>
      <c r="G5901" s="112" t="e">
        <f>F5901*E5901</f>
        <v>#VALUE!</v>
      </c>
      <c r="H5901" s="108"/>
    </row>
    <row r="5902" spans="1:14">
      <c r="A5902" s="517" t="s">
        <v>3904</v>
      </c>
      <c r="B5902" s="549">
        <f>VLOOKUP(A5902,'Equip, Herr y Transp'!$B$2:$E$738,2,0)</f>
        <v>2</v>
      </c>
      <c r="C5902" s="549"/>
      <c r="D5902" s="85">
        <f>VLOOKUP(A5902,'Equip, Herr y Transp'!$B$2:$E$217,2,0)</f>
        <v>2</v>
      </c>
      <c r="E5902" s="85" t="str">
        <f>VLOOKUP(A5902,'Equip, Herr y Transp'!$B$2:$E$217,3,0)</f>
        <v>EQU</v>
      </c>
      <c r="F5902" s="86">
        <f>H5891</f>
        <v>1.04E-2</v>
      </c>
      <c r="G5902" s="112" t="e">
        <f>F5902*E5902</f>
        <v>#VALUE!</v>
      </c>
      <c r="H5902" s="107"/>
    </row>
    <row r="5903" spans="1:14">
      <c r="A5903" s="517" t="s">
        <v>8</v>
      </c>
      <c r="B5903" s="549" t="e">
        <f>VLOOKUP(A5903,'Equip, Herr y Transp'!$B$2:$E$738,2,0)</f>
        <v>#N/A</v>
      </c>
      <c r="C5903" s="549"/>
      <c r="D5903" s="85" t="e">
        <f>VLOOKUP(A5903,'Equip, Herr y Transp'!$B$2:$E$217,2,0)</f>
        <v>#N/A</v>
      </c>
      <c r="E5903" s="85" t="e">
        <f>VLOOKUP(A5903,'Equip, Herr y Transp'!$B$2:$E$217,3,0)</f>
        <v>#N/A</v>
      </c>
      <c r="F5903" s="86">
        <f>H5891</f>
        <v>1.04E-2</v>
      </c>
      <c r="G5903" s="112" t="e">
        <f>F5903*E5903</f>
        <v>#N/A</v>
      </c>
      <c r="H5903" s="107"/>
    </row>
    <row r="5904" spans="1:14">
      <c r="A5904" s="517" t="s">
        <v>8</v>
      </c>
      <c r="B5904" s="549" t="e">
        <f>VLOOKUP(A5904,'Equip, Herr y Transp'!$B$2:$E$738,2,0)</f>
        <v>#N/A</v>
      </c>
      <c r="C5904" s="549"/>
      <c r="D5904" s="85" t="e">
        <f>VLOOKUP(A5904,'Equip, Herr y Transp'!$B$2:$E$217,2,0)</f>
        <v>#N/A</v>
      </c>
      <c r="E5904" s="85" t="e">
        <f>VLOOKUP(A5904,'Equip, Herr y Transp'!$B$2:$E$217,3,0)</f>
        <v>#N/A</v>
      </c>
      <c r="F5904" s="86">
        <f>H5891</f>
        <v>1.04E-2</v>
      </c>
      <c r="G5904" s="112" t="e">
        <f>F5904*E5904</f>
        <v>#N/A</v>
      </c>
      <c r="H5904" s="107"/>
    </row>
    <row r="5905" spans="1:15">
      <c r="A5905" s="520" t="s">
        <v>4099</v>
      </c>
      <c r="B5905" s="521"/>
      <c r="C5905" s="521"/>
      <c r="D5905" s="521"/>
      <c r="E5905" s="521"/>
      <c r="F5905" s="521"/>
      <c r="G5905" s="521"/>
      <c r="H5905" s="87" t="e">
        <f>SUM(G5901:G5904)</f>
        <v>#VALUE!</v>
      </c>
    </row>
    <row r="5906" spans="1:15">
      <c r="A5906" s="550" t="s">
        <v>4219</v>
      </c>
      <c r="B5906" s="551"/>
      <c r="C5906" s="551"/>
      <c r="D5906" s="551"/>
      <c r="E5906" s="551"/>
      <c r="F5906" s="551"/>
      <c r="G5906" s="551"/>
      <c r="H5906" s="552"/>
      <c r="K5906" s="50"/>
      <c r="L5906" s="50"/>
      <c r="M5906" s="50"/>
      <c r="N5906" s="50"/>
      <c r="O5906" s="50"/>
    </row>
    <row r="5907" spans="1:15" ht="30" customHeight="1">
      <c r="A5907" s="553" t="s">
        <v>7</v>
      </c>
      <c r="B5907" s="554"/>
      <c r="C5907" s="99" t="s">
        <v>0</v>
      </c>
      <c r="D5907" s="100" t="s">
        <v>4097</v>
      </c>
      <c r="E5907" s="101" t="s">
        <v>1</v>
      </c>
      <c r="F5907" s="555" t="s">
        <v>4207</v>
      </c>
      <c r="G5907" s="555"/>
      <c r="H5907" s="196"/>
      <c r="K5907" s="50"/>
      <c r="L5907" s="50"/>
      <c r="M5907" s="50"/>
      <c r="N5907" s="50"/>
      <c r="O5907" s="50"/>
    </row>
    <row r="5908" spans="1:15">
      <c r="A5908" s="535" t="s">
        <v>4443</v>
      </c>
      <c r="B5908" s="536"/>
      <c r="C5908" s="88">
        <f>VLOOKUP(A5908,'Materiales '!$C$2:$G$396,3,0)</f>
        <v>2</v>
      </c>
      <c r="D5908" s="89" t="str">
        <f>VLOOKUP(A5908,'Materiales '!$C$2:$G$396,4,0)</f>
        <v>Ml</v>
      </c>
      <c r="E5908" s="90">
        <v>1</v>
      </c>
      <c r="F5908" s="508" t="e">
        <f>E5908*D5908</f>
        <v>#VALUE!</v>
      </c>
      <c r="G5908" s="519"/>
      <c r="H5908" s="111"/>
      <c r="I5908">
        <f>E5908*G5898</f>
        <v>0</v>
      </c>
      <c r="J5908" s="57"/>
      <c r="K5908" s="50"/>
      <c r="L5908" s="50"/>
      <c r="M5908" s="50"/>
      <c r="N5908" s="50"/>
      <c r="O5908" s="50"/>
    </row>
    <row r="5909" spans="1:15">
      <c r="A5909" s="535" t="s">
        <v>8</v>
      </c>
      <c r="B5909" s="536"/>
      <c r="C5909" s="88">
        <f>VLOOKUP(A5909,'Materiales '!$C$2:$G$396,3,0)</f>
        <v>0</v>
      </c>
      <c r="D5909" s="89" t="str">
        <f>VLOOKUP(A5909,'Materiales '!$C$2:$G$396,4,0)</f>
        <v>-</v>
      </c>
      <c r="E5909" s="90"/>
      <c r="F5909" s="508" t="e">
        <f t="shared" ref="F5909:F5915" si="346">E5909*D5909</f>
        <v>#VALUE!</v>
      </c>
      <c r="G5909" s="519"/>
      <c r="H5909" s="111"/>
      <c r="I5909">
        <f>E5909*G5898</f>
        <v>0</v>
      </c>
      <c r="J5909" s="57"/>
      <c r="K5909" s="50"/>
      <c r="L5909" s="50"/>
      <c r="M5909" s="50"/>
      <c r="N5909" s="50"/>
      <c r="O5909" s="50"/>
    </row>
    <row r="5910" spans="1:15">
      <c r="A5910" s="517" t="s">
        <v>8</v>
      </c>
      <c r="B5910" s="518">
        <f>VLOOKUP(A5910,'Materiales '!$C$2:$G$396,3,0)</f>
        <v>0</v>
      </c>
      <c r="C5910" s="88">
        <f>VLOOKUP(A5910,'Materiales '!$C$2:$G$396,3,0)</f>
        <v>0</v>
      </c>
      <c r="D5910" s="89" t="str">
        <f>VLOOKUP(A5910,'Materiales '!$C$2:$G$396,4,0)</f>
        <v>-</v>
      </c>
      <c r="E5910" s="90"/>
      <c r="F5910" s="508" t="e">
        <f t="shared" si="346"/>
        <v>#VALUE!</v>
      </c>
      <c r="G5910" s="519"/>
      <c r="H5910" s="111"/>
      <c r="I5910">
        <f>E5910*G5898</f>
        <v>0</v>
      </c>
      <c r="J5910" s="58"/>
      <c r="K5910" s="50"/>
      <c r="L5910" s="50"/>
      <c r="M5910" s="50"/>
      <c r="N5910" s="50"/>
      <c r="O5910" s="50"/>
    </row>
    <row r="5911" spans="1:15">
      <c r="A5911" s="517" t="s">
        <v>8</v>
      </c>
      <c r="B5911" s="518">
        <f>VLOOKUP(A5911,'Materiales '!$C$2:$G$396,3,0)</f>
        <v>0</v>
      </c>
      <c r="C5911" s="88">
        <f>VLOOKUP(A5911,'Materiales '!$C$2:$G$396,3,0)</f>
        <v>0</v>
      </c>
      <c r="D5911" s="89" t="str">
        <f>VLOOKUP(A5911,'Materiales '!$C$2:$G$396,4,0)</f>
        <v>-</v>
      </c>
      <c r="E5911" s="90"/>
      <c r="F5911" s="508" t="e">
        <f t="shared" si="346"/>
        <v>#VALUE!</v>
      </c>
      <c r="G5911" s="519"/>
      <c r="H5911" s="111"/>
      <c r="I5911">
        <f>E5911*G5898</f>
        <v>0</v>
      </c>
      <c r="J5911" s="58"/>
      <c r="K5911" s="50"/>
      <c r="L5911" s="50"/>
      <c r="M5911" s="50"/>
      <c r="N5911" s="50"/>
      <c r="O5911" s="50"/>
    </row>
    <row r="5912" spans="1:15">
      <c r="A5912" s="517" t="s">
        <v>8</v>
      </c>
      <c r="B5912" s="518">
        <f>VLOOKUP(A5912,'Materiales '!$C$2:$G$396,3,0)</f>
        <v>0</v>
      </c>
      <c r="C5912" s="88">
        <f>VLOOKUP(A5912,'Materiales '!$C$2:$G$396,3,0)</f>
        <v>0</v>
      </c>
      <c r="D5912" s="89" t="str">
        <f>VLOOKUP(A5912,'Materiales '!$C$2:$G$396,4,0)</f>
        <v>-</v>
      </c>
      <c r="E5912" s="90"/>
      <c r="F5912" s="508" t="e">
        <f t="shared" si="346"/>
        <v>#VALUE!</v>
      </c>
      <c r="G5912" s="519"/>
      <c r="H5912" s="111"/>
      <c r="I5912">
        <f>E5912*G5898</f>
        <v>0</v>
      </c>
      <c r="J5912" s="58"/>
      <c r="K5912" s="50"/>
      <c r="L5912" s="50"/>
      <c r="M5912" s="50"/>
      <c r="N5912" s="50"/>
      <c r="O5912" s="50"/>
    </row>
    <row r="5913" spans="1:15">
      <c r="A5913" s="517" t="s">
        <v>8</v>
      </c>
      <c r="B5913" s="518">
        <f>VLOOKUP(A5913,'Materiales '!$C$2:$G$396,3,0)</f>
        <v>0</v>
      </c>
      <c r="C5913" s="88">
        <f>VLOOKUP(A5913,'Materiales '!$C$2:$G$396,3,0)</f>
        <v>0</v>
      </c>
      <c r="D5913" s="89" t="str">
        <f>VLOOKUP(A5913,'Materiales '!$C$2:$G$396,4,0)</f>
        <v>-</v>
      </c>
      <c r="E5913" s="90"/>
      <c r="F5913" s="508" t="e">
        <f t="shared" si="346"/>
        <v>#VALUE!</v>
      </c>
      <c r="G5913" s="519"/>
      <c r="H5913" s="111"/>
      <c r="I5913">
        <f>E5913*G5898</f>
        <v>0</v>
      </c>
      <c r="J5913" s="58"/>
      <c r="K5913" s="50"/>
      <c r="L5913" s="50"/>
      <c r="M5913" s="50"/>
      <c r="N5913" s="50"/>
      <c r="O5913" s="50"/>
    </row>
    <row r="5914" spans="1:15">
      <c r="A5914" s="517" t="s">
        <v>8</v>
      </c>
      <c r="B5914" s="518">
        <f>VLOOKUP(A5914,'Materiales '!$C$2:$G$396,3,0)</f>
        <v>0</v>
      </c>
      <c r="C5914" s="88">
        <f>VLOOKUP(A5914,'Materiales '!$C$2:$G$396,3,0)</f>
        <v>0</v>
      </c>
      <c r="D5914" s="89" t="str">
        <f>VLOOKUP(A5914,'Materiales '!$C$2:$G$396,4,0)</f>
        <v>-</v>
      </c>
      <c r="E5914" s="90"/>
      <c r="F5914" s="508" t="e">
        <f t="shared" si="346"/>
        <v>#VALUE!</v>
      </c>
      <c r="G5914" s="519"/>
      <c r="H5914" s="111"/>
      <c r="I5914">
        <f>E5914*G5898</f>
        <v>0</v>
      </c>
      <c r="J5914" s="58"/>
      <c r="K5914" s="50"/>
      <c r="L5914" s="50"/>
      <c r="M5914" s="50"/>
      <c r="N5914" s="50"/>
      <c r="O5914" s="50"/>
    </row>
    <row r="5915" spans="1:15" ht="21.75" customHeight="1">
      <c r="A5915" s="517" t="s">
        <v>8</v>
      </c>
      <c r="B5915" s="518">
        <f>VLOOKUP(A5915,'Materiales '!$C$2:$G$396,3,0)</f>
        <v>0</v>
      </c>
      <c r="C5915" s="88">
        <f>VLOOKUP(A5915,'Materiales '!$C$2:$G$396,3,0)</f>
        <v>0</v>
      </c>
      <c r="D5915" s="89" t="str">
        <f>VLOOKUP(A5915,'Materiales '!$C$2:$G$396,4,0)</f>
        <v>-</v>
      </c>
      <c r="E5915" s="90"/>
      <c r="F5915" s="508" t="e">
        <f t="shared" si="346"/>
        <v>#VALUE!</v>
      </c>
      <c r="G5915" s="519"/>
      <c r="H5915" s="111"/>
      <c r="I5915">
        <f>E5915*G5898</f>
        <v>0</v>
      </c>
      <c r="J5915" s="58"/>
      <c r="K5915" s="50"/>
      <c r="L5915" s="50"/>
      <c r="M5915" s="50"/>
      <c r="N5915" s="50"/>
      <c r="O5915" s="50"/>
    </row>
    <row r="5916" spans="1:15">
      <c r="A5916" s="517" t="s">
        <v>8</v>
      </c>
      <c r="B5916" s="518">
        <f>VLOOKUP(A5916,'Materiales '!$C$2:$G$396,3,0)</f>
        <v>0</v>
      </c>
      <c r="C5916" s="88">
        <f>VLOOKUP(A5916,'Materiales '!$C$2:$G$396,3,0)</f>
        <v>0</v>
      </c>
      <c r="D5916" s="89" t="str">
        <f>VLOOKUP(A5916,'Materiales '!$C$2:$G$396,4,0)</f>
        <v>-</v>
      </c>
      <c r="E5916" s="90"/>
      <c r="F5916" s="508" t="e">
        <f>E5916*D5916</f>
        <v>#VALUE!</v>
      </c>
      <c r="G5916" s="519"/>
      <c r="H5916" s="110"/>
      <c r="I5916">
        <f>E5916*G5898</f>
        <v>0</v>
      </c>
      <c r="J5916" s="58"/>
      <c r="K5916" s="50"/>
      <c r="L5916" s="50"/>
      <c r="M5916" s="50"/>
      <c r="N5916" s="50"/>
      <c r="O5916" s="50"/>
    </row>
    <row r="5917" spans="1:15">
      <c r="A5917" s="517" t="s">
        <v>8</v>
      </c>
      <c r="B5917" s="518">
        <f>VLOOKUP(A5917,'Materiales '!$C$2:$G$396,3,0)</f>
        <v>0</v>
      </c>
      <c r="C5917" s="88">
        <f>VLOOKUP(A5917,'Materiales '!$C$2:$G$396,3,0)</f>
        <v>0</v>
      </c>
      <c r="D5917" s="89" t="str">
        <f>VLOOKUP(A5917,'Materiales '!$C$2:$G$396,4,0)</f>
        <v>-</v>
      </c>
      <c r="E5917" s="90"/>
      <c r="F5917" s="508" t="e">
        <f t="shared" ref="F5917:F5920" si="347">E5917*D5917</f>
        <v>#VALUE!</v>
      </c>
      <c r="G5917" s="519"/>
      <c r="H5917" s="111"/>
      <c r="I5917">
        <f>E5917*G5898</f>
        <v>0</v>
      </c>
      <c r="J5917" s="58"/>
      <c r="K5917" s="50"/>
      <c r="L5917" s="50"/>
      <c r="M5917" s="50"/>
      <c r="N5917" s="50"/>
      <c r="O5917" s="50"/>
    </row>
    <row r="5918" spans="1:15">
      <c r="A5918" s="517" t="s">
        <v>8</v>
      </c>
      <c r="B5918" s="518">
        <f>VLOOKUP(A5918,'Materiales '!$C$2:$G$396,3,0)</f>
        <v>0</v>
      </c>
      <c r="C5918" s="88">
        <f>VLOOKUP(A5918,'Materiales '!$C$2:$G$396,3,0)</f>
        <v>0</v>
      </c>
      <c r="D5918" s="89" t="str">
        <f>VLOOKUP(A5918,'Materiales '!$C$2:$G$396,4,0)</f>
        <v>-</v>
      </c>
      <c r="E5918" s="90"/>
      <c r="F5918" s="508" t="e">
        <f t="shared" si="347"/>
        <v>#VALUE!</v>
      </c>
      <c r="G5918" s="519"/>
      <c r="H5918" s="111"/>
      <c r="I5918">
        <f>E5918*G5898</f>
        <v>0</v>
      </c>
      <c r="J5918" s="58"/>
      <c r="K5918" s="50"/>
      <c r="L5918" s="50"/>
      <c r="M5918" s="50"/>
      <c r="N5918" s="50"/>
      <c r="O5918" s="50"/>
    </row>
    <row r="5919" spans="1:15">
      <c r="A5919" s="517" t="s">
        <v>8</v>
      </c>
      <c r="B5919" s="518">
        <f>VLOOKUP(A5919,'Materiales '!$C$2:$G$396,3,0)</f>
        <v>0</v>
      </c>
      <c r="C5919" s="88">
        <f>VLOOKUP(A5919,'Materiales '!$C$2:$G$396,3,0)</f>
        <v>0</v>
      </c>
      <c r="D5919" s="89" t="str">
        <f>VLOOKUP(A5919,'Materiales '!$C$2:$G$396,4,0)</f>
        <v>-</v>
      </c>
      <c r="E5919" s="90"/>
      <c r="F5919" s="508" t="e">
        <f t="shared" si="347"/>
        <v>#VALUE!</v>
      </c>
      <c r="G5919" s="519"/>
      <c r="H5919" s="111"/>
      <c r="I5919">
        <f>E5919*G5898</f>
        <v>0</v>
      </c>
      <c r="J5919" s="58"/>
      <c r="K5919" s="50"/>
      <c r="L5919" s="50"/>
      <c r="M5919" s="50"/>
      <c r="N5919" s="50"/>
      <c r="O5919" s="50"/>
    </row>
    <row r="5920" spans="1:15">
      <c r="A5920" s="517" t="s">
        <v>8</v>
      </c>
      <c r="B5920" s="518">
        <f>VLOOKUP(A5920,'Materiales '!$C$2:$G$396,3,0)</f>
        <v>0</v>
      </c>
      <c r="C5920" s="88">
        <f>VLOOKUP(A5920,'Materiales '!$C$2:$G$396,3,0)</f>
        <v>0</v>
      </c>
      <c r="D5920" s="89" t="str">
        <f>VLOOKUP(A5920,'Materiales '!$C$2:$G$396,4,0)</f>
        <v>-</v>
      </c>
      <c r="E5920" s="90"/>
      <c r="F5920" s="508" t="e">
        <f t="shared" si="347"/>
        <v>#VALUE!</v>
      </c>
      <c r="G5920" s="519"/>
      <c r="H5920" s="111"/>
      <c r="I5920">
        <f>E5920*G5898</f>
        <v>0</v>
      </c>
      <c r="J5920" s="58"/>
      <c r="K5920" s="50"/>
      <c r="L5920" s="50"/>
      <c r="M5920" s="50"/>
      <c r="N5920" s="50"/>
      <c r="O5920" s="50"/>
    </row>
    <row r="5921" spans="1:15">
      <c r="A5921" s="517" t="s">
        <v>8</v>
      </c>
      <c r="B5921" s="518">
        <f>VLOOKUP(A5921,'Materiales '!$C$2:$G$396,3,0)</f>
        <v>0</v>
      </c>
      <c r="C5921" s="88">
        <f>VLOOKUP(A5921,'Materiales '!$C$2:$G$396,3,0)</f>
        <v>0</v>
      </c>
      <c r="D5921" s="89" t="str">
        <f>VLOOKUP(A5921,'Materiales '!$C$2:$G$396,4,0)</f>
        <v>-</v>
      </c>
      <c r="E5921" s="90"/>
      <c r="F5921" s="508" t="e">
        <f>E5921*D5921</f>
        <v>#VALUE!</v>
      </c>
      <c r="G5921" s="519"/>
      <c r="H5921" s="110"/>
      <c r="I5921">
        <f>E5921*G5898</f>
        <v>0</v>
      </c>
      <c r="J5921" s="58"/>
      <c r="K5921" s="50"/>
      <c r="L5921" s="50"/>
      <c r="M5921" s="50"/>
      <c r="N5921" s="50"/>
      <c r="O5921" s="50"/>
    </row>
    <row r="5922" spans="1:15">
      <c r="A5922" s="520" t="s">
        <v>4098</v>
      </c>
      <c r="B5922" s="521"/>
      <c r="C5922" s="521"/>
      <c r="D5922" s="521"/>
      <c r="E5922" s="521"/>
      <c r="F5922" s="521"/>
      <c r="G5922" s="522"/>
      <c r="H5922" s="106" t="e">
        <f>SUM(F5908:F5921)</f>
        <v>#VALUE!</v>
      </c>
      <c r="J5922" s="58"/>
      <c r="K5922" s="50"/>
      <c r="L5922" s="50"/>
      <c r="M5922" s="50"/>
      <c r="N5922" s="50"/>
      <c r="O5922" s="50"/>
    </row>
    <row r="5923" spans="1:15">
      <c r="A5923" s="523" t="s">
        <v>4220</v>
      </c>
      <c r="B5923" s="524"/>
      <c r="C5923" s="524"/>
      <c r="D5923" s="524"/>
      <c r="E5923" s="525"/>
      <c r="F5923" s="524"/>
      <c r="G5923" s="524"/>
      <c r="H5923" s="526"/>
      <c r="J5923" s="58"/>
      <c r="K5923" s="50"/>
      <c r="L5923" s="50"/>
      <c r="M5923" s="50"/>
      <c r="N5923" s="50"/>
      <c r="O5923" s="50"/>
    </row>
    <row r="5924" spans="1:15">
      <c r="A5924" s="527" t="s">
        <v>7</v>
      </c>
      <c r="B5924" s="528"/>
      <c r="C5924" s="98" t="s">
        <v>4221</v>
      </c>
      <c r="D5924" s="97" t="s">
        <v>4222</v>
      </c>
      <c r="E5924" s="187" t="s">
        <v>4223</v>
      </c>
      <c r="F5924" s="529" t="s">
        <v>4207</v>
      </c>
      <c r="G5924" s="529"/>
      <c r="H5924" s="109"/>
      <c r="K5924" s="50"/>
      <c r="L5924" s="50"/>
      <c r="M5924" s="50"/>
      <c r="N5924" s="50"/>
      <c r="O5924" s="50"/>
    </row>
    <row r="5925" spans="1:15">
      <c r="A5925" s="506" t="s">
        <v>3928</v>
      </c>
      <c r="B5925" s="507"/>
      <c r="C5925" s="213">
        <v>1</v>
      </c>
      <c r="D5925" s="92">
        <v>5.0000000000000001E-3</v>
      </c>
      <c r="E5925" s="93" t="str">
        <f>VLOOKUP(A5925,'Equip, Herr y Transp'!$B$2:$E$217,3,0)</f>
        <v>TR</v>
      </c>
      <c r="F5925" s="530" t="e">
        <f>E5925*D5925*C5925</f>
        <v>#VALUE!</v>
      </c>
      <c r="G5925" s="531"/>
      <c r="H5925" s="107"/>
      <c r="M5925" s="50"/>
    </row>
    <row r="5926" spans="1:15">
      <c r="A5926" s="532" t="s">
        <v>4205</v>
      </c>
      <c r="B5926" s="533"/>
      <c r="C5926" s="533"/>
      <c r="D5926" s="533"/>
      <c r="E5926" s="533"/>
      <c r="F5926" s="533"/>
      <c r="G5926" s="533"/>
      <c r="H5926" s="95" t="e">
        <f>F5925</f>
        <v>#VALUE!</v>
      </c>
    </row>
    <row r="5927" spans="1:15">
      <c r="A5927" s="523" t="s">
        <v>4224</v>
      </c>
      <c r="B5927" s="524"/>
      <c r="C5927" s="524"/>
      <c r="D5927" s="524"/>
      <c r="E5927" s="524"/>
      <c r="F5927" s="524"/>
      <c r="G5927" s="524"/>
      <c r="H5927" s="526"/>
    </row>
    <row r="5928" spans="1:15">
      <c r="A5928" s="527" t="s">
        <v>7</v>
      </c>
      <c r="B5928" s="528"/>
      <c r="C5928" s="96" t="s">
        <v>1</v>
      </c>
      <c r="D5928" s="97" t="s">
        <v>4225</v>
      </c>
      <c r="E5928" s="98" t="s">
        <v>4204</v>
      </c>
      <c r="F5928" s="527" t="s">
        <v>5</v>
      </c>
      <c r="G5928" s="534"/>
      <c r="H5928" s="109"/>
    </row>
    <row r="5929" spans="1:15">
      <c r="A5929" s="506" t="s">
        <v>4191</v>
      </c>
      <c r="B5929" s="507"/>
      <c r="C5929" s="91">
        <v>1</v>
      </c>
      <c r="D5929" s="94">
        <f>VLOOKUP(A5929,'Mano Obra'!$B$2:$T$117,19,0)</f>
        <v>152456</v>
      </c>
      <c r="E5929" s="218">
        <f>H5891</f>
        <v>1.04E-2</v>
      </c>
      <c r="F5929" s="508">
        <f>E5929*D5929*C5929</f>
        <v>1585.5423999999998</v>
      </c>
      <c r="G5929" s="509"/>
      <c r="H5929" s="111"/>
      <c r="I5929" s="59"/>
      <c r="J5929" s="117">
        <f>((('Mano Obra'!$M$4/30)*F5929)/D5929)*G5898</f>
        <v>0</v>
      </c>
    </row>
    <row r="5930" spans="1:15">
      <c r="A5930" s="510" t="s">
        <v>4192</v>
      </c>
      <c r="B5930" s="511">
        <f>VLOOKUP(A5930,'Mano Obra'!$B$3:$D$290,2,0)</f>
        <v>1900000</v>
      </c>
      <c r="C5930" s="91">
        <v>1</v>
      </c>
      <c r="D5930" s="94">
        <f>VLOOKUP(A5930,'Mano Obra'!$B$2:$T$117,19,0)</f>
        <v>110488</v>
      </c>
      <c r="E5930" s="218">
        <f>H5891</f>
        <v>1.04E-2</v>
      </c>
      <c r="F5930" s="508">
        <f t="shared" ref="F5930:F5931" si="348">E5930*D5930*C5930</f>
        <v>1149.0752</v>
      </c>
      <c r="G5930" s="509"/>
      <c r="H5930" s="111"/>
      <c r="J5930" s="117">
        <f>((('Mano Obra'!$M$5/30)*F5930)/D5930)*G5898</f>
        <v>0</v>
      </c>
    </row>
    <row r="5931" spans="1:15">
      <c r="A5931" s="510" t="s">
        <v>4181</v>
      </c>
      <c r="B5931" s="511">
        <f>VLOOKUP(A5931,'Mano Obra'!$B$3:$D$290,2,0)</f>
        <v>1000000</v>
      </c>
      <c r="C5931" s="91">
        <v>1</v>
      </c>
      <c r="D5931" s="94">
        <f>VLOOKUP(A5931,'Mano Obra'!$B$2:$T$117,19,0)</f>
        <v>67424</v>
      </c>
      <c r="E5931" s="218">
        <f>H5891</f>
        <v>1.04E-2</v>
      </c>
      <c r="F5931" s="508">
        <f t="shared" si="348"/>
        <v>701.20960000000002</v>
      </c>
      <c r="G5931" s="509"/>
      <c r="H5931" s="110"/>
      <c r="J5931" s="117">
        <f>((('Mano Obra'!$M$6/30)*F5931)/D5931)*G5898</f>
        <v>0</v>
      </c>
    </row>
    <row r="5932" spans="1:15">
      <c r="A5932" s="512" t="s">
        <v>4100</v>
      </c>
      <c r="B5932" s="512"/>
      <c r="C5932" s="512"/>
      <c r="D5932" s="512"/>
      <c r="E5932" s="512"/>
      <c r="F5932" s="512"/>
      <c r="G5932" s="512"/>
      <c r="H5932" s="95">
        <f>SUM(F5929:F5931)</f>
        <v>3435.8271999999997</v>
      </c>
      <c r="J5932" s="117"/>
    </row>
    <row r="5933" spans="1:15">
      <c r="A5933" s="208" t="s">
        <v>4226</v>
      </c>
      <c r="B5933" s="186"/>
      <c r="C5933" s="186"/>
      <c r="D5933" s="183"/>
      <c r="E5933" s="184"/>
      <c r="F5933" s="185"/>
      <c r="G5933" s="184"/>
      <c r="H5933" s="193"/>
    </row>
    <row r="5934" spans="1:15">
      <c r="A5934" s="513" t="s">
        <v>4213</v>
      </c>
      <c r="B5934" s="514"/>
      <c r="C5934" s="514"/>
      <c r="D5934" s="514"/>
      <c r="E5934" s="181"/>
      <c r="F5934" s="182" t="s">
        <v>4227</v>
      </c>
      <c r="G5934" s="181" t="s">
        <v>4228</v>
      </c>
      <c r="H5934" s="194"/>
    </row>
    <row r="5935" spans="1:15">
      <c r="A5935" s="204" t="s">
        <v>4096</v>
      </c>
      <c r="B5935" s="62"/>
      <c r="C5935" s="62"/>
      <c r="D5935" s="63"/>
      <c r="E5935" s="68"/>
      <c r="F5935" s="69">
        <v>0</v>
      </c>
      <c r="G5935" s="70" t="e">
        <f>F5935*H5899</f>
        <v>#VALUE!</v>
      </c>
      <c r="H5935" s="193"/>
    </row>
    <row r="5936" spans="1:15">
      <c r="A5936" s="205" t="s">
        <v>4229</v>
      </c>
      <c r="B5936" s="71"/>
      <c r="C5936" s="71"/>
      <c r="D5936" s="72"/>
      <c r="E5936" s="68"/>
      <c r="F5936" s="69">
        <v>0</v>
      </c>
      <c r="G5936" s="70" t="e">
        <f>F5936*H5899</f>
        <v>#VALUE!</v>
      </c>
      <c r="H5936" s="193"/>
    </row>
    <row r="5937" spans="1:14">
      <c r="A5937" s="205" t="s">
        <v>4</v>
      </c>
      <c r="B5937" s="71"/>
      <c r="C5937" s="71"/>
      <c r="D5937" s="72"/>
      <c r="E5937" s="68"/>
      <c r="F5937" s="69">
        <v>0</v>
      </c>
      <c r="G5937" s="70" t="e">
        <f>F5937*H5899</f>
        <v>#VALUE!</v>
      </c>
      <c r="H5937" s="193"/>
    </row>
    <row r="5938" spans="1:14">
      <c r="A5938" s="206"/>
      <c r="B5938" s="73"/>
      <c r="C5938" s="65"/>
      <c r="D5938" s="74"/>
      <c r="E5938" s="75"/>
      <c r="F5938" s="76"/>
      <c r="G5938" s="77"/>
      <c r="H5938" s="195"/>
    </row>
    <row r="5939" spans="1:14">
      <c r="A5939" s="207"/>
      <c r="B5939" s="73"/>
      <c r="C5939" s="73"/>
      <c r="D5939" s="74"/>
      <c r="E5939" s="78"/>
      <c r="F5939" s="515" t="s">
        <v>4230</v>
      </c>
      <c r="G5939" s="516"/>
      <c r="H5939" s="214" t="e">
        <f>H5899+G5935+G5936+G5937</f>
        <v>#VALUE!</v>
      </c>
    </row>
    <row r="5941" spans="1:14">
      <c r="A5941" s="80"/>
      <c r="B5941" s="80"/>
      <c r="C5941" s="80"/>
      <c r="D5941" s="80"/>
      <c r="E5941" s="80"/>
      <c r="F5941" s="80"/>
      <c r="G5941" s="80"/>
      <c r="H5941" s="353"/>
    </row>
    <row r="5942" spans="1:14">
      <c r="A5942" s="537" t="s">
        <v>4214</v>
      </c>
      <c r="B5942" s="538"/>
      <c r="C5942" s="538"/>
      <c r="D5942" s="538"/>
      <c r="E5942" s="538"/>
      <c r="F5942" s="538"/>
      <c r="G5942" s="538"/>
      <c r="H5942" s="539"/>
    </row>
    <row r="5943" spans="1:14">
      <c r="A5943" s="81"/>
      <c r="B5943" s="82"/>
      <c r="C5943" s="82"/>
      <c r="D5943" s="82"/>
      <c r="E5943" s="82"/>
      <c r="F5943" s="83"/>
      <c r="G5943" s="84"/>
      <c r="H5943" s="352">
        <f>ROUND((5/60)/8,4)</f>
        <v>1.04E-2</v>
      </c>
      <c r="I5943" s="105"/>
    </row>
    <row r="5944" spans="1:14">
      <c r="A5944" s="540" t="s">
        <v>4209</v>
      </c>
      <c r="B5944" s="542" t="str">
        <f>COSTOS!$C$14</f>
        <v>MODERNIZACION A TECNOLOGIA LED</v>
      </c>
      <c r="C5944" s="542"/>
      <c r="D5944" s="542"/>
      <c r="E5944" s="542"/>
      <c r="F5944" s="542"/>
      <c r="G5944" s="542"/>
      <c r="H5944" s="543" t="s">
        <v>4210</v>
      </c>
    </row>
    <row r="5945" spans="1:14">
      <c r="A5945" s="541"/>
      <c r="B5945" s="542"/>
      <c r="C5945" s="542"/>
      <c r="D5945" s="542"/>
      <c r="E5945" s="542"/>
      <c r="F5945" s="542"/>
      <c r="G5945" s="542"/>
      <c r="H5945" s="543"/>
    </row>
    <row r="5946" spans="1:14">
      <c r="A5946" s="541"/>
      <c r="B5946" s="542"/>
      <c r="C5946" s="542"/>
      <c r="D5946" s="542"/>
      <c r="E5946" s="542"/>
      <c r="F5946" s="542"/>
      <c r="G5946" s="542"/>
      <c r="H5946" s="543"/>
    </row>
    <row r="5947" spans="1:14" ht="15" customHeight="1">
      <c r="A5947" s="541"/>
      <c r="B5947" s="542"/>
      <c r="C5947" s="542"/>
      <c r="D5947" s="542"/>
      <c r="E5947" s="542"/>
      <c r="F5947" s="542"/>
      <c r="G5947" s="542"/>
      <c r="H5947" s="197">
        <f ca="1">TODAY()</f>
        <v>44889</v>
      </c>
      <c r="K5947" t="s">
        <v>4380</v>
      </c>
      <c r="L5947" t="s">
        <v>4381</v>
      </c>
      <c r="M5947" t="s">
        <v>4382</v>
      </c>
      <c r="N5947" t="s">
        <v>4383</v>
      </c>
    </row>
    <row r="5948" spans="1:14" ht="60.75" customHeight="1">
      <c r="A5948" s="209" t="s">
        <v>4211</v>
      </c>
      <c r="B5948" s="544" t="str">
        <f>COSTOS!$D$16</f>
        <v>Luminarias</v>
      </c>
      <c r="C5948" s="544"/>
      <c r="D5948" s="544"/>
      <c r="E5948" s="544"/>
      <c r="F5948" s="544"/>
      <c r="G5948" s="60" t="s">
        <v>4212</v>
      </c>
      <c r="H5948" s="359">
        <v>3.6</v>
      </c>
      <c r="K5948" s="55" t="e">
        <f>H5974</f>
        <v>#VALUE!</v>
      </c>
      <c r="L5948" s="55">
        <f>H5984</f>
        <v>3435.8271999999997</v>
      </c>
      <c r="M5948" s="55" t="e">
        <f>H5957</f>
        <v>#VALUE!</v>
      </c>
      <c r="N5948" s="55" t="e">
        <f>H5978</f>
        <v>#VALUE!</v>
      </c>
    </row>
    <row r="5949" spans="1:14" ht="43.2" customHeight="1">
      <c r="A5949" s="210" t="s">
        <v>4213</v>
      </c>
      <c r="B5949" s="545" t="str">
        <f>VLOOKUP(H5948,COSTOS!C:M,2,0)</f>
        <v>Red Aerea 2x4+4 AWG AL x 500m</v>
      </c>
      <c r="C5949" s="546"/>
      <c r="D5949" s="546"/>
      <c r="E5949" s="547"/>
      <c r="F5949" s="61" t="s">
        <v>0</v>
      </c>
      <c r="G5949" s="328" t="str">
        <f>VLOOKUP(H5948,COSTOS!C:M,8,0)</f>
        <v>Und</v>
      </c>
      <c r="H5949" s="248"/>
      <c r="I5949" s="278"/>
      <c r="J5949" s="280"/>
      <c r="K5949" s="280"/>
      <c r="L5949" s="280"/>
    </row>
    <row r="5950" spans="1:14">
      <c r="A5950" s="211"/>
      <c r="B5950" s="102"/>
      <c r="C5950" s="102"/>
      <c r="D5950" s="102"/>
      <c r="E5950" s="103"/>
      <c r="F5950" s="104" t="s">
        <v>1</v>
      </c>
      <c r="G5950" s="328">
        <f>VLOOKUP(H5948,COSTOS!C:M,9,0)</f>
        <v>0</v>
      </c>
      <c r="H5950" s="329"/>
      <c r="I5950" s="279"/>
    </row>
    <row r="5951" spans="1:14">
      <c r="A5951" s="212" t="s">
        <v>4215</v>
      </c>
      <c r="B5951" s="65"/>
      <c r="C5951" s="65"/>
      <c r="D5951" s="66"/>
      <c r="E5951" s="190"/>
      <c r="F5951" s="191"/>
      <c r="G5951" s="192" t="s">
        <v>4216</v>
      </c>
      <c r="H5951" s="198" t="e">
        <f>H5957+H5974+H5978+H5984</f>
        <v>#VALUE!</v>
      </c>
    </row>
    <row r="5952" spans="1:14" ht="41.4">
      <c r="A5952" s="548" t="s">
        <v>4213</v>
      </c>
      <c r="B5952" s="548"/>
      <c r="C5952" s="548"/>
      <c r="D5952" s="67" t="s">
        <v>0</v>
      </c>
      <c r="E5952" s="188" t="s">
        <v>4217</v>
      </c>
      <c r="F5952" s="189" t="s">
        <v>4204</v>
      </c>
      <c r="G5952" s="64" t="s">
        <v>2</v>
      </c>
      <c r="H5952" s="199" t="s">
        <v>4218</v>
      </c>
      <c r="K5952" s="281"/>
    </row>
    <row r="5953" spans="1:15">
      <c r="A5953" s="517" t="s">
        <v>3946</v>
      </c>
      <c r="B5953" s="549">
        <f>VLOOKUP(A5953,'Equip, Herr y Transp'!$B$2:$E$738,2,0)</f>
        <v>2</v>
      </c>
      <c r="C5953" s="549"/>
      <c r="D5953" s="85">
        <f>VLOOKUP(A5953,'Equip, Herr y Transp'!$B$2:$E$217,2,0)</f>
        <v>2</v>
      </c>
      <c r="E5953" s="85" t="str">
        <f>VLOOKUP(A5953,'Equip, Herr y Transp'!$B$2:$E$217,3,0)</f>
        <v>EQU</v>
      </c>
      <c r="F5953" s="86">
        <f>H5943</f>
        <v>1.04E-2</v>
      </c>
      <c r="G5953" s="112" t="e">
        <f>F5953*E5953</f>
        <v>#VALUE!</v>
      </c>
      <c r="H5953" s="108"/>
    </row>
    <row r="5954" spans="1:15">
      <c r="A5954" s="517" t="s">
        <v>3904</v>
      </c>
      <c r="B5954" s="549">
        <f>VLOOKUP(A5954,'Equip, Herr y Transp'!$B$2:$E$738,2,0)</f>
        <v>2</v>
      </c>
      <c r="C5954" s="549"/>
      <c r="D5954" s="85">
        <f>VLOOKUP(A5954,'Equip, Herr y Transp'!$B$2:$E$217,2,0)</f>
        <v>2</v>
      </c>
      <c r="E5954" s="85" t="str">
        <f>VLOOKUP(A5954,'Equip, Herr y Transp'!$B$2:$E$217,3,0)</f>
        <v>EQU</v>
      </c>
      <c r="F5954" s="86">
        <f>H5943</f>
        <v>1.04E-2</v>
      </c>
      <c r="G5954" s="112" t="e">
        <f>F5954*E5954</f>
        <v>#VALUE!</v>
      </c>
      <c r="H5954" s="107"/>
    </row>
    <row r="5955" spans="1:15">
      <c r="A5955" s="517" t="s">
        <v>8</v>
      </c>
      <c r="B5955" s="549" t="e">
        <f>VLOOKUP(A5955,'Equip, Herr y Transp'!$B$2:$E$738,2,0)</f>
        <v>#N/A</v>
      </c>
      <c r="C5955" s="549"/>
      <c r="D5955" s="85" t="e">
        <f>VLOOKUP(A5955,'Equip, Herr y Transp'!$B$2:$E$217,2,0)</f>
        <v>#N/A</v>
      </c>
      <c r="E5955" s="85" t="e">
        <f>VLOOKUP(A5955,'Equip, Herr y Transp'!$B$2:$E$217,3,0)</f>
        <v>#N/A</v>
      </c>
      <c r="F5955" s="86">
        <f>H5943</f>
        <v>1.04E-2</v>
      </c>
      <c r="G5955" s="112" t="e">
        <f>F5955*E5955</f>
        <v>#N/A</v>
      </c>
      <c r="H5955" s="107"/>
    </row>
    <row r="5956" spans="1:15">
      <c r="A5956" s="517" t="s">
        <v>8</v>
      </c>
      <c r="B5956" s="549" t="e">
        <f>VLOOKUP(A5956,'Equip, Herr y Transp'!$B$2:$E$738,2,0)</f>
        <v>#N/A</v>
      </c>
      <c r="C5956" s="549"/>
      <c r="D5956" s="85" t="e">
        <f>VLOOKUP(A5956,'Equip, Herr y Transp'!$B$2:$E$217,2,0)</f>
        <v>#N/A</v>
      </c>
      <c r="E5956" s="85" t="e">
        <f>VLOOKUP(A5956,'Equip, Herr y Transp'!$B$2:$E$217,3,0)</f>
        <v>#N/A</v>
      </c>
      <c r="F5956" s="86">
        <f>H5943</f>
        <v>1.04E-2</v>
      </c>
      <c r="G5956" s="112" t="e">
        <f>F5956*E5956</f>
        <v>#N/A</v>
      </c>
      <c r="H5956" s="107"/>
    </row>
    <row r="5957" spans="1:15">
      <c r="A5957" s="520" t="s">
        <v>4099</v>
      </c>
      <c r="B5957" s="521"/>
      <c r="C5957" s="521"/>
      <c r="D5957" s="521"/>
      <c r="E5957" s="521"/>
      <c r="F5957" s="521"/>
      <c r="G5957" s="521"/>
      <c r="H5957" s="87" t="e">
        <f>SUM(G5953:G5956)</f>
        <v>#VALUE!</v>
      </c>
    </row>
    <row r="5958" spans="1:15">
      <c r="A5958" s="550" t="s">
        <v>4219</v>
      </c>
      <c r="B5958" s="551"/>
      <c r="C5958" s="551"/>
      <c r="D5958" s="551"/>
      <c r="E5958" s="551"/>
      <c r="F5958" s="551"/>
      <c r="G5958" s="551"/>
      <c r="H5958" s="552"/>
      <c r="K5958" s="50"/>
      <c r="L5958" s="50"/>
      <c r="M5958" s="50"/>
      <c r="N5958" s="50"/>
      <c r="O5958" s="50"/>
    </row>
    <row r="5959" spans="1:15" ht="30" customHeight="1">
      <c r="A5959" s="553" t="s">
        <v>7</v>
      </c>
      <c r="B5959" s="554"/>
      <c r="C5959" s="99" t="s">
        <v>0</v>
      </c>
      <c r="D5959" s="100" t="s">
        <v>4097</v>
      </c>
      <c r="E5959" s="101" t="s">
        <v>1</v>
      </c>
      <c r="F5959" s="555" t="s">
        <v>4207</v>
      </c>
      <c r="G5959" s="555"/>
      <c r="H5959" s="196"/>
      <c r="K5959" s="50"/>
      <c r="L5959" s="50"/>
      <c r="M5959" s="50"/>
      <c r="N5959" s="50"/>
      <c r="O5959" s="50"/>
    </row>
    <row r="5960" spans="1:15">
      <c r="A5960" s="535" t="s">
        <v>4444</v>
      </c>
      <c r="B5960" s="536"/>
      <c r="C5960" s="88">
        <f>VLOOKUP(A5960,'Materiales '!$C$2:$G$396,3,0)</f>
        <v>2</v>
      </c>
      <c r="D5960" s="89" t="str">
        <f>VLOOKUP(A5960,'Materiales '!$C$2:$G$396,4,0)</f>
        <v>Ml</v>
      </c>
      <c r="E5960" s="90">
        <v>1</v>
      </c>
      <c r="F5960" s="508" t="e">
        <f>E5960*D5960</f>
        <v>#VALUE!</v>
      </c>
      <c r="G5960" s="519"/>
      <c r="H5960" s="111"/>
      <c r="I5960">
        <f>E5960*G5950</f>
        <v>0</v>
      </c>
      <c r="J5960" s="57"/>
      <c r="K5960" s="50"/>
      <c r="L5960" s="50"/>
      <c r="M5960" s="50"/>
      <c r="N5960" s="50"/>
      <c r="O5960" s="50"/>
    </row>
    <row r="5961" spans="1:15">
      <c r="A5961" s="535" t="s">
        <v>8</v>
      </c>
      <c r="B5961" s="536"/>
      <c r="C5961" s="88">
        <f>VLOOKUP(A5961,'Materiales '!$C$2:$G$396,3,0)</f>
        <v>0</v>
      </c>
      <c r="D5961" s="89" t="str">
        <f>VLOOKUP(A5961,'Materiales '!$C$2:$G$396,4,0)</f>
        <v>-</v>
      </c>
      <c r="E5961" s="90"/>
      <c r="F5961" s="508" t="e">
        <f t="shared" ref="F5961:F5967" si="349">E5961*D5961</f>
        <v>#VALUE!</v>
      </c>
      <c r="G5961" s="519"/>
      <c r="H5961" s="111"/>
      <c r="I5961">
        <f>E5961*G5950</f>
        <v>0</v>
      </c>
      <c r="J5961" s="57"/>
      <c r="K5961" s="50"/>
      <c r="L5961" s="50"/>
      <c r="M5961" s="50"/>
      <c r="N5961" s="50"/>
      <c r="O5961" s="50"/>
    </row>
    <row r="5962" spans="1:15">
      <c r="A5962" s="517" t="s">
        <v>8</v>
      </c>
      <c r="B5962" s="518">
        <f>VLOOKUP(A5962,'Materiales '!$C$2:$G$396,3,0)</f>
        <v>0</v>
      </c>
      <c r="C5962" s="88">
        <f>VLOOKUP(A5962,'Materiales '!$C$2:$G$396,3,0)</f>
        <v>0</v>
      </c>
      <c r="D5962" s="89" t="str">
        <f>VLOOKUP(A5962,'Materiales '!$C$2:$G$396,4,0)</f>
        <v>-</v>
      </c>
      <c r="E5962" s="90"/>
      <c r="F5962" s="508" t="e">
        <f t="shared" si="349"/>
        <v>#VALUE!</v>
      </c>
      <c r="G5962" s="519"/>
      <c r="H5962" s="111"/>
      <c r="I5962">
        <f>E5962*G5950</f>
        <v>0</v>
      </c>
      <c r="J5962" s="58"/>
      <c r="K5962" s="50"/>
      <c r="L5962" s="50"/>
      <c r="M5962" s="50"/>
      <c r="N5962" s="50"/>
      <c r="O5962" s="50"/>
    </row>
    <row r="5963" spans="1:15">
      <c r="A5963" s="517" t="s">
        <v>8</v>
      </c>
      <c r="B5963" s="518">
        <f>VLOOKUP(A5963,'Materiales '!$C$2:$G$396,3,0)</f>
        <v>0</v>
      </c>
      <c r="C5963" s="88">
        <f>VLOOKUP(A5963,'Materiales '!$C$2:$G$396,3,0)</f>
        <v>0</v>
      </c>
      <c r="D5963" s="89" t="str">
        <f>VLOOKUP(A5963,'Materiales '!$C$2:$G$396,4,0)</f>
        <v>-</v>
      </c>
      <c r="E5963" s="90"/>
      <c r="F5963" s="508" t="e">
        <f t="shared" si="349"/>
        <v>#VALUE!</v>
      </c>
      <c r="G5963" s="519"/>
      <c r="H5963" s="111"/>
      <c r="I5963">
        <f>E5963*G5950</f>
        <v>0</v>
      </c>
      <c r="J5963" s="58"/>
      <c r="K5963" s="50"/>
      <c r="L5963" s="50"/>
      <c r="M5963" s="50"/>
      <c r="N5963" s="50"/>
      <c r="O5963" s="50"/>
    </row>
    <row r="5964" spans="1:15">
      <c r="A5964" s="517" t="s">
        <v>8</v>
      </c>
      <c r="B5964" s="518">
        <f>VLOOKUP(A5964,'Materiales '!$C$2:$G$396,3,0)</f>
        <v>0</v>
      </c>
      <c r="C5964" s="88">
        <f>VLOOKUP(A5964,'Materiales '!$C$2:$G$396,3,0)</f>
        <v>0</v>
      </c>
      <c r="D5964" s="89" t="str">
        <f>VLOOKUP(A5964,'Materiales '!$C$2:$G$396,4,0)</f>
        <v>-</v>
      </c>
      <c r="E5964" s="90"/>
      <c r="F5964" s="508" t="e">
        <f t="shared" si="349"/>
        <v>#VALUE!</v>
      </c>
      <c r="G5964" s="519"/>
      <c r="H5964" s="111"/>
      <c r="I5964">
        <f>E5964*G5950</f>
        <v>0</v>
      </c>
      <c r="J5964" s="58"/>
      <c r="K5964" s="50"/>
      <c r="L5964" s="50"/>
      <c r="M5964" s="50"/>
      <c r="N5964" s="50"/>
      <c r="O5964" s="50"/>
    </row>
    <row r="5965" spans="1:15">
      <c r="A5965" s="517" t="s">
        <v>8</v>
      </c>
      <c r="B5965" s="518">
        <f>VLOOKUP(A5965,'Materiales '!$C$2:$G$396,3,0)</f>
        <v>0</v>
      </c>
      <c r="C5965" s="88">
        <f>VLOOKUP(A5965,'Materiales '!$C$2:$G$396,3,0)</f>
        <v>0</v>
      </c>
      <c r="D5965" s="89" t="str">
        <f>VLOOKUP(A5965,'Materiales '!$C$2:$G$396,4,0)</f>
        <v>-</v>
      </c>
      <c r="E5965" s="90"/>
      <c r="F5965" s="508" t="e">
        <f t="shared" si="349"/>
        <v>#VALUE!</v>
      </c>
      <c r="G5965" s="519"/>
      <c r="H5965" s="111"/>
      <c r="I5965">
        <f>E5965*G5950</f>
        <v>0</v>
      </c>
      <c r="J5965" s="58"/>
      <c r="K5965" s="50"/>
      <c r="L5965" s="50"/>
      <c r="M5965" s="50"/>
      <c r="N5965" s="50"/>
      <c r="O5965" s="50"/>
    </row>
    <row r="5966" spans="1:15">
      <c r="A5966" s="517" t="s">
        <v>8</v>
      </c>
      <c r="B5966" s="518">
        <f>VLOOKUP(A5966,'Materiales '!$C$2:$G$396,3,0)</f>
        <v>0</v>
      </c>
      <c r="C5966" s="88">
        <f>VLOOKUP(A5966,'Materiales '!$C$2:$G$396,3,0)</f>
        <v>0</v>
      </c>
      <c r="D5966" s="89" t="str">
        <f>VLOOKUP(A5966,'Materiales '!$C$2:$G$396,4,0)</f>
        <v>-</v>
      </c>
      <c r="E5966" s="90"/>
      <c r="F5966" s="508" t="e">
        <f t="shared" si="349"/>
        <v>#VALUE!</v>
      </c>
      <c r="G5966" s="519"/>
      <c r="H5966" s="111"/>
      <c r="I5966">
        <f>E5966*G5950</f>
        <v>0</v>
      </c>
      <c r="J5966" s="58"/>
      <c r="K5966" s="50"/>
      <c r="L5966" s="50"/>
      <c r="M5966" s="50"/>
      <c r="N5966" s="50"/>
      <c r="O5966" s="50"/>
    </row>
    <row r="5967" spans="1:15" ht="21.75" customHeight="1">
      <c r="A5967" s="517" t="s">
        <v>8</v>
      </c>
      <c r="B5967" s="518">
        <f>VLOOKUP(A5967,'Materiales '!$C$2:$G$396,3,0)</f>
        <v>0</v>
      </c>
      <c r="C5967" s="88">
        <f>VLOOKUP(A5967,'Materiales '!$C$2:$G$396,3,0)</f>
        <v>0</v>
      </c>
      <c r="D5967" s="89" t="str">
        <f>VLOOKUP(A5967,'Materiales '!$C$2:$G$396,4,0)</f>
        <v>-</v>
      </c>
      <c r="E5967" s="90"/>
      <c r="F5967" s="508" t="e">
        <f t="shared" si="349"/>
        <v>#VALUE!</v>
      </c>
      <c r="G5967" s="519"/>
      <c r="H5967" s="111"/>
      <c r="I5967">
        <f>E5967*G5950</f>
        <v>0</v>
      </c>
      <c r="J5967" s="58"/>
      <c r="K5967" s="50"/>
      <c r="L5967" s="50"/>
      <c r="M5967" s="50"/>
      <c r="N5967" s="50"/>
      <c r="O5967" s="50"/>
    </row>
    <row r="5968" spans="1:15">
      <c r="A5968" s="517" t="s">
        <v>8</v>
      </c>
      <c r="B5968" s="518">
        <f>VLOOKUP(A5968,'Materiales '!$C$2:$G$396,3,0)</f>
        <v>0</v>
      </c>
      <c r="C5968" s="88">
        <f>VLOOKUP(A5968,'Materiales '!$C$2:$G$396,3,0)</f>
        <v>0</v>
      </c>
      <c r="D5968" s="89" t="str">
        <f>VLOOKUP(A5968,'Materiales '!$C$2:$G$396,4,0)</f>
        <v>-</v>
      </c>
      <c r="E5968" s="90"/>
      <c r="F5968" s="508" t="e">
        <f>E5968*D5968</f>
        <v>#VALUE!</v>
      </c>
      <c r="G5968" s="519"/>
      <c r="H5968" s="110"/>
      <c r="I5968">
        <f>E5968*G5950</f>
        <v>0</v>
      </c>
      <c r="J5968" s="58"/>
      <c r="K5968" s="50"/>
      <c r="L5968" s="50"/>
      <c r="M5968" s="50"/>
      <c r="N5968" s="50"/>
      <c r="O5968" s="50"/>
    </row>
    <row r="5969" spans="1:15">
      <c r="A5969" s="517" t="s">
        <v>8</v>
      </c>
      <c r="B5969" s="518">
        <f>VLOOKUP(A5969,'Materiales '!$C$2:$G$396,3,0)</f>
        <v>0</v>
      </c>
      <c r="C5969" s="88">
        <f>VLOOKUP(A5969,'Materiales '!$C$2:$G$396,3,0)</f>
        <v>0</v>
      </c>
      <c r="D5969" s="89" t="str">
        <f>VLOOKUP(A5969,'Materiales '!$C$2:$G$396,4,0)</f>
        <v>-</v>
      </c>
      <c r="E5969" s="90"/>
      <c r="F5969" s="508" t="e">
        <f t="shared" ref="F5969:F5972" si="350">E5969*D5969</f>
        <v>#VALUE!</v>
      </c>
      <c r="G5969" s="519"/>
      <c r="H5969" s="111"/>
      <c r="I5969">
        <f>E5969*G5950</f>
        <v>0</v>
      </c>
      <c r="J5969" s="58"/>
      <c r="K5969" s="50"/>
      <c r="L5969" s="50"/>
      <c r="M5969" s="50"/>
      <c r="N5969" s="50"/>
      <c r="O5969" s="50"/>
    </row>
    <row r="5970" spans="1:15">
      <c r="A5970" s="517" t="s">
        <v>8</v>
      </c>
      <c r="B5970" s="518">
        <f>VLOOKUP(A5970,'Materiales '!$C$2:$G$396,3,0)</f>
        <v>0</v>
      </c>
      <c r="C5970" s="88">
        <f>VLOOKUP(A5970,'Materiales '!$C$2:$G$396,3,0)</f>
        <v>0</v>
      </c>
      <c r="D5970" s="89" t="str">
        <f>VLOOKUP(A5970,'Materiales '!$C$2:$G$396,4,0)</f>
        <v>-</v>
      </c>
      <c r="E5970" s="90"/>
      <c r="F5970" s="508" t="e">
        <f t="shared" si="350"/>
        <v>#VALUE!</v>
      </c>
      <c r="G5970" s="519"/>
      <c r="H5970" s="111"/>
      <c r="I5970">
        <f>E5970*G5950</f>
        <v>0</v>
      </c>
      <c r="J5970" s="58"/>
      <c r="K5970" s="50"/>
      <c r="L5970" s="50"/>
      <c r="M5970" s="50"/>
      <c r="N5970" s="50"/>
      <c r="O5970" s="50"/>
    </row>
    <row r="5971" spans="1:15">
      <c r="A5971" s="517" t="s">
        <v>8</v>
      </c>
      <c r="B5971" s="518">
        <f>VLOOKUP(A5971,'Materiales '!$C$2:$G$396,3,0)</f>
        <v>0</v>
      </c>
      <c r="C5971" s="88">
        <f>VLOOKUP(A5971,'Materiales '!$C$2:$G$396,3,0)</f>
        <v>0</v>
      </c>
      <c r="D5971" s="89" t="str">
        <f>VLOOKUP(A5971,'Materiales '!$C$2:$G$396,4,0)</f>
        <v>-</v>
      </c>
      <c r="E5971" s="90"/>
      <c r="F5971" s="508" t="e">
        <f t="shared" si="350"/>
        <v>#VALUE!</v>
      </c>
      <c r="G5971" s="519"/>
      <c r="H5971" s="111"/>
      <c r="I5971">
        <f>E5971*G5950</f>
        <v>0</v>
      </c>
      <c r="J5971" s="58"/>
      <c r="K5971" s="50"/>
      <c r="L5971" s="50"/>
      <c r="M5971" s="50"/>
      <c r="N5971" s="50"/>
      <c r="O5971" s="50"/>
    </row>
    <row r="5972" spans="1:15">
      <c r="A5972" s="517" t="s">
        <v>8</v>
      </c>
      <c r="B5972" s="518">
        <f>VLOOKUP(A5972,'Materiales '!$C$2:$G$396,3,0)</f>
        <v>0</v>
      </c>
      <c r="C5972" s="88">
        <f>VLOOKUP(A5972,'Materiales '!$C$2:$G$396,3,0)</f>
        <v>0</v>
      </c>
      <c r="D5972" s="89" t="str">
        <f>VLOOKUP(A5972,'Materiales '!$C$2:$G$396,4,0)</f>
        <v>-</v>
      </c>
      <c r="E5972" s="90"/>
      <c r="F5972" s="508" t="e">
        <f t="shared" si="350"/>
        <v>#VALUE!</v>
      </c>
      <c r="G5972" s="519"/>
      <c r="H5972" s="111"/>
      <c r="I5972">
        <f>E5972*G5950</f>
        <v>0</v>
      </c>
      <c r="J5972" s="58"/>
      <c r="K5972" s="50"/>
      <c r="L5972" s="50"/>
      <c r="M5972" s="50"/>
      <c r="N5972" s="50"/>
      <c r="O5972" s="50"/>
    </row>
    <row r="5973" spans="1:15">
      <c r="A5973" s="517" t="s">
        <v>8</v>
      </c>
      <c r="B5973" s="518">
        <f>VLOOKUP(A5973,'Materiales '!$C$2:$G$396,3,0)</f>
        <v>0</v>
      </c>
      <c r="C5973" s="88">
        <f>VLOOKUP(A5973,'Materiales '!$C$2:$G$396,3,0)</f>
        <v>0</v>
      </c>
      <c r="D5973" s="89" t="str">
        <f>VLOOKUP(A5973,'Materiales '!$C$2:$G$396,4,0)</f>
        <v>-</v>
      </c>
      <c r="E5973" s="90"/>
      <c r="F5973" s="508" t="e">
        <f>E5973*D5973</f>
        <v>#VALUE!</v>
      </c>
      <c r="G5973" s="519"/>
      <c r="H5973" s="110"/>
      <c r="I5973">
        <f>E5973*G5950</f>
        <v>0</v>
      </c>
      <c r="J5973" s="58"/>
      <c r="K5973" s="50"/>
      <c r="L5973" s="50"/>
      <c r="M5973" s="50"/>
      <c r="N5973" s="50"/>
      <c r="O5973" s="50"/>
    </row>
    <row r="5974" spans="1:15">
      <c r="A5974" s="520" t="s">
        <v>4098</v>
      </c>
      <c r="B5974" s="521"/>
      <c r="C5974" s="521"/>
      <c r="D5974" s="521"/>
      <c r="E5974" s="521"/>
      <c r="F5974" s="521"/>
      <c r="G5974" s="522"/>
      <c r="H5974" s="106" t="e">
        <f>SUM(F5960:F5973)</f>
        <v>#VALUE!</v>
      </c>
      <c r="J5974" s="58"/>
      <c r="K5974" s="50"/>
      <c r="L5974" s="50"/>
      <c r="M5974" s="50"/>
      <c r="N5974" s="50"/>
      <c r="O5974" s="50"/>
    </row>
    <row r="5975" spans="1:15">
      <c r="A5975" s="523" t="s">
        <v>4220</v>
      </c>
      <c r="B5975" s="524"/>
      <c r="C5975" s="524"/>
      <c r="D5975" s="524"/>
      <c r="E5975" s="525"/>
      <c r="F5975" s="524"/>
      <c r="G5975" s="524"/>
      <c r="H5975" s="526"/>
      <c r="J5975" s="58"/>
      <c r="K5975" s="50"/>
      <c r="L5975" s="50"/>
      <c r="M5975" s="50"/>
      <c r="N5975" s="50"/>
      <c r="O5975" s="50"/>
    </row>
    <row r="5976" spans="1:15">
      <c r="A5976" s="527" t="s">
        <v>7</v>
      </c>
      <c r="B5976" s="528"/>
      <c r="C5976" s="98" t="s">
        <v>4221</v>
      </c>
      <c r="D5976" s="97" t="s">
        <v>4222</v>
      </c>
      <c r="E5976" s="187" t="s">
        <v>4223</v>
      </c>
      <c r="F5976" s="529" t="s">
        <v>4207</v>
      </c>
      <c r="G5976" s="529"/>
      <c r="H5976" s="109"/>
      <c r="K5976" s="50"/>
      <c r="L5976" s="50"/>
      <c r="M5976" s="50"/>
      <c r="N5976" s="50"/>
      <c r="O5976" s="50"/>
    </row>
    <row r="5977" spans="1:15">
      <c r="A5977" s="506" t="s">
        <v>3928</v>
      </c>
      <c r="B5977" s="507"/>
      <c r="C5977" s="213">
        <v>1</v>
      </c>
      <c r="D5977" s="92">
        <v>5.0000000000000001E-3</v>
      </c>
      <c r="E5977" s="93" t="str">
        <f>VLOOKUP(A5977,'Equip, Herr y Transp'!$B$2:$E$217,3,0)</f>
        <v>TR</v>
      </c>
      <c r="F5977" s="530" t="e">
        <f>E5977*D5977*C5977</f>
        <v>#VALUE!</v>
      </c>
      <c r="G5977" s="531"/>
      <c r="H5977" s="107"/>
      <c r="M5977" s="50"/>
    </row>
    <row r="5978" spans="1:15">
      <c r="A5978" s="532" t="s">
        <v>4205</v>
      </c>
      <c r="B5978" s="533"/>
      <c r="C5978" s="533"/>
      <c r="D5978" s="533"/>
      <c r="E5978" s="533"/>
      <c r="F5978" s="533"/>
      <c r="G5978" s="533"/>
      <c r="H5978" s="95" t="e">
        <f>F5977</f>
        <v>#VALUE!</v>
      </c>
    </row>
    <row r="5979" spans="1:15">
      <c r="A5979" s="523" t="s">
        <v>4224</v>
      </c>
      <c r="B5979" s="524"/>
      <c r="C5979" s="524"/>
      <c r="D5979" s="524"/>
      <c r="E5979" s="524"/>
      <c r="F5979" s="524"/>
      <c r="G5979" s="524"/>
      <c r="H5979" s="526"/>
    </row>
    <row r="5980" spans="1:15">
      <c r="A5980" s="527" t="s">
        <v>7</v>
      </c>
      <c r="B5980" s="528"/>
      <c r="C5980" s="96" t="s">
        <v>1</v>
      </c>
      <c r="D5980" s="97" t="s">
        <v>4225</v>
      </c>
      <c r="E5980" s="98" t="s">
        <v>4204</v>
      </c>
      <c r="F5980" s="527" t="s">
        <v>5</v>
      </c>
      <c r="G5980" s="534"/>
      <c r="H5980" s="109"/>
    </row>
    <row r="5981" spans="1:15">
      <c r="A5981" s="506" t="s">
        <v>4191</v>
      </c>
      <c r="B5981" s="507"/>
      <c r="C5981" s="91">
        <v>1</v>
      </c>
      <c r="D5981" s="94">
        <f>VLOOKUP(A5981,'Mano Obra'!$B$2:$T$117,19,0)</f>
        <v>152456</v>
      </c>
      <c r="E5981" s="218">
        <f>H5943</f>
        <v>1.04E-2</v>
      </c>
      <c r="F5981" s="508">
        <f>E5981*D5981*C5981</f>
        <v>1585.5423999999998</v>
      </c>
      <c r="G5981" s="509"/>
      <c r="H5981" s="111"/>
      <c r="I5981" s="59"/>
      <c r="J5981" s="117">
        <f>((('Mano Obra'!$M$4/30)*F5981)/D5981)*G5950</f>
        <v>0</v>
      </c>
    </row>
    <row r="5982" spans="1:15">
      <c r="A5982" s="510" t="s">
        <v>4192</v>
      </c>
      <c r="B5982" s="511">
        <f>VLOOKUP(A5982,'Mano Obra'!$B$3:$D$290,2,0)</f>
        <v>1900000</v>
      </c>
      <c r="C5982" s="91">
        <v>1</v>
      </c>
      <c r="D5982" s="94">
        <f>VLOOKUP(A5982,'Mano Obra'!$B$2:$T$117,19,0)</f>
        <v>110488</v>
      </c>
      <c r="E5982" s="218">
        <f>H5943</f>
        <v>1.04E-2</v>
      </c>
      <c r="F5982" s="508">
        <f t="shared" ref="F5982:F5983" si="351">E5982*D5982*C5982</f>
        <v>1149.0752</v>
      </c>
      <c r="G5982" s="509"/>
      <c r="H5982" s="111"/>
      <c r="J5982" s="117">
        <f>((('Mano Obra'!$M$5/30)*F5982)/D5982)*G5950</f>
        <v>0</v>
      </c>
    </row>
    <row r="5983" spans="1:15">
      <c r="A5983" s="510" t="s">
        <v>4181</v>
      </c>
      <c r="B5983" s="511">
        <f>VLOOKUP(A5983,'Mano Obra'!$B$3:$D$290,2,0)</f>
        <v>1000000</v>
      </c>
      <c r="C5983" s="91">
        <v>1</v>
      </c>
      <c r="D5983" s="94">
        <f>VLOOKUP(A5983,'Mano Obra'!$B$2:$T$117,19,0)</f>
        <v>67424</v>
      </c>
      <c r="E5983" s="218">
        <f>H5943</f>
        <v>1.04E-2</v>
      </c>
      <c r="F5983" s="508">
        <f t="shared" si="351"/>
        <v>701.20960000000002</v>
      </c>
      <c r="G5983" s="509"/>
      <c r="H5983" s="110"/>
      <c r="J5983" s="117">
        <f>((('Mano Obra'!$M$6/30)*F5983)/D5983)*G5950</f>
        <v>0</v>
      </c>
    </row>
    <row r="5984" spans="1:15">
      <c r="A5984" s="512" t="s">
        <v>4100</v>
      </c>
      <c r="B5984" s="512"/>
      <c r="C5984" s="512"/>
      <c r="D5984" s="512"/>
      <c r="E5984" s="512"/>
      <c r="F5984" s="512"/>
      <c r="G5984" s="512"/>
      <c r="H5984" s="95">
        <f>SUM(F5981:F5983)</f>
        <v>3435.8271999999997</v>
      </c>
      <c r="J5984" s="117"/>
    </row>
    <row r="5985" spans="1:14">
      <c r="A5985" s="208" t="s">
        <v>4226</v>
      </c>
      <c r="B5985" s="186"/>
      <c r="C5985" s="186"/>
      <c r="D5985" s="183"/>
      <c r="E5985" s="184"/>
      <c r="F5985" s="185"/>
      <c r="G5985" s="184"/>
      <c r="H5985" s="193"/>
    </row>
    <row r="5986" spans="1:14">
      <c r="A5986" s="513" t="s">
        <v>4213</v>
      </c>
      <c r="B5986" s="514"/>
      <c r="C5986" s="514"/>
      <c r="D5986" s="514"/>
      <c r="E5986" s="181"/>
      <c r="F5986" s="182" t="s">
        <v>4227</v>
      </c>
      <c r="G5986" s="181" t="s">
        <v>4228</v>
      </c>
      <c r="H5986" s="194"/>
    </row>
    <row r="5987" spans="1:14">
      <c r="A5987" s="204" t="s">
        <v>4096</v>
      </c>
      <c r="B5987" s="62"/>
      <c r="C5987" s="62"/>
      <c r="D5987" s="63"/>
      <c r="E5987" s="68"/>
      <c r="F5987" s="69">
        <v>0</v>
      </c>
      <c r="G5987" s="70" t="e">
        <f>F5987*H5951</f>
        <v>#VALUE!</v>
      </c>
      <c r="H5987" s="193"/>
    </row>
    <row r="5988" spans="1:14">
      <c r="A5988" s="205" t="s">
        <v>4229</v>
      </c>
      <c r="B5988" s="71"/>
      <c r="C5988" s="71"/>
      <c r="D5988" s="72"/>
      <c r="E5988" s="68"/>
      <c r="F5988" s="69">
        <v>0</v>
      </c>
      <c r="G5988" s="70" t="e">
        <f>F5988*H5951</f>
        <v>#VALUE!</v>
      </c>
      <c r="H5988" s="193"/>
    </row>
    <row r="5989" spans="1:14">
      <c r="A5989" s="205" t="s">
        <v>4</v>
      </c>
      <c r="B5989" s="71"/>
      <c r="C5989" s="71"/>
      <c r="D5989" s="72"/>
      <c r="E5989" s="68"/>
      <c r="F5989" s="69">
        <v>0</v>
      </c>
      <c r="G5989" s="70" t="e">
        <f>F5989*H5951</f>
        <v>#VALUE!</v>
      </c>
      <c r="H5989" s="193"/>
    </row>
    <row r="5990" spans="1:14">
      <c r="A5990" s="206"/>
      <c r="B5990" s="73"/>
      <c r="C5990" s="65"/>
      <c r="D5990" s="74"/>
      <c r="E5990" s="75"/>
      <c r="F5990" s="76"/>
      <c r="G5990" s="77"/>
      <c r="H5990" s="195"/>
    </row>
    <row r="5991" spans="1:14">
      <c r="A5991" s="207"/>
      <c r="B5991" s="73"/>
      <c r="C5991" s="73"/>
      <c r="D5991" s="74"/>
      <c r="E5991" s="78"/>
      <c r="F5991" s="515" t="s">
        <v>4230</v>
      </c>
      <c r="G5991" s="516"/>
      <c r="H5991" s="214" t="e">
        <f>H5951+G5987+G5988+G5989</f>
        <v>#VALUE!</v>
      </c>
    </row>
    <row r="5993" spans="1:14">
      <c r="A5993" s="80"/>
      <c r="B5993" s="80"/>
      <c r="C5993" s="80"/>
      <c r="D5993" s="80"/>
      <c r="E5993" s="80"/>
      <c r="F5993" s="80"/>
      <c r="G5993" s="80"/>
      <c r="H5993" s="353"/>
    </row>
    <row r="5994" spans="1:14">
      <c r="A5994" s="537" t="s">
        <v>4214</v>
      </c>
      <c r="B5994" s="538"/>
      <c r="C5994" s="538"/>
      <c r="D5994" s="538"/>
      <c r="E5994" s="538"/>
      <c r="F5994" s="538"/>
      <c r="G5994" s="538"/>
      <c r="H5994" s="539"/>
    </row>
    <row r="5995" spans="1:14">
      <c r="A5995" s="81"/>
      <c r="B5995" s="82"/>
      <c r="C5995" s="82"/>
      <c r="D5995" s="82"/>
      <c r="E5995" s="82"/>
      <c r="F5995" s="83"/>
      <c r="G5995" s="84"/>
      <c r="H5995" s="352">
        <f>ROUND((5/60)/8,4)</f>
        <v>1.04E-2</v>
      </c>
      <c r="I5995" s="105"/>
    </row>
    <row r="5996" spans="1:14">
      <c r="A5996" s="540" t="s">
        <v>4209</v>
      </c>
      <c r="B5996" s="542" t="str">
        <f>COSTOS!$C$14</f>
        <v>MODERNIZACION A TECNOLOGIA LED</v>
      </c>
      <c r="C5996" s="542"/>
      <c r="D5996" s="542"/>
      <c r="E5996" s="542"/>
      <c r="F5996" s="542"/>
      <c r="G5996" s="542"/>
      <c r="H5996" s="543" t="s">
        <v>4210</v>
      </c>
    </row>
    <row r="5997" spans="1:14">
      <c r="A5997" s="541"/>
      <c r="B5997" s="542"/>
      <c r="C5997" s="542"/>
      <c r="D5997" s="542"/>
      <c r="E5997" s="542"/>
      <c r="F5997" s="542"/>
      <c r="G5997" s="542"/>
      <c r="H5997" s="543"/>
    </row>
    <row r="5998" spans="1:14">
      <c r="A5998" s="541"/>
      <c r="B5998" s="542"/>
      <c r="C5998" s="542"/>
      <c r="D5998" s="542"/>
      <c r="E5998" s="542"/>
      <c r="F5998" s="542"/>
      <c r="G5998" s="542"/>
      <c r="H5998" s="543"/>
    </row>
    <row r="5999" spans="1:14" ht="15" customHeight="1">
      <c r="A5999" s="541"/>
      <c r="B5999" s="542"/>
      <c r="C5999" s="542"/>
      <c r="D5999" s="542"/>
      <c r="E5999" s="542"/>
      <c r="F5999" s="542"/>
      <c r="G5999" s="542"/>
      <c r="H5999" s="197">
        <f ca="1">TODAY()</f>
        <v>44889</v>
      </c>
      <c r="K5999" t="s">
        <v>4380</v>
      </c>
      <c r="L5999" t="s">
        <v>4381</v>
      </c>
      <c r="M5999" t="s">
        <v>4382</v>
      </c>
      <c r="N5999" t="s">
        <v>4383</v>
      </c>
    </row>
    <row r="6000" spans="1:14" ht="60.75" customHeight="1">
      <c r="A6000" s="209" t="s">
        <v>4211</v>
      </c>
      <c r="B6000" s="544" t="str">
        <f>COSTOS!$D$16</f>
        <v>Luminarias</v>
      </c>
      <c r="C6000" s="544"/>
      <c r="D6000" s="544"/>
      <c r="E6000" s="544"/>
      <c r="F6000" s="544"/>
      <c r="G6000" s="60" t="s">
        <v>4212</v>
      </c>
      <c r="H6000" s="359">
        <v>3.7</v>
      </c>
      <c r="K6000" s="55" t="e">
        <f>H6026</f>
        <v>#VALUE!</v>
      </c>
      <c r="L6000" s="55">
        <f>H6036</f>
        <v>3435.8271999999997</v>
      </c>
      <c r="M6000" s="55" t="e">
        <f>H6009</f>
        <v>#VALUE!</v>
      </c>
      <c r="N6000" s="55" t="e">
        <f>H6030</f>
        <v>#VALUE!</v>
      </c>
    </row>
    <row r="6001" spans="1:15" ht="43.2" customHeight="1">
      <c r="A6001" s="210" t="s">
        <v>4213</v>
      </c>
      <c r="B6001" s="545" t="str">
        <f>VLOOKUP(H6000,COSTOS!C:M,2,0)</f>
        <v>Red canalizada en cable aluminio 3 No 4 x 500m</v>
      </c>
      <c r="C6001" s="546"/>
      <c r="D6001" s="546"/>
      <c r="E6001" s="547"/>
      <c r="F6001" s="61" t="s">
        <v>0</v>
      </c>
      <c r="G6001" s="328" t="str">
        <f>VLOOKUP(H6000,COSTOS!C:M,8,0)</f>
        <v>Und</v>
      </c>
      <c r="H6001" s="248"/>
      <c r="I6001" s="278"/>
      <c r="J6001" s="280"/>
      <c r="K6001" s="280"/>
      <c r="L6001" s="280"/>
    </row>
    <row r="6002" spans="1:15">
      <c r="A6002" s="211"/>
      <c r="B6002" s="102"/>
      <c r="C6002" s="102"/>
      <c r="D6002" s="102"/>
      <c r="E6002" s="103"/>
      <c r="F6002" s="104" t="s">
        <v>1</v>
      </c>
      <c r="G6002" s="328">
        <f>VLOOKUP(H6000,COSTOS!C:M,9,0)</f>
        <v>0</v>
      </c>
      <c r="H6002" s="329"/>
      <c r="I6002" s="279"/>
    </row>
    <row r="6003" spans="1:15">
      <c r="A6003" s="212" t="s">
        <v>4215</v>
      </c>
      <c r="B6003" s="65"/>
      <c r="C6003" s="65"/>
      <c r="D6003" s="66"/>
      <c r="E6003" s="190"/>
      <c r="F6003" s="191"/>
      <c r="G6003" s="192" t="s">
        <v>4216</v>
      </c>
      <c r="H6003" s="198" t="e">
        <f>H6009+H6026+H6030+H6036</f>
        <v>#VALUE!</v>
      </c>
    </row>
    <row r="6004" spans="1:15" ht="41.4">
      <c r="A6004" s="548" t="s">
        <v>4213</v>
      </c>
      <c r="B6004" s="548"/>
      <c r="C6004" s="548"/>
      <c r="D6004" s="67" t="s">
        <v>0</v>
      </c>
      <c r="E6004" s="188" t="s">
        <v>4217</v>
      </c>
      <c r="F6004" s="189" t="s">
        <v>4204</v>
      </c>
      <c r="G6004" s="64" t="s">
        <v>2</v>
      </c>
      <c r="H6004" s="199" t="s">
        <v>4218</v>
      </c>
      <c r="K6004" s="281"/>
    </row>
    <row r="6005" spans="1:15">
      <c r="A6005" s="517" t="s">
        <v>3946</v>
      </c>
      <c r="B6005" s="549">
        <f>VLOOKUP(A6005,'Equip, Herr y Transp'!$B$2:$E$738,2,0)</f>
        <v>2</v>
      </c>
      <c r="C6005" s="549"/>
      <c r="D6005" s="85">
        <f>VLOOKUP(A6005,'Equip, Herr y Transp'!$B$2:$E$217,2,0)</f>
        <v>2</v>
      </c>
      <c r="E6005" s="85" t="str">
        <f>VLOOKUP(A6005,'Equip, Herr y Transp'!$B$2:$E$217,3,0)</f>
        <v>EQU</v>
      </c>
      <c r="F6005" s="86">
        <f>H5995</f>
        <v>1.04E-2</v>
      </c>
      <c r="G6005" s="112" t="e">
        <f>F6005*E6005</f>
        <v>#VALUE!</v>
      </c>
      <c r="H6005" s="108"/>
    </row>
    <row r="6006" spans="1:15">
      <c r="A6006" s="517" t="s">
        <v>8</v>
      </c>
      <c r="B6006" s="549" t="e">
        <f>VLOOKUP(A6006,'Equip, Herr y Transp'!$B$2:$E$738,2,0)</f>
        <v>#N/A</v>
      </c>
      <c r="C6006" s="549"/>
      <c r="D6006" s="85" t="e">
        <f>VLOOKUP(A6006,'Equip, Herr y Transp'!$B$2:$E$217,2,0)</f>
        <v>#N/A</v>
      </c>
      <c r="E6006" s="85" t="e">
        <f>VLOOKUP(A6006,'Equip, Herr y Transp'!$B$2:$E$217,3,0)</f>
        <v>#N/A</v>
      </c>
      <c r="F6006" s="86">
        <f>H5995</f>
        <v>1.04E-2</v>
      </c>
      <c r="G6006" s="112" t="e">
        <f>F6006*E6006</f>
        <v>#N/A</v>
      </c>
      <c r="H6006" s="107"/>
    </row>
    <row r="6007" spans="1:15">
      <c r="A6007" s="517" t="s">
        <v>8</v>
      </c>
      <c r="B6007" s="549" t="e">
        <f>VLOOKUP(A6007,'Equip, Herr y Transp'!$B$2:$E$738,2,0)</f>
        <v>#N/A</v>
      </c>
      <c r="C6007" s="549"/>
      <c r="D6007" s="85" t="e">
        <f>VLOOKUP(A6007,'Equip, Herr y Transp'!$B$2:$E$217,2,0)</f>
        <v>#N/A</v>
      </c>
      <c r="E6007" s="85" t="e">
        <f>VLOOKUP(A6007,'Equip, Herr y Transp'!$B$2:$E$217,3,0)</f>
        <v>#N/A</v>
      </c>
      <c r="F6007" s="86">
        <f>H5995</f>
        <v>1.04E-2</v>
      </c>
      <c r="G6007" s="112" t="e">
        <f>F6007*E6007</f>
        <v>#N/A</v>
      </c>
      <c r="H6007" s="107"/>
    </row>
    <row r="6008" spans="1:15">
      <c r="A6008" s="517" t="s">
        <v>8</v>
      </c>
      <c r="B6008" s="549" t="e">
        <f>VLOOKUP(A6008,'Equip, Herr y Transp'!$B$2:$E$738,2,0)</f>
        <v>#N/A</v>
      </c>
      <c r="C6008" s="549"/>
      <c r="D6008" s="85" t="e">
        <f>VLOOKUP(A6008,'Equip, Herr y Transp'!$B$2:$E$217,2,0)</f>
        <v>#N/A</v>
      </c>
      <c r="E6008" s="85" t="e">
        <f>VLOOKUP(A6008,'Equip, Herr y Transp'!$B$2:$E$217,3,0)</f>
        <v>#N/A</v>
      </c>
      <c r="F6008" s="86">
        <f>H5995</f>
        <v>1.04E-2</v>
      </c>
      <c r="G6008" s="112" t="e">
        <f>F6008*E6008</f>
        <v>#N/A</v>
      </c>
      <c r="H6008" s="107"/>
    </row>
    <row r="6009" spans="1:15">
      <c r="A6009" s="520" t="s">
        <v>4099</v>
      </c>
      <c r="B6009" s="521"/>
      <c r="C6009" s="521"/>
      <c r="D6009" s="521"/>
      <c r="E6009" s="521"/>
      <c r="F6009" s="521"/>
      <c r="G6009" s="521"/>
      <c r="H6009" s="87" t="e">
        <f>SUM(G6005:G6008)</f>
        <v>#VALUE!</v>
      </c>
    </row>
    <row r="6010" spans="1:15">
      <c r="A6010" s="550" t="s">
        <v>4219</v>
      </c>
      <c r="B6010" s="551"/>
      <c r="C6010" s="551"/>
      <c r="D6010" s="551"/>
      <c r="E6010" s="551"/>
      <c r="F6010" s="551"/>
      <c r="G6010" s="551"/>
      <c r="H6010" s="552"/>
      <c r="K6010" s="50"/>
      <c r="L6010" s="50"/>
      <c r="M6010" s="50"/>
      <c r="N6010" s="50"/>
      <c r="O6010" s="50"/>
    </row>
    <row r="6011" spans="1:15" ht="30" customHeight="1">
      <c r="A6011" s="553" t="s">
        <v>7</v>
      </c>
      <c r="B6011" s="554"/>
      <c r="C6011" s="99" t="s">
        <v>0</v>
      </c>
      <c r="D6011" s="100" t="s">
        <v>4097</v>
      </c>
      <c r="E6011" s="101" t="s">
        <v>1</v>
      </c>
      <c r="F6011" s="555" t="s">
        <v>4207</v>
      </c>
      <c r="G6011" s="555"/>
      <c r="H6011" s="196"/>
      <c r="K6011" s="50"/>
      <c r="L6011" s="50"/>
      <c r="M6011" s="50"/>
      <c r="N6011" s="50"/>
      <c r="O6011" s="50"/>
    </row>
    <row r="6012" spans="1:15">
      <c r="A6012" s="535" t="s">
        <v>4433</v>
      </c>
      <c r="B6012" s="536"/>
      <c r="C6012" s="88">
        <f>VLOOKUP(A6012,'Materiales '!$C$2:$G$396,3,0)</f>
        <v>2</v>
      </c>
      <c r="D6012" s="89" t="str">
        <f>VLOOKUP(A6012,'Materiales '!$C$2:$G$396,4,0)</f>
        <v>Ml</v>
      </c>
      <c r="E6012" s="90">
        <v>3</v>
      </c>
      <c r="F6012" s="508" t="e">
        <f>E6012*D6012</f>
        <v>#VALUE!</v>
      </c>
      <c r="G6012" s="519"/>
      <c r="H6012" s="111"/>
      <c r="I6012">
        <f>E6012*G6002</f>
        <v>0</v>
      </c>
      <c r="J6012" s="57"/>
      <c r="K6012" s="50"/>
      <c r="L6012" s="50"/>
      <c r="M6012" s="50"/>
      <c r="N6012" s="50"/>
      <c r="O6012" s="50"/>
    </row>
    <row r="6013" spans="1:15">
      <c r="A6013" s="535" t="s">
        <v>8</v>
      </c>
      <c r="B6013" s="536"/>
      <c r="C6013" s="88">
        <f>VLOOKUP(A6013,'Materiales '!$C$2:$G$396,3,0)</f>
        <v>0</v>
      </c>
      <c r="D6013" s="89" t="str">
        <f>VLOOKUP(A6013,'Materiales '!$C$2:$G$396,4,0)</f>
        <v>-</v>
      </c>
      <c r="E6013" s="90"/>
      <c r="F6013" s="508" t="e">
        <f t="shared" ref="F6013:F6019" si="352">E6013*D6013</f>
        <v>#VALUE!</v>
      </c>
      <c r="G6013" s="519"/>
      <c r="H6013" s="111"/>
      <c r="I6013">
        <f>E6013*G6002</f>
        <v>0</v>
      </c>
      <c r="J6013" s="57"/>
      <c r="K6013" s="50"/>
      <c r="L6013" s="50"/>
      <c r="M6013" s="50"/>
      <c r="N6013" s="50"/>
      <c r="O6013" s="50"/>
    </row>
    <row r="6014" spans="1:15">
      <c r="A6014" s="517" t="s">
        <v>8</v>
      </c>
      <c r="B6014" s="518">
        <f>VLOOKUP(A6014,'Materiales '!$C$2:$G$396,3,0)</f>
        <v>0</v>
      </c>
      <c r="C6014" s="88">
        <f>VLOOKUP(A6014,'Materiales '!$C$2:$G$396,3,0)</f>
        <v>0</v>
      </c>
      <c r="D6014" s="89" t="str">
        <f>VLOOKUP(A6014,'Materiales '!$C$2:$G$396,4,0)</f>
        <v>-</v>
      </c>
      <c r="E6014" s="90"/>
      <c r="F6014" s="508" t="e">
        <f t="shared" si="352"/>
        <v>#VALUE!</v>
      </c>
      <c r="G6014" s="519"/>
      <c r="H6014" s="111"/>
      <c r="I6014">
        <f>E6014*G6002</f>
        <v>0</v>
      </c>
      <c r="J6014" s="58"/>
      <c r="K6014" s="50"/>
      <c r="L6014" s="50"/>
      <c r="M6014" s="50"/>
      <c r="N6014" s="50"/>
      <c r="O6014" s="50"/>
    </row>
    <row r="6015" spans="1:15">
      <c r="A6015" s="517" t="s">
        <v>8</v>
      </c>
      <c r="B6015" s="518">
        <f>VLOOKUP(A6015,'Materiales '!$C$2:$G$396,3,0)</f>
        <v>0</v>
      </c>
      <c r="C6015" s="88">
        <f>VLOOKUP(A6015,'Materiales '!$C$2:$G$396,3,0)</f>
        <v>0</v>
      </c>
      <c r="D6015" s="89" t="str">
        <f>VLOOKUP(A6015,'Materiales '!$C$2:$G$396,4,0)</f>
        <v>-</v>
      </c>
      <c r="E6015" s="90"/>
      <c r="F6015" s="508" t="e">
        <f t="shared" si="352"/>
        <v>#VALUE!</v>
      </c>
      <c r="G6015" s="519"/>
      <c r="H6015" s="111"/>
      <c r="I6015">
        <f>E6015*G6002</f>
        <v>0</v>
      </c>
      <c r="J6015" s="58"/>
      <c r="K6015" s="50"/>
      <c r="L6015" s="50"/>
      <c r="M6015" s="50"/>
      <c r="N6015" s="50"/>
      <c r="O6015" s="50"/>
    </row>
    <row r="6016" spans="1:15">
      <c r="A6016" s="517" t="s">
        <v>8</v>
      </c>
      <c r="B6016" s="518">
        <f>VLOOKUP(A6016,'Materiales '!$C$2:$G$396,3,0)</f>
        <v>0</v>
      </c>
      <c r="C6016" s="88">
        <f>VLOOKUP(A6016,'Materiales '!$C$2:$G$396,3,0)</f>
        <v>0</v>
      </c>
      <c r="D6016" s="89" t="str">
        <f>VLOOKUP(A6016,'Materiales '!$C$2:$G$396,4,0)</f>
        <v>-</v>
      </c>
      <c r="E6016" s="90"/>
      <c r="F6016" s="508" t="e">
        <f t="shared" si="352"/>
        <v>#VALUE!</v>
      </c>
      <c r="G6016" s="519"/>
      <c r="H6016" s="111"/>
      <c r="I6016">
        <f>E6016*G6002</f>
        <v>0</v>
      </c>
      <c r="J6016" s="58"/>
      <c r="K6016" s="50"/>
      <c r="L6016" s="50"/>
      <c r="M6016" s="50"/>
      <c r="N6016" s="50"/>
      <c r="O6016" s="50"/>
    </row>
    <row r="6017" spans="1:15">
      <c r="A6017" s="517" t="s">
        <v>8</v>
      </c>
      <c r="B6017" s="518">
        <f>VLOOKUP(A6017,'Materiales '!$C$2:$G$396,3,0)</f>
        <v>0</v>
      </c>
      <c r="C6017" s="88">
        <f>VLOOKUP(A6017,'Materiales '!$C$2:$G$396,3,0)</f>
        <v>0</v>
      </c>
      <c r="D6017" s="89" t="str">
        <f>VLOOKUP(A6017,'Materiales '!$C$2:$G$396,4,0)</f>
        <v>-</v>
      </c>
      <c r="E6017" s="90"/>
      <c r="F6017" s="508" t="e">
        <f t="shared" si="352"/>
        <v>#VALUE!</v>
      </c>
      <c r="G6017" s="519"/>
      <c r="H6017" s="111"/>
      <c r="I6017">
        <f>E6017*G6002</f>
        <v>0</v>
      </c>
      <c r="J6017" s="58"/>
      <c r="K6017" s="50"/>
      <c r="L6017" s="50"/>
      <c r="M6017" s="50"/>
      <c r="N6017" s="50"/>
      <c r="O6017" s="50"/>
    </row>
    <row r="6018" spans="1:15">
      <c r="A6018" s="517" t="s">
        <v>8</v>
      </c>
      <c r="B6018" s="518">
        <f>VLOOKUP(A6018,'Materiales '!$C$2:$G$396,3,0)</f>
        <v>0</v>
      </c>
      <c r="C6018" s="88">
        <f>VLOOKUP(A6018,'Materiales '!$C$2:$G$396,3,0)</f>
        <v>0</v>
      </c>
      <c r="D6018" s="89" t="str">
        <f>VLOOKUP(A6018,'Materiales '!$C$2:$G$396,4,0)</f>
        <v>-</v>
      </c>
      <c r="E6018" s="90"/>
      <c r="F6018" s="508" t="e">
        <f t="shared" si="352"/>
        <v>#VALUE!</v>
      </c>
      <c r="G6018" s="519"/>
      <c r="H6018" s="111"/>
      <c r="I6018">
        <f>E6018*G6002</f>
        <v>0</v>
      </c>
      <c r="J6018" s="58"/>
      <c r="K6018" s="50"/>
      <c r="L6018" s="50"/>
      <c r="M6018" s="50"/>
      <c r="N6018" s="50"/>
      <c r="O6018" s="50"/>
    </row>
    <row r="6019" spans="1:15" ht="21.75" customHeight="1">
      <c r="A6019" s="517" t="s">
        <v>8</v>
      </c>
      <c r="B6019" s="518">
        <f>VLOOKUP(A6019,'Materiales '!$C$2:$G$396,3,0)</f>
        <v>0</v>
      </c>
      <c r="C6019" s="88">
        <f>VLOOKUP(A6019,'Materiales '!$C$2:$G$396,3,0)</f>
        <v>0</v>
      </c>
      <c r="D6019" s="89" t="str">
        <f>VLOOKUP(A6019,'Materiales '!$C$2:$G$396,4,0)</f>
        <v>-</v>
      </c>
      <c r="E6019" s="90"/>
      <c r="F6019" s="508" t="e">
        <f t="shared" si="352"/>
        <v>#VALUE!</v>
      </c>
      <c r="G6019" s="519"/>
      <c r="H6019" s="111"/>
      <c r="I6019">
        <f>E6019*G6002</f>
        <v>0</v>
      </c>
      <c r="J6019" s="58"/>
      <c r="K6019" s="50"/>
      <c r="L6019" s="50"/>
      <c r="M6019" s="50"/>
      <c r="N6019" s="50"/>
      <c r="O6019" s="50"/>
    </row>
    <row r="6020" spans="1:15">
      <c r="A6020" s="517" t="s">
        <v>8</v>
      </c>
      <c r="B6020" s="518">
        <f>VLOOKUP(A6020,'Materiales '!$C$2:$G$396,3,0)</f>
        <v>0</v>
      </c>
      <c r="C6020" s="88">
        <f>VLOOKUP(A6020,'Materiales '!$C$2:$G$396,3,0)</f>
        <v>0</v>
      </c>
      <c r="D6020" s="89" t="str">
        <f>VLOOKUP(A6020,'Materiales '!$C$2:$G$396,4,0)</f>
        <v>-</v>
      </c>
      <c r="E6020" s="90"/>
      <c r="F6020" s="508" t="e">
        <f>E6020*D6020</f>
        <v>#VALUE!</v>
      </c>
      <c r="G6020" s="519"/>
      <c r="H6020" s="110"/>
      <c r="I6020">
        <f>E6020*G6002</f>
        <v>0</v>
      </c>
      <c r="J6020" s="58"/>
      <c r="K6020" s="50"/>
      <c r="L6020" s="50"/>
      <c r="M6020" s="50"/>
      <c r="N6020" s="50"/>
      <c r="O6020" s="50"/>
    </row>
    <row r="6021" spans="1:15">
      <c r="A6021" s="517" t="s">
        <v>8</v>
      </c>
      <c r="B6021" s="518">
        <f>VLOOKUP(A6021,'Materiales '!$C$2:$G$396,3,0)</f>
        <v>0</v>
      </c>
      <c r="C6021" s="88">
        <f>VLOOKUP(A6021,'Materiales '!$C$2:$G$396,3,0)</f>
        <v>0</v>
      </c>
      <c r="D6021" s="89" t="str">
        <f>VLOOKUP(A6021,'Materiales '!$C$2:$G$396,4,0)</f>
        <v>-</v>
      </c>
      <c r="E6021" s="90"/>
      <c r="F6021" s="508" t="e">
        <f t="shared" ref="F6021:F6024" si="353">E6021*D6021</f>
        <v>#VALUE!</v>
      </c>
      <c r="G6021" s="519"/>
      <c r="H6021" s="111"/>
      <c r="I6021">
        <f>E6021*G6002</f>
        <v>0</v>
      </c>
      <c r="J6021" s="58"/>
      <c r="K6021" s="50"/>
      <c r="L6021" s="50"/>
      <c r="M6021" s="50"/>
      <c r="N6021" s="50"/>
      <c r="O6021" s="50"/>
    </row>
    <row r="6022" spans="1:15">
      <c r="A6022" s="517" t="s">
        <v>8</v>
      </c>
      <c r="B6022" s="518">
        <f>VLOOKUP(A6022,'Materiales '!$C$2:$G$396,3,0)</f>
        <v>0</v>
      </c>
      <c r="C6022" s="88">
        <f>VLOOKUP(A6022,'Materiales '!$C$2:$G$396,3,0)</f>
        <v>0</v>
      </c>
      <c r="D6022" s="89" t="str">
        <f>VLOOKUP(A6022,'Materiales '!$C$2:$G$396,4,0)</f>
        <v>-</v>
      </c>
      <c r="E6022" s="90"/>
      <c r="F6022" s="508" t="e">
        <f t="shared" si="353"/>
        <v>#VALUE!</v>
      </c>
      <c r="G6022" s="519"/>
      <c r="H6022" s="111"/>
      <c r="I6022">
        <f>E6022*G6002</f>
        <v>0</v>
      </c>
      <c r="J6022" s="58"/>
      <c r="K6022" s="50"/>
      <c r="L6022" s="50"/>
      <c r="M6022" s="50"/>
      <c r="N6022" s="50"/>
      <c r="O6022" s="50"/>
    </row>
    <row r="6023" spans="1:15">
      <c r="A6023" s="517" t="s">
        <v>8</v>
      </c>
      <c r="B6023" s="518">
        <f>VLOOKUP(A6023,'Materiales '!$C$2:$G$396,3,0)</f>
        <v>0</v>
      </c>
      <c r="C6023" s="88">
        <f>VLOOKUP(A6023,'Materiales '!$C$2:$G$396,3,0)</f>
        <v>0</v>
      </c>
      <c r="D6023" s="89" t="str">
        <f>VLOOKUP(A6023,'Materiales '!$C$2:$G$396,4,0)</f>
        <v>-</v>
      </c>
      <c r="E6023" s="90"/>
      <c r="F6023" s="508" t="e">
        <f t="shared" si="353"/>
        <v>#VALUE!</v>
      </c>
      <c r="G6023" s="519"/>
      <c r="H6023" s="111"/>
      <c r="I6023">
        <f>E6023*G6002</f>
        <v>0</v>
      </c>
      <c r="J6023" s="58"/>
      <c r="K6023" s="50"/>
      <c r="L6023" s="50"/>
      <c r="M6023" s="50"/>
      <c r="N6023" s="50"/>
      <c r="O6023" s="50"/>
    </row>
    <row r="6024" spans="1:15">
      <c r="A6024" s="517" t="s">
        <v>8</v>
      </c>
      <c r="B6024" s="518">
        <f>VLOOKUP(A6024,'Materiales '!$C$2:$G$396,3,0)</f>
        <v>0</v>
      </c>
      <c r="C6024" s="88">
        <f>VLOOKUP(A6024,'Materiales '!$C$2:$G$396,3,0)</f>
        <v>0</v>
      </c>
      <c r="D6024" s="89" t="str">
        <f>VLOOKUP(A6024,'Materiales '!$C$2:$G$396,4,0)</f>
        <v>-</v>
      </c>
      <c r="E6024" s="90"/>
      <c r="F6024" s="508" t="e">
        <f t="shared" si="353"/>
        <v>#VALUE!</v>
      </c>
      <c r="G6024" s="519"/>
      <c r="H6024" s="111"/>
      <c r="I6024">
        <f>E6024*G6002</f>
        <v>0</v>
      </c>
      <c r="J6024" s="58"/>
      <c r="K6024" s="50"/>
      <c r="L6024" s="50"/>
      <c r="M6024" s="50"/>
      <c r="N6024" s="50"/>
      <c r="O6024" s="50"/>
    </row>
    <row r="6025" spans="1:15">
      <c r="A6025" s="517" t="s">
        <v>8</v>
      </c>
      <c r="B6025" s="518">
        <f>VLOOKUP(A6025,'Materiales '!$C$2:$G$396,3,0)</f>
        <v>0</v>
      </c>
      <c r="C6025" s="88">
        <f>VLOOKUP(A6025,'Materiales '!$C$2:$G$396,3,0)</f>
        <v>0</v>
      </c>
      <c r="D6025" s="89" t="str">
        <f>VLOOKUP(A6025,'Materiales '!$C$2:$G$396,4,0)</f>
        <v>-</v>
      </c>
      <c r="E6025" s="90"/>
      <c r="F6025" s="508" t="e">
        <f>E6025*D6025</f>
        <v>#VALUE!</v>
      </c>
      <c r="G6025" s="519"/>
      <c r="H6025" s="110"/>
      <c r="I6025">
        <f>E6025*G6002</f>
        <v>0</v>
      </c>
      <c r="J6025" s="58"/>
      <c r="K6025" s="50"/>
      <c r="L6025" s="50"/>
      <c r="M6025" s="50"/>
      <c r="N6025" s="50"/>
      <c r="O6025" s="50"/>
    </row>
    <row r="6026" spans="1:15">
      <c r="A6026" s="520" t="s">
        <v>4098</v>
      </c>
      <c r="B6026" s="521"/>
      <c r="C6026" s="521"/>
      <c r="D6026" s="521"/>
      <c r="E6026" s="521"/>
      <c r="F6026" s="521"/>
      <c r="G6026" s="522"/>
      <c r="H6026" s="106" t="e">
        <f>SUM(F6012:F6025)</f>
        <v>#VALUE!</v>
      </c>
      <c r="J6026" s="58"/>
      <c r="K6026" s="50"/>
      <c r="L6026" s="50"/>
      <c r="M6026" s="50"/>
      <c r="N6026" s="50"/>
      <c r="O6026" s="50"/>
    </row>
    <row r="6027" spans="1:15">
      <c r="A6027" s="523" t="s">
        <v>4220</v>
      </c>
      <c r="B6027" s="524"/>
      <c r="C6027" s="524"/>
      <c r="D6027" s="524"/>
      <c r="E6027" s="525"/>
      <c r="F6027" s="524"/>
      <c r="G6027" s="524"/>
      <c r="H6027" s="526"/>
      <c r="J6027" s="58"/>
      <c r="K6027" s="50"/>
      <c r="L6027" s="50"/>
      <c r="M6027" s="50"/>
      <c r="N6027" s="50"/>
      <c r="O6027" s="50"/>
    </row>
    <row r="6028" spans="1:15">
      <c r="A6028" s="527" t="s">
        <v>7</v>
      </c>
      <c r="B6028" s="528"/>
      <c r="C6028" s="98" t="s">
        <v>4221</v>
      </c>
      <c r="D6028" s="97" t="s">
        <v>4222</v>
      </c>
      <c r="E6028" s="187" t="s">
        <v>4223</v>
      </c>
      <c r="F6028" s="529" t="s">
        <v>4207</v>
      </c>
      <c r="G6028" s="529"/>
      <c r="H6028" s="109"/>
      <c r="K6028" s="50"/>
      <c r="L6028" s="50"/>
      <c r="M6028" s="50"/>
      <c r="N6028" s="50"/>
      <c r="O6028" s="50"/>
    </row>
    <row r="6029" spans="1:15">
      <c r="A6029" s="506" t="s">
        <v>3928</v>
      </c>
      <c r="B6029" s="507"/>
      <c r="C6029" s="213">
        <v>1</v>
      </c>
      <c r="D6029" s="92">
        <v>5.0000000000000001E-3</v>
      </c>
      <c r="E6029" s="93" t="str">
        <f>VLOOKUP(A6029,'Equip, Herr y Transp'!$B$2:$E$217,3,0)</f>
        <v>TR</v>
      </c>
      <c r="F6029" s="530" t="e">
        <f>E6029*D6029*C6029</f>
        <v>#VALUE!</v>
      </c>
      <c r="G6029" s="531"/>
      <c r="H6029" s="107"/>
      <c r="M6029" s="50"/>
    </row>
    <row r="6030" spans="1:15">
      <c r="A6030" s="532" t="s">
        <v>4205</v>
      </c>
      <c r="B6030" s="533"/>
      <c r="C6030" s="533"/>
      <c r="D6030" s="533"/>
      <c r="E6030" s="533"/>
      <c r="F6030" s="533"/>
      <c r="G6030" s="533"/>
      <c r="H6030" s="95" t="e">
        <f>F6029</f>
        <v>#VALUE!</v>
      </c>
    </row>
    <row r="6031" spans="1:15">
      <c r="A6031" s="523" t="s">
        <v>4224</v>
      </c>
      <c r="B6031" s="524"/>
      <c r="C6031" s="524"/>
      <c r="D6031" s="524"/>
      <c r="E6031" s="524"/>
      <c r="F6031" s="524"/>
      <c r="G6031" s="524"/>
      <c r="H6031" s="526"/>
    </row>
    <row r="6032" spans="1:15">
      <c r="A6032" s="527" t="s">
        <v>7</v>
      </c>
      <c r="B6032" s="528"/>
      <c r="C6032" s="96" t="s">
        <v>1</v>
      </c>
      <c r="D6032" s="97" t="s">
        <v>4225</v>
      </c>
      <c r="E6032" s="98" t="s">
        <v>4204</v>
      </c>
      <c r="F6032" s="527" t="s">
        <v>5</v>
      </c>
      <c r="G6032" s="534"/>
      <c r="H6032" s="109"/>
    </row>
    <row r="6033" spans="1:10">
      <c r="A6033" s="506" t="s">
        <v>4191</v>
      </c>
      <c r="B6033" s="507"/>
      <c r="C6033" s="91">
        <v>1</v>
      </c>
      <c r="D6033" s="94">
        <f>VLOOKUP(A6033,'Mano Obra'!$B$2:$T$117,19,0)</f>
        <v>152456</v>
      </c>
      <c r="E6033" s="218">
        <f>H5995</f>
        <v>1.04E-2</v>
      </c>
      <c r="F6033" s="508">
        <f>E6033*D6033*C6033</f>
        <v>1585.5423999999998</v>
      </c>
      <c r="G6033" s="509"/>
      <c r="H6033" s="111"/>
      <c r="I6033" s="59"/>
      <c r="J6033" s="117">
        <f>((('Mano Obra'!$M$4/30)*F6033)/D6033)*G6002</f>
        <v>0</v>
      </c>
    </row>
    <row r="6034" spans="1:10">
      <c r="A6034" s="510" t="s">
        <v>4192</v>
      </c>
      <c r="B6034" s="511">
        <f>VLOOKUP(A6034,'Mano Obra'!$B$3:$D$290,2,0)</f>
        <v>1900000</v>
      </c>
      <c r="C6034" s="91">
        <v>1</v>
      </c>
      <c r="D6034" s="94">
        <f>VLOOKUP(A6034,'Mano Obra'!$B$2:$T$117,19,0)</f>
        <v>110488</v>
      </c>
      <c r="E6034" s="218">
        <f>H5995</f>
        <v>1.04E-2</v>
      </c>
      <c r="F6034" s="508">
        <f t="shared" ref="F6034:F6035" si="354">E6034*D6034*C6034</f>
        <v>1149.0752</v>
      </c>
      <c r="G6034" s="509"/>
      <c r="H6034" s="111"/>
      <c r="J6034" s="117">
        <f>((('Mano Obra'!$M$5/30)*F6034)/D6034)*G6002</f>
        <v>0</v>
      </c>
    </row>
    <row r="6035" spans="1:10">
      <c r="A6035" s="510" t="s">
        <v>4181</v>
      </c>
      <c r="B6035" s="511">
        <f>VLOOKUP(A6035,'Mano Obra'!$B$3:$D$290,2,0)</f>
        <v>1000000</v>
      </c>
      <c r="C6035" s="91">
        <v>1</v>
      </c>
      <c r="D6035" s="94">
        <f>VLOOKUP(A6035,'Mano Obra'!$B$2:$T$117,19,0)</f>
        <v>67424</v>
      </c>
      <c r="E6035" s="218">
        <f>H5995</f>
        <v>1.04E-2</v>
      </c>
      <c r="F6035" s="508">
        <f t="shared" si="354"/>
        <v>701.20960000000002</v>
      </c>
      <c r="G6035" s="509"/>
      <c r="H6035" s="110"/>
      <c r="J6035" s="117">
        <f>((('Mano Obra'!$M$6/30)*F6035)/D6035)*G6002</f>
        <v>0</v>
      </c>
    </row>
    <row r="6036" spans="1:10">
      <c r="A6036" s="512" t="s">
        <v>4100</v>
      </c>
      <c r="B6036" s="512"/>
      <c r="C6036" s="512"/>
      <c r="D6036" s="512"/>
      <c r="E6036" s="512"/>
      <c r="F6036" s="512"/>
      <c r="G6036" s="512"/>
      <c r="H6036" s="95">
        <f>SUM(F6033:F6035)</f>
        <v>3435.8271999999997</v>
      </c>
      <c r="J6036" s="117"/>
    </row>
    <row r="6037" spans="1:10">
      <c r="A6037" s="208" t="s">
        <v>4226</v>
      </c>
      <c r="B6037" s="186"/>
      <c r="C6037" s="186"/>
      <c r="D6037" s="183"/>
      <c r="E6037" s="184"/>
      <c r="F6037" s="185"/>
      <c r="G6037" s="184"/>
      <c r="H6037" s="193"/>
    </row>
    <row r="6038" spans="1:10">
      <c r="A6038" s="513" t="s">
        <v>4213</v>
      </c>
      <c r="B6038" s="514"/>
      <c r="C6038" s="514"/>
      <c r="D6038" s="514"/>
      <c r="E6038" s="181"/>
      <c r="F6038" s="182" t="s">
        <v>4227</v>
      </c>
      <c r="G6038" s="181" t="s">
        <v>4228</v>
      </c>
      <c r="H6038" s="194"/>
    </row>
    <row r="6039" spans="1:10">
      <c r="A6039" s="204" t="s">
        <v>4096</v>
      </c>
      <c r="B6039" s="62"/>
      <c r="C6039" s="62"/>
      <c r="D6039" s="63"/>
      <c r="E6039" s="68"/>
      <c r="F6039" s="69">
        <v>0</v>
      </c>
      <c r="G6039" s="70" t="e">
        <f>F6039*H6003</f>
        <v>#VALUE!</v>
      </c>
      <c r="H6039" s="193"/>
    </row>
    <row r="6040" spans="1:10">
      <c r="A6040" s="205" t="s">
        <v>4229</v>
      </c>
      <c r="B6040" s="71"/>
      <c r="C6040" s="71"/>
      <c r="D6040" s="72"/>
      <c r="E6040" s="68"/>
      <c r="F6040" s="69">
        <v>0</v>
      </c>
      <c r="G6040" s="70" t="e">
        <f>F6040*H6003</f>
        <v>#VALUE!</v>
      </c>
      <c r="H6040" s="193"/>
    </row>
    <row r="6041" spans="1:10">
      <c r="A6041" s="205" t="s">
        <v>4</v>
      </c>
      <c r="B6041" s="71"/>
      <c r="C6041" s="71"/>
      <c r="D6041" s="72"/>
      <c r="E6041" s="68"/>
      <c r="F6041" s="69">
        <v>0</v>
      </c>
      <c r="G6041" s="70" t="e">
        <f>F6041*H6003</f>
        <v>#VALUE!</v>
      </c>
      <c r="H6041" s="193"/>
    </row>
    <row r="6042" spans="1:10">
      <c r="A6042" s="206"/>
      <c r="B6042" s="73"/>
      <c r="C6042" s="65"/>
      <c r="D6042" s="74"/>
      <c r="E6042" s="75"/>
      <c r="F6042" s="76"/>
      <c r="G6042" s="77"/>
      <c r="H6042" s="195"/>
    </row>
    <row r="6043" spans="1:10">
      <c r="A6043" s="207"/>
      <c r="B6043" s="73"/>
      <c r="C6043" s="73"/>
      <c r="D6043" s="74"/>
      <c r="E6043" s="78"/>
      <c r="F6043" s="515" t="s">
        <v>4230</v>
      </c>
      <c r="G6043" s="516"/>
      <c r="H6043" s="214" t="e">
        <f>H6003+G6039+G6040+G6041</f>
        <v>#VALUE!</v>
      </c>
    </row>
    <row r="6045" spans="1:10">
      <c r="A6045" s="80"/>
      <c r="B6045" s="80"/>
      <c r="C6045" s="80"/>
      <c r="D6045" s="80"/>
      <c r="E6045" s="80"/>
      <c r="F6045" s="80"/>
      <c r="G6045" s="80"/>
      <c r="H6045" s="353"/>
    </row>
    <row r="6046" spans="1:10">
      <c r="A6046" s="537" t="s">
        <v>4214</v>
      </c>
      <c r="B6046" s="538"/>
      <c r="C6046" s="538"/>
      <c r="D6046" s="538"/>
      <c r="E6046" s="538"/>
      <c r="F6046" s="538"/>
      <c r="G6046" s="538"/>
      <c r="H6046" s="539"/>
    </row>
    <row r="6047" spans="1:10">
      <c r="A6047" s="81"/>
      <c r="B6047" s="82"/>
      <c r="C6047" s="82"/>
      <c r="D6047" s="82"/>
      <c r="E6047" s="82"/>
      <c r="F6047" s="83"/>
      <c r="G6047" s="84"/>
      <c r="H6047" s="352">
        <f>ROUND((5/60)/8,4)</f>
        <v>1.04E-2</v>
      </c>
      <c r="I6047" s="105"/>
    </row>
    <row r="6048" spans="1:10">
      <c r="A6048" s="540" t="s">
        <v>4209</v>
      </c>
      <c r="B6048" s="542" t="str">
        <f>COSTOS!$C$14</f>
        <v>MODERNIZACION A TECNOLOGIA LED</v>
      </c>
      <c r="C6048" s="542"/>
      <c r="D6048" s="542"/>
      <c r="E6048" s="542"/>
      <c r="F6048" s="542"/>
      <c r="G6048" s="542"/>
      <c r="H6048" s="543" t="s">
        <v>4210</v>
      </c>
    </row>
    <row r="6049" spans="1:15">
      <c r="A6049" s="541"/>
      <c r="B6049" s="542"/>
      <c r="C6049" s="542"/>
      <c r="D6049" s="542"/>
      <c r="E6049" s="542"/>
      <c r="F6049" s="542"/>
      <c r="G6049" s="542"/>
      <c r="H6049" s="543"/>
    </row>
    <row r="6050" spans="1:15">
      <c r="A6050" s="541"/>
      <c r="B6050" s="542"/>
      <c r="C6050" s="542"/>
      <c r="D6050" s="542"/>
      <c r="E6050" s="542"/>
      <c r="F6050" s="542"/>
      <c r="G6050" s="542"/>
      <c r="H6050" s="543"/>
    </row>
    <row r="6051" spans="1:15" ht="15" customHeight="1">
      <c r="A6051" s="541"/>
      <c r="B6051" s="542"/>
      <c r="C6051" s="542"/>
      <c r="D6051" s="542"/>
      <c r="E6051" s="542"/>
      <c r="F6051" s="542"/>
      <c r="G6051" s="542"/>
      <c r="H6051" s="197">
        <f ca="1">TODAY()</f>
        <v>44889</v>
      </c>
      <c r="K6051" t="s">
        <v>4380</v>
      </c>
      <c r="L6051" t="s">
        <v>4381</v>
      </c>
      <c r="M6051" t="s">
        <v>4382</v>
      </c>
      <c r="N6051" t="s">
        <v>4383</v>
      </c>
    </row>
    <row r="6052" spans="1:15" ht="60.75" customHeight="1">
      <c r="A6052" s="209" t="s">
        <v>4211</v>
      </c>
      <c r="B6052" s="544" t="str">
        <f>COSTOS!$D$16</f>
        <v>Luminarias</v>
      </c>
      <c r="C6052" s="544"/>
      <c r="D6052" s="544"/>
      <c r="E6052" s="544"/>
      <c r="F6052" s="544"/>
      <c r="G6052" s="60" t="s">
        <v>4212</v>
      </c>
      <c r="H6052" s="359">
        <v>3.8</v>
      </c>
      <c r="K6052" s="55" t="e">
        <f>H6078</f>
        <v>#VALUE!</v>
      </c>
      <c r="L6052" s="55">
        <f>H6088</f>
        <v>3435.8271999999997</v>
      </c>
      <c r="M6052" s="55" t="e">
        <f>H6061</f>
        <v>#VALUE!</v>
      </c>
      <c r="N6052" s="55" t="e">
        <f>H6082</f>
        <v>#VALUE!</v>
      </c>
    </row>
    <row r="6053" spans="1:15" ht="43.2" customHeight="1">
      <c r="A6053" s="210" t="s">
        <v>4213</v>
      </c>
      <c r="B6053" s="545" t="str">
        <f>VLOOKUP(H6052,COSTOS!C:M,2,0)</f>
        <v>Red aerea en cable cobre 3 No 12 x 500m</v>
      </c>
      <c r="C6053" s="546"/>
      <c r="D6053" s="546"/>
      <c r="E6053" s="547"/>
      <c r="F6053" s="61" t="s">
        <v>0</v>
      </c>
      <c r="G6053" s="328" t="str">
        <f>VLOOKUP(H6052,COSTOS!C:M,8,0)</f>
        <v>Und</v>
      </c>
      <c r="H6053" s="248"/>
      <c r="I6053" s="278"/>
      <c r="J6053" s="280"/>
      <c r="K6053" s="280"/>
      <c r="L6053" s="280"/>
    </row>
    <row r="6054" spans="1:15">
      <c r="A6054" s="211"/>
      <c r="B6054" s="102"/>
      <c r="C6054" s="102"/>
      <c r="D6054" s="102"/>
      <c r="E6054" s="103"/>
      <c r="F6054" s="104" t="s">
        <v>1</v>
      </c>
      <c r="G6054" s="328">
        <f>VLOOKUP(H6052,COSTOS!C:M,9,0)</f>
        <v>0</v>
      </c>
      <c r="H6054" s="329"/>
      <c r="I6054" s="279"/>
    </row>
    <row r="6055" spans="1:15">
      <c r="A6055" s="212" t="s">
        <v>4215</v>
      </c>
      <c r="B6055" s="65"/>
      <c r="C6055" s="65"/>
      <c r="D6055" s="66"/>
      <c r="E6055" s="190"/>
      <c r="F6055" s="191"/>
      <c r="G6055" s="192" t="s">
        <v>4216</v>
      </c>
      <c r="H6055" s="198" t="e">
        <f>H6061+H6078+H6082+H6088</f>
        <v>#VALUE!</v>
      </c>
    </row>
    <row r="6056" spans="1:15" ht="41.4">
      <c r="A6056" s="548" t="s">
        <v>4213</v>
      </c>
      <c r="B6056" s="548"/>
      <c r="C6056" s="548"/>
      <c r="D6056" s="67" t="s">
        <v>0</v>
      </c>
      <c r="E6056" s="188" t="s">
        <v>4217</v>
      </c>
      <c r="F6056" s="189" t="s">
        <v>4204</v>
      </c>
      <c r="G6056" s="64" t="s">
        <v>2</v>
      </c>
      <c r="H6056" s="199" t="s">
        <v>4218</v>
      </c>
      <c r="K6056" s="281"/>
    </row>
    <row r="6057" spans="1:15">
      <c r="A6057" s="517" t="s">
        <v>3946</v>
      </c>
      <c r="B6057" s="549">
        <f>VLOOKUP(A6057,'Equip, Herr y Transp'!$B$2:$E$738,2,0)</f>
        <v>2</v>
      </c>
      <c r="C6057" s="549"/>
      <c r="D6057" s="85">
        <f>VLOOKUP(A6057,'Equip, Herr y Transp'!$B$2:$E$217,2,0)</f>
        <v>2</v>
      </c>
      <c r="E6057" s="85" t="str">
        <f>VLOOKUP(A6057,'Equip, Herr y Transp'!$B$2:$E$217,3,0)</f>
        <v>EQU</v>
      </c>
      <c r="F6057" s="86">
        <f>H6047</f>
        <v>1.04E-2</v>
      </c>
      <c r="G6057" s="112" t="e">
        <f>F6057*E6057</f>
        <v>#VALUE!</v>
      </c>
      <c r="H6057" s="108"/>
    </row>
    <row r="6058" spans="1:15">
      <c r="A6058" s="517" t="s">
        <v>8</v>
      </c>
      <c r="B6058" s="549" t="e">
        <f>VLOOKUP(A6058,'Equip, Herr y Transp'!$B$2:$E$738,2,0)</f>
        <v>#N/A</v>
      </c>
      <c r="C6058" s="549"/>
      <c r="D6058" s="85" t="e">
        <f>VLOOKUP(A6058,'Equip, Herr y Transp'!$B$2:$E$217,2,0)</f>
        <v>#N/A</v>
      </c>
      <c r="E6058" s="85" t="e">
        <f>VLOOKUP(A6058,'Equip, Herr y Transp'!$B$2:$E$217,3,0)</f>
        <v>#N/A</v>
      </c>
      <c r="F6058" s="86">
        <f>H6047</f>
        <v>1.04E-2</v>
      </c>
      <c r="G6058" s="112" t="e">
        <f>F6058*E6058</f>
        <v>#N/A</v>
      </c>
      <c r="H6058" s="107"/>
    </row>
    <row r="6059" spans="1:15">
      <c r="A6059" s="517" t="s">
        <v>8</v>
      </c>
      <c r="B6059" s="549" t="e">
        <f>VLOOKUP(A6059,'Equip, Herr y Transp'!$B$2:$E$738,2,0)</f>
        <v>#N/A</v>
      </c>
      <c r="C6059" s="549"/>
      <c r="D6059" s="85" t="e">
        <f>VLOOKUP(A6059,'Equip, Herr y Transp'!$B$2:$E$217,2,0)</f>
        <v>#N/A</v>
      </c>
      <c r="E6059" s="85" t="e">
        <f>VLOOKUP(A6059,'Equip, Herr y Transp'!$B$2:$E$217,3,0)</f>
        <v>#N/A</v>
      </c>
      <c r="F6059" s="86">
        <f>H6047</f>
        <v>1.04E-2</v>
      </c>
      <c r="G6059" s="112" t="e">
        <f>F6059*E6059</f>
        <v>#N/A</v>
      </c>
      <c r="H6059" s="107"/>
    </row>
    <row r="6060" spans="1:15">
      <c r="A6060" s="517" t="s">
        <v>8</v>
      </c>
      <c r="B6060" s="549" t="e">
        <f>VLOOKUP(A6060,'Equip, Herr y Transp'!$B$2:$E$738,2,0)</f>
        <v>#N/A</v>
      </c>
      <c r="C6060" s="549"/>
      <c r="D6060" s="85" t="e">
        <f>VLOOKUP(A6060,'Equip, Herr y Transp'!$B$2:$E$217,2,0)</f>
        <v>#N/A</v>
      </c>
      <c r="E6060" s="85" t="e">
        <f>VLOOKUP(A6060,'Equip, Herr y Transp'!$B$2:$E$217,3,0)</f>
        <v>#N/A</v>
      </c>
      <c r="F6060" s="86">
        <f>H6047</f>
        <v>1.04E-2</v>
      </c>
      <c r="G6060" s="112" t="e">
        <f>F6060*E6060</f>
        <v>#N/A</v>
      </c>
      <c r="H6060" s="107"/>
    </row>
    <row r="6061" spans="1:15">
      <c r="A6061" s="520" t="s">
        <v>4099</v>
      </c>
      <c r="B6061" s="521"/>
      <c r="C6061" s="521"/>
      <c r="D6061" s="521"/>
      <c r="E6061" s="521"/>
      <c r="F6061" s="521"/>
      <c r="G6061" s="521"/>
      <c r="H6061" s="87" t="e">
        <f>SUM(G6057:G6060)</f>
        <v>#VALUE!</v>
      </c>
    </row>
    <row r="6062" spans="1:15">
      <c r="A6062" s="550" t="s">
        <v>4219</v>
      </c>
      <c r="B6062" s="551"/>
      <c r="C6062" s="551"/>
      <c r="D6062" s="551"/>
      <c r="E6062" s="551"/>
      <c r="F6062" s="551"/>
      <c r="G6062" s="551"/>
      <c r="H6062" s="552"/>
      <c r="K6062" s="50"/>
      <c r="L6062" s="50"/>
      <c r="M6062" s="50"/>
      <c r="N6062" s="50"/>
      <c r="O6062" s="50"/>
    </row>
    <row r="6063" spans="1:15" ht="30" customHeight="1">
      <c r="A6063" s="553" t="s">
        <v>7</v>
      </c>
      <c r="B6063" s="554"/>
      <c r="C6063" s="99" t="s">
        <v>0</v>
      </c>
      <c r="D6063" s="100" t="s">
        <v>4097</v>
      </c>
      <c r="E6063" s="101" t="s">
        <v>1</v>
      </c>
      <c r="F6063" s="555" t="s">
        <v>4207</v>
      </c>
      <c r="G6063" s="555"/>
      <c r="H6063" s="196"/>
      <c r="K6063" s="50"/>
      <c r="L6063" s="50"/>
      <c r="M6063" s="50"/>
      <c r="N6063" s="50"/>
      <c r="O6063" s="50"/>
    </row>
    <row r="6064" spans="1:15">
      <c r="A6064" s="535" t="s">
        <v>4638</v>
      </c>
      <c r="B6064" s="536"/>
      <c r="C6064" s="88">
        <f>VLOOKUP(A6064,'Materiales '!$C$2:$G$396,3,0)</f>
        <v>2</v>
      </c>
      <c r="D6064" s="89" t="str">
        <f>VLOOKUP(A6064,'Materiales '!$C$2:$G$396,4,0)</f>
        <v>Ml</v>
      </c>
      <c r="E6064" s="90">
        <v>3</v>
      </c>
      <c r="F6064" s="508" t="e">
        <f>E6064*D6064</f>
        <v>#VALUE!</v>
      </c>
      <c r="G6064" s="519"/>
      <c r="H6064" s="111"/>
      <c r="I6064">
        <f>E6064*G6054</f>
        <v>0</v>
      </c>
      <c r="J6064" s="57"/>
      <c r="K6064" s="50"/>
      <c r="L6064" s="50"/>
      <c r="M6064" s="50"/>
      <c r="N6064" s="50"/>
      <c r="O6064" s="50"/>
    </row>
    <row r="6065" spans="1:15">
      <c r="A6065" s="535" t="s">
        <v>8</v>
      </c>
      <c r="B6065" s="536"/>
      <c r="C6065" s="88">
        <f>VLOOKUP(A6065,'Materiales '!$C$2:$G$396,3,0)</f>
        <v>0</v>
      </c>
      <c r="D6065" s="89" t="str">
        <f>VLOOKUP(A6065,'Materiales '!$C$2:$G$396,4,0)</f>
        <v>-</v>
      </c>
      <c r="E6065" s="90"/>
      <c r="F6065" s="508" t="e">
        <f t="shared" ref="F6065:F6071" si="355">E6065*D6065</f>
        <v>#VALUE!</v>
      </c>
      <c r="G6065" s="519"/>
      <c r="H6065" s="111"/>
      <c r="I6065">
        <f>E6065*G6054</f>
        <v>0</v>
      </c>
      <c r="J6065" s="57"/>
      <c r="K6065" s="50"/>
      <c r="L6065" s="50"/>
      <c r="M6065" s="50"/>
      <c r="N6065" s="50"/>
      <c r="O6065" s="50"/>
    </row>
    <row r="6066" spans="1:15">
      <c r="A6066" s="517" t="s">
        <v>8</v>
      </c>
      <c r="B6066" s="518">
        <f>VLOOKUP(A6066,'Materiales '!$C$2:$G$396,3,0)</f>
        <v>0</v>
      </c>
      <c r="C6066" s="88">
        <f>VLOOKUP(A6066,'Materiales '!$C$2:$G$396,3,0)</f>
        <v>0</v>
      </c>
      <c r="D6066" s="89" t="str">
        <f>VLOOKUP(A6066,'Materiales '!$C$2:$G$396,4,0)</f>
        <v>-</v>
      </c>
      <c r="E6066" s="90"/>
      <c r="F6066" s="508" t="e">
        <f t="shared" si="355"/>
        <v>#VALUE!</v>
      </c>
      <c r="G6066" s="519"/>
      <c r="H6066" s="111"/>
      <c r="I6066">
        <f>E6066*G6054</f>
        <v>0</v>
      </c>
      <c r="J6066" s="58"/>
      <c r="K6066" s="50"/>
      <c r="L6066" s="50"/>
      <c r="M6066" s="50"/>
      <c r="N6066" s="50"/>
      <c r="O6066" s="50"/>
    </row>
    <row r="6067" spans="1:15">
      <c r="A6067" s="517" t="s">
        <v>8</v>
      </c>
      <c r="B6067" s="518">
        <f>VLOOKUP(A6067,'Materiales '!$C$2:$G$396,3,0)</f>
        <v>0</v>
      </c>
      <c r="C6067" s="88">
        <f>VLOOKUP(A6067,'Materiales '!$C$2:$G$396,3,0)</f>
        <v>0</v>
      </c>
      <c r="D6067" s="89" t="str">
        <f>VLOOKUP(A6067,'Materiales '!$C$2:$G$396,4,0)</f>
        <v>-</v>
      </c>
      <c r="E6067" s="90"/>
      <c r="F6067" s="508" t="e">
        <f t="shared" si="355"/>
        <v>#VALUE!</v>
      </c>
      <c r="G6067" s="519"/>
      <c r="H6067" s="111"/>
      <c r="I6067">
        <f>E6067*G6054</f>
        <v>0</v>
      </c>
      <c r="J6067" s="58"/>
      <c r="K6067" s="50"/>
      <c r="L6067" s="50"/>
      <c r="M6067" s="50"/>
      <c r="N6067" s="50"/>
      <c r="O6067" s="50"/>
    </row>
    <row r="6068" spans="1:15">
      <c r="A6068" s="517" t="s">
        <v>8</v>
      </c>
      <c r="B6068" s="518">
        <f>VLOOKUP(A6068,'Materiales '!$C$2:$G$396,3,0)</f>
        <v>0</v>
      </c>
      <c r="C6068" s="88">
        <f>VLOOKUP(A6068,'Materiales '!$C$2:$G$396,3,0)</f>
        <v>0</v>
      </c>
      <c r="D6068" s="89" t="str">
        <f>VLOOKUP(A6068,'Materiales '!$C$2:$G$396,4,0)</f>
        <v>-</v>
      </c>
      <c r="E6068" s="90"/>
      <c r="F6068" s="508" t="e">
        <f t="shared" si="355"/>
        <v>#VALUE!</v>
      </c>
      <c r="G6068" s="519"/>
      <c r="H6068" s="111"/>
      <c r="I6068">
        <f>E6068*G6054</f>
        <v>0</v>
      </c>
      <c r="J6068" s="58"/>
      <c r="K6068" s="50"/>
      <c r="L6068" s="50"/>
      <c r="M6068" s="50"/>
      <c r="N6068" s="50"/>
      <c r="O6068" s="50"/>
    </row>
    <row r="6069" spans="1:15">
      <c r="A6069" s="517" t="s">
        <v>8</v>
      </c>
      <c r="B6069" s="518">
        <f>VLOOKUP(A6069,'Materiales '!$C$2:$G$396,3,0)</f>
        <v>0</v>
      </c>
      <c r="C6069" s="88">
        <f>VLOOKUP(A6069,'Materiales '!$C$2:$G$396,3,0)</f>
        <v>0</v>
      </c>
      <c r="D6069" s="89" t="str">
        <f>VLOOKUP(A6069,'Materiales '!$C$2:$G$396,4,0)</f>
        <v>-</v>
      </c>
      <c r="E6069" s="90"/>
      <c r="F6069" s="508" t="e">
        <f t="shared" si="355"/>
        <v>#VALUE!</v>
      </c>
      <c r="G6069" s="519"/>
      <c r="H6069" s="111"/>
      <c r="I6069">
        <f>E6069*G6054</f>
        <v>0</v>
      </c>
      <c r="J6069" s="58"/>
      <c r="K6069" s="50"/>
      <c r="L6069" s="50"/>
      <c r="M6069" s="50"/>
      <c r="N6069" s="50"/>
      <c r="O6069" s="50"/>
    </row>
    <row r="6070" spans="1:15">
      <c r="A6070" s="517" t="s">
        <v>8</v>
      </c>
      <c r="B6070" s="518">
        <f>VLOOKUP(A6070,'Materiales '!$C$2:$G$396,3,0)</f>
        <v>0</v>
      </c>
      <c r="C6070" s="88">
        <f>VLOOKUP(A6070,'Materiales '!$C$2:$G$396,3,0)</f>
        <v>0</v>
      </c>
      <c r="D6070" s="89" t="str">
        <f>VLOOKUP(A6070,'Materiales '!$C$2:$G$396,4,0)</f>
        <v>-</v>
      </c>
      <c r="E6070" s="90"/>
      <c r="F6070" s="508" t="e">
        <f t="shared" si="355"/>
        <v>#VALUE!</v>
      </c>
      <c r="G6070" s="519"/>
      <c r="H6070" s="111"/>
      <c r="I6070">
        <f>E6070*G6054</f>
        <v>0</v>
      </c>
      <c r="J6070" s="58"/>
      <c r="K6070" s="50"/>
      <c r="L6070" s="50"/>
      <c r="M6070" s="50"/>
      <c r="N6070" s="50"/>
      <c r="O6070" s="50"/>
    </row>
    <row r="6071" spans="1:15" ht="21.75" customHeight="1">
      <c r="A6071" s="517" t="s">
        <v>8</v>
      </c>
      <c r="B6071" s="518">
        <f>VLOOKUP(A6071,'Materiales '!$C$2:$G$396,3,0)</f>
        <v>0</v>
      </c>
      <c r="C6071" s="88">
        <f>VLOOKUP(A6071,'Materiales '!$C$2:$G$396,3,0)</f>
        <v>0</v>
      </c>
      <c r="D6071" s="89" t="str">
        <f>VLOOKUP(A6071,'Materiales '!$C$2:$G$396,4,0)</f>
        <v>-</v>
      </c>
      <c r="E6071" s="90"/>
      <c r="F6071" s="508" t="e">
        <f t="shared" si="355"/>
        <v>#VALUE!</v>
      </c>
      <c r="G6071" s="519"/>
      <c r="H6071" s="111"/>
      <c r="I6071">
        <f>E6071*G6054</f>
        <v>0</v>
      </c>
      <c r="J6071" s="58"/>
      <c r="K6071" s="50"/>
      <c r="L6071" s="50"/>
      <c r="M6071" s="50"/>
      <c r="N6071" s="50"/>
      <c r="O6071" s="50"/>
    </row>
    <row r="6072" spans="1:15">
      <c r="A6072" s="517" t="s">
        <v>8</v>
      </c>
      <c r="B6072" s="518">
        <f>VLOOKUP(A6072,'Materiales '!$C$2:$G$396,3,0)</f>
        <v>0</v>
      </c>
      <c r="C6072" s="88">
        <f>VLOOKUP(A6072,'Materiales '!$C$2:$G$396,3,0)</f>
        <v>0</v>
      </c>
      <c r="D6072" s="89" t="str">
        <f>VLOOKUP(A6072,'Materiales '!$C$2:$G$396,4,0)</f>
        <v>-</v>
      </c>
      <c r="E6072" s="90"/>
      <c r="F6072" s="508" t="e">
        <f>E6072*D6072</f>
        <v>#VALUE!</v>
      </c>
      <c r="G6072" s="519"/>
      <c r="H6072" s="110"/>
      <c r="I6072">
        <f>E6072*G6054</f>
        <v>0</v>
      </c>
      <c r="J6072" s="58"/>
      <c r="K6072" s="50"/>
      <c r="L6072" s="50"/>
      <c r="M6072" s="50"/>
      <c r="N6072" s="50"/>
      <c r="O6072" s="50"/>
    </row>
    <row r="6073" spans="1:15">
      <c r="A6073" s="517" t="s">
        <v>8</v>
      </c>
      <c r="B6073" s="518">
        <f>VLOOKUP(A6073,'Materiales '!$C$2:$G$396,3,0)</f>
        <v>0</v>
      </c>
      <c r="C6073" s="88">
        <f>VLOOKUP(A6073,'Materiales '!$C$2:$G$396,3,0)</f>
        <v>0</v>
      </c>
      <c r="D6073" s="89" t="str">
        <f>VLOOKUP(A6073,'Materiales '!$C$2:$G$396,4,0)</f>
        <v>-</v>
      </c>
      <c r="E6073" s="90"/>
      <c r="F6073" s="508" t="e">
        <f t="shared" ref="F6073:F6076" si="356">E6073*D6073</f>
        <v>#VALUE!</v>
      </c>
      <c r="G6073" s="519"/>
      <c r="H6073" s="111"/>
      <c r="I6073">
        <f>E6073*G6054</f>
        <v>0</v>
      </c>
      <c r="J6073" s="58"/>
      <c r="K6073" s="50"/>
      <c r="L6073" s="50"/>
      <c r="M6073" s="50"/>
      <c r="N6073" s="50"/>
      <c r="O6073" s="50"/>
    </row>
    <row r="6074" spans="1:15">
      <c r="A6074" s="517" t="s">
        <v>8</v>
      </c>
      <c r="B6074" s="518">
        <f>VLOOKUP(A6074,'Materiales '!$C$2:$G$396,3,0)</f>
        <v>0</v>
      </c>
      <c r="C6074" s="88">
        <f>VLOOKUP(A6074,'Materiales '!$C$2:$G$396,3,0)</f>
        <v>0</v>
      </c>
      <c r="D6074" s="89" t="str">
        <f>VLOOKUP(A6074,'Materiales '!$C$2:$G$396,4,0)</f>
        <v>-</v>
      </c>
      <c r="E6074" s="90"/>
      <c r="F6074" s="508" t="e">
        <f t="shared" si="356"/>
        <v>#VALUE!</v>
      </c>
      <c r="G6074" s="519"/>
      <c r="H6074" s="111"/>
      <c r="I6074">
        <f>E6074*G6054</f>
        <v>0</v>
      </c>
      <c r="J6074" s="58"/>
      <c r="K6074" s="50"/>
      <c r="L6074" s="50"/>
      <c r="M6074" s="50"/>
      <c r="N6074" s="50"/>
      <c r="O6074" s="50"/>
    </row>
    <row r="6075" spans="1:15">
      <c r="A6075" s="517" t="s">
        <v>8</v>
      </c>
      <c r="B6075" s="518">
        <f>VLOOKUP(A6075,'Materiales '!$C$2:$G$396,3,0)</f>
        <v>0</v>
      </c>
      <c r="C6075" s="88">
        <f>VLOOKUP(A6075,'Materiales '!$C$2:$G$396,3,0)</f>
        <v>0</v>
      </c>
      <c r="D6075" s="89" t="str">
        <f>VLOOKUP(A6075,'Materiales '!$C$2:$G$396,4,0)</f>
        <v>-</v>
      </c>
      <c r="E6075" s="90"/>
      <c r="F6075" s="508" t="e">
        <f t="shared" si="356"/>
        <v>#VALUE!</v>
      </c>
      <c r="G6075" s="519"/>
      <c r="H6075" s="111"/>
      <c r="I6075">
        <f>E6075*G6054</f>
        <v>0</v>
      </c>
      <c r="J6075" s="58"/>
      <c r="K6075" s="50"/>
      <c r="L6075" s="50"/>
      <c r="M6075" s="50"/>
      <c r="N6075" s="50"/>
      <c r="O6075" s="50"/>
    </row>
    <row r="6076" spans="1:15">
      <c r="A6076" s="517" t="s">
        <v>8</v>
      </c>
      <c r="B6076" s="518">
        <f>VLOOKUP(A6076,'Materiales '!$C$2:$G$396,3,0)</f>
        <v>0</v>
      </c>
      <c r="C6076" s="88">
        <f>VLOOKUP(A6076,'Materiales '!$C$2:$G$396,3,0)</f>
        <v>0</v>
      </c>
      <c r="D6076" s="89" t="str">
        <f>VLOOKUP(A6076,'Materiales '!$C$2:$G$396,4,0)</f>
        <v>-</v>
      </c>
      <c r="E6076" s="90"/>
      <c r="F6076" s="508" t="e">
        <f t="shared" si="356"/>
        <v>#VALUE!</v>
      </c>
      <c r="G6076" s="519"/>
      <c r="H6076" s="111"/>
      <c r="I6076">
        <f>E6076*G6054</f>
        <v>0</v>
      </c>
      <c r="J6076" s="58"/>
      <c r="K6076" s="50"/>
      <c r="L6076" s="50"/>
      <c r="M6076" s="50"/>
      <c r="N6076" s="50"/>
      <c r="O6076" s="50"/>
    </row>
    <row r="6077" spans="1:15">
      <c r="A6077" s="517" t="s">
        <v>8</v>
      </c>
      <c r="B6077" s="518">
        <f>VLOOKUP(A6077,'Materiales '!$C$2:$G$396,3,0)</f>
        <v>0</v>
      </c>
      <c r="C6077" s="88">
        <f>VLOOKUP(A6077,'Materiales '!$C$2:$G$396,3,0)</f>
        <v>0</v>
      </c>
      <c r="D6077" s="89" t="str">
        <f>VLOOKUP(A6077,'Materiales '!$C$2:$G$396,4,0)</f>
        <v>-</v>
      </c>
      <c r="E6077" s="90"/>
      <c r="F6077" s="508" t="e">
        <f>E6077*D6077</f>
        <v>#VALUE!</v>
      </c>
      <c r="G6077" s="519"/>
      <c r="H6077" s="110"/>
      <c r="I6077">
        <f>E6077*G6054</f>
        <v>0</v>
      </c>
      <c r="J6077" s="58"/>
      <c r="K6077" s="50"/>
      <c r="L6077" s="50"/>
      <c r="M6077" s="50"/>
      <c r="N6077" s="50"/>
      <c r="O6077" s="50"/>
    </row>
    <row r="6078" spans="1:15">
      <c r="A6078" s="520" t="s">
        <v>4098</v>
      </c>
      <c r="B6078" s="521"/>
      <c r="C6078" s="521"/>
      <c r="D6078" s="521"/>
      <c r="E6078" s="521"/>
      <c r="F6078" s="521"/>
      <c r="G6078" s="522"/>
      <c r="H6078" s="106" t="e">
        <f>SUM(F6064:F6077)</f>
        <v>#VALUE!</v>
      </c>
      <c r="J6078" s="58"/>
      <c r="K6078" s="50"/>
      <c r="L6078" s="50"/>
      <c r="M6078" s="50"/>
      <c r="N6078" s="50"/>
      <c r="O6078" s="50"/>
    </row>
    <row r="6079" spans="1:15">
      <c r="A6079" s="523" t="s">
        <v>4220</v>
      </c>
      <c r="B6079" s="524"/>
      <c r="C6079" s="524"/>
      <c r="D6079" s="524"/>
      <c r="E6079" s="525"/>
      <c r="F6079" s="524"/>
      <c r="G6079" s="524"/>
      <c r="H6079" s="526"/>
      <c r="J6079" s="58"/>
      <c r="K6079" s="50"/>
      <c r="L6079" s="50"/>
      <c r="M6079" s="50"/>
      <c r="N6079" s="50"/>
      <c r="O6079" s="50"/>
    </row>
    <row r="6080" spans="1:15">
      <c r="A6080" s="527" t="s">
        <v>7</v>
      </c>
      <c r="B6080" s="528"/>
      <c r="C6080" s="98" t="s">
        <v>4221</v>
      </c>
      <c r="D6080" s="97" t="s">
        <v>4222</v>
      </c>
      <c r="E6080" s="187" t="s">
        <v>4223</v>
      </c>
      <c r="F6080" s="529" t="s">
        <v>4207</v>
      </c>
      <c r="G6080" s="529"/>
      <c r="H6080" s="109"/>
      <c r="K6080" s="50"/>
      <c r="L6080" s="50"/>
      <c r="M6080" s="50"/>
      <c r="N6080" s="50"/>
      <c r="O6080" s="50"/>
    </row>
    <row r="6081" spans="1:13">
      <c r="A6081" s="506" t="s">
        <v>3928</v>
      </c>
      <c r="B6081" s="507"/>
      <c r="C6081" s="213">
        <v>1</v>
      </c>
      <c r="D6081" s="92">
        <v>5.0000000000000001E-3</v>
      </c>
      <c r="E6081" s="93" t="str">
        <f>VLOOKUP(A6081,'Equip, Herr y Transp'!$B$2:$E$217,3,0)</f>
        <v>TR</v>
      </c>
      <c r="F6081" s="530" t="e">
        <f>E6081*D6081*C6081</f>
        <v>#VALUE!</v>
      </c>
      <c r="G6081" s="531"/>
      <c r="H6081" s="107"/>
      <c r="M6081" s="50"/>
    </row>
    <row r="6082" spans="1:13">
      <c r="A6082" s="532" t="s">
        <v>4205</v>
      </c>
      <c r="B6082" s="533"/>
      <c r="C6082" s="533"/>
      <c r="D6082" s="533"/>
      <c r="E6082" s="533"/>
      <c r="F6082" s="533"/>
      <c r="G6082" s="533"/>
      <c r="H6082" s="95" t="e">
        <f>F6081</f>
        <v>#VALUE!</v>
      </c>
    </row>
    <row r="6083" spans="1:13">
      <c r="A6083" s="523" t="s">
        <v>4224</v>
      </c>
      <c r="B6083" s="524"/>
      <c r="C6083" s="524"/>
      <c r="D6083" s="524"/>
      <c r="E6083" s="524"/>
      <c r="F6083" s="524"/>
      <c r="G6083" s="524"/>
      <c r="H6083" s="526"/>
    </row>
    <row r="6084" spans="1:13">
      <c r="A6084" s="527" t="s">
        <v>7</v>
      </c>
      <c r="B6084" s="528"/>
      <c r="C6084" s="96" t="s">
        <v>1</v>
      </c>
      <c r="D6084" s="97" t="s">
        <v>4225</v>
      </c>
      <c r="E6084" s="98" t="s">
        <v>4204</v>
      </c>
      <c r="F6084" s="527" t="s">
        <v>5</v>
      </c>
      <c r="G6084" s="534"/>
      <c r="H6084" s="109"/>
    </row>
    <row r="6085" spans="1:13">
      <c r="A6085" s="506" t="s">
        <v>4191</v>
      </c>
      <c r="B6085" s="507"/>
      <c r="C6085" s="91">
        <v>1</v>
      </c>
      <c r="D6085" s="94">
        <f>VLOOKUP(A6085,'Mano Obra'!$B$2:$T$117,19,0)</f>
        <v>152456</v>
      </c>
      <c r="E6085" s="218">
        <f>H6047</f>
        <v>1.04E-2</v>
      </c>
      <c r="F6085" s="508">
        <f>E6085*D6085*C6085</f>
        <v>1585.5423999999998</v>
      </c>
      <c r="G6085" s="509"/>
      <c r="H6085" s="111"/>
      <c r="I6085" s="59"/>
      <c r="J6085" s="117">
        <f>((('Mano Obra'!$M$4/30)*F6085)/D6085)*G6054</f>
        <v>0</v>
      </c>
    </row>
    <row r="6086" spans="1:13">
      <c r="A6086" s="510" t="s">
        <v>4192</v>
      </c>
      <c r="B6086" s="511">
        <f>VLOOKUP(A6086,'Mano Obra'!$B$3:$D$290,2,0)</f>
        <v>1900000</v>
      </c>
      <c r="C6086" s="91">
        <v>1</v>
      </c>
      <c r="D6086" s="94">
        <f>VLOOKUP(A6086,'Mano Obra'!$B$2:$T$117,19,0)</f>
        <v>110488</v>
      </c>
      <c r="E6086" s="218">
        <f>H6047</f>
        <v>1.04E-2</v>
      </c>
      <c r="F6086" s="508">
        <f t="shared" ref="F6086:F6087" si="357">E6086*D6086*C6086</f>
        <v>1149.0752</v>
      </c>
      <c r="G6086" s="509"/>
      <c r="H6086" s="111"/>
      <c r="J6086" s="117">
        <f>((('Mano Obra'!$M$5/30)*F6086)/D6086)*G6054</f>
        <v>0</v>
      </c>
    </row>
    <row r="6087" spans="1:13">
      <c r="A6087" s="510" t="s">
        <v>4181</v>
      </c>
      <c r="B6087" s="511">
        <f>VLOOKUP(A6087,'Mano Obra'!$B$3:$D$290,2,0)</f>
        <v>1000000</v>
      </c>
      <c r="C6087" s="91">
        <v>1</v>
      </c>
      <c r="D6087" s="94">
        <f>VLOOKUP(A6087,'Mano Obra'!$B$2:$T$117,19,0)</f>
        <v>67424</v>
      </c>
      <c r="E6087" s="218">
        <f>H6047</f>
        <v>1.04E-2</v>
      </c>
      <c r="F6087" s="508">
        <f t="shared" si="357"/>
        <v>701.20960000000002</v>
      </c>
      <c r="G6087" s="509"/>
      <c r="H6087" s="110"/>
      <c r="J6087" s="117">
        <f>((('Mano Obra'!$M$6/30)*F6087)/D6087)*G6054</f>
        <v>0</v>
      </c>
    </row>
    <row r="6088" spans="1:13">
      <c r="A6088" s="512" t="s">
        <v>4100</v>
      </c>
      <c r="B6088" s="512"/>
      <c r="C6088" s="512"/>
      <c r="D6088" s="512"/>
      <c r="E6088" s="512"/>
      <c r="F6088" s="512"/>
      <c r="G6088" s="512"/>
      <c r="H6088" s="95">
        <f>SUM(F6085:F6087)</f>
        <v>3435.8271999999997</v>
      </c>
      <c r="J6088" s="117"/>
    </row>
    <row r="6089" spans="1:13">
      <c r="A6089" s="208" t="s">
        <v>4226</v>
      </c>
      <c r="B6089" s="186"/>
      <c r="C6089" s="186"/>
      <c r="D6089" s="183"/>
      <c r="E6089" s="184"/>
      <c r="F6089" s="185"/>
      <c r="G6089" s="184"/>
      <c r="H6089" s="193"/>
    </row>
    <row r="6090" spans="1:13">
      <c r="A6090" s="513" t="s">
        <v>4213</v>
      </c>
      <c r="B6090" s="514"/>
      <c r="C6090" s="514"/>
      <c r="D6090" s="514"/>
      <c r="E6090" s="181"/>
      <c r="F6090" s="182" t="s">
        <v>4227</v>
      </c>
      <c r="G6090" s="181" t="s">
        <v>4228</v>
      </c>
      <c r="H6090" s="194"/>
    </row>
    <row r="6091" spans="1:13">
      <c r="A6091" s="204" t="s">
        <v>4096</v>
      </c>
      <c r="B6091" s="62"/>
      <c r="C6091" s="62"/>
      <c r="D6091" s="63"/>
      <c r="E6091" s="68"/>
      <c r="F6091" s="69">
        <v>0</v>
      </c>
      <c r="G6091" s="70" t="e">
        <f>F6091*H6055</f>
        <v>#VALUE!</v>
      </c>
      <c r="H6091" s="193"/>
    </row>
    <row r="6092" spans="1:13">
      <c r="A6092" s="205" t="s">
        <v>4229</v>
      </c>
      <c r="B6092" s="71"/>
      <c r="C6092" s="71"/>
      <c r="D6092" s="72"/>
      <c r="E6092" s="68"/>
      <c r="F6092" s="69">
        <v>0</v>
      </c>
      <c r="G6092" s="70" t="e">
        <f>F6092*H6055</f>
        <v>#VALUE!</v>
      </c>
      <c r="H6092" s="193"/>
    </row>
    <row r="6093" spans="1:13">
      <c r="A6093" s="205" t="s">
        <v>4</v>
      </c>
      <c r="B6093" s="71"/>
      <c r="C6093" s="71"/>
      <c r="D6093" s="72"/>
      <c r="E6093" s="68"/>
      <c r="F6093" s="69">
        <v>0</v>
      </c>
      <c r="G6093" s="70" t="e">
        <f>F6093*H6055</f>
        <v>#VALUE!</v>
      </c>
      <c r="H6093" s="193"/>
    </row>
    <row r="6094" spans="1:13">
      <c r="A6094" s="206"/>
      <c r="B6094" s="73"/>
      <c r="C6094" s="65"/>
      <c r="D6094" s="74"/>
      <c r="E6094" s="75"/>
      <c r="F6094" s="76"/>
      <c r="G6094" s="77"/>
      <c r="H6094" s="195"/>
    </row>
    <row r="6095" spans="1:13">
      <c r="A6095" s="207"/>
      <c r="B6095" s="73"/>
      <c r="C6095" s="73"/>
      <c r="D6095" s="74"/>
      <c r="E6095" s="78"/>
      <c r="F6095" s="515" t="s">
        <v>4230</v>
      </c>
      <c r="G6095" s="516"/>
      <c r="H6095" s="214" t="e">
        <f>H6055+G6091+G6092+G6093</f>
        <v>#VALUE!</v>
      </c>
    </row>
    <row r="6096" spans="1:13">
      <c r="A6096" s="73"/>
      <c r="B6096" s="73"/>
      <c r="C6096" s="73"/>
      <c r="D6096" s="74"/>
      <c r="E6096" s="360"/>
      <c r="F6096" s="361"/>
      <c r="G6096" s="361"/>
      <c r="H6096" s="362"/>
    </row>
    <row r="6097" spans="1:14">
      <c r="A6097" s="80"/>
      <c r="B6097" s="80"/>
      <c r="C6097" s="80"/>
      <c r="D6097" s="80"/>
      <c r="E6097" s="80"/>
      <c r="F6097" s="80"/>
      <c r="G6097" s="80"/>
      <c r="H6097" s="353"/>
    </row>
    <row r="6098" spans="1:14">
      <c r="A6098" s="537" t="s">
        <v>4214</v>
      </c>
      <c r="B6098" s="538"/>
      <c r="C6098" s="538"/>
      <c r="D6098" s="538"/>
      <c r="E6098" s="538"/>
      <c r="F6098" s="538"/>
      <c r="G6098" s="538"/>
      <c r="H6098" s="539"/>
    </row>
    <row r="6099" spans="1:14">
      <c r="A6099" s="81"/>
      <c r="B6099" s="82"/>
      <c r="C6099" s="82"/>
      <c r="D6099" s="82"/>
      <c r="E6099" s="82"/>
      <c r="F6099" s="83"/>
      <c r="G6099" s="84"/>
      <c r="H6099" s="352">
        <f>ROUND((4/60)/8,4)</f>
        <v>8.3000000000000001E-3</v>
      </c>
      <c r="I6099" s="105"/>
    </row>
    <row r="6100" spans="1:14">
      <c r="A6100" s="540" t="s">
        <v>4209</v>
      </c>
      <c r="B6100" s="542" t="str">
        <f>COSTOS!$C$14</f>
        <v>MODERNIZACION A TECNOLOGIA LED</v>
      </c>
      <c r="C6100" s="542"/>
      <c r="D6100" s="542"/>
      <c r="E6100" s="542"/>
      <c r="F6100" s="542"/>
      <c r="G6100" s="542"/>
      <c r="H6100" s="543" t="s">
        <v>4210</v>
      </c>
    </row>
    <row r="6101" spans="1:14">
      <c r="A6101" s="541"/>
      <c r="B6101" s="542"/>
      <c r="C6101" s="542"/>
      <c r="D6101" s="542"/>
      <c r="E6101" s="542"/>
      <c r="F6101" s="542"/>
      <c r="G6101" s="542"/>
      <c r="H6101" s="543"/>
    </row>
    <row r="6102" spans="1:14">
      <c r="A6102" s="541"/>
      <c r="B6102" s="542"/>
      <c r="C6102" s="542"/>
      <c r="D6102" s="542"/>
      <c r="E6102" s="542"/>
      <c r="F6102" s="542"/>
      <c r="G6102" s="542"/>
      <c r="H6102" s="543"/>
    </row>
    <row r="6103" spans="1:14" ht="15" customHeight="1">
      <c r="A6103" s="541"/>
      <c r="B6103" s="542"/>
      <c r="C6103" s="542"/>
      <c r="D6103" s="542"/>
      <c r="E6103" s="542"/>
      <c r="F6103" s="542"/>
      <c r="G6103" s="542"/>
      <c r="H6103" s="197">
        <f ca="1">TODAY()</f>
        <v>44889</v>
      </c>
      <c r="K6103" t="s">
        <v>4380</v>
      </c>
      <c r="L6103" t="s">
        <v>4381</v>
      </c>
      <c r="M6103" t="s">
        <v>4382</v>
      </c>
      <c r="N6103" t="s">
        <v>4383</v>
      </c>
    </row>
    <row r="6104" spans="1:14" ht="60.75" customHeight="1">
      <c r="A6104" s="209" t="s">
        <v>4211</v>
      </c>
      <c r="B6104" s="544" t="str">
        <f>COSTOS!$D$16</f>
        <v>Luminarias</v>
      </c>
      <c r="C6104" s="544"/>
      <c r="D6104" s="544"/>
      <c r="E6104" s="544"/>
      <c r="F6104" s="544"/>
      <c r="G6104" s="60" t="s">
        <v>4212</v>
      </c>
      <c r="H6104" s="359">
        <v>3.9</v>
      </c>
      <c r="K6104" s="55" t="e">
        <f>H6130</f>
        <v>#VALUE!</v>
      </c>
      <c r="L6104" s="55">
        <f>H6140</f>
        <v>2742.0544</v>
      </c>
      <c r="M6104" s="55" t="e">
        <f>H6113</f>
        <v>#VALUE!</v>
      </c>
      <c r="N6104" s="55" t="e">
        <f>H6134</f>
        <v>#VALUE!</v>
      </c>
    </row>
    <row r="6105" spans="1:14" ht="43.2" customHeight="1">
      <c r="A6105" s="210" t="s">
        <v>4213</v>
      </c>
      <c r="B6105" s="545" t="str">
        <f>VLOOKUP(H6104,COSTOS!C:M,2,0)</f>
        <v>Red canalizada en cable cobre 2 No 12 x 500m</v>
      </c>
      <c r="C6105" s="546"/>
      <c r="D6105" s="546"/>
      <c r="E6105" s="547"/>
      <c r="F6105" s="61" t="s">
        <v>0</v>
      </c>
      <c r="G6105" s="328" t="str">
        <f>VLOOKUP(H6104,COSTOS!C:M,8,0)</f>
        <v>Und</v>
      </c>
      <c r="H6105" s="248"/>
      <c r="I6105" s="278"/>
      <c r="J6105" s="280"/>
      <c r="K6105" s="280"/>
      <c r="L6105" s="280"/>
    </row>
    <row r="6106" spans="1:14">
      <c r="A6106" s="211"/>
      <c r="B6106" s="102"/>
      <c r="C6106" s="102"/>
      <c r="D6106" s="102"/>
      <c r="E6106" s="103"/>
      <c r="F6106" s="104" t="s">
        <v>1</v>
      </c>
      <c r="G6106" s="328">
        <f>VLOOKUP(H6104,COSTOS!C:M,9,0)</f>
        <v>0</v>
      </c>
      <c r="H6106" s="329"/>
      <c r="I6106" s="279"/>
    </row>
    <row r="6107" spans="1:14">
      <c r="A6107" s="212" t="s">
        <v>4215</v>
      </c>
      <c r="B6107" s="65"/>
      <c r="C6107" s="65"/>
      <c r="D6107" s="66"/>
      <c r="E6107" s="190"/>
      <c r="F6107" s="191"/>
      <c r="G6107" s="192" t="s">
        <v>4216</v>
      </c>
      <c r="H6107" s="198" t="e">
        <f>H6113+H6130+H6134+H6140</f>
        <v>#VALUE!</v>
      </c>
    </row>
    <row r="6108" spans="1:14" ht="41.4">
      <c r="A6108" s="548" t="s">
        <v>4213</v>
      </c>
      <c r="B6108" s="548"/>
      <c r="C6108" s="548"/>
      <c r="D6108" s="67" t="s">
        <v>0</v>
      </c>
      <c r="E6108" s="188" t="s">
        <v>4217</v>
      </c>
      <c r="F6108" s="189" t="s">
        <v>4204</v>
      </c>
      <c r="G6108" s="64" t="s">
        <v>2</v>
      </c>
      <c r="H6108" s="199" t="s">
        <v>4218</v>
      </c>
      <c r="K6108" s="281"/>
    </row>
    <row r="6109" spans="1:14">
      <c r="A6109" s="517" t="s">
        <v>3946</v>
      </c>
      <c r="B6109" s="549">
        <f>VLOOKUP(A6109,'Equip, Herr y Transp'!$B$2:$E$738,2,0)</f>
        <v>2</v>
      </c>
      <c r="C6109" s="549"/>
      <c r="D6109" s="85">
        <f>VLOOKUP(A6109,'Equip, Herr y Transp'!$B$2:$E$217,2,0)</f>
        <v>2</v>
      </c>
      <c r="E6109" s="85" t="str">
        <f>VLOOKUP(A6109,'Equip, Herr y Transp'!$B$2:$E$217,3,0)</f>
        <v>EQU</v>
      </c>
      <c r="F6109" s="86">
        <f>H6099</f>
        <v>8.3000000000000001E-3</v>
      </c>
      <c r="G6109" s="112" t="e">
        <f>F6109*E6109</f>
        <v>#VALUE!</v>
      </c>
      <c r="H6109" s="108"/>
    </row>
    <row r="6110" spans="1:14">
      <c r="A6110" s="517" t="s">
        <v>8</v>
      </c>
      <c r="B6110" s="549" t="e">
        <f>VLOOKUP(A6110,'Equip, Herr y Transp'!$B$2:$E$738,2,0)</f>
        <v>#N/A</v>
      </c>
      <c r="C6110" s="549"/>
      <c r="D6110" s="85" t="e">
        <f>VLOOKUP(A6110,'Equip, Herr y Transp'!$B$2:$E$217,2,0)</f>
        <v>#N/A</v>
      </c>
      <c r="E6110" s="85" t="e">
        <f>VLOOKUP(A6110,'Equip, Herr y Transp'!$B$2:$E$217,3,0)</f>
        <v>#N/A</v>
      </c>
      <c r="F6110" s="86">
        <f>H6099</f>
        <v>8.3000000000000001E-3</v>
      </c>
      <c r="G6110" s="112" t="e">
        <f>F6110*E6110</f>
        <v>#N/A</v>
      </c>
      <c r="H6110" s="107"/>
    </row>
    <row r="6111" spans="1:14">
      <c r="A6111" s="517" t="s">
        <v>8</v>
      </c>
      <c r="B6111" s="549" t="e">
        <f>VLOOKUP(A6111,'Equip, Herr y Transp'!$B$2:$E$738,2,0)</f>
        <v>#N/A</v>
      </c>
      <c r="C6111" s="549"/>
      <c r="D6111" s="85" t="e">
        <f>VLOOKUP(A6111,'Equip, Herr y Transp'!$B$2:$E$217,2,0)</f>
        <v>#N/A</v>
      </c>
      <c r="E6111" s="85" t="e">
        <f>VLOOKUP(A6111,'Equip, Herr y Transp'!$B$2:$E$217,3,0)</f>
        <v>#N/A</v>
      </c>
      <c r="F6111" s="86">
        <f>H6099</f>
        <v>8.3000000000000001E-3</v>
      </c>
      <c r="G6111" s="112" t="e">
        <f>F6111*E6111</f>
        <v>#N/A</v>
      </c>
      <c r="H6111" s="107"/>
    </row>
    <row r="6112" spans="1:14">
      <c r="A6112" s="517" t="s">
        <v>8</v>
      </c>
      <c r="B6112" s="549" t="e">
        <f>VLOOKUP(A6112,'Equip, Herr y Transp'!$B$2:$E$738,2,0)</f>
        <v>#N/A</v>
      </c>
      <c r="C6112" s="549"/>
      <c r="D6112" s="85" t="e">
        <f>VLOOKUP(A6112,'Equip, Herr y Transp'!$B$2:$E$217,2,0)</f>
        <v>#N/A</v>
      </c>
      <c r="E6112" s="85" t="e">
        <f>VLOOKUP(A6112,'Equip, Herr y Transp'!$B$2:$E$217,3,0)</f>
        <v>#N/A</v>
      </c>
      <c r="F6112" s="86">
        <f>H6099</f>
        <v>8.3000000000000001E-3</v>
      </c>
      <c r="G6112" s="112" t="e">
        <f>F6112*E6112</f>
        <v>#N/A</v>
      </c>
      <c r="H6112" s="107"/>
    </row>
    <row r="6113" spans="1:15">
      <c r="A6113" s="520" t="s">
        <v>4099</v>
      </c>
      <c r="B6113" s="521"/>
      <c r="C6113" s="521"/>
      <c r="D6113" s="521"/>
      <c r="E6113" s="521"/>
      <c r="F6113" s="521"/>
      <c r="G6113" s="521"/>
      <c r="H6113" s="87" t="e">
        <f>SUM(G6109:G6112)</f>
        <v>#VALUE!</v>
      </c>
    </row>
    <row r="6114" spans="1:15">
      <c r="A6114" s="550" t="s">
        <v>4219</v>
      </c>
      <c r="B6114" s="551"/>
      <c r="C6114" s="551"/>
      <c r="D6114" s="551"/>
      <c r="E6114" s="551"/>
      <c r="F6114" s="551"/>
      <c r="G6114" s="551"/>
      <c r="H6114" s="552"/>
      <c r="K6114" s="50"/>
      <c r="L6114" s="50"/>
      <c r="M6114" s="50"/>
      <c r="N6114" s="50"/>
      <c r="O6114" s="50"/>
    </row>
    <row r="6115" spans="1:15" ht="30" customHeight="1">
      <c r="A6115" s="553" t="s">
        <v>7</v>
      </c>
      <c r="B6115" s="554"/>
      <c r="C6115" s="99" t="s">
        <v>0</v>
      </c>
      <c r="D6115" s="100" t="s">
        <v>4097</v>
      </c>
      <c r="E6115" s="101" t="s">
        <v>1</v>
      </c>
      <c r="F6115" s="555" t="s">
        <v>4207</v>
      </c>
      <c r="G6115" s="555"/>
      <c r="H6115" s="196"/>
      <c r="K6115" s="50"/>
      <c r="L6115" s="50"/>
      <c r="M6115" s="50"/>
      <c r="N6115" s="50"/>
      <c r="O6115" s="50"/>
    </row>
    <row r="6116" spans="1:15">
      <c r="A6116" s="535" t="s">
        <v>4638</v>
      </c>
      <c r="B6116" s="536"/>
      <c r="C6116" s="88">
        <f>VLOOKUP(A6116,'Materiales '!$C$2:$G$396,3,0)</f>
        <v>2</v>
      </c>
      <c r="D6116" s="89" t="str">
        <f>VLOOKUP(A6116,'Materiales '!$C$2:$G$396,4,0)</f>
        <v>Ml</v>
      </c>
      <c r="E6116" s="90">
        <v>2</v>
      </c>
      <c r="F6116" s="508" t="e">
        <f>E6116*D6116</f>
        <v>#VALUE!</v>
      </c>
      <c r="G6116" s="519"/>
      <c r="H6116" s="111"/>
      <c r="I6116">
        <f>E6116*G6106</f>
        <v>0</v>
      </c>
      <c r="J6116" s="57"/>
      <c r="K6116" s="50"/>
      <c r="L6116" s="50"/>
      <c r="M6116" s="50"/>
      <c r="N6116" s="50"/>
      <c r="O6116" s="50"/>
    </row>
    <row r="6117" spans="1:15">
      <c r="A6117" s="535" t="s">
        <v>8</v>
      </c>
      <c r="B6117" s="536"/>
      <c r="C6117" s="88">
        <f>VLOOKUP(A6117,'Materiales '!$C$2:$G$396,3,0)</f>
        <v>0</v>
      </c>
      <c r="D6117" s="89" t="str">
        <f>VLOOKUP(A6117,'Materiales '!$C$2:$G$396,4,0)</f>
        <v>-</v>
      </c>
      <c r="E6117" s="90"/>
      <c r="F6117" s="508" t="e">
        <f t="shared" ref="F6117:F6123" si="358">E6117*D6117</f>
        <v>#VALUE!</v>
      </c>
      <c r="G6117" s="519"/>
      <c r="H6117" s="111"/>
      <c r="I6117">
        <f>E6117*G6106</f>
        <v>0</v>
      </c>
      <c r="J6117" s="57"/>
      <c r="K6117" s="50"/>
      <c r="L6117" s="50"/>
      <c r="M6117" s="50"/>
      <c r="N6117" s="50"/>
      <c r="O6117" s="50"/>
    </row>
    <row r="6118" spans="1:15">
      <c r="A6118" s="517" t="s">
        <v>8</v>
      </c>
      <c r="B6118" s="518">
        <f>VLOOKUP(A6118,'Materiales '!$C$2:$G$396,3,0)</f>
        <v>0</v>
      </c>
      <c r="C6118" s="88">
        <f>VLOOKUP(A6118,'Materiales '!$C$2:$G$396,3,0)</f>
        <v>0</v>
      </c>
      <c r="D6118" s="89" t="str">
        <f>VLOOKUP(A6118,'Materiales '!$C$2:$G$396,4,0)</f>
        <v>-</v>
      </c>
      <c r="E6118" s="90"/>
      <c r="F6118" s="508" t="e">
        <f t="shared" si="358"/>
        <v>#VALUE!</v>
      </c>
      <c r="G6118" s="519"/>
      <c r="H6118" s="111"/>
      <c r="I6118">
        <f>E6118*G6106</f>
        <v>0</v>
      </c>
      <c r="J6118" s="58"/>
      <c r="K6118" s="50"/>
      <c r="L6118" s="50"/>
      <c r="M6118" s="50"/>
      <c r="N6118" s="50"/>
      <c r="O6118" s="50"/>
    </row>
    <row r="6119" spans="1:15">
      <c r="A6119" s="517" t="s">
        <v>8</v>
      </c>
      <c r="B6119" s="518">
        <f>VLOOKUP(A6119,'Materiales '!$C$2:$G$396,3,0)</f>
        <v>0</v>
      </c>
      <c r="C6119" s="88">
        <f>VLOOKUP(A6119,'Materiales '!$C$2:$G$396,3,0)</f>
        <v>0</v>
      </c>
      <c r="D6119" s="89" t="str">
        <f>VLOOKUP(A6119,'Materiales '!$C$2:$G$396,4,0)</f>
        <v>-</v>
      </c>
      <c r="E6119" s="90"/>
      <c r="F6119" s="508" t="e">
        <f t="shared" si="358"/>
        <v>#VALUE!</v>
      </c>
      <c r="G6119" s="519"/>
      <c r="H6119" s="111"/>
      <c r="I6119">
        <f>E6119*G6106</f>
        <v>0</v>
      </c>
      <c r="J6119" s="58"/>
      <c r="K6119" s="50"/>
      <c r="L6119" s="50"/>
      <c r="M6119" s="50"/>
      <c r="N6119" s="50"/>
      <c r="O6119" s="50"/>
    </row>
    <row r="6120" spans="1:15">
      <c r="A6120" s="517" t="s">
        <v>8</v>
      </c>
      <c r="B6120" s="518">
        <f>VLOOKUP(A6120,'Materiales '!$C$2:$G$396,3,0)</f>
        <v>0</v>
      </c>
      <c r="C6120" s="88">
        <f>VLOOKUP(A6120,'Materiales '!$C$2:$G$396,3,0)</f>
        <v>0</v>
      </c>
      <c r="D6120" s="89" t="str">
        <f>VLOOKUP(A6120,'Materiales '!$C$2:$G$396,4,0)</f>
        <v>-</v>
      </c>
      <c r="E6120" s="90"/>
      <c r="F6120" s="508" t="e">
        <f t="shared" si="358"/>
        <v>#VALUE!</v>
      </c>
      <c r="G6120" s="519"/>
      <c r="H6120" s="111"/>
      <c r="I6120">
        <f>E6120*G6106</f>
        <v>0</v>
      </c>
      <c r="J6120" s="58"/>
      <c r="K6120" s="50"/>
      <c r="L6120" s="50"/>
      <c r="M6120" s="50"/>
      <c r="N6120" s="50"/>
      <c r="O6120" s="50"/>
    </row>
    <row r="6121" spans="1:15">
      <c r="A6121" s="517" t="s">
        <v>8</v>
      </c>
      <c r="B6121" s="518">
        <f>VLOOKUP(A6121,'Materiales '!$C$2:$G$396,3,0)</f>
        <v>0</v>
      </c>
      <c r="C6121" s="88">
        <f>VLOOKUP(A6121,'Materiales '!$C$2:$G$396,3,0)</f>
        <v>0</v>
      </c>
      <c r="D6121" s="89" t="str">
        <f>VLOOKUP(A6121,'Materiales '!$C$2:$G$396,4,0)</f>
        <v>-</v>
      </c>
      <c r="E6121" s="90"/>
      <c r="F6121" s="508" t="e">
        <f t="shared" si="358"/>
        <v>#VALUE!</v>
      </c>
      <c r="G6121" s="519"/>
      <c r="H6121" s="111"/>
      <c r="I6121">
        <f>E6121*G6106</f>
        <v>0</v>
      </c>
      <c r="J6121" s="58"/>
      <c r="K6121" s="50"/>
      <c r="L6121" s="50"/>
      <c r="M6121" s="50"/>
      <c r="N6121" s="50"/>
      <c r="O6121" s="50"/>
    </row>
    <row r="6122" spans="1:15">
      <c r="A6122" s="517" t="s">
        <v>8</v>
      </c>
      <c r="B6122" s="518">
        <f>VLOOKUP(A6122,'Materiales '!$C$2:$G$396,3,0)</f>
        <v>0</v>
      </c>
      <c r="C6122" s="88">
        <f>VLOOKUP(A6122,'Materiales '!$C$2:$G$396,3,0)</f>
        <v>0</v>
      </c>
      <c r="D6122" s="89" t="str">
        <f>VLOOKUP(A6122,'Materiales '!$C$2:$G$396,4,0)</f>
        <v>-</v>
      </c>
      <c r="E6122" s="90"/>
      <c r="F6122" s="508" t="e">
        <f t="shared" si="358"/>
        <v>#VALUE!</v>
      </c>
      <c r="G6122" s="519"/>
      <c r="H6122" s="111"/>
      <c r="I6122">
        <f>E6122*G6106</f>
        <v>0</v>
      </c>
      <c r="J6122" s="58"/>
      <c r="K6122" s="50"/>
      <c r="L6122" s="50"/>
      <c r="M6122" s="50"/>
      <c r="N6122" s="50"/>
      <c r="O6122" s="50"/>
    </row>
    <row r="6123" spans="1:15" ht="21.75" customHeight="1">
      <c r="A6123" s="517" t="s">
        <v>8</v>
      </c>
      <c r="B6123" s="518">
        <f>VLOOKUP(A6123,'Materiales '!$C$2:$G$396,3,0)</f>
        <v>0</v>
      </c>
      <c r="C6123" s="88">
        <f>VLOOKUP(A6123,'Materiales '!$C$2:$G$396,3,0)</f>
        <v>0</v>
      </c>
      <c r="D6123" s="89" t="str">
        <f>VLOOKUP(A6123,'Materiales '!$C$2:$G$396,4,0)</f>
        <v>-</v>
      </c>
      <c r="E6123" s="90"/>
      <c r="F6123" s="508" t="e">
        <f t="shared" si="358"/>
        <v>#VALUE!</v>
      </c>
      <c r="G6123" s="519"/>
      <c r="H6123" s="111"/>
      <c r="I6123">
        <f>E6123*G6106</f>
        <v>0</v>
      </c>
      <c r="J6123" s="58"/>
      <c r="K6123" s="50"/>
      <c r="L6123" s="50"/>
      <c r="M6123" s="50"/>
      <c r="N6123" s="50"/>
      <c r="O6123" s="50"/>
    </row>
    <row r="6124" spans="1:15">
      <c r="A6124" s="517" t="s">
        <v>8</v>
      </c>
      <c r="B6124" s="518">
        <f>VLOOKUP(A6124,'Materiales '!$C$2:$G$396,3,0)</f>
        <v>0</v>
      </c>
      <c r="C6124" s="88">
        <f>VLOOKUP(A6124,'Materiales '!$C$2:$G$396,3,0)</f>
        <v>0</v>
      </c>
      <c r="D6124" s="89" t="str">
        <f>VLOOKUP(A6124,'Materiales '!$C$2:$G$396,4,0)</f>
        <v>-</v>
      </c>
      <c r="E6124" s="90"/>
      <c r="F6124" s="508" t="e">
        <f>E6124*D6124</f>
        <v>#VALUE!</v>
      </c>
      <c r="G6124" s="519"/>
      <c r="H6124" s="110"/>
      <c r="I6124">
        <f>E6124*G6106</f>
        <v>0</v>
      </c>
      <c r="J6124" s="58"/>
      <c r="K6124" s="50"/>
      <c r="L6124" s="50"/>
      <c r="M6124" s="50"/>
      <c r="N6124" s="50"/>
      <c r="O6124" s="50"/>
    </row>
    <row r="6125" spans="1:15">
      <c r="A6125" s="517" t="s">
        <v>8</v>
      </c>
      <c r="B6125" s="518">
        <f>VLOOKUP(A6125,'Materiales '!$C$2:$G$396,3,0)</f>
        <v>0</v>
      </c>
      <c r="C6125" s="88">
        <f>VLOOKUP(A6125,'Materiales '!$C$2:$G$396,3,0)</f>
        <v>0</v>
      </c>
      <c r="D6125" s="89" t="str">
        <f>VLOOKUP(A6125,'Materiales '!$C$2:$G$396,4,0)</f>
        <v>-</v>
      </c>
      <c r="E6125" s="90"/>
      <c r="F6125" s="508" t="e">
        <f t="shared" ref="F6125:F6128" si="359">E6125*D6125</f>
        <v>#VALUE!</v>
      </c>
      <c r="G6125" s="519"/>
      <c r="H6125" s="111"/>
      <c r="I6125">
        <f>E6125*G6106</f>
        <v>0</v>
      </c>
      <c r="J6125" s="58"/>
      <c r="K6125" s="50"/>
      <c r="L6125" s="50"/>
      <c r="M6125" s="50"/>
      <c r="N6125" s="50"/>
      <c r="O6125" s="50"/>
    </row>
    <row r="6126" spans="1:15">
      <c r="A6126" s="517" t="s">
        <v>8</v>
      </c>
      <c r="B6126" s="518">
        <f>VLOOKUP(A6126,'Materiales '!$C$2:$G$396,3,0)</f>
        <v>0</v>
      </c>
      <c r="C6126" s="88">
        <f>VLOOKUP(A6126,'Materiales '!$C$2:$G$396,3,0)</f>
        <v>0</v>
      </c>
      <c r="D6126" s="89" t="str">
        <f>VLOOKUP(A6126,'Materiales '!$C$2:$G$396,4,0)</f>
        <v>-</v>
      </c>
      <c r="E6126" s="90"/>
      <c r="F6126" s="508" t="e">
        <f t="shared" si="359"/>
        <v>#VALUE!</v>
      </c>
      <c r="G6126" s="519"/>
      <c r="H6126" s="111"/>
      <c r="I6126">
        <f>E6126*G6106</f>
        <v>0</v>
      </c>
      <c r="J6126" s="58"/>
      <c r="K6126" s="50"/>
      <c r="L6126" s="50"/>
      <c r="M6126" s="50"/>
      <c r="N6126" s="50"/>
      <c r="O6126" s="50"/>
    </row>
    <row r="6127" spans="1:15">
      <c r="A6127" s="517" t="s">
        <v>8</v>
      </c>
      <c r="B6127" s="518">
        <f>VLOOKUP(A6127,'Materiales '!$C$2:$G$396,3,0)</f>
        <v>0</v>
      </c>
      <c r="C6127" s="88">
        <f>VLOOKUP(A6127,'Materiales '!$C$2:$G$396,3,0)</f>
        <v>0</v>
      </c>
      <c r="D6127" s="89" t="str">
        <f>VLOOKUP(A6127,'Materiales '!$C$2:$G$396,4,0)</f>
        <v>-</v>
      </c>
      <c r="E6127" s="90"/>
      <c r="F6127" s="508" t="e">
        <f t="shared" si="359"/>
        <v>#VALUE!</v>
      </c>
      <c r="G6127" s="519"/>
      <c r="H6127" s="111"/>
      <c r="I6127">
        <f>E6127*G6106</f>
        <v>0</v>
      </c>
      <c r="J6127" s="58"/>
      <c r="K6127" s="50"/>
      <c r="L6127" s="50"/>
      <c r="M6127" s="50"/>
      <c r="N6127" s="50"/>
      <c r="O6127" s="50"/>
    </row>
    <row r="6128" spans="1:15">
      <c r="A6128" s="517" t="s">
        <v>8</v>
      </c>
      <c r="B6128" s="518">
        <f>VLOOKUP(A6128,'Materiales '!$C$2:$G$396,3,0)</f>
        <v>0</v>
      </c>
      <c r="C6128" s="88">
        <f>VLOOKUP(A6128,'Materiales '!$C$2:$G$396,3,0)</f>
        <v>0</v>
      </c>
      <c r="D6128" s="89" t="str">
        <f>VLOOKUP(A6128,'Materiales '!$C$2:$G$396,4,0)</f>
        <v>-</v>
      </c>
      <c r="E6128" s="90"/>
      <c r="F6128" s="508" t="e">
        <f t="shared" si="359"/>
        <v>#VALUE!</v>
      </c>
      <c r="G6128" s="519"/>
      <c r="H6128" s="111"/>
      <c r="I6128">
        <f>E6128*G6106</f>
        <v>0</v>
      </c>
      <c r="J6128" s="58"/>
      <c r="K6128" s="50"/>
      <c r="L6128" s="50"/>
      <c r="M6128" s="50"/>
      <c r="N6128" s="50"/>
      <c r="O6128" s="50"/>
    </row>
    <row r="6129" spans="1:15">
      <c r="A6129" s="517" t="s">
        <v>8</v>
      </c>
      <c r="B6129" s="518">
        <f>VLOOKUP(A6129,'Materiales '!$C$2:$G$396,3,0)</f>
        <v>0</v>
      </c>
      <c r="C6129" s="88">
        <f>VLOOKUP(A6129,'Materiales '!$C$2:$G$396,3,0)</f>
        <v>0</v>
      </c>
      <c r="D6129" s="89" t="str">
        <f>VLOOKUP(A6129,'Materiales '!$C$2:$G$396,4,0)</f>
        <v>-</v>
      </c>
      <c r="E6129" s="90"/>
      <c r="F6129" s="508" t="e">
        <f>E6129*D6129</f>
        <v>#VALUE!</v>
      </c>
      <c r="G6129" s="519"/>
      <c r="H6129" s="110"/>
      <c r="I6129">
        <f>E6129*G6106</f>
        <v>0</v>
      </c>
      <c r="J6129" s="58"/>
      <c r="K6129" s="50"/>
      <c r="L6129" s="50"/>
      <c r="M6129" s="50"/>
      <c r="N6129" s="50"/>
      <c r="O6129" s="50"/>
    </row>
    <row r="6130" spans="1:15">
      <c r="A6130" s="520" t="s">
        <v>4098</v>
      </c>
      <c r="B6130" s="521"/>
      <c r="C6130" s="521"/>
      <c r="D6130" s="521"/>
      <c r="E6130" s="521"/>
      <c r="F6130" s="521"/>
      <c r="G6130" s="522"/>
      <c r="H6130" s="106" t="e">
        <f>SUM(F6116:F6129)</f>
        <v>#VALUE!</v>
      </c>
      <c r="J6130" s="58"/>
      <c r="K6130" s="50"/>
      <c r="L6130" s="50"/>
      <c r="M6130" s="50"/>
      <c r="N6130" s="50"/>
      <c r="O6130" s="50"/>
    </row>
    <row r="6131" spans="1:15">
      <c r="A6131" s="523" t="s">
        <v>4220</v>
      </c>
      <c r="B6131" s="524"/>
      <c r="C6131" s="524"/>
      <c r="D6131" s="524"/>
      <c r="E6131" s="525"/>
      <c r="F6131" s="524"/>
      <c r="G6131" s="524"/>
      <c r="H6131" s="526"/>
      <c r="J6131" s="58"/>
      <c r="K6131" s="50"/>
      <c r="L6131" s="50"/>
      <c r="M6131" s="50"/>
      <c r="N6131" s="50"/>
      <c r="O6131" s="50"/>
    </row>
    <row r="6132" spans="1:15">
      <c r="A6132" s="527" t="s">
        <v>7</v>
      </c>
      <c r="B6132" s="528"/>
      <c r="C6132" s="98" t="s">
        <v>4221</v>
      </c>
      <c r="D6132" s="97" t="s">
        <v>4222</v>
      </c>
      <c r="E6132" s="187" t="s">
        <v>4223</v>
      </c>
      <c r="F6132" s="529" t="s">
        <v>4207</v>
      </c>
      <c r="G6132" s="529"/>
      <c r="H6132" s="109"/>
      <c r="K6132" s="50"/>
      <c r="L6132" s="50"/>
      <c r="M6132" s="50"/>
      <c r="N6132" s="50"/>
      <c r="O6132" s="50"/>
    </row>
    <row r="6133" spans="1:15">
      <c r="A6133" s="506" t="s">
        <v>3928</v>
      </c>
      <c r="B6133" s="507"/>
      <c r="C6133" s="213">
        <v>1</v>
      </c>
      <c r="D6133" s="92">
        <v>5.0000000000000001E-3</v>
      </c>
      <c r="E6133" s="93" t="str">
        <f>VLOOKUP(A6133,'Equip, Herr y Transp'!$B$2:$E$217,3,0)</f>
        <v>TR</v>
      </c>
      <c r="F6133" s="530" t="e">
        <f>E6133*D6133*C6133</f>
        <v>#VALUE!</v>
      </c>
      <c r="G6133" s="531"/>
      <c r="H6133" s="107"/>
      <c r="M6133" s="50"/>
    </row>
    <row r="6134" spans="1:15">
      <c r="A6134" s="532" t="s">
        <v>4205</v>
      </c>
      <c r="B6134" s="533"/>
      <c r="C6134" s="533"/>
      <c r="D6134" s="533"/>
      <c r="E6134" s="533"/>
      <c r="F6134" s="533"/>
      <c r="G6134" s="533"/>
      <c r="H6134" s="95" t="e">
        <f>F6133</f>
        <v>#VALUE!</v>
      </c>
    </row>
    <row r="6135" spans="1:15">
      <c r="A6135" s="523" t="s">
        <v>4224</v>
      </c>
      <c r="B6135" s="524"/>
      <c r="C6135" s="524"/>
      <c r="D6135" s="524"/>
      <c r="E6135" s="524"/>
      <c r="F6135" s="524"/>
      <c r="G6135" s="524"/>
      <c r="H6135" s="526"/>
    </row>
    <row r="6136" spans="1:15">
      <c r="A6136" s="527" t="s">
        <v>7</v>
      </c>
      <c r="B6136" s="528"/>
      <c r="C6136" s="96" t="s">
        <v>1</v>
      </c>
      <c r="D6136" s="97" t="s">
        <v>4225</v>
      </c>
      <c r="E6136" s="98" t="s">
        <v>4204</v>
      </c>
      <c r="F6136" s="527" t="s">
        <v>5</v>
      </c>
      <c r="G6136" s="534"/>
      <c r="H6136" s="109"/>
    </row>
    <row r="6137" spans="1:15">
      <c r="A6137" s="506" t="s">
        <v>4191</v>
      </c>
      <c r="B6137" s="507"/>
      <c r="C6137" s="91">
        <v>1</v>
      </c>
      <c r="D6137" s="94">
        <f>VLOOKUP(A6137,'Mano Obra'!$B$2:$T$117,19,0)</f>
        <v>152456</v>
      </c>
      <c r="E6137" s="218">
        <f>H6099</f>
        <v>8.3000000000000001E-3</v>
      </c>
      <c r="F6137" s="508">
        <f>E6137*D6137*C6137</f>
        <v>1265.3848</v>
      </c>
      <c r="G6137" s="509"/>
      <c r="H6137" s="111"/>
      <c r="I6137" s="59"/>
      <c r="J6137" s="117">
        <f>((('Mano Obra'!$M$4/30)*F6137)/D6137)*G6106</f>
        <v>0</v>
      </c>
    </row>
    <row r="6138" spans="1:15">
      <c r="A6138" s="510" t="s">
        <v>4192</v>
      </c>
      <c r="B6138" s="511">
        <f>VLOOKUP(A6138,'Mano Obra'!$B$3:$D$290,2,0)</f>
        <v>1900000</v>
      </c>
      <c r="C6138" s="91">
        <v>1</v>
      </c>
      <c r="D6138" s="94">
        <f>VLOOKUP(A6138,'Mano Obra'!$B$2:$T$117,19,0)</f>
        <v>110488</v>
      </c>
      <c r="E6138" s="218">
        <f>H6099</f>
        <v>8.3000000000000001E-3</v>
      </c>
      <c r="F6138" s="508">
        <f t="shared" ref="F6138:F6139" si="360">E6138*D6138*C6138</f>
        <v>917.05039999999997</v>
      </c>
      <c r="G6138" s="509"/>
      <c r="H6138" s="111"/>
      <c r="J6138" s="117">
        <f>((('Mano Obra'!$M$5/30)*F6138)/D6138)*G6106</f>
        <v>0</v>
      </c>
    </row>
    <row r="6139" spans="1:15">
      <c r="A6139" s="510" t="s">
        <v>4181</v>
      </c>
      <c r="B6139" s="511">
        <f>VLOOKUP(A6139,'Mano Obra'!$B$3:$D$290,2,0)</f>
        <v>1000000</v>
      </c>
      <c r="C6139" s="91">
        <v>1</v>
      </c>
      <c r="D6139" s="94">
        <f>VLOOKUP(A6139,'Mano Obra'!$B$2:$T$117,19,0)</f>
        <v>67424</v>
      </c>
      <c r="E6139" s="218">
        <f>H6099</f>
        <v>8.3000000000000001E-3</v>
      </c>
      <c r="F6139" s="508">
        <f t="shared" si="360"/>
        <v>559.61919999999998</v>
      </c>
      <c r="G6139" s="509"/>
      <c r="H6139" s="110"/>
      <c r="J6139" s="117">
        <f>((('Mano Obra'!$M$6/30)*F6139)/D6139)*G6106</f>
        <v>0</v>
      </c>
    </row>
    <row r="6140" spans="1:15">
      <c r="A6140" s="512" t="s">
        <v>4100</v>
      </c>
      <c r="B6140" s="512"/>
      <c r="C6140" s="512"/>
      <c r="D6140" s="512"/>
      <c r="E6140" s="512"/>
      <c r="F6140" s="512"/>
      <c r="G6140" s="512"/>
      <c r="H6140" s="95">
        <f>SUM(F6137:F6139)</f>
        <v>2742.0544</v>
      </c>
      <c r="J6140" s="117"/>
    </row>
    <row r="6141" spans="1:15">
      <c r="A6141" s="208" t="s">
        <v>4226</v>
      </c>
      <c r="B6141" s="186"/>
      <c r="C6141" s="186"/>
      <c r="D6141" s="183"/>
      <c r="E6141" s="184"/>
      <c r="F6141" s="185"/>
      <c r="G6141" s="184"/>
      <c r="H6141" s="193"/>
    </row>
    <row r="6142" spans="1:15">
      <c r="A6142" s="513" t="s">
        <v>4213</v>
      </c>
      <c r="B6142" s="514"/>
      <c r="C6142" s="514"/>
      <c r="D6142" s="514"/>
      <c r="E6142" s="181"/>
      <c r="F6142" s="182" t="s">
        <v>4227</v>
      </c>
      <c r="G6142" s="181" t="s">
        <v>4228</v>
      </c>
      <c r="H6142" s="194"/>
    </row>
    <row r="6143" spans="1:15">
      <c r="A6143" s="204" t="s">
        <v>4096</v>
      </c>
      <c r="B6143" s="62"/>
      <c r="C6143" s="62"/>
      <c r="D6143" s="63"/>
      <c r="E6143" s="68"/>
      <c r="F6143" s="69">
        <v>0</v>
      </c>
      <c r="G6143" s="70" t="e">
        <f>F6143*H6107</f>
        <v>#VALUE!</v>
      </c>
      <c r="H6143" s="193"/>
    </row>
    <row r="6144" spans="1:15">
      <c r="A6144" s="205" t="s">
        <v>4229</v>
      </c>
      <c r="B6144" s="71"/>
      <c r="C6144" s="71"/>
      <c r="D6144" s="72"/>
      <c r="E6144" s="68"/>
      <c r="F6144" s="69">
        <v>0</v>
      </c>
      <c r="G6144" s="70" t="e">
        <f>F6144*H6107</f>
        <v>#VALUE!</v>
      </c>
      <c r="H6144" s="193"/>
    </row>
    <row r="6145" spans="1:14">
      <c r="A6145" s="205" t="s">
        <v>4</v>
      </c>
      <c r="B6145" s="71"/>
      <c r="C6145" s="71"/>
      <c r="D6145" s="72"/>
      <c r="E6145" s="68"/>
      <c r="F6145" s="69">
        <v>0</v>
      </c>
      <c r="G6145" s="70" t="e">
        <f>F6145*H6107</f>
        <v>#VALUE!</v>
      </c>
      <c r="H6145" s="193"/>
    </row>
    <row r="6146" spans="1:14">
      <c r="A6146" s="206"/>
      <c r="B6146" s="73"/>
      <c r="C6146" s="65"/>
      <c r="D6146" s="74"/>
      <c r="E6146" s="75"/>
      <c r="F6146" s="76"/>
      <c r="G6146" s="77"/>
      <c r="H6146" s="195"/>
    </row>
    <row r="6147" spans="1:14">
      <c r="A6147" s="207"/>
      <c r="B6147" s="73"/>
      <c r="C6147" s="73"/>
      <c r="D6147" s="74"/>
      <c r="E6147" s="78"/>
      <c r="F6147" s="515" t="s">
        <v>4230</v>
      </c>
      <c r="G6147" s="516"/>
      <c r="H6147" s="214" t="e">
        <f>H6107+G6143+G6144+G6145</f>
        <v>#VALUE!</v>
      </c>
    </row>
    <row r="6148" spans="1:14">
      <c r="A6148" s="73"/>
      <c r="B6148" s="73"/>
      <c r="C6148" s="73"/>
      <c r="D6148" s="74"/>
      <c r="E6148" s="360"/>
      <c r="F6148" s="361"/>
      <c r="G6148" s="361"/>
      <c r="H6148" s="362"/>
    </row>
    <row r="6149" spans="1:14">
      <c r="A6149" s="537" t="s">
        <v>4214</v>
      </c>
      <c r="B6149" s="538"/>
      <c r="C6149" s="538"/>
      <c r="D6149" s="538"/>
      <c r="E6149" s="538"/>
      <c r="F6149" s="538"/>
      <c r="G6149" s="538"/>
      <c r="H6149" s="539"/>
    </row>
    <row r="6150" spans="1:14">
      <c r="A6150" s="81"/>
      <c r="B6150" s="82"/>
      <c r="C6150" s="82"/>
      <c r="D6150" s="82"/>
      <c r="E6150" s="82"/>
      <c r="F6150" s="83"/>
      <c r="G6150" s="84"/>
      <c r="H6150" s="352">
        <f>ROUND((4/60)/8,4)</f>
        <v>8.3000000000000001E-3</v>
      </c>
      <c r="I6150" s="105"/>
    </row>
    <row r="6151" spans="1:14">
      <c r="A6151" s="540" t="s">
        <v>4209</v>
      </c>
      <c r="B6151" s="542" t="str">
        <f>COSTOS!$C$14</f>
        <v>MODERNIZACION A TECNOLOGIA LED</v>
      </c>
      <c r="C6151" s="542"/>
      <c r="D6151" s="542"/>
      <c r="E6151" s="542"/>
      <c r="F6151" s="542"/>
      <c r="G6151" s="542"/>
      <c r="H6151" s="543" t="s">
        <v>4210</v>
      </c>
    </row>
    <row r="6152" spans="1:14">
      <c r="A6152" s="541"/>
      <c r="B6152" s="542"/>
      <c r="C6152" s="542"/>
      <c r="D6152" s="542"/>
      <c r="E6152" s="542"/>
      <c r="F6152" s="542"/>
      <c r="G6152" s="542"/>
      <c r="H6152" s="543"/>
    </row>
    <row r="6153" spans="1:14">
      <c r="A6153" s="541"/>
      <c r="B6153" s="542"/>
      <c r="C6153" s="542"/>
      <c r="D6153" s="542"/>
      <c r="E6153" s="542"/>
      <c r="F6153" s="542"/>
      <c r="G6153" s="542"/>
      <c r="H6153" s="543"/>
    </row>
    <row r="6154" spans="1:14" ht="15" customHeight="1">
      <c r="A6154" s="541"/>
      <c r="B6154" s="542"/>
      <c r="C6154" s="542"/>
      <c r="D6154" s="542"/>
      <c r="E6154" s="542"/>
      <c r="F6154" s="542"/>
      <c r="G6154" s="542"/>
      <c r="H6154" s="197">
        <f ca="1">TODAY()</f>
        <v>44889</v>
      </c>
      <c r="K6154" t="s">
        <v>4380</v>
      </c>
      <c r="L6154" t="s">
        <v>4381</v>
      </c>
      <c r="M6154" t="s">
        <v>4382</v>
      </c>
      <c r="N6154" t="s">
        <v>4383</v>
      </c>
    </row>
    <row r="6155" spans="1:14" ht="60.75" customHeight="1">
      <c r="A6155" s="209" t="s">
        <v>4211</v>
      </c>
      <c r="B6155" s="544" t="str">
        <f>COSTOS!$D$16</f>
        <v>Luminarias</v>
      </c>
      <c r="C6155" s="544"/>
      <c r="D6155" s="544"/>
      <c r="E6155" s="544"/>
      <c r="F6155" s="544"/>
      <c r="G6155" s="60" t="s">
        <v>4212</v>
      </c>
      <c r="H6155" s="359" t="s">
        <v>4685</v>
      </c>
      <c r="K6155" s="55" t="e">
        <f>H6181</f>
        <v>#VALUE!</v>
      </c>
      <c r="L6155" s="55">
        <f>H6191</f>
        <v>2742.0544</v>
      </c>
      <c r="M6155" s="55" t="e">
        <f>H6164</f>
        <v>#VALUE!</v>
      </c>
      <c r="N6155" s="55" t="e">
        <f>H6185</f>
        <v>#VALUE!</v>
      </c>
    </row>
    <row r="6156" spans="1:14" ht="43.2" customHeight="1">
      <c r="A6156" s="210" t="s">
        <v>4213</v>
      </c>
      <c r="B6156" s="545" t="str">
        <f>VLOOKUP(H6155,COSTOS!C:M,2,0)</f>
        <v>Red aerea en cable cobre 3 No 14 x 500m</v>
      </c>
      <c r="C6156" s="546"/>
      <c r="D6156" s="546"/>
      <c r="E6156" s="547"/>
      <c r="F6156" s="61" t="s">
        <v>0</v>
      </c>
      <c r="G6156" s="328" t="str">
        <f>VLOOKUP(H6155,COSTOS!C:M,8,0)</f>
        <v>Und</v>
      </c>
      <c r="H6156" s="248"/>
      <c r="I6156" s="278"/>
      <c r="J6156" s="280"/>
      <c r="K6156" s="280"/>
      <c r="L6156" s="280"/>
    </row>
    <row r="6157" spans="1:14">
      <c r="A6157" s="211"/>
      <c r="B6157" s="102"/>
      <c r="C6157" s="102"/>
      <c r="D6157" s="102"/>
      <c r="E6157" s="103"/>
      <c r="F6157" s="104" t="s">
        <v>1</v>
      </c>
      <c r="G6157" s="328">
        <f>VLOOKUP(H6155,COSTOS!C:M,9,0)</f>
        <v>0</v>
      </c>
      <c r="H6157" s="329"/>
      <c r="I6157" s="279"/>
    </row>
    <row r="6158" spans="1:14">
      <c r="A6158" s="212" t="s">
        <v>4215</v>
      </c>
      <c r="B6158" s="65"/>
      <c r="C6158" s="65"/>
      <c r="D6158" s="66"/>
      <c r="E6158" s="190"/>
      <c r="F6158" s="191"/>
      <c r="G6158" s="192" t="s">
        <v>4216</v>
      </c>
      <c r="H6158" s="198" t="e">
        <f>H6164+H6181+H6185+H6191</f>
        <v>#VALUE!</v>
      </c>
    </row>
    <row r="6159" spans="1:14" ht="41.4">
      <c r="A6159" s="548" t="s">
        <v>4213</v>
      </c>
      <c r="B6159" s="548"/>
      <c r="C6159" s="548"/>
      <c r="D6159" s="67" t="s">
        <v>0</v>
      </c>
      <c r="E6159" s="188" t="s">
        <v>4217</v>
      </c>
      <c r="F6159" s="189" t="s">
        <v>4204</v>
      </c>
      <c r="G6159" s="64" t="s">
        <v>2</v>
      </c>
      <c r="H6159" s="199" t="s">
        <v>4218</v>
      </c>
      <c r="K6159" s="281"/>
    </row>
    <row r="6160" spans="1:14">
      <c r="A6160" s="517" t="s">
        <v>3946</v>
      </c>
      <c r="B6160" s="549">
        <f>VLOOKUP(A6160,'Equip, Herr y Transp'!$B$2:$E$738,2,0)</f>
        <v>2</v>
      </c>
      <c r="C6160" s="549"/>
      <c r="D6160" s="85">
        <f>VLOOKUP(A6160,'Equip, Herr y Transp'!$B$2:$E$217,2,0)</f>
        <v>2</v>
      </c>
      <c r="E6160" s="85" t="str">
        <f>VLOOKUP(A6160,'Equip, Herr y Transp'!$B$2:$E$217,3,0)</f>
        <v>EQU</v>
      </c>
      <c r="F6160" s="86">
        <f>H6150</f>
        <v>8.3000000000000001E-3</v>
      </c>
      <c r="G6160" s="112" t="e">
        <f>F6160*E6160</f>
        <v>#VALUE!</v>
      </c>
      <c r="H6160" s="108"/>
    </row>
    <row r="6161" spans="1:15">
      <c r="A6161" s="517" t="s">
        <v>8</v>
      </c>
      <c r="B6161" s="549" t="e">
        <f>VLOOKUP(A6161,'Equip, Herr y Transp'!$B$2:$E$738,2,0)</f>
        <v>#N/A</v>
      </c>
      <c r="C6161" s="549"/>
      <c r="D6161" s="85" t="e">
        <f>VLOOKUP(A6161,'Equip, Herr y Transp'!$B$2:$E$217,2,0)</f>
        <v>#N/A</v>
      </c>
      <c r="E6161" s="85" t="e">
        <f>VLOOKUP(A6161,'Equip, Herr y Transp'!$B$2:$E$217,3,0)</f>
        <v>#N/A</v>
      </c>
      <c r="F6161" s="86">
        <f>H6150</f>
        <v>8.3000000000000001E-3</v>
      </c>
      <c r="G6161" s="112" t="e">
        <f>F6161*E6161</f>
        <v>#N/A</v>
      </c>
      <c r="H6161" s="107"/>
    </row>
    <row r="6162" spans="1:15">
      <c r="A6162" s="517" t="s">
        <v>8</v>
      </c>
      <c r="B6162" s="549" t="e">
        <f>VLOOKUP(A6162,'Equip, Herr y Transp'!$B$2:$E$738,2,0)</f>
        <v>#N/A</v>
      </c>
      <c r="C6162" s="549"/>
      <c r="D6162" s="85" t="e">
        <f>VLOOKUP(A6162,'Equip, Herr y Transp'!$B$2:$E$217,2,0)</f>
        <v>#N/A</v>
      </c>
      <c r="E6162" s="85" t="e">
        <f>VLOOKUP(A6162,'Equip, Herr y Transp'!$B$2:$E$217,3,0)</f>
        <v>#N/A</v>
      </c>
      <c r="F6162" s="86">
        <f>H6150</f>
        <v>8.3000000000000001E-3</v>
      </c>
      <c r="G6162" s="112" t="e">
        <f>F6162*E6162</f>
        <v>#N/A</v>
      </c>
      <c r="H6162" s="107"/>
    </row>
    <row r="6163" spans="1:15">
      <c r="A6163" s="517" t="s">
        <v>8</v>
      </c>
      <c r="B6163" s="549" t="e">
        <f>VLOOKUP(A6163,'Equip, Herr y Transp'!$B$2:$E$738,2,0)</f>
        <v>#N/A</v>
      </c>
      <c r="C6163" s="549"/>
      <c r="D6163" s="85" t="e">
        <f>VLOOKUP(A6163,'Equip, Herr y Transp'!$B$2:$E$217,2,0)</f>
        <v>#N/A</v>
      </c>
      <c r="E6163" s="85" t="e">
        <f>VLOOKUP(A6163,'Equip, Herr y Transp'!$B$2:$E$217,3,0)</f>
        <v>#N/A</v>
      </c>
      <c r="F6163" s="86">
        <f>H6150</f>
        <v>8.3000000000000001E-3</v>
      </c>
      <c r="G6163" s="112" t="e">
        <f>F6163*E6163</f>
        <v>#N/A</v>
      </c>
      <c r="H6163" s="107"/>
    </row>
    <row r="6164" spans="1:15">
      <c r="A6164" s="520" t="s">
        <v>4099</v>
      </c>
      <c r="B6164" s="521"/>
      <c r="C6164" s="521"/>
      <c r="D6164" s="521"/>
      <c r="E6164" s="521"/>
      <c r="F6164" s="521"/>
      <c r="G6164" s="521"/>
      <c r="H6164" s="87" t="e">
        <f>SUM(G6160:G6163)</f>
        <v>#VALUE!</v>
      </c>
    </row>
    <row r="6165" spans="1:15">
      <c r="A6165" s="550" t="s">
        <v>4219</v>
      </c>
      <c r="B6165" s="551"/>
      <c r="C6165" s="551"/>
      <c r="D6165" s="551"/>
      <c r="E6165" s="551"/>
      <c r="F6165" s="551"/>
      <c r="G6165" s="551"/>
      <c r="H6165" s="552"/>
      <c r="K6165" s="50"/>
      <c r="L6165" s="50"/>
      <c r="M6165" s="50"/>
      <c r="N6165" s="50"/>
      <c r="O6165" s="50"/>
    </row>
    <row r="6166" spans="1:15" ht="30" customHeight="1">
      <c r="A6166" s="553" t="s">
        <v>7</v>
      </c>
      <c r="B6166" s="554"/>
      <c r="C6166" s="99" t="s">
        <v>0</v>
      </c>
      <c r="D6166" s="100" t="s">
        <v>4097</v>
      </c>
      <c r="E6166" s="101" t="s">
        <v>1</v>
      </c>
      <c r="F6166" s="555" t="s">
        <v>4207</v>
      </c>
      <c r="G6166" s="555"/>
      <c r="H6166" s="196"/>
      <c r="K6166" s="50"/>
      <c r="L6166" s="50"/>
      <c r="M6166" s="50"/>
      <c r="N6166" s="50"/>
      <c r="O6166" s="50"/>
    </row>
    <row r="6167" spans="1:15">
      <c r="A6167" s="535" t="s">
        <v>4686</v>
      </c>
      <c r="B6167" s="536"/>
      <c r="C6167" s="88">
        <f>VLOOKUP(A6167,'Materiales '!$C$2:$G$396,3,0)</f>
        <v>2</v>
      </c>
      <c r="D6167" s="89" t="str">
        <f>VLOOKUP(A6167,'Materiales '!$C$2:$G$396,4,0)</f>
        <v>Ml</v>
      </c>
      <c r="E6167" s="90">
        <v>3</v>
      </c>
      <c r="F6167" s="508" t="e">
        <f>E6167*D6167</f>
        <v>#VALUE!</v>
      </c>
      <c r="G6167" s="519"/>
      <c r="H6167" s="111"/>
      <c r="I6167">
        <f>E6167*G6157</f>
        <v>0</v>
      </c>
      <c r="J6167" s="57"/>
      <c r="K6167" s="50"/>
      <c r="L6167" s="50"/>
      <c r="M6167" s="50"/>
      <c r="N6167" s="50"/>
      <c r="O6167" s="50"/>
    </row>
    <row r="6168" spans="1:15">
      <c r="A6168" s="535" t="s">
        <v>8</v>
      </c>
      <c r="B6168" s="536"/>
      <c r="C6168" s="88">
        <f>VLOOKUP(A6168,'Materiales '!$C$2:$G$396,3,0)</f>
        <v>0</v>
      </c>
      <c r="D6168" s="89" t="str">
        <f>VLOOKUP(A6168,'Materiales '!$C$2:$G$396,4,0)</f>
        <v>-</v>
      </c>
      <c r="E6168" s="90"/>
      <c r="F6168" s="508" t="e">
        <f t="shared" ref="F6168:F6174" si="361">E6168*D6168</f>
        <v>#VALUE!</v>
      </c>
      <c r="G6168" s="519"/>
      <c r="H6168" s="111"/>
      <c r="I6168">
        <f>E6168*G6157</f>
        <v>0</v>
      </c>
      <c r="J6168" s="57"/>
      <c r="K6168" s="50"/>
      <c r="L6168" s="50"/>
      <c r="M6168" s="50"/>
      <c r="N6168" s="50"/>
      <c r="O6168" s="50"/>
    </row>
    <row r="6169" spans="1:15">
      <c r="A6169" s="517" t="s">
        <v>8</v>
      </c>
      <c r="B6169" s="518">
        <f>VLOOKUP(A6169,'Materiales '!$C$2:$G$396,3,0)</f>
        <v>0</v>
      </c>
      <c r="C6169" s="88">
        <f>VLOOKUP(A6169,'Materiales '!$C$2:$G$396,3,0)</f>
        <v>0</v>
      </c>
      <c r="D6169" s="89" t="str">
        <f>VLOOKUP(A6169,'Materiales '!$C$2:$G$396,4,0)</f>
        <v>-</v>
      </c>
      <c r="E6169" s="90"/>
      <c r="F6169" s="508" t="e">
        <f t="shared" si="361"/>
        <v>#VALUE!</v>
      </c>
      <c r="G6169" s="519"/>
      <c r="H6169" s="111"/>
      <c r="I6169">
        <f>E6169*G6157</f>
        <v>0</v>
      </c>
      <c r="J6169" s="58"/>
      <c r="K6169" s="50"/>
      <c r="L6169" s="50"/>
      <c r="M6169" s="50"/>
      <c r="N6169" s="50"/>
      <c r="O6169" s="50"/>
    </row>
    <row r="6170" spans="1:15">
      <c r="A6170" s="517" t="s">
        <v>8</v>
      </c>
      <c r="B6170" s="518">
        <f>VLOOKUP(A6170,'Materiales '!$C$2:$G$396,3,0)</f>
        <v>0</v>
      </c>
      <c r="C6170" s="88">
        <f>VLOOKUP(A6170,'Materiales '!$C$2:$G$396,3,0)</f>
        <v>0</v>
      </c>
      <c r="D6170" s="89" t="str">
        <f>VLOOKUP(A6170,'Materiales '!$C$2:$G$396,4,0)</f>
        <v>-</v>
      </c>
      <c r="E6170" s="90"/>
      <c r="F6170" s="508" t="e">
        <f t="shared" si="361"/>
        <v>#VALUE!</v>
      </c>
      <c r="G6170" s="519"/>
      <c r="H6170" s="111"/>
      <c r="I6170">
        <f>E6170*G6157</f>
        <v>0</v>
      </c>
      <c r="J6170" s="58"/>
      <c r="K6170" s="50"/>
      <c r="L6170" s="50"/>
      <c r="M6170" s="50"/>
      <c r="N6170" s="50"/>
      <c r="O6170" s="50"/>
    </row>
    <row r="6171" spans="1:15">
      <c r="A6171" s="517" t="s">
        <v>8</v>
      </c>
      <c r="B6171" s="518">
        <f>VLOOKUP(A6171,'Materiales '!$C$2:$G$396,3,0)</f>
        <v>0</v>
      </c>
      <c r="C6171" s="88">
        <f>VLOOKUP(A6171,'Materiales '!$C$2:$G$396,3,0)</f>
        <v>0</v>
      </c>
      <c r="D6171" s="89" t="str">
        <f>VLOOKUP(A6171,'Materiales '!$C$2:$G$396,4,0)</f>
        <v>-</v>
      </c>
      <c r="E6171" s="90"/>
      <c r="F6171" s="508" t="e">
        <f t="shared" si="361"/>
        <v>#VALUE!</v>
      </c>
      <c r="G6171" s="519"/>
      <c r="H6171" s="111"/>
      <c r="I6171">
        <f>E6171*G6157</f>
        <v>0</v>
      </c>
      <c r="J6171" s="58"/>
      <c r="K6171" s="50"/>
      <c r="L6171" s="50"/>
      <c r="M6171" s="50"/>
      <c r="N6171" s="50"/>
      <c r="O6171" s="50"/>
    </row>
    <row r="6172" spans="1:15">
      <c r="A6172" s="517" t="s">
        <v>8</v>
      </c>
      <c r="B6172" s="518">
        <f>VLOOKUP(A6172,'Materiales '!$C$2:$G$396,3,0)</f>
        <v>0</v>
      </c>
      <c r="C6172" s="88">
        <f>VLOOKUP(A6172,'Materiales '!$C$2:$G$396,3,0)</f>
        <v>0</v>
      </c>
      <c r="D6172" s="89" t="str">
        <f>VLOOKUP(A6172,'Materiales '!$C$2:$G$396,4,0)</f>
        <v>-</v>
      </c>
      <c r="E6172" s="90"/>
      <c r="F6172" s="508" t="e">
        <f t="shared" si="361"/>
        <v>#VALUE!</v>
      </c>
      <c r="G6172" s="519"/>
      <c r="H6172" s="111"/>
      <c r="I6172">
        <f>E6172*G6157</f>
        <v>0</v>
      </c>
      <c r="J6172" s="58"/>
      <c r="K6172" s="50"/>
      <c r="L6172" s="50"/>
      <c r="M6172" s="50"/>
      <c r="N6172" s="50"/>
      <c r="O6172" s="50"/>
    </row>
    <row r="6173" spans="1:15">
      <c r="A6173" s="517" t="s">
        <v>8</v>
      </c>
      <c r="B6173" s="518">
        <f>VLOOKUP(A6173,'Materiales '!$C$2:$G$396,3,0)</f>
        <v>0</v>
      </c>
      <c r="C6173" s="88">
        <f>VLOOKUP(A6173,'Materiales '!$C$2:$G$396,3,0)</f>
        <v>0</v>
      </c>
      <c r="D6173" s="89" t="str">
        <f>VLOOKUP(A6173,'Materiales '!$C$2:$G$396,4,0)</f>
        <v>-</v>
      </c>
      <c r="E6173" s="90"/>
      <c r="F6173" s="508" t="e">
        <f t="shared" si="361"/>
        <v>#VALUE!</v>
      </c>
      <c r="G6173" s="519"/>
      <c r="H6173" s="111"/>
      <c r="I6173">
        <f>E6173*G6157</f>
        <v>0</v>
      </c>
      <c r="J6173" s="58"/>
      <c r="K6173" s="50"/>
      <c r="L6173" s="50"/>
      <c r="M6173" s="50"/>
      <c r="N6173" s="50"/>
      <c r="O6173" s="50"/>
    </row>
    <row r="6174" spans="1:15" ht="21.75" customHeight="1">
      <c r="A6174" s="517" t="s">
        <v>8</v>
      </c>
      <c r="B6174" s="518">
        <f>VLOOKUP(A6174,'Materiales '!$C$2:$G$396,3,0)</f>
        <v>0</v>
      </c>
      <c r="C6174" s="88">
        <f>VLOOKUP(A6174,'Materiales '!$C$2:$G$396,3,0)</f>
        <v>0</v>
      </c>
      <c r="D6174" s="89" t="str">
        <f>VLOOKUP(A6174,'Materiales '!$C$2:$G$396,4,0)</f>
        <v>-</v>
      </c>
      <c r="E6174" s="90"/>
      <c r="F6174" s="508" t="e">
        <f t="shared" si="361"/>
        <v>#VALUE!</v>
      </c>
      <c r="G6174" s="519"/>
      <c r="H6174" s="111"/>
      <c r="I6174">
        <f>E6174*G6157</f>
        <v>0</v>
      </c>
      <c r="J6174" s="58"/>
      <c r="K6174" s="50"/>
      <c r="L6174" s="50"/>
      <c r="M6174" s="50"/>
      <c r="N6174" s="50"/>
      <c r="O6174" s="50"/>
    </row>
    <row r="6175" spans="1:15">
      <c r="A6175" s="517" t="s">
        <v>8</v>
      </c>
      <c r="B6175" s="518">
        <f>VLOOKUP(A6175,'Materiales '!$C$2:$G$396,3,0)</f>
        <v>0</v>
      </c>
      <c r="C6175" s="88">
        <f>VLOOKUP(A6175,'Materiales '!$C$2:$G$396,3,0)</f>
        <v>0</v>
      </c>
      <c r="D6175" s="89" t="str">
        <f>VLOOKUP(A6175,'Materiales '!$C$2:$G$396,4,0)</f>
        <v>-</v>
      </c>
      <c r="E6175" s="90"/>
      <c r="F6175" s="508" t="e">
        <f>E6175*D6175</f>
        <v>#VALUE!</v>
      </c>
      <c r="G6175" s="519"/>
      <c r="H6175" s="110"/>
      <c r="I6175">
        <f>E6175*G6157</f>
        <v>0</v>
      </c>
      <c r="J6175" s="58"/>
      <c r="K6175" s="50"/>
      <c r="L6175" s="50"/>
      <c r="M6175" s="50"/>
      <c r="N6175" s="50"/>
      <c r="O6175" s="50"/>
    </row>
    <row r="6176" spans="1:15">
      <c r="A6176" s="517" t="s">
        <v>8</v>
      </c>
      <c r="B6176" s="518">
        <f>VLOOKUP(A6176,'Materiales '!$C$2:$G$396,3,0)</f>
        <v>0</v>
      </c>
      <c r="C6176" s="88">
        <f>VLOOKUP(A6176,'Materiales '!$C$2:$G$396,3,0)</f>
        <v>0</v>
      </c>
      <c r="D6176" s="89" t="str">
        <f>VLOOKUP(A6176,'Materiales '!$C$2:$G$396,4,0)</f>
        <v>-</v>
      </c>
      <c r="E6176" s="90"/>
      <c r="F6176" s="508" t="e">
        <f t="shared" ref="F6176:F6179" si="362">E6176*D6176</f>
        <v>#VALUE!</v>
      </c>
      <c r="G6176" s="519"/>
      <c r="H6176" s="111"/>
      <c r="I6176">
        <f>E6176*G6157</f>
        <v>0</v>
      </c>
      <c r="J6176" s="58"/>
      <c r="K6176" s="50"/>
      <c r="L6176" s="50"/>
      <c r="M6176" s="50"/>
      <c r="N6176" s="50"/>
      <c r="O6176" s="50"/>
    </row>
    <row r="6177" spans="1:15">
      <c r="A6177" s="517" t="s">
        <v>8</v>
      </c>
      <c r="B6177" s="518">
        <f>VLOOKUP(A6177,'Materiales '!$C$2:$G$396,3,0)</f>
        <v>0</v>
      </c>
      <c r="C6177" s="88">
        <f>VLOOKUP(A6177,'Materiales '!$C$2:$G$396,3,0)</f>
        <v>0</v>
      </c>
      <c r="D6177" s="89" t="str">
        <f>VLOOKUP(A6177,'Materiales '!$C$2:$G$396,4,0)</f>
        <v>-</v>
      </c>
      <c r="E6177" s="90"/>
      <c r="F6177" s="508" t="e">
        <f t="shared" si="362"/>
        <v>#VALUE!</v>
      </c>
      <c r="G6177" s="519"/>
      <c r="H6177" s="111"/>
      <c r="I6177">
        <f>E6177*G6157</f>
        <v>0</v>
      </c>
      <c r="J6177" s="58"/>
      <c r="K6177" s="50"/>
      <c r="L6177" s="50"/>
      <c r="M6177" s="50"/>
      <c r="N6177" s="50"/>
      <c r="O6177" s="50"/>
    </row>
    <row r="6178" spans="1:15">
      <c r="A6178" s="517" t="s">
        <v>8</v>
      </c>
      <c r="B6178" s="518">
        <f>VLOOKUP(A6178,'Materiales '!$C$2:$G$396,3,0)</f>
        <v>0</v>
      </c>
      <c r="C6178" s="88">
        <f>VLOOKUP(A6178,'Materiales '!$C$2:$G$396,3,0)</f>
        <v>0</v>
      </c>
      <c r="D6178" s="89" t="str">
        <f>VLOOKUP(A6178,'Materiales '!$C$2:$G$396,4,0)</f>
        <v>-</v>
      </c>
      <c r="E6178" s="90"/>
      <c r="F6178" s="508" t="e">
        <f t="shared" si="362"/>
        <v>#VALUE!</v>
      </c>
      <c r="G6178" s="519"/>
      <c r="H6178" s="111"/>
      <c r="I6178">
        <f>E6178*G6157</f>
        <v>0</v>
      </c>
      <c r="J6178" s="58"/>
      <c r="K6178" s="50"/>
      <c r="L6178" s="50"/>
      <c r="M6178" s="50"/>
      <c r="N6178" s="50"/>
      <c r="O6178" s="50"/>
    </row>
    <row r="6179" spans="1:15">
      <c r="A6179" s="517" t="s">
        <v>8</v>
      </c>
      <c r="B6179" s="518">
        <f>VLOOKUP(A6179,'Materiales '!$C$2:$G$396,3,0)</f>
        <v>0</v>
      </c>
      <c r="C6179" s="88">
        <f>VLOOKUP(A6179,'Materiales '!$C$2:$G$396,3,0)</f>
        <v>0</v>
      </c>
      <c r="D6179" s="89" t="str">
        <f>VLOOKUP(A6179,'Materiales '!$C$2:$G$396,4,0)</f>
        <v>-</v>
      </c>
      <c r="E6179" s="90"/>
      <c r="F6179" s="508" t="e">
        <f t="shared" si="362"/>
        <v>#VALUE!</v>
      </c>
      <c r="G6179" s="519"/>
      <c r="H6179" s="111"/>
      <c r="I6179">
        <f>E6179*G6157</f>
        <v>0</v>
      </c>
      <c r="J6179" s="58"/>
      <c r="K6179" s="50"/>
      <c r="L6179" s="50"/>
      <c r="M6179" s="50"/>
      <c r="N6179" s="50"/>
      <c r="O6179" s="50"/>
    </row>
    <row r="6180" spans="1:15">
      <c r="A6180" s="517" t="s">
        <v>8</v>
      </c>
      <c r="B6180" s="518">
        <f>VLOOKUP(A6180,'Materiales '!$C$2:$G$396,3,0)</f>
        <v>0</v>
      </c>
      <c r="C6180" s="88">
        <f>VLOOKUP(A6180,'Materiales '!$C$2:$G$396,3,0)</f>
        <v>0</v>
      </c>
      <c r="D6180" s="89" t="str">
        <f>VLOOKUP(A6180,'Materiales '!$C$2:$G$396,4,0)</f>
        <v>-</v>
      </c>
      <c r="E6180" s="90"/>
      <c r="F6180" s="508" t="e">
        <f>E6180*D6180</f>
        <v>#VALUE!</v>
      </c>
      <c r="G6180" s="519"/>
      <c r="H6180" s="110"/>
      <c r="I6180">
        <f>E6180*G6157</f>
        <v>0</v>
      </c>
      <c r="J6180" s="58"/>
      <c r="K6180" s="50"/>
      <c r="L6180" s="50"/>
      <c r="M6180" s="50"/>
      <c r="N6180" s="50"/>
      <c r="O6180" s="50"/>
    </row>
    <row r="6181" spans="1:15">
      <c r="A6181" s="520" t="s">
        <v>4098</v>
      </c>
      <c r="B6181" s="521"/>
      <c r="C6181" s="521"/>
      <c r="D6181" s="521"/>
      <c r="E6181" s="521"/>
      <c r="F6181" s="521"/>
      <c r="G6181" s="522"/>
      <c r="H6181" s="106" t="e">
        <f>SUM(F6167:F6180)</f>
        <v>#VALUE!</v>
      </c>
      <c r="J6181" s="58"/>
      <c r="K6181" s="50"/>
      <c r="L6181" s="50"/>
      <c r="M6181" s="50"/>
      <c r="N6181" s="50"/>
      <c r="O6181" s="50"/>
    </row>
    <row r="6182" spans="1:15">
      <c r="A6182" s="523" t="s">
        <v>4220</v>
      </c>
      <c r="B6182" s="524"/>
      <c r="C6182" s="524"/>
      <c r="D6182" s="524"/>
      <c r="E6182" s="525"/>
      <c r="F6182" s="524"/>
      <c r="G6182" s="524"/>
      <c r="H6182" s="526"/>
      <c r="J6182" s="58"/>
      <c r="K6182" s="50"/>
      <c r="L6182" s="50"/>
      <c r="M6182" s="50"/>
      <c r="N6182" s="50"/>
      <c r="O6182" s="50"/>
    </row>
    <row r="6183" spans="1:15">
      <c r="A6183" s="527" t="s">
        <v>7</v>
      </c>
      <c r="B6183" s="528"/>
      <c r="C6183" s="98" t="s">
        <v>4221</v>
      </c>
      <c r="D6183" s="97" t="s">
        <v>4222</v>
      </c>
      <c r="E6183" s="187" t="s">
        <v>4223</v>
      </c>
      <c r="F6183" s="529" t="s">
        <v>4207</v>
      </c>
      <c r="G6183" s="529"/>
      <c r="H6183" s="109"/>
      <c r="K6183" s="50"/>
      <c r="L6183" s="50"/>
      <c r="M6183" s="50"/>
      <c r="N6183" s="50"/>
      <c r="O6183" s="50"/>
    </row>
    <row r="6184" spans="1:15">
      <c r="A6184" s="506" t="s">
        <v>3928</v>
      </c>
      <c r="B6184" s="507"/>
      <c r="C6184" s="213">
        <v>1</v>
      </c>
      <c r="D6184" s="92">
        <v>5.0000000000000001E-3</v>
      </c>
      <c r="E6184" s="93" t="str">
        <f>VLOOKUP(A6184,'Equip, Herr y Transp'!$B$2:$E$217,3,0)</f>
        <v>TR</v>
      </c>
      <c r="F6184" s="530" t="e">
        <f>E6184*D6184*C6184</f>
        <v>#VALUE!</v>
      </c>
      <c r="G6184" s="531"/>
      <c r="H6184" s="107"/>
      <c r="M6184" s="50"/>
    </row>
    <row r="6185" spans="1:15">
      <c r="A6185" s="532" t="s">
        <v>4205</v>
      </c>
      <c r="B6185" s="533"/>
      <c r="C6185" s="533"/>
      <c r="D6185" s="533"/>
      <c r="E6185" s="533"/>
      <c r="F6185" s="533"/>
      <c r="G6185" s="533"/>
      <c r="H6185" s="95" t="e">
        <f>F6184</f>
        <v>#VALUE!</v>
      </c>
    </row>
    <row r="6186" spans="1:15">
      <c r="A6186" s="523" t="s">
        <v>4224</v>
      </c>
      <c r="B6186" s="524"/>
      <c r="C6186" s="524"/>
      <c r="D6186" s="524"/>
      <c r="E6186" s="524"/>
      <c r="F6186" s="524"/>
      <c r="G6186" s="524"/>
      <c r="H6186" s="526"/>
    </row>
    <row r="6187" spans="1:15">
      <c r="A6187" s="527" t="s">
        <v>7</v>
      </c>
      <c r="B6187" s="528"/>
      <c r="C6187" s="96" t="s">
        <v>1</v>
      </c>
      <c r="D6187" s="97" t="s">
        <v>4225</v>
      </c>
      <c r="E6187" s="98" t="s">
        <v>4204</v>
      </c>
      <c r="F6187" s="527" t="s">
        <v>5</v>
      </c>
      <c r="G6187" s="534"/>
      <c r="H6187" s="109"/>
    </row>
    <row r="6188" spans="1:15">
      <c r="A6188" s="506" t="s">
        <v>4191</v>
      </c>
      <c r="B6188" s="507"/>
      <c r="C6188" s="91">
        <v>1</v>
      </c>
      <c r="D6188" s="94">
        <f>VLOOKUP(A6188,'Mano Obra'!$B$2:$T$117,19,0)</f>
        <v>152456</v>
      </c>
      <c r="E6188" s="218">
        <f>H6150</f>
        <v>8.3000000000000001E-3</v>
      </c>
      <c r="F6188" s="508">
        <f>E6188*D6188*C6188</f>
        <v>1265.3848</v>
      </c>
      <c r="G6188" s="509"/>
      <c r="H6188" s="111"/>
      <c r="I6188" s="59"/>
      <c r="J6188" s="117">
        <f>((('Mano Obra'!$M$4/30)*F6188)/D6188)*G6157</f>
        <v>0</v>
      </c>
    </row>
    <row r="6189" spans="1:15">
      <c r="A6189" s="510" t="s">
        <v>4192</v>
      </c>
      <c r="B6189" s="511">
        <f>VLOOKUP(A6189,'Mano Obra'!$B$3:$D$290,2,0)</f>
        <v>1900000</v>
      </c>
      <c r="C6189" s="91">
        <v>1</v>
      </c>
      <c r="D6189" s="94">
        <f>VLOOKUP(A6189,'Mano Obra'!$B$2:$T$117,19,0)</f>
        <v>110488</v>
      </c>
      <c r="E6189" s="218">
        <f>H6150</f>
        <v>8.3000000000000001E-3</v>
      </c>
      <c r="F6189" s="508">
        <f t="shared" ref="F6189:F6190" si="363">E6189*D6189*C6189</f>
        <v>917.05039999999997</v>
      </c>
      <c r="G6189" s="509"/>
      <c r="H6189" s="111"/>
      <c r="J6189" s="117">
        <f>((('Mano Obra'!$M$5/30)*F6189)/D6189)*G6157</f>
        <v>0</v>
      </c>
    </row>
    <row r="6190" spans="1:15">
      <c r="A6190" s="510" t="s">
        <v>4181</v>
      </c>
      <c r="B6190" s="511">
        <f>VLOOKUP(A6190,'Mano Obra'!$B$3:$D$290,2,0)</f>
        <v>1000000</v>
      </c>
      <c r="C6190" s="91">
        <v>1</v>
      </c>
      <c r="D6190" s="94">
        <f>VLOOKUP(A6190,'Mano Obra'!$B$2:$T$117,19,0)</f>
        <v>67424</v>
      </c>
      <c r="E6190" s="218">
        <f>H6150</f>
        <v>8.3000000000000001E-3</v>
      </c>
      <c r="F6190" s="508">
        <f t="shared" si="363"/>
        <v>559.61919999999998</v>
      </c>
      <c r="G6190" s="509"/>
      <c r="H6190" s="110"/>
      <c r="J6190" s="117">
        <f>((('Mano Obra'!$M$6/30)*F6190)/D6190)*G6157</f>
        <v>0</v>
      </c>
    </row>
    <row r="6191" spans="1:15">
      <c r="A6191" s="512" t="s">
        <v>4100</v>
      </c>
      <c r="B6191" s="512"/>
      <c r="C6191" s="512"/>
      <c r="D6191" s="512"/>
      <c r="E6191" s="512"/>
      <c r="F6191" s="512"/>
      <c r="G6191" s="512"/>
      <c r="H6191" s="95">
        <f>SUM(F6188:F6190)</f>
        <v>2742.0544</v>
      </c>
      <c r="J6191" s="117"/>
    </row>
    <row r="6192" spans="1:15">
      <c r="A6192" s="208" t="s">
        <v>4226</v>
      </c>
      <c r="B6192" s="186"/>
      <c r="C6192" s="186"/>
      <c r="D6192" s="183"/>
      <c r="E6192" s="184"/>
      <c r="F6192" s="185"/>
      <c r="G6192" s="184"/>
      <c r="H6192" s="193"/>
    </row>
    <row r="6193" spans="1:14">
      <c r="A6193" s="513" t="s">
        <v>4213</v>
      </c>
      <c r="B6193" s="514"/>
      <c r="C6193" s="514"/>
      <c r="D6193" s="514"/>
      <c r="E6193" s="181"/>
      <c r="F6193" s="182" t="s">
        <v>4227</v>
      </c>
      <c r="G6193" s="181" t="s">
        <v>4228</v>
      </c>
      <c r="H6193" s="194"/>
    </row>
    <row r="6194" spans="1:14">
      <c r="A6194" s="204" t="s">
        <v>4096</v>
      </c>
      <c r="B6194" s="62"/>
      <c r="C6194" s="62"/>
      <c r="D6194" s="63"/>
      <c r="E6194" s="68"/>
      <c r="F6194" s="69">
        <v>0</v>
      </c>
      <c r="G6194" s="70" t="e">
        <f>F6194*H6158</f>
        <v>#VALUE!</v>
      </c>
      <c r="H6194" s="193"/>
    </row>
    <row r="6195" spans="1:14">
      <c r="A6195" s="205" t="s">
        <v>4229</v>
      </c>
      <c r="B6195" s="71"/>
      <c r="C6195" s="71"/>
      <c r="D6195" s="72"/>
      <c r="E6195" s="68"/>
      <c r="F6195" s="69">
        <v>0</v>
      </c>
      <c r="G6195" s="70" t="e">
        <f>F6195*H6158</f>
        <v>#VALUE!</v>
      </c>
      <c r="H6195" s="193"/>
    </row>
    <row r="6196" spans="1:14">
      <c r="A6196" s="205" t="s">
        <v>4</v>
      </c>
      <c r="B6196" s="71"/>
      <c r="C6196" s="71"/>
      <c r="D6196" s="72"/>
      <c r="E6196" s="68"/>
      <c r="F6196" s="69">
        <v>0</v>
      </c>
      <c r="G6196" s="70" t="e">
        <f>F6196*H6158</f>
        <v>#VALUE!</v>
      </c>
      <c r="H6196" s="193"/>
    </row>
    <row r="6197" spans="1:14">
      <c r="A6197" s="206"/>
      <c r="B6197" s="73"/>
      <c r="C6197" s="65"/>
      <c r="D6197" s="74"/>
      <c r="E6197" s="75"/>
      <c r="F6197" s="76"/>
      <c r="G6197" s="77"/>
      <c r="H6197" s="195"/>
    </row>
    <row r="6198" spans="1:14">
      <c r="A6198" s="207"/>
      <c r="B6198" s="73"/>
      <c r="C6198" s="73"/>
      <c r="D6198" s="74"/>
      <c r="E6198" s="78"/>
      <c r="F6198" s="515" t="s">
        <v>4230</v>
      </c>
      <c r="G6198" s="516"/>
      <c r="H6198" s="214" t="e">
        <f>H6158+G6194+G6195+G6196</f>
        <v>#VALUE!</v>
      </c>
    </row>
    <row r="6199" spans="1:14">
      <c r="A6199" s="73"/>
      <c r="B6199" s="73"/>
      <c r="C6199" s="73"/>
      <c r="D6199" s="74"/>
      <c r="E6199" s="360"/>
      <c r="F6199" s="361"/>
      <c r="G6199" s="361"/>
      <c r="H6199" s="362"/>
    </row>
    <row r="6200" spans="1:14">
      <c r="A6200" s="73"/>
      <c r="B6200" s="73"/>
      <c r="C6200" s="73"/>
      <c r="D6200" s="74"/>
      <c r="E6200" s="360"/>
      <c r="F6200" s="361"/>
      <c r="G6200" s="361"/>
      <c r="H6200" s="362"/>
    </row>
    <row r="6201" spans="1:14">
      <c r="A6201" s="537" t="s">
        <v>4214</v>
      </c>
      <c r="B6201" s="538"/>
      <c r="C6201" s="538"/>
      <c r="D6201" s="538"/>
      <c r="E6201" s="538"/>
      <c r="F6201" s="538"/>
      <c r="G6201" s="538"/>
      <c r="H6201" s="539"/>
    </row>
    <row r="6202" spans="1:14">
      <c r="A6202" s="81"/>
      <c r="B6202" s="82"/>
      <c r="C6202" s="82"/>
      <c r="D6202" s="82"/>
      <c r="E6202" s="82"/>
      <c r="F6202" s="83"/>
      <c r="G6202" s="84"/>
      <c r="H6202" s="352">
        <f>ROUND((5/60)/8,4)</f>
        <v>1.04E-2</v>
      </c>
      <c r="I6202" s="105"/>
    </row>
    <row r="6203" spans="1:14">
      <c r="A6203" s="540" t="s">
        <v>4209</v>
      </c>
      <c r="B6203" s="542" t="str">
        <f>COSTOS!$C$14</f>
        <v>MODERNIZACION A TECNOLOGIA LED</v>
      </c>
      <c r="C6203" s="542"/>
      <c r="D6203" s="542"/>
      <c r="E6203" s="542"/>
      <c r="F6203" s="542"/>
      <c r="G6203" s="542"/>
      <c r="H6203" s="543" t="s">
        <v>4210</v>
      </c>
    </row>
    <row r="6204" spans="1:14">
      <c r="A6204" s="541"/>
      <c r="B6204" s="542"/>
      <c r="C6204" s="542"/>
      <c r="D6204" s="542"/>
      <c r="E6204" s="542"/>
      <c r="F6204" s="542"/>
      <c r="G6204" s="542"/>
      <c r="H6204" s="543"/>
    </row>
    <row r="6205" spans="1:14">
      <c r="A6205" s="541"/>
      <c r="B6205" s="542"/>
      <c r="C6205" s="542"/>
      <c r="D6205" s="542"/>
      <c r="E6205" s="542"/>
      <c r="F6205" s="542"/>
      <c r="G6205" s="542"/>
      <c r="H6205" s="543"/>
    </row>
    <row r="6206" spans="1:14" ht="15" customHeight="1">
      <c r="A6206" s="541"/>
      <c r="B6206" s="542"/>
      <c r="C6206" s="542"/>
      <c r="D6206" s="542"/>
      <c r="E6206" s="542"/>
      <c r="F6206" s="542"/>
      <c r="G6206" s="542"/>
      <c r="H6206" s="197">
        <f ca="1">TODAY()</f>
        <v>44889</v>
      </c>
      <c r="K6206" t="s">
        <v>4380</v>
      </c>
      <c r="L6206" t="s">
        <v>4381</v>
      </c>
      <c r="M6206" t="s">
        <v>4382</v>
      </c>
      <c r="N6206" t="s">
        <v>4383</v>
      </c>
    </row>
    <row r="6207" spans="1:14" ht="60.75" customHeight="1">
      <c r="A6207" s="209" t="s">
        <v>4211</v>
      </c>
      <c r="B6207" s="544" t="str">
        <f>COSTOS!$D$16</f>
        <v>Luminarias</v>
      </c>
      <c r="C6207" s="544"/>
      <c r="D6207" s="544"/>
      <c r="E6207" s="544"/>
      <c r="F6207" s="544"/>
      <c r="G6207" s="60" t="s">
        <v>4212</v>
      </c>
      <c r="H6207" s="359">
        <v>3.11</v>
      </c>
      <c r="K6207" s="55" t="e">
        <f>H6233</f>
        <v>#VALUE!</v>
      </c>
      <c r="L6207" s="55">
        <f>H6243</f>
        <v>3435.8271999999997</v>
      </c>
      <c r="M6207" s="55" t="e">
        <f>H6216</f>
        <v>#VALUE!</v>
      </c>
      <c r="N6207" s="55" t="e">
        <f>H6237</f>
        <v>#VALUE!</v>
      </c>
    </row>
    <row r="6208" spans="1:14" ht="43.2" customHeight="1">
      <c r="A6208" s="210" t="s">
        <v>4213</v>
      </c>
      <c r="B6208" s="545" t="str">
        <f>VLOOKUP(H6207,COSTOS!C:M,2,0)</f>
        <v>Red canalizada en cable encauchetado 3x8 x 500m</v>
      </c>
      <c r="C6208" s="546"/>
      <c r="D6208" s="546"/>
      <c r="E6208" s="547"/>
      <c r="F6208" s="61" t="s">
        <v>0</v>
      </c>
      <c r="G6208" s="328" t="str">
        <f>VLOOKUP(H6207,COSTOS!C:M,8,0)</f>
        <v>Und</v>
      </c>
      <c r="H6208" s="248"/>
      <c r="I6208" s="278"/>
      <c r="J6208" s="280"/>
      <c r="K6208" s="280"/>
      <c r="L6208" s="280"/>
    </row>
    <row r="6209" spans="1:15">
      <c r="A6209" s="211"/>
      <c r="B6209" s="102"/>
      <c r="C6209" s="102"/>
      <c r="D6209" s="102"/>
      <c r="E6209" s="103"/>
      <c r="F6209" s="104" t="s">
        <v>1</v>
      </c>
      <c r="G6209" s="328">
        <f>VLOOKUP(H6207,COSTOS!C:M,9,0)</f>
        <v>0</v>
      </c>
      <c r="H6209" s="329"/>
      <c r="I6209" s="279"/>
    </row>
    <row r="6210" spans="1:15">
      <c r="A6210" s="212" t="s">
        <v>4215</v>
      </c>
      <c r="B6210" s="65"/>
      <c r="C6210" s="65"/>
      <c r="D6210" s="66"/>
      <c r="E6210" s="190"/>
      <c r="F6210" s="191"/>
      <c r="G6210" s="192" t="s">
        <v>4216</v>
      </c>
      <c r="H6210" s="198" t="e">
        <f>H6216+H6233+H6237+H6243</f>
        <v>#VALUE!</v>
      </c>
    </row>
    <row r="6211" spans="1:15" ht="41.4">
      <c r="A6211" s="548" t="s">
        <v>4213</v>
      </c>
      <c r="B6211" s="548"/>
      <c r="C6211" s="548"/>
      <c r="D6211" s="67" t="s">
        <v>0</v>
      </c>
      <c r="E6211" s="188" t="s">
        <v>4217</v>
      </c>
      <c r="F6211" s="189" t="s">
        <v>4204</v>
      </c>
      <c r="G6211" s="64" t="s">
        <v>2</v>
      </c>
      <c r="H6211" s="199" t="s">
        <v>4218</v>
      </c>
      <c r="K6211" s="281"/>
    </row>
    <row r="6212" spans="1:15">
      <c r="A6212" s="517" t="s">
        <v>3946</v>
      </c>
      <c r="B6212" s="549">
        <f>VLOOKUP(A6212,'Equip, Herr y Transp'!$B$2:$E$738,2,0)</f>
        <v>2</v>
      </c>
      <c r="C6212" s="549"/>
      <c r="D6212" s="85">
        <f>VLOOKUP(A6212,'Equip, Herr y Transp'!$B$2:$E$217,2,0)</f>
        <v>2</v>
      </c>
      <c r="E6212" s="85" t="str">
        <f>VLOOKUP(A6212,'Equip, Herr y Transp'!$B$2:$E$217,3,0)</f>
        <v>EQU</v>
      </c>
      <c r="F6212" s="86">
        <f>H6202</f>
        <v>1.04E-2</v>
      </c>
      <c r="G6212" s="112" t="e">
        <f>F6212*E6212</f>
        <v>#VALUE!</v>
      </c>
      <c r="H6212" s="108"/>
    </row>
    <row r="6213" spans="1:15">
      <c r="A6213" s="517" t="s">
        <v>8</v>
      </c>
      <c r="B6213" s="549" t="e">
        <f>VLOOKUP(A6213,'Equip, Herr y Transp'!$B$2:$E$738,2,0)</f>
        <v>#N/A</v>
      </c>
      <c r="C6213" s="549"/>
      <c r="D6213" s="85" t="e">
        <f>VLOOKUP(A6213,'Equip, Herr y Transp'!$B$2:$E$217,2,0)</f>
        <v>#N/A</v>
      </c>
      <c r="E6213" s="85" t="e">
        <f>VLOOKUP(A6213,'Equip, Herr y Transp'!$B$2:$E$217,3,0)</f>
        <v>#N/A</v>
      </c>
      <c r="F6213" s="86">
        <f>H6202</f>
        <v>1.04E-2</v>
      </c>
      <c r="G6213" s="112" t="e">
        <f>F6213*E6213</f>
        <v>#N/A</v>
      </c>
      <c r="H6213" s="107"/>
    </row>
    <row r="6214" spans="1:15">
      <c r="A6214" s="517" t="s">
        <v>8</v>
      </c>
      <c r="B6214" s="549" t="e">
        <f>VLOOKUP(A6214,'Equip, Herr y Transp'!$B$2:$E$738,2,0)</f>
        <v>#N/A</v>
      </c>
      <c r="C6214" s="549"/>
      <c r="D6214" s="85" t="e">
        <f>VLOOKUP(A6214,'Equip, Herr y Transp'!$B$2:$E$217,2,0)</f>
        <v>#N/A</v>
      </c>
      <c r="E6214" s="85" t="e">
        <f>VLOOKUP(A6214,'Equip, Herr y Transp'!$B$2:$E$217,3,0)</f>
        <v>#N/A</v>
      </c>
      <c r="F6214" s="86">
        <f>H6202</f>
        <v>1.04E-2</v>
      </c>
      <c r="G6214" s="112" t="e">
        <f>F6214*E6214</f>
        <v>#N/A</v>
      </c>
      <c r="H6214" s="107"/>
    </row>
    <row r="6215" spans="1:15">
      <c r="A6215" s="517" t="s">
        <v>8</v>
      </c>
      <c r="B6215" s="549" t="e">
        <f>VLOOKUP(A6215,'Equip, Herr y Transp'!$B$2:$E$738,2,0)</f>
        <v>#N/A</v>
      </c>
      <c r="C6215" s="549"/>
      <c r="D6215" s="85" t="e">
        <f>VLOOKUP(A6215,'Equip, Herr y Transp'!$B$2:$E$217,2,0)</f>
        <v>#N/A</v>
      </c>
      <c r="E6215" s="85" t="e">
        <f>VLOOKUP(A6215,'Equip, Herr y Transp'!$B$2:$E$217,3,0)</f>
        <v>#N/A</v>
      </c>
      <c r="F6215" s="86">
        <f>H6202</f>
        <v>1.04E-2</v>
      </c>
      <c r="G6215" s="112" t="e">
        <f>F6215*E6215</f>
        <v>#N/A</v>
      </c>
      <c r="H6215" s="107"/>
    </row>
    <row r="6216" spans="1:15">
      <c r="A6216" s="520" t="s">
        <v>4099</v>
      </c>
      <c r="B6216" s="521"/>
      <c r="C6216" s="521"/>
      <c r="D6216" s="521"/>
      <c r="E6216" s="521"/>
      <c r="F6216" s="521"/>
      <c r="G6216" s="521"/>
      <c r="H6216" s="87" t="e">
        <f>SUM(G6212:G6215)</f>
        <v>#VALUE!</v>
      </c>
    </row>
    <row r="6217" spans="1:15">
      <c r="A6217" s="550" t="s">
        <v>4219</v>
      </c>
      <c r="B6217" s="551"/>
      <c r="C6217" s="551"/>
      <c r="D6217" s="551"/>
      <c r="E6217" s="551"/>
      <c r="F6217" s="551"/>
      <c r="G6217" s="551"/>
      <c r="H6217" s="552"/>
      <c r="K6217" s="50"/>
      <c r="L6217" s="50"/>
      <c r="M6217" s="50"/>
      <c r="N6217" s="50"/>
      <c r="O6217" s="50"/>
    </row>
    <row r="6218" spans="1:15" ht="30" customHeight="1">
      <c r="A6218" s="553" t="s">
        <v>7</v>
      </c>
      <c r="B6218" s="554"/>
      <c r="C6218" s="99" t="s">
        <v>0</v>
      </c>
      <c r="D6218" s="100" t="s">
        <v>4097</v>
      </c>
      <c r="E6218" s="101" t="s">
        <v>1</v>
      </c>
      <c r="F6218" s="555" t="s">
        <v>4207</v>
      </c>
      <c r="G6218" s="555"/>
      <c r="H6218" s="196"/>
      <c r="K6218" s="50"/>
      <c r="L6218" s="50"/>
      <c r="M6218" s="50"/>
      <c r="N6218" s="50"/>
      <c r="O6218" s="50"/>
    </row>
    <row r="6219" spans="1:15">
      <c r="A6219" s="535" t="s">
        <v>4436</v>
      </c>
      <c r="B6219" s="536"/>
      <c r="C6219" s="88">
        <f>VLOOKUP(A6219,'Materiales '!$C$2:$G$396,3,0)</f>
        <v>2</v>
      </c>
      <c r="D6219" s="89" t="str">
        <f>VLOOKUP(A6219,'Materiales '!$C$2:$G$396,4,0)</f>
        <v>Ml</v>
      </c>
      <c r="E6219" s="90">
        <v>1</v>
      </c>
      <c r="F6219" s="508" t="e">
        <f>E6219*D6219</f>
        <v>#VALUE!</v>
      </c>
      <c r="G6219" s="519"/>
      <c r="H6219" s="111"/>
      <c r="I6219">
        <f>E6219*G6209</f>
        <v>0</v>
      </c>
      <c r="J6219" s="57"/>
      <c r="K6219" s="50"/>
      <c r="L6219" s="50"/>
      <c r="M6219" s="50"/>
      <c r="N6219" s="50"/>
      <c r="O6219" s="50"/>
    </row>
    <row r="6220" spans="1:15">
      <c r="A6220" s="535" t="s">
        <v>8</v>
      </c>
      <c r="B6220" s="536"/>
      <c r="C6220" s="88">
        <f>VLOOKUP(A6220,'Materiales '!$C$2:$G$396,3,0)</f>
        <v>0</v>
      </c>
      <c r="D6220" s="89" t="str">
        <f>VLOOKUP(A6220,'Materiales '!$C$2:$G$396,4,0)</f>
        <v>-</v>
      </c>
      <c r="E6220" s="90"/>
      <c r="F6220" s="508" t="e">
        <f t="shared" ref="F6220:F6226" si="364">E6220*D6220</f>
        <v>#VALUE!</v>
      </c>
      <c r="G6220" s="519"/>
      <c r="H6220" s="111"/>
      <c r="I6220">
        <f>E6220*G6209</f>
        <v>0</v>
      </c>
      <c r="J6220" s="57"/>
      <c r="K6220" s="50"/>
      <c r="L6220" s="50"/>
      <c r="M6220" s="50"/>
      <c r="N6220" s="50"/>
      <c r="O6220" s="50"/>
    </row>
    <row r="6221" spans="1:15">
      <c r="A6221" s="517" t="s">
        <v>8</v>
      </c>
      <c r="B6221" s="518">
        <f>VLOOKUP(A6221,'Materiales '!$C$2:$G$396,3,0)</f>
        <v>0</v>
      </c>
      <c r="C6221" s="88">
        <f>VLOOKUP(A6221,'Materiales '!$C$2:$G$396,3,0)</f>
        <v>0</v>
      </c>
      <c r="D6221" s="89" t="str">
        <f>VLOOKUP(A6221,'Materiales '!$C$2:$G$396,4,0)</f>
        <v>-</v>
      </c>
      <c r="E6221" s="90"/>
      <c r="F6221" s="508" t="e">
        <f t="shared" si="364"/>
        <v>#VALUE!</v>
      </c>
      <c r="G6221" s="519"/>
      <c r="H6221" s="111"/>
      <c r="I6221">
        <f>E6221*G6209</f>
        <v>0</v>
      </c>
      <c r="J6221" s="58"/>
      <c r="K6221" s="50"/>
      <c r="L6221" s="50"/>
      <c r="M6221" s="50"/>
      <c r="N6221" s="50"/>
      <c r="O6221" s="50"/>
    </row>
    <row r="6222" spans="1:15">
      <c r="A6222" s="517" t="s">
        <v>8</v>
      </c>
      <c r="B6222" s="518">
        <f>VLOOKUP(A6222,'Materiales '!$C$2:$G$396,3,0)</f>
        <v>0</v>
      </c>
      <c r="C6222" s="88">
        <f>VLOOKUP(A6222,'Materiales '!$C$2:$G$396,3,0)</f>
        <v>0</v>
      </c>
      <c r="D6222" s="89" t="str">
        <f>VLOOKUP(A6222,'Materiales '!$C$2:$G$396,4,0)</f>
        <v>-</v>
      </c>
      <c r="E6222" s="90"/>
      <c r="F6222" s="508" t="e">
        <f t="shared" si="364"/>
        <v>#VALUE!</v>
      </c>
      <c r="G6222" s="519"/>
      <c r="H6222" s="111"/>
      <c r="I6222">
        <f>E6222*G6209</f>
        <v>0</v>
      </c>
      <c r="J6222" s="58"/>
      <c r="K6222" s="50"/>
      <c r="L6222" s="50"/>
      <c r="M6222" s="50"/>
      <c r="N6222" s="50"/>
      <c r="O6222" s="50"/>
    </row>
    <row r="6223" spans="1:15">
      <c r="A6223" s="517" t="s">
        <v>8</v>
      </c>
      <c r="B6223" s="518">
        <f>VLOOKUP(A6223,'Materiales '!$C$2:$G$396,3,0)</f>
        <v>0</v>
      </c>
      <c r="C6223" s="88">
        <f>VLOOKUP(A6223,'Materiales '!$C$2:$G$396,3,0)</f>
        <v>0</v>
      </c>
      <c r="D6223" s="89" t="str">
        <f>VLOOKUP(A6223,'Materiales '!$C$2:$G$396,4,0)</f>
        <v>-</v>
      </c>
      <c r="E6223" s="90"/>
      <c r="F6223" s="508" t="e">
        <f t="shared" si="364"/>
        <v>#VALUE!</v>
      </c>
      <c r="G6223" s="519"/>
      <c r="H6223" s="111"/>
      <c r="I6223">
        <f>E6223*G6209</f>
        <v>0</v>
      </c>
      <c r="J6223" s="58"/>
      <c r="K6223" s="50"/>
      <c r="L6223" s="50"/>
      <c r="M6223" s="50"/>
      <c r="N6223" s="50"/>
      <c r="O6223" s="50"/>
    </row>
    <row r="6224" spans="1:15">
      <c r="A6224" s="517" t="s">
        <v>8</v>
      </c>
      <c r="B6224" s="518">
        <f>VLOOKUP(A6224,'Materiales '!$C$2:$G$396,3,0)</f>
        <v>0</v>
      </c>
      <c r="C6224" s="88">
        <f>VLOOKUP(A6224,'Materiales '!$C$2:$G$396,3,0)</f>
        <v>0</v>
      </c>
      <c r="D6224" s="89" t="str">
        <f>VLOOKUP(A6224,'Materiales '!$C$2:$G$396,4,0)</f>
        <v>-</v>
      </c>
      <c r="E6224" s="90"/>
      <c r="F6224" s="508" t="e">
        <f t="shared" si="364"/>
        <v>#VALUE!</v>
      </c>
      <c r="G6224" s="519"/>
      <c r="H6224" s="111"/>
      <c r="I6224">
        <f>E6224*G6209</f>
        <v>0</v>
      </c>
      <c r="J6224" s="58"/>
      <c r="K6224" s="50"/>
      <c r="L6224" s="50"/>
      <c r="M6224" s="50"/>
      <c r="N6224" s="50"/>
      <c r="O6224" s="50"/>
    </row>
    <row r="6225" spans="1:15">
      <c r="A6225" s="517" t="s">
        <v>8</v>
      </c>
      <c r="B6225" s="518">
        <f>VLOOKUP(A6225,'Materiales '!$C$2:$G$396,3,0)</f>
        <v>0</v>
      </c>
      <c r="C6225" s="88">
        <f>VLOOKUP(A6225,'Materiales '!$C$2:$G$396,3,0)</f>
        <v>0</v>
      </c>
      <c r="D6225" s="89" t="str">
        <f>VLOOKUP(A6225,'Materiales '!$C$2:$G$396,4,0)</f>
        <v>-</v>
      </c>
      <c r="E6225" s="90"/>
      <c r="F6225" s="508" t="e">
        <f t="shared" si="364"/>
        <v>#VALUE!</v>
      </c>
      <c r="G6225" s="519"/>
      <c r="H6225" s="111"/>
      <c r="I6225">
        <f>E6225*G6209</f>
        <v>0</v>
      </c>
      <c r="J6225" s="58"/>
      <c r="K6225" s="50"/>
      <c r="L6225" s="50"/>
      <c r="M6225" s="50"/>
      <c r="N6225" s="50"/>
      <c r="O6225" s="50"/>
    </row>
    <row r="6226" spans="1:15" ht="21.75" customHeight="1">
      <c r="A6226" s="517" t="s">
        <v>8</v>
      </c>
      <c r="B6226" s="518">
        <f>VLOOKUP(A6226,'Materiales '!$C$2:$G$396,3,0)</f>
        <v>0</v>
      </c>
      <c r="C6226" s="88">
        <f>VLOOKUP(A6226,'Materiales '!$C$2:$G$396,3,0)</f>
        <v>0</v>
      </c>
      <c r="D6226" s="89" t="str">
        <f>VLOOKUP(A6226,'Materiales '!$C$2:$G$396,4,0)</f>
        <v>-</v>
      </c>
      <c r="E6226" s="90"/>
      <c r="F6226" s="508" t="e">
        <f t="shared" si="364"/>
        <v>#VALUE!</v>
      </c>
      <c r="G6226" s="519"/>
      <c r="H6226" s="111"/>
      <c r="I6226">
        <f>E6226*G6209</f>
        <v>0</v>
      </c>
      <c r="J6226" s="58"/>
      <c r="K6226" s="50"/>
      <c r="L6226" s="50"/>
      <c r="M6226" s="50"/>
      <c r="N6226" s="50"/>
      <c r="O6226" s="50"/>
    </row>
    <row r="6227" spans="1:15">
      <c r="A6227" s="517" t="s">
        <v>8</v>
      </c>
      <c r="B6227" s="518">
        <f>VLOOKUP(A6227,'Materiales '!$C$2:$G$396,3,0)</f>
        <v>0</v>
      </c>
      <c r="C6227" s="88">
        <f>VLOOKUP(A6227,'Materiales '!$C$2:$G$396,3,0)</f>
        <v>0</v>
      </c>
      <c r="D6227" s="89" t="str">
        <f>VLOOKUP(A6227,'Materiales '!$C$2:$G$396,4,0)</f>
        <v>-</v>
      </c>
      <c r="E6227" s="90"/>
      <c r="F6227" s="508" t="e">
        <f>E6227*D6227</f>
        <v>#VALUE!</v>
      </c>
      <c r="G6227" s="519"/>
      <c r="H6227" s="110"/>
      <c r="I6227">
        <f>E6227*G6209</f>
        <v>0</v>
      </c>
      <c r="J6227" s="58"/>
      <c r="K6227" s="50"/>
      <c r="L6227" s="50"/>
      <c r="M6227" s="50"/>
      <c r="N6227" s="50"/>
      <c r="O6227" s="50"/>
    </row>
    <row r="6228" spans="1:15">
      <c r="A6228" s="517" t="s">
        <v>8</v>
      </c>
      <c r="B6228" s="518">
        <f>VLOOKUP(A6228,'Materiales '!$C$2:$G$396,3,0)</f>
        <v>0</v>
      </c>
      <c r="C6228" s="88">
        <f>VLOOKUP(A6228,'Materiales '!$C$2:$G$396,3,0)</f>
        <v>0</v>
      </c>
      <c r="D6228" s="89" t="str">
        <f>VLOOKUP(A6228,'Materiales '!$C$2:$G$396,4,0)</f>
        <v>-</v>
      </c>
      <c r="E6228" s="90"/>
      <c r="F6228" s="508" t="e">
        <f t="shared" ref="F6228:F6231" si="365">E6228*D6228</f>
        <v>#VALUE!</v>
      </c>
      <c r="G6228" s="519"/>
      <c r="H6228" s="111"/>
      <c r="I6228">
        <f>E6228*G6209</f>
        <v>0</v>
      </c>
      <c r="J6228" s="58"/>
      <c r="K6228" s="50"/>
      <c r="L6228" s="50"/>
      <c r="M6228" s="50"/>
      <c r="N6228" s="50"/>
      <c r="O6228" s="50"/>
    </row>
    <row r="6229" spans="1:15">
      <c r="A6229" s="517" t="s">
        <v>8</v>
      </c>
      <c r="B6229" s="518">
        <f>VLOOKUP(A6229,'Materiales '!$C$2:$G$396,3,0)</f>
        <v>0</v>
      </c>
      <c r="C6229" s="88">
        <f>VLOOKUP(A6229,'Materiales '!$C$2:$G$396,3,0)</f>
        <v>0</v>
      </c>
      <c r="D6229" s="89" t="str">
        <f>VLOOKUP(A6229,'Materiales '!$C$2:$G$396,4,0)</f>
        <v>-</v>
      </c>
      <c r="E6229" s="90"/>
      <c r="F6229" s="508" t="e">
        <f t="shared" si="365"/>
        <v>#VALUE!</v>
      </c>
      <c r="G6229" s="519"/>
      <c r="H6229" s="111"/>
      <c r="I6229">
        <f>E6229*G6209</f>
        <v>0</v>
      </c>
      <c r="J6229" s="58"/>
      <c r="K6229" s="50"/>
      <c r="L6229" s="50"/>
      <c r="M6229" s="50"/>
      <c r="N6229" s="50"/>
      <c r="O6229" s="50"/>
    </row>
    <row r="6230" spans="1:15">
      <c r="A6230" s="517" t="s">
        <v>8</v>
      </c>
      <c r="B6230" s="518">
        <f>VLOOKUP(A6230,'Materiales '!$C$2:$G$396,3,0)</f>
        <v>0</v>
      </c>
      <c r="C6230" s="88">
        <f>VLOOKUP(A6230,'Materiales '!$C$2:$G$396,3,0)</f>
        <v>0</v>
      </c>
      <c r="D6230" s="89" t="str">
        <f>VLOOKUP(A6230,'Materiales '!$C$2:$G$396,4,0)</f>
        <v>-</v>
      </c>
      <c r="E6230" s="90"/>
      <c r="F6230" s="508" t="e">
        <f t="shared" si="365"/>
        <v>#VALUE!</v>
      </c>
      <c r="G6230" s="519"/>
      <c r="H6230" s="111"/>
      <c r="I6230">
        <f>E6230*G6209</f>
        <v>0</v>
      </c>
      <c r="J6230" s="58"/>
      <c r="K6230" s="50"/>
      <c r="L6230" s="50"/>
      <c r="M6230" s="50"/>
      <c r="N6230" s="50"/>
      <c r="O6230" s="50"/>
    </row>
    <row r="6231" spans="1:15">
      <c r="A6231" s="517" t="s">
        <v>8</v>
      </c>
      <c r="B6231" s="518">
        <f>VLOOKUP(A6231,'Materiales '!$C$2:$G$396,3,0)</f>
        <v>0</v>
      </c>
      <c r="C6231" s="88">
        <f>VLOOKUP(A6231,'Materiales '!$C$2:$G$396,3,0)</f>
        <v>0</v>
      </c>
      <c r="D6231" s="89" t="str">
        <f>VLOOKUP(A6231,'Materiales '!$C$2:$G$396,4,0)</f>
        <v>-</v>
      </c>
      <c r="E6231" s="90"/>
      <c r="F6231" s="508" t="e">
        <f t="shared" si="365"/>
        <v>#VALUE!</v>
      </c>
      <c r="G6231" s="519"/>
      <c r="H6231" s="111"/>
      <c r="I6231">
        <f>E6231*G6209</f>
        <v>0</v>
      </c>
      <c r="J6231" s="58"/>
      <c r="K6231" s="50"/>
      <c r="L6231" s="50"/>
      <c r="M6231" s="50"/>
      <c r="N6231" s="50"/>
      <c r="O6231" s="50"/>
    </row>
    <row r="6232" spans="1:15">
      <c r="A6232" s="517" t="s">
        <v>8</v>
      </c>
      <c r="B6232" s="518">
        <f>VLOOKUP(A6232,'Materiales '!$C$2:$G$396,3,0)</f>
        <v>0</v>
      </c>
      <c r="C6232" s="88">
        <f>VLOOKUP(A6232,'Materiales '!$C$2:$G$396,3,0)</f>
        <v>0</v>
      </c>
      <c r="D6232" s="89" t="str">
        <f>VLOOKUP(A6232,'Materiales '!$C$2:$G$396,4,0)</f>
        <v>-</v>
      </c>
      <c r="E6232" s="90"/>
      <c r="F6232" s="508" t="e">
        <f>E6232*D6232</f>
        <v>#VALUE!</v>
      </c>
      <c r="G6232" s="519"/>
      <c r="H6232" s="110"/>
      <c r="I6232">
        <f>E6232*G6209</f>
        <v>0</v>
      </c>
      <c r="J6232" s="58"/>
      <c r="K6232" s="50"/>
      <c r="L6232" s="50"/>
      <c r="M6232" s="50"/>
      <c r="N6232" s="50"/>
      <c r="O6232" s="50"/>
    </row>
    <row r="6233" spans="1:15">
      <c r="A6233" s="520" t="s">
        <v>4098</v>
      </c>
      <c r="B6233" s="521"/>
      <c r="C6233" s="521"/>
      <c r="D6233" s="521"/>
      <c r="E6233" s="521"/>
      <c r="F6233" s="521"/>
      <c r="G6233" s="522"/>
      <c r="H6233" s="106" t="e">
        <f>SUM(F6219:F6232)</f>
        <v>#VALUE!</v>
      </c>
      <c r="J6233" s="58"/>
      <c r="K6233" s="50"/>
      <c r="L6233" s="50"/>
      <c r="M6233" s="50"/>
      <c r="N6233" s="50"/>
      <c r="O6233" s="50"/>
    </row>
    <row r="6234" spans="1:15">
      <c r="A6234" s="523" t="s">
        <v>4220</v>
      </c>
      <c r="B6234" s="524"/>
      <c r="C6234" s="524"/>
      <c r="D6234" s="524"/>
      <c r="E6234" s="525"/>
      <c r="F6234" s="524"/>
      <c r="G6234" s="524"/>
      <c r="H6234" s="526"/>
      <c r="J6234" s="58"/>
      <c r="K6234" s="50"/>
      <c r="L6234" s="50"/>
      <c r="M6234" s="50"/>
      <c r="N6234" s="50"/>
      <c r="O6234" s="50"/>
    </row>
    <row r="6235" spans="1:15">
      <c r="A6235" s="527" t="s">
        <v>7</v>
      </c>
      <c r="B6235" s="528"/>
      <c r="C6235" s="98" t="s">
        <v>4221</v>
      </c>
      <c r="D6235" s="97" t="s">
        <v>4222</v>
      </c>
      <c r="E6235" s="187" t="s">
        <v>4223</v>
      </c>
      <c r="F6235" s="529" t="s">
        <v>4207</v>
      </c>
      <c r="G6235" s="529"/>
      <c r="H6235" s="109"/>
      <c r="K6235" s="50"/>
      <c r="L6235" s="50"/>
      <c r="M6235" s="50"/>
      <c r="N6235" s="50"/>
      <c r="O6235" s="50"/>
    </row>
    <row r="6236" spans="1:15">
      <c r="A6236" s="506" t="s">
        <v>3928</v>
      </c>
      <c r="B6236" s="507"/>
      <c r="C6236" s="213">
        <v>1</v>
      </c>
      <c r="D6236" s="92">
        <v>5.0000000000000001E-3</v>
      </c>
      <c r="E6236" s="93" t="str">
        <f>VLOOKUP(A6236,'Equip, Herr y Transp'!$B$2:$E$217,3,0)</f>
        <v>TR</v>
      </c>
      <c r="F6236" s="530" t="e">
        <f>E6236*D6236*C6236</f>
        <v>#VALUE!</v>
      </c>
      <c r="G6236" s="531"/>
      <c r="H6236" s="107"/>
      <c r="M6236" s="50"/>
    </row>
    <row r="6237" spans="1:15">
      <c r="A6237" s="532" t="s">
        <v>4205</v>
      </c>
      <c r="B6237" s="533"/>
      <c r="C6237" s="533"/>
      <c r="D6237" s="533"/>
      <c r="E6237" s="533"/>
      <c r="F6237" s="533"/>
      <c r="G6237" s="533"/>
      <c r="H6237" s="95" t="e">
        <f>F6236</f>
        <v>#VALUE!</v>
      </c>
    </row>
    <row r="6238" spans="1:15">
      <c r="A6238" s="523" t="s">
        <v>4224</v>
      </c>
      <c r="B6238" s="524"/>
      <c r="C6238" s="524"/>
      <c r="D6238" s="524"/>
      <c r="E6238" s="524"/>
      <c r="F6238" s="524"/>
      <c r="G6238" s="524"/>
      <c r="H6238" s="526"/>
    </row>
    <row r="6239" spans="1:15">
      <c r="A6239" s="527" t="s">
        <v>7</v>
      </c>
      <c r="B6239" s="528"/>
      <c r="C6239" s="96" t="s">
        <v>1</v>
      </c>
      <c r="D6239" s="97" t="s">
        <v>4225</v>
      </c>
      <c r="E6239" s="98" t="s">
        <v>4204</v>
      </c>
      <c r="F6239" s="527" t="s">
        <v>5</v>
      </c>
      <c r="G6239" s="534"/>
      <c r="H6239" s="109"/>
    </row>
    <row r="6240" spans="1:15">
      <c r="A6240" s="506" t="s">
        <v>4191</v>
      </c>
      <c r="B6240" s="507"/>
      <c r="C6240" s="91">
        <v>1</v>
      </c>
      <c r="D6240" s="94">
        <f>VLOOKUP(A6240,'Mano Obra'!$B$2:$T$117,19,0)</f>
        <v>152456</v>
      </c>
      <c r="E6240" s="218">
        <f>H6202</f>
        <v>1.04E-2</v>
      </c>
      <c r="F6240" s="508">
        <f>E6240*D6240*C6240</f>
        <v>1585.5423999999998</v>
      </c>
      <c r="G6240" s="509"/>
      <c r="H6240" s="111"/>
      <c r="I6240" s="59"/>
      <c r="J6240" s="117">
        <f>((('Mano Obra'!$M$4/30)*F6240)/D6240)*G6209</f>
        <v>0</v>
      </c>
    </row>
    <row r="6241" spans="1:10">
      <c r="A6241" s="510" t="s">
        <v>4192</v>
      </c>
      <c r="B6241" s="511">
        <f>VLOOKUP(A6241,'Mano Obra'!$B$3:$D$290,2,0)</f>
        <v>1900000</v>
      </c>
      <c r="C6241" s="91">
        <v>1</v>
      </c>
      <c r="D6241" s="94">
        <f>VLOOKUP(A6241,'Mano Obra'!$B$2:$T$117,19,0)</f>
        <v>110488</v>
      </c>
      <c r="E6241" s="218">
        <f>H6202</f>
        <v>1.04E-2</v>
      </c>
      <c r="F6241" s="508">
        <f t="shared" ref="F6241:F6242" si="366">E6241*D6241*C6241</f>
        <v>1149.0752</v>
      </c>
      <c r="G6241" s="509"/>
      <c r="H6241" s="111"/>
      <c r="J6241" s="117">
        <f>((('Mano Obra'!$M$5/30)*F6241)/D6241)*G6209</f>
        <v>0</v>
      </c>
    </row>
    <row r="6242" spans="1:10">
      <c r="A6242" s="510" t="s">
        <v>4181</v>
      </c>
      <c r="B6242" s="511">
        <f>VLOOKUP(A6242,'Mano Obra'!$B$3:$D$290,2,0)</f>
        <v>1000000</v>
      </c>
      <c r="C6242" s="91">
        <v>1</v>
      </c>
      <c r="D6242" s="94">
        <f>VLOOKUP(A6242,'Mano Obra'!$B$2:$T$117,19,0)</f>
        <v>67424</v>
      </c>
      <c r="E6242" s="218">
        <f>H6202</f>
        <v>1.04E-2</v>
      </c>
      <c r="F6242" s="508">
        <f t="shared" si="366"/>
        <v>701.20960000000002</v>
      </c>
      <c r="G6242" s="509"/>
      <c r="H6242" s="110"/>
      <c r="J6242" s="117">
        <f>((('Mano Obra'!$M$6/30)*F6242)/D6242)*G6209</f>
        <v>0</v>
      </c>
    </row>
    <row r="6243" spans="1:10">
      <c r="A6243" s="512" t="s">
        <v>4100</v>
      </c>
      <c r="B6243" s="512"/>
      <c r="C6243" s="512"/>
      <c r="D6243" s="512"/>
      <c r="E6243" s="512"/>
      <c r="F6243" s="512"/>
      <c r="G6243" s="512"/>
      <c r="H6243" s="95">
        <f>SUM(F6240:F6242)</f>
        <v>3435.8271999999997</v>
      </c>
      <c r="J6243" s="117"/>
    </row>
    <row r="6244" spans="1:10">
      <c r="A6244" s="208" t="s">
        <v>4226</v>
      </c>
      <c r="B6244" s="186"/>
      <c r="C6244" s="186"/>
      <c r="D6244" s="183"/>
      <c r="E6244" s="184"/>
      <c r="F6244" s="185"/>
      <c r="G6244" s="184"/>
      <c r="H6244" s="193"/>
    </row>
    <row r="6245" spans="1:10">
      <c r="A6245" s="513" t="s">
        <v>4213</v>
      </c>
      <c r="B6245" s="514"/>
      <c r="C6245" s="514"/>
      <c r="D6245" s="514"/>
      <c r="E6245" s="181"/>
      <c r="F6245" s="182" t="s">
        <v>4227</v>
      </c>
      <c r="G6245" s="181" t="s">
        <v>4228</v>
      </c>
      <c r="H6245" s="194"/>
    </row>
    <row r="6246" spans="1:10">
      <c r="A6246" s="204" t="s">
        <v>4096</v>
      </c>
      <c r="B6246" s="62"/>
      <c r="C6246" s="62"/>
      <c r="D6246" s="63"/>
      <c r="E6246" s="68"/>
      <c r="F6246" s="69">
        <v>0</v>
      </c>
      <c r="G6246" s="70" t="e">
        <f>F6246*H6210</f>
        <v>#VALUE!</v>
      </c>
      <c r="H6246" s="193"/>
    </row>
    <row r="6247" spans="1:10">
      <c r="A6247" s="205" t="s">
        <v>4229</v>
      </c>
      <c r="B6247" s="71"/>
      <c r="C6247" s="71"/>
      <c r="D6247" s="72"/>
      <c r="E6247" s="68"/>
      <c r="F6247" s="69">
        <v>0</v>
      </c>
      <c r="G6247" s="70" t="e">
        <f>F6247*H6210</f>
        <v>#VALUE!</v>
      </c>
      <c r="H6247" s="193"/>
    </row>
    <row r="6248" spans="1:10">
      <c r="A6248" s="205" t="s">
        <v>4</v>
      </c>
      <c r="B6248" s="71"/>
      <c r="C6248" s="71"/>
      <c r="D6248" s="72"/>
      <c r="E6248" s="68"/>
      <c r="F6248" s="69">
        <v>0</v>
      </c>
      <c r="G6248" s="70" t="e">
        <f>F6248*H6210</f>
        <v>#VALUE!</v>
      </c>
      <c r="H6248" s="193"/>
    </row>
    <row r="6249" spans="1:10">
      <c r="A6249" s="206"/>
      <c r="B6249" s="73"/>
      <c r="C6249" s="65"/>
      <c r="D6249" s="74"/>
      <c r="E6249" s="75"/>
      <c r="F6249" s="76"/>
      <c r="G6249" s="77"/>
      <c r="H6249" s="195"/>
    </row>
    <row r="6250" spans="1:10">
      <c r="A6250" s="207"/>
      <c r="B6250" s="73"/>
      <c r="C6250" s="73"/>
      <c r="D6250" s="74"/>
      <c r="E6250" s="78"/>
      <c r="F6250" s="515" t="s">
        <v>4230</v>
      </c>
      <c r="G6250" s="516"/>
      <c r="H6250" s="214" t="e">
        <f>H6210+G6246+G6247+G6248</f>
        <v>#VALUE!</v>
      </c>
    </row>
    <row r="6251" spans="1:10">
      <c r="A6251" s="73"/>
      <c r="B6251" s="73"/>
      <c r="C6251" s="73"/>
      <c r="D6251" s="74"/>
      <c r="E6251" s="360"/>
      <c r="F6251" s="361"/>
      <c r="G6251" s="361"/>
      <c r="H6251" s="362"/>
    </row>
    <row r="6252" spans="1:10">
      <c r="A6252" s="73"/>
      <c r="B6252" s="73"/>
      <c r="C6252" s="73"/>
      <c r="D6252" s="74"/>
      <c r="E6252" s="360"/>
      <c r="F6252" s="361"/>
      <c r="G6252" s="361"/>
      <c r="H6252" s="362"/>
    </row>
    <row r="6253" spans="1:10">
      <c r="A6253" s="537" t="s">
        <v>4214</v>
      </c>
      <c r="B6253" s="538"/>
      <c r="C6253" s="538"/>
      <c r="D6253" s="538"/>
      <c r="E6253" s="538"/>
      <c r="F6253" s="538"/>
      <c r="G6253" s="538"/>
      <c r="H6253" s="539"/>
    </row>
    <row r="6254" spans="1:10">
      <c r="A6254" s="81"/>
      <c r="B6254" s="82"/>
      <c r="C6254" s="82"/>
      <c r="D6254" s="82"/>
      <c r="E6254" s="82"/>
      <c r="F6254" s="83"/>
      <c r="G6254" s="84"/>
      <c r="H6254" s="352">
        <f>ROUND((5/60)/8,4)</f>
        <v>1.04E-2</v>
      </c>
      <c r="I6254" s="105"/>
    </row>
    <row r="6255" spans="1:10">
      <c r="A6255" s="540" t="s">
        <v>4209</v>
      </c>
      <c r="B6255" s="542" t="str">
        <f>COSTOS!$C$14</f>
        <v>MODERNIZACION A TECNOLOGIA LED</v>
      </c>
      <c r="C6255" s="542"/>
      <c r="D6255" s="542"/>
      <c r="E6255" s="542"/>
      <c r="F6255" s="542"/>
      <c r="G6255" s="542"/>
      <c r="H6255" s="543" t="s">
        <v>4210</v>
      </c>
    </row>
    <row r="6256" spans="1:10">
      <c r="A6256" s="541"/>
      <c r="B6256" s="542"/>
      <c r="C6256" s="542"/>
      <c r="D6256" s="542"/>
      <c r="E6256" s="542"/>
      <c r="F6256" s="542"/>
      <c r="G6256" s="542"/>
      <c r="H6256" s="543"/>
    </row>
    <row r="6257" spans="1:15">
      <c r="A6257" s="541"/>
      <c r="B6257" s="542"/>
      <c r="C6257" s="542"/>
      <c r="D6257" s="542"/>
      <c r="E6257" s="542"/>
      <c r="F6257" s="542"/>
      <c r="G6257" s="542"/>
      <c r="H6257" s="543"/>
    </row>
    <row r="6258" spans="1:15" ht="15" customHeight="1">
      <c r="A6258" s="541"/>
      <c r="B6258" s="542"/>
      <c r="C6258" s="542"/>
      <c r="D6258" s="542"/>
      <c r="E6258" s="542"/>
      <c r="F6258" s="542"/>
      <c r="G6258" s="542"/>
      <c r="H6258" s="197">
        <f ca="1">TODAY()</f>
        <v>44889</v>
      </c>
      <c r="K6258" t="s">
        <v>4380</v>
      </c>
      <c r="L6258" t="s">
        <v>4381</v>
      </c>
      <c r="M6258" t="s">
        <v>4382</v>
      </c>
      <c r="N6258" t="s">
        <v>4383</v>
      </c>
    </row>
    <row r="6259" spans="1:15" ht="60.75" customHeight="1">
      <c r="A6259" s="209" t="s">
        <v>4211</v>
      </c>
      <c r="B6259" s="544" t="str">
        <f>COSTOS!$D$16</f>
        <v>Luminarias</v>
      </c>
      <c r="C6259" s="544"/>
      <c r="D6259" s="544"/>
      <c r="E6259" s="544"/>
      <c r="F6259" s="544"/>
      <c r="G6259" s="60" t="s">
        <v>4212</v>
      </c>
      <c r="H6259" s="363">
        <v>3.12</v>
      </c>
      <c r="K6259" s="55" t="e">
        <f>H6285</f>
        <v>#VALUE!</v>
      </c>
      <c r="L6259" s="55">
        <f>H6295</f>
        <v>3435.8271999999997</v>
      </c>
      <c r="M6259" s="55" t="e">
        <f>H6268</f>
        <v>#VALUE!</v>
      </c>
      <c r="N6259" s="55" t="e">
        <f>H6289</f>
        <v>#VALUE!</v>
      </c>
    </row>
    <row r="6260" spans="1:15" ht="43.2" customHeight="1">
      <c r="A6260" s="210" t="s">
        <v>4213</v>
      </c>
      <c r="B6260" s="545" t="str">
        <f>VLOOKUP(H6259,COSTOS!C:M,2,0)</f>
        <v>Red aérea en cable concentrico aluminio 8+8 AWG x500m</v>
      </c>
      <c r="C6260" s="546"/>
      <c r="D6260" s="546"/>
      <c r="E6260" s="547"/>
      <c r="F6260" s="61" t="s">
        <v>0</v>
      </c>
      <c r="G6260" s="328" t="str">
        <f>VLOOKUP(H6259,COSTOS!C:M,8,0)</f>
        <v>Und</v>
      </c>
      <c r="H6260" s="248"/>
      <c r="I6260" s="278"/>
      <c r="J6260" s="280"/>
      <c r="K6260" s="280"/>
      <c r="L6260" s="280"/>
    </row>
    <row r="6261" spans="1:15">
      <c r="A6261" s="211"/>
      <c r="B6261" s="102"/>
      <c r="C6261" s="102"/>
      <c r="D6261" s="102"/>
      <c r="E6261" s="103"/>
      <c r="F6261" s="104" t="s">
        <v>1</v>
      </c>
      <c r="G6261" s="328">
        <f>VLOOKUP(H6259,COSTOS!C:M,9,0)</f>
        <v>0</v>
      </c>
      <c r="H6261" s="329"/>
      <c r="I6261" s="279"/>
    </row>
    <row r="6262" spans="1:15">
      <c r="A6262" s="212" t="s">
        <v>4215</v>
      </c>
      <c r="B6262" s="65"/>
      <c r="C6262" s="65"/>
      <c r="D6262" s="66"/>
      <c r="E6262" s="190"/>
      <c r="F6262" s="191"/>
      <c r="G6262" s="192" t="s">
        <v>4216</v>
      </c>
      <c r="H6262" s="198" t="e">
        <f>H6268+H6285+H6289+H6295</f>
        <v>#VALUE!</v>
      </c>
    </row>
    <row r="6263" spans="1:15" ht="41.4">
      <c r="A6263" s="548" t="s">
        <v>4213</v>
      </c>
      <c r="B6263" s="548"/>
      <c r="C6263" s="548"/>
      <c r="D6263" s="67" t="s">
        <v>0</v>
      </c>
      <c r="E6263" s="188" t="s">
        <v>4217</v>
      </c>
      <c r="F6263" s="189" t="s">
        <v>4204</v>
      </c>
      <c r="G6263" s="64" t="s">
        <v>2</v>
      </c>
      <c r="H6263" s="199" t="s">
        <v>4218</v>
      </c>
      <c r="K6263" s="281"/>
    </row>
    <row r="6264" spans="1:15">
      <c r="A6264" s="517" t="s">
        <v>3946</v>
      </c>
      <c r="B6264" s="549">
        <f>VLOOKUP(A6264,'Equip, Herr y Transp'!$B$2:$E$738,2,0)</f>
        <v>2</v>
      </c>
      <c r="C6264" s="549"/>
      <c r="D6264" s="85">
        <f>VLOOKUP(A6264,'Equip, Herr y Transp'!$B$2:$E$217,2,0)</f>
        <v>2</v>
      </c>
      <c r="E6264" s="85" t="str">
        <f>VLOOKUP(A6264,'Equip, Herr y Transp'!$B$2:$E$217,3,0)</f>
        <v>EQU</v>
      </c>
      <c r="F6264" s="86">
        <f>H6254</f>
        <v>1.04E-2</v>
      </c>
      <c r="G6264" s="112" t="e">
        <f>F6264*E6264</f>
        <v>#VALUE!</v>
      </c>
      <c r="H6264" s="108"/>
    </row>
    <row r="6265" spans="1:15">
      <c r="A6265" s="517" t="s">
        <v>8</v>
      </c>
      <c r="B6265" s="549" t="e">
        <f>VLOOKUP(A6265,'Equip, Herr y Transp'!$B$2:$E$738,2,0)</f>
        <v>#N/A</v>
      </c>
      <c r="C6265" s="549"/>
      <c r="D6265" s="85" t="e">
        <f>VLOOKUP(A6265,'Equip, Herr y Transp'!$B$2:$E$217,2,0)</f>
        <v>#N/A</v>
      </c>
      <c r="E6265" s="85" t="e">
        <f>VLOOKUP(A6265,'Equip, Herr y Transp'!$B$2:$E$217,3,0)</f>
        <v>#N/A</v>
      </c>
      <c r="F6265" s="86">
        <f>H6254</f>
        <v>1.04E-2</v>
      </c>
      <c r="G6265" s="112" t="e">
        <f>F6265*E6265</f>
        <v>#N/A</v>
      </c>
      <c r="H6265" s="107"/>
    </row>
    <row r="6266" spans="1:15">
      <c r="A6266" s="517" t="s">
        <v>8</v>
      </c>
      <c r="B6266" s="549" t="e">
        <f>VLOOKUP(A6266,'Equip, Herr y Transp'!$B$2:$E$738,2,0)</f>
        <v>#N/A</v>
      </c>
      <c r="C6266" s="549"/>
      <c r="D6266" s="85" t="e">
        <f>VLOOKUP(A6266,'Equip, Herr y Transp'!$B$2:$E$217,2,0)</f>
        <v>#N/A</v>
      </c>
      <c r="E6266" s="85" t="e">
        <f>VLOOKUP(A6266,'Equip, Herr y Transp'!$B$2:$E$217,3,0)</f>
        <v>#N/A</v>
      </c>
      <c r="F6266" s="86">
        <f>H6254</f>
        <v>1.04E-2</v>
      </c>
      <c r="G6266" s="112" t="e">
        <f>F6266*E6266</f>
        <v>#N/A</v>
      </c>
      <c r="H6266" s="107"/>
    </row>
    <row r="6267" spans="1:15">
      <c r="A6267" s="517" t="s">
        <v>8</v>
      </c>
      <c r="B6267" s="549" t="e">
        <f>VLOOKUP(A6267,'Equip, Herr y Transp'!$B$2:$E$738,2,0)</f>
        <v>#N/A</v>
      </c>
      <c r="C6267" s="549"/>
      <c r="D6267" s="85" t="e">
        <f>VLOOKUP(A6267,'Equip, Herr y Transp'!$B$2:$E$217,2,0)</f>
        <v>#N/A</v>
      </c>
      <c r="E6267" s="85" t="e">
        <f>VLOOKUP(A6267,'Equip, Herr y Transp'!$B$2:$E$217,3,0)</f>
        <v>#N/A</v>
      </c>
      <c r="F6267" s="86">
        <f>H6254</f>
        <v>1.04E-2</v>
      </c>
      <c r="G6267" s="112" t="e">
        <f>F6267*E6267</f>
        <v>#N/A</v>
      </c>
      <c r="H6267" s="107"/>
    </row>
    <row r="6268" spans="1:15">
      <c r="A6268" s="520" t="s">
        <v>4099</v>
      </c>
      <c r="B6268" s="521"/>
      <c r="C6268" s="521"/>
      <c r="D6268" s="521"/>
      <c r="E6268" s="521"/>
      <c r="F6268" s="521"/>
      <c r="G6268" s="521"/>
      <c r="H6268" s="87" t="e">
        <f>SUM(G6264:G6267)</f>
        <v>#VALUE!</v>
      </c>
    </row>
    <row r="6269" spans="1:15">
      <c r="A6269" s="550" t="s">
        <v>4219</v>
      </c>
      <c r="B6269" s="551"/>
      <c r="C6269" s="551"/>
      <c r="D6269" s="551"/>
      <c r="E6269" s="551"/>
      <c r="F6269" s="551"/>
      <c r="G6269" s="551"/>
      <c r="H6269" s="552"/>
      <c r="K6269" s="50"/>
      <c r="L6269" s="50"/>
      <c r="M6269" s="50"/>
      <c r="N6269" s="50"/>
      <c r="O6269" s="50"/>
    </row>
    <row r="6270" spans="1:15" ht="30" customHeight="1">
      <c r="A6270" s="553" t="s">
        <v>7</v>
      </c>
      <c r="B6270" s="554"/>
      <c r="C6270" s="99" t="s">
        <v>0</v>
      </c>
      <c r="D6270" s="100" t="s">
        <v>4097</v>
      </c>
      <c r="E6270" s="101" t="s">
        <v>1</v>
      </c>
      <c r="F6270" s="555" t="s">
        <v>4207</v>
      </c>
      <c r="G6270" s="555"/>
      <c r="H6270" s="196"/>
      <c r="K6270" s="50"/>
      <c r="L6270" s="50"/>
      <c r="M6270" s="50"/>
      <c r="N6270" s="50"/>
      <c r="O6270" s="50"/>
    </row>
    <row r="6271" spans="1:15">
      <c r="A6271" s="535" t="s">
        <v>4687</v>
      </c>
      <c r="B6271" s="536"/>
      <c r="C6271" s="88">
        <f>VLOOKUP(A6271,'Materiales '!$C$2:$G$396,3,0)</f>
        <v>2</v>
      </c>
      <c r="D6271" s="89" t="str">
        <f>VLOOKUP(A6271,'Materiales '!$C$2:$G$396,4,0)</f>
        <v>Ml</v>
      </c>
      <c r="E6271" s="90">
        <v>1</v>
      </c>
      <c r="F6271" s="508" t="e">
        <f>E6271*D6271</f>
        <v>#VALUE!</v>
      </c>
      <c r="G6271" s="519"/>
      <c r="H6271" s="111"/>
      <c r="I6271">
        <f>E6271*G6261</f>
        <v>0</v>
      </c>
      <c r="J6271" s="57"/>
      <c r="K6271" s="50"/>
      <c r="L6271" s="50"/>
      <c r="M6271" s="50"/>
      <c r="N6271" s="50"/>
      <c r="O6271" s="50"/>
    </row>
    <row r="6272" spans="1:15">
      <c r="A6272" s="535" t="s">
        <v>8</v>
      </c>
      <c r="B6272" s="536"/>
      <c r="C6272" s="88">
        <f>VLOOKUP(A6272,'Materiales '!$C$2:$G$396,3,0)</f>
        <v>0</v>
      </c>
      <c r="D6272" s="89" t="str">
        <f>VLOOKUP(A6272,'Materiales '!$C$2:$G$396,4,0)</f>
        <v>-</v>
      </c>
      <c r="E6272" s="90"/>
      <c r="F6272" s="508" t="e">
        <f t="shared" ref="F6272:F6278" si="367">E6272*D6272</f>
        <v>#VALUE!</v>
      </c>
      <c r="G6272" s="519"/>
      <c r="H6272" s="111"/>
      <c r="I6272">
        <f>E6272*G6261</f>
        <v>0</v>
      </c>
      <c r="J6272" s="57"/>
      <c r="K6272" s="50"/>
      <c r="L6272" s="50"/>
      <c r="M6272" s="50"/>
      <c r="N6272" s="50"/>
      <c r="O6272" s="50"/>
    </row>
    <row r="6273" spans="1:15">
      <c r="A6273" s="517" t="s">
        <v>8</v>
      </c>
      <c r="B6273" s="518">
        <f>VLOOKUP(A6273,'Materiales '!$C$2:$G$396,3,0)</f>
        <v>0</v>
      </c>
      <c r="C6273" s="88">
        <f>VLOOKUP(A6273,'Materiales '!$C$2:$G$396,3,0)</f>
        <v>0</v>
      </c>
      <c r="D6273" s="89" t="str">
        <f>VLOOKUP(A6273,'Materiales '!$C$2:$G$396,4,0)</f>
        <v>-</v>
      </c>
      <c r="E6273" s="90"/>
      <c r="F6273" s="508" t="e">
        <f t="shared" si="367"/>
        <v>#VALUE!</v>
      </c>
      <c r="G6273" s="519"/>
      <c r="H6273" s="111"/>
      <c r="I6273">
        <f>E6273*G6261</f>
        <v>0</v>
      </c>
      <c r="J6273" s="58"/>
      <c r="K6273" s="50"/>
      <c r="L6273" s="50"/>
      <c r="M6273" s="50"/>
      <c r="N6273" s="50"/>
      <c r="O6273" s="50"/>
    </row>
    <row r="6274" spans="1:15">
      <c r="A6274" s="517" t="s">
        <v>8</v>
      </c>
      <c r="B6274" s="518">
        <f>VLOOKUP(A6274,'Materiales '!$C$2:$G$396,3,0)</f>
        <v>0</v>
      </c>
      <c r="C6274" s="88">
        <f>VLOOKUP(A6274,'Materiales '!$C$2:$G$396,3,0)</f>
        <v>0</v>
      </c>
      <c r="D6274" s="89" t="str">
        <f>VLOOKUP(A6274,'Materiales '!$C$2:$G$396,4,0)</f>
        <v>-</v>
      </c>
      <c r="E6274" s="90"/>
      <c r="F6274" s="508" t="e">
        <f t="shared" si="367"/>
        <v>#VALUE!</v>
      </c>
      <c r="G6274" s="519"/>
      <c r="H6274" s="111"/>
      <c r="I6274">
        <f>E6274*G6261</f>
        <v>0</v>
      </c>
      <c r="J6274" s="58"/>
      <c r="K6274" s="50"/>
      <c r="L6274" s="50"/>
      <c r="M6274" s="50"/>
      <c r="N6274" s="50"/>
      <c r="O6274" s="50"/>
    </row>
    <row r="6275" spans="1:15">
      <c r="A6275" s="517" t="s">
        <v>8</v>
      </c>
      <c r="B6275" s="518">
        <f>VLOOKUP(A6275,'Materiales '!$C$2:$G$396,3,0)</f>
        <v>0</v>
      </c>
      <c r="C6275" s="88">
        <f>VLOOKUP(A6275,'Materiales '!$C$2:$G$396,3,0)</f>
        <v>0</v>
      </c>
      <c r="D6275" s="89" t="str">
        <f>VLOOKUP(A6275,'Materiales '!$C$2:$G$396,4,0)</f>
        <v>-</v>
      </c>
      <c r="E6275" s="90"/>
      <c r="F6275" s="508" t="e">
        <f t="shared" si="367"/>
        <v>#VALUE!</v>
      </c>
      <c r="G6275" s="519"/>
      <c r="H6275" s="111"/>
      <c r="I6275">
        <f>E6275*G6261</f>
        <v>0</v>
      </c>
      <c r="J6275" s="58"/>
      <c r="K6275" s="50"/>
      <c r="L6275" s="50"/>
      <c r="M6275" s="50"/>
      <c r="N6275" s="50"/>
      <c r="O6275" s="50"/>
    </row>
    <row r="6276" spans="1:15">
      <c r="A6276" s="517" t="s">
        <v>8</v>
      </c>
      <c r="B6276" s="518">
        <f>VLOOKUP(A6276,'Materiales '!$C$2:$G$396,3,0)</f>
        <v>0</v>
      </c>
      <c r="C6276" s="88">
        <f>VLOOKUP(A6276,'Materiales '!$C$2:$G$396,3,0)</f>
        <v>0</v>
      </c>
      <c r="D6276" s="89" t="str">
        <f>VLOOKUP(A6276,'Materiales '!$C$2:$G$396,4,0)</f>
        <v>-</v>
      </c>
      <c r="E6276" s="90"/>
      <c r="F6276" s="508" t="e">
        <f t="shared" si="367"/>
        <v>#VALUE!</v>
      </c>
      <c r="G6276" s="519"/>
      <c r="H6276" s="111"/>
      <c r="I6276">
        <f>E6276*G6261</f>
        <v>0</v>
      </c>
      <c r="J6276" s="58"/>
      <c r="K6276" s="50"/>
      <c r="L6276" s="50"/>
      <c r="M6276" s="50"/>
      <c r="N6276" s="50"/>
      <c r="O6276" s="50"/>
    </row>
    <row r="6277" spans="1:15">
      <c r="A6277" s="517" t="s">
        <v>8</v>
      </c>
      <c r="B6277" s="518">
        <f>VLOOKUP(A6277,'Materiales '!$C$2:$G$396,3,0)</f>
        <v>0</v>
      </c>
      <c r="C6277" s="88">
        <f>VLOOKUP(A6277,'Materiales '!$C$2:$G$396,3,0)</f>
        <v>0</v>
      </c>
      <c r="D6277" s="89" t="str">
        <f>VLOOKUP(A6277,'Materiales '!$C$2:$G$396,4,0)</f>
        <v>-</v>
      </c>
      <c r="E6277" s="90"/>
      <c r="F6277" s="508" t="e">
        <f t="shared" si="367"/>
        <v>#VALUE!</v>
      </c>
      <c r="G6277" s="519"/>
      <c r="H6277" s="111"/>
      <c r="I6277">
        <f>E6277*G6261</f>
        <v>0</v>
      </c>
      <c r="J6277" s="58"/>
      <c r="K6277" s="50"/>
      <c r="L6277" s="50"/>
      <c r="M6277" s="50"/>
      <c r="N6277" s="50"/>
      <c r="O6277" s="50"/>
    </row>
    <row r="6278" spans="1:15" ht="21.75" customHeight="1">
      <c r="A6278" s="517" t="s">
        <v>8</v>
      </c>
      <c r="B6278" s="518">
        <f>VLOOKUP(A6278,'Materiales '!$C$2:$G$396,3,0)</f>
        <v>0</v>
      </c>
      <c r="C6278" s="88">
        <f>VLOOKUP(A6278,'Materiales '!$C$2:$G$396,3,0)</f>
        <v>0</v>
      </c>
      <c r="D6278" s="89" t="str">
        <f>VLOOKUP(A6278,'Materiales '!$C$2:$G$396,4,0)</f>
        <v>-</v>
      </c>
      <c r="E6278" s="90"/>
      <c r="F6278" s="508" t="e">
        <f t="shared" si="367"/>
        <v>#VALUE!</v>
      </c>
      <c r="G6278" s="519"/>
      <c r="H6278" s="111"/>
      <c r="I6278">
        <f>E6278*G6261</f>
        <v>0</v>
      </c>
      <c r="J6278" s="58"/>
      <c r="K6278" s="50"/>
      <c r="L6278" s="50"/>
      <c r="M6278" s="50"/>
      <c r="N6278" s="50"/>
      <c r="O6278" s="50"/>
    </row>
    <row r="6279" spans="1:15">
      <c r="A6279" s="517" t="s">
        <v>8</v>
      </c>
      <c r="B6279" s="518">
        <f>VLOOKUP(A6279,'Materiales '!$C$2:$G$396,3,0)</f>
        <v>0</v>
      </c>
      <c r="C6279" s="88">
        <f>VLOOKUP(A6279,'Materiales '!$C$2:$G$396,3,0)</f>
        <v>0</v>
      </c>
      <c r="D6279" s="89" t="str">
        <f>VLOOKUP(A6279,'Materiales '!$C$2:$G$396,4,0)</f>
        <v>-</v>
      </c>
      <c r="E6279" s="90"/>
      <c r="F6279" s="508" t="e">
        <f>E6279*D6279</f>
        <v>#VALUE!</v>
      </c>
      <c r="G6279" s="519"/>
      <c r="H6279" s="110"/>
      <c r="I6279">
        <f>E6279*G6261</f>
        <v>0</v>
      </c>
      <c r="J6279" s="58"/>
      <c r="K6279" s="50"/>
      <c r="L6279" s="50"/>
      <c r="M6279" s="50"/>
      <c r="N6279" s="50"/>
      <c r="O6279" s="50"/>
    </row>
    <row r="6280" spans="1:15">
      <c r="A6280" s="517" t="s">
        <v>8</v>
      </c>
      <c r="B6280" s="518">
        <f>VLOOKUP(A6280,'Materiales '!$C$2:$G$396,3,0)</f>
        <v>0</v>
      </c>
      <c r="C6280" s="88">
        <f>VLOOKUP(A6280,'Materiales '!$C$2:$G$396,3,0)</f>
        <v>0</v>
      </c>
      <c r="D6280" s="89" t="str">
        <f>VLOOKUP(A6280,'Materiales '!$C$2:$G$396,4,0)</f>
        <v>-</v>
      </c>
      <c r="E6280" s="90"/>
      <c r="F6280" s="508" t="e">
        <f t="shared" ref="F6280:F6283" si="368">E6280*D6280</f>
        <v>#VALUE!</v>
      </c>
      <c r="G6280" s="519"/>
      <c r="H6280" s="111"/>
      <c r="I6280">
        <f>E6280*G6261</f>
        <v>0</v>
      </c>
      <c r="J6280" s="58"/>
      <c r="K6280" s="50"/>
      <c r="L6280" s="50"/>
      <c r="M6280" s="50"/>
      <c r="N6280" s="50"/>
      <c r="O6280" s="50"/>
    </row>
    <row r="6281" spans="1:15">
      <c r="A6281" s="517" t="s">
        <v>8</v>
      </c>
      <c r="B6281" s="518">
        <f>VLOOKUP(A6281,'Materiales '!$C$2:$G$396,3,0)</f>
        <v>0</v>
      </c>
      <c r="C6281" s="88">
        <f>VLOOKUP(A6281,'Materiales '!$C$2:$G$396,3,0)</f>
        <v>0</v>
      </c>
      <c r="D6281" s="89" t="str">
        <f>VLOOKUP(A6281,'Materiales '!$C$2:$G$396,4,0)</f>
        <v>-</v>
      </c>
      <c r="E6281" s="90"/>
      <c r="F6281" s="508" t="e">
        <f t="shared" si="368"/>
        <v>#VALUE!</v>
      </c>
      <c r="G6281" s="519"/>
      <c r="H6281" s="111"/>
      <c r="I6281">
        <f>E6281*G6261</f>
        <v>0</v>
      </c>
      <c r="J6281" s="58"/>
      <c r="K6281" s="50"/>
      <c r="L6281" s="50"/>
      <c r="M6281" s="50"/>
      <c r="N6281" s="50"/>
      <c r="O6281" s="50"/>
    </row>
    <row r="6282" spans="1:15">
      <c r="A6282" s="517" t="s">
        <v>8</v>
      </c>
      <c r="B6282" s="518">
        <f>VLOOKUP(A6282,'Materiales '!$C$2:$G$396,3,0)</f>
        <v>0</v>
      </c>
      <c r="C6282" s="88">
        <f>VLOOKUP(A6282,'Materiales '!$C$2:$G$396,3,0)</f>
        <v>0</v>
      </c>
      <c r="D6282" s="89" t="str">
        <f>VLOOKUP(A6282,'Materiales '!$C$2:$G$396,4,0)</f>
        <v>-</v>
      </c>
      <c r="E6282" s="90"/>
      <c r="F6282" s="508" t="e">
        <f t="shared" si="368"/>
        <v>#VALUE!</v>
      </c>
      <c r="G6282" s="519"/>
      <c r="H6282" s="111"/>
      <c r="I6282">
        <f>E6282*G6261</f>
        <v>0</v>
      </c>
      <c r="J6282" s="58"/>
      <c r="K6282" s="50"/>
      <c r="L6282" s="50"/>
      <c r="M6282" s="50"/>
      <c r="N6282" s="50"/>
      <c r="O6282" s="50"/>
    </row>
    <row r="6283" spans="1:15">
      <c r="A6283" s="517" t="s">
        <v>8</v>
      </c>
      <c r="B6283" s="518">
        <f>VLOOKUP(A6283,'Materiales '!$C$2:$G$396,3,0)</f>
        <v>0</v>
      </c>
      <c r="C6283" s="88">
        <f>VLOOKUP(A6283,'Materiales '!$C$2:$G$396,3,0)</f>
        <v>0</v>
      </c>
      <c r="D6283" s="89" t="str">
        <f>VLOOKUP(A6283,'Materiales '!$C$2:$G$396,4,0)</f>
        <v>-</v>
      </c>
      <c r="E6283" s="90"/>
      <c r="F6283" s="508" t="e">
        <f t="shared" si="368"/>
        <v>#VALUE!</v>
      </c>
      <c r="G6283" s="519"/>
      <c r="H6283" s="111"/>
      <c r="I6283">
        <f>E6283*G6261</f>
        <v>0</v>
      </c>
      <c r="J6283" s="58"/>
      <c r="K6283" s="50"/>
      <c r="L6283" s="50"/>
      <c r="M6283" s="50"/>
      <c r="N6283" s="50"/>
      <c r="O6283" s="50"/>
    </row>
    <row r="6284" spans="1:15">
      <c r="A6284" s="517" t="s">
        <v>8</v>
      </c>
      <c r="B6284" s="518">
        <f>VLOOKUP(A6284,'Materiales '!$C$2:$G$396,3,0)</f>
        <v>0</v>
      </c>
      <c r="C6284" s="88">
        <f>VLOOKUP(A6284,'Materiales '!$C$2:$G$396,3,0)</f>
        <v>0</v>
      </c>
      <c r="D6284" s="89" t="str">
        <f>VLOOKUP(A6284,'Materiales '!$C$2:$G$396,4,0)</f>
        <v>-</v>
      </c>
      <c r="E6284" s="90"/>
      <c r="F6284" s="508" t="e">
        <f>E6284*D6284</f>
        <v>#VALUE!</v>
      </c>
      <c r="G6284" s="519"/>
      <c r="H6284" s="110"/>
      <c r="I6284">
        <f>E6284*G6261</f>
        <v>0</v>
      </c>
      <c r="J6284" s="58"/>
      <c r="K6284" s="50"/>
      <c r="L6284" s="50"/>
      <c r="M6284" s="50"/>
      <c r="N6284" s="50"/>
      <c r="O6284" s="50"/>
    </row>
    <row r="6285" spans="1:15">
      <c r="A6285" s="520" t="s">
        <v>4098</v>
      </c>
      <c r="B6285" s="521"/>
      <c r="C6285" s="521"/>
      <c r="D6285" s="521"/>
      <c r="E6285" s="521"/>
      <c r="F6285" s="521"/>
      <c r="G6285" s="522"/>
      <c r="H6285" s="106" t="e">
        <f>SUM(F6271:F6284)</f>
        <v>#VALUE!</v>
      </c>
      <c r="J6285" s="58"/>
      <c r="K6285" s="50"/>
      <c r="L6285" s="50"/>
      <c r="M6285" s="50"/>
      <c r="N6285" s="50"/>
      <c r="O6285" s="50"/>
    </row>
    <row r="6286" spans="1:15">
      <c r="A6286" s="523" t="s">
        <v>4220</v>
      </c>
      <c r="B6286" s="524"/>
      <c r="C6286" s="524"/>
      <c r="D6286" s="524"/>
      <c r="E6286" s="525"/>
      <c r="F6286" s="524"/>
      <c r="G6286" s="524"/>
      <c r="H6286" s="526"/>
      <c r="J6286" s="58"/>
      <c r="K6286" s="50"/>
      <c r="L6286" s="50"/>
      <c r="M6286" s="50"/>
      <c r="N6286" s="50"/>
      <c r="O6286" s="50"/>
    </row>
    <row r="6287" spans="1:15">
      <c r="A6287" s="527" t="s">
        <v>7</v>
      </c>
      <c r="B6287" s="528"/>
      <c r="C6287" s="98" t="s">
        <v>4221</v>
      </c>
      <c r="D6287" s="97" t="s">
        <v>4222</v>
      </c>
      <c r="E6287" s="187" t="s">
        <v>4223</v>
      </c>
      <c r="F6287" s="529" t="s">
        <v>4207</v>
      </c>
      <c r="G6287" s="529"/>
      <c r="H6287" s="109"/>
      <c r="K6287" s="50"/>
      <c r="L6287" s="50"/>
      <c r="M6287" s="50"/>
      <c r="N6287" s="50"/>
      <c r="O6287" s="50"/>
    </row>
    <row r="6288" spans="1:15">
      <c r="A6288" s="506" t="s">
        <v>3928</v>
      </c>
      <c r="B6288" s="507"/>
      <c r="C6288" s="213">
        <v>1</v>
      </c>
      <c r="D6288" s="92">
        <v>5.0000000000000001E-3</v>
      </c>
      <c r="E6288" s="93" t="str">
        <f>VLOOKUP(A6288,'Equip, Herr y Transp'!$B$2:$E$217,3,0)</f>
        <v>TR</v>
      </c>
      <c r="F6288" s="530" t="e">
        <f>E6288*D6288*C6288</f>
        <v>#VALUE!</v>
      </c>
      <c r="G6288" s="531"/>
      <c r="H6288" s="107"/>
      <c r="M6288" s="50"/>
    </row>
    <row r="6289" spans="1:10">
      <c r="A6289" s="532" t="s">
        <v>4205</v>
      </c>
      <c r="B6289" s="533"/>
      <c r="C6289" s="533"/>
      <c r="D6289" s="533"/>
      <c r="E6289" s="533"/>
      <c r="F6289" s="533"/>
      <c r="G6289" s="533"/>
      <c r="H6289" s="95" t="e">
        <f>F6288</f>
        <v>#VALUE!</v>
      </c>
    </row>
    <row r="6290" spans="1:10">
      <c r="A6290" s="523" t="s">
        <v>4224</v>
      </c>
      <c r="B6290" s="524"/>
      <c r="C6290" s="524"/>
      <c r="D6290" s="524"/>
      <c r="E6290" s="524"/>
      <c r="F6290" s="524"/>
      <c r="G6290" s="524"/>
      <c r="H6290" s="526"/>
    </row>
    <row r="6291" spans="1:10">
      <c r="A6291" s="527" t="s">
        <v>7</v>
      </c>
      <c r="B6291" s="528"/>
      <c r="C6291" s="96" t="s">
        <v>1</v>
      </c>
      <c r="D6291" s="97" t="s">
        <v>4225</v>
      </c>
      <c r="E6291" s="98" t="s">
        <v>4204</v>
      </c>
      <c r="F6291" s="527" t="s">
        <v>5</v>
      </c>
      <c r="G6291" s="534"/>
      <c r="H6291" s="109"/>
    </row>
    <row r="6292" spans="1:10">
      <c r="A6292" s="506" t="s">
        <v>4191</v>
      </c>
      <c r="B6292" s="507"/>
      <c r="C6292" s="91">
        <v>1</v>
      </c>
      <c r="D6292" s="94">
        <f>VLOOKUP(A6292,'Mano Obra'!$B$2:$T$117,19,0)</f>
        <v>152456</v>
      </c>
      <c r="E6292" s="218">
        <f>H6254</f>
        <v>1.04E-2</v>
      </c>
      <c r="F6292" s="508">
        <f>E6292*D6292*C6292</f>
        <v>1585.5423999999998</v>
      </c>
      <c r="G6292" s="509"/>
      <c r="H6292" s="111"/>
      <c r="I6292" s="59"/>
      <c r="J6292" s="117">
        <f>((('Mano Obra'!$M$4/30)*F6292)/D6292)*G6261</f>
        <v>0</v>
      </c>
    </row>
    <row r="6293" spans="1:10">
      <c r="A6293" s="510" t="s">
        <v>4192</v>
      </c>
      <c r="B6293" s="511">
        <f>VLOOKUP(A6293,'Mano Obra'!$B$3:$D$290,2,0)</f>
        <v>1900000</v>
      </c>
      <c r="C6293" s="91">
        <v>1</v>
      </c>
      <c r="D6293" s="94">
        <f>VLOOKUP(A6293,'Mano Obra'!$B$2:$T$117,19,0)</f>
        <v>110488</v>
      </c>
      <c r="E6293" s="218">
        <f>H6254</f>
        <v>1.04E-2</v>
      </c>
      <c r="F6293" s="508">
        <f t="shared" ref="F6293:F6294" si="369">E6293*D6293*C6293</f>
        <v>1149.0752</v>
      </c>
      <c r="G6293" s="509"/>
      <c r="H6293" s="111"/>
      <c r="J6293" s="117">
        <f>((('Mano Obra'!$M$5/30)*F6293)/D6293)*G6261</f>
        <v>0</v>
      </c>
    </row>
    <row r="6294" spans="1:10">
      <c r="A6294" s="510" t="s">
        <v>4181</v>
      </c>
      <c r="B6294" s="511">
        <f>VLOOKUP(A6294,'Mano Obra'!$B$3:$D$290,2,0)</f>
        <v>1000000</v>
      </c>
      <c r="C6294" s="91">
        <v>1</v>
      </c>
      <c r="D6294" s="94">
        <f>VLOOKUP(A6294,'Mano Obra'!$B$2:$T$117,19,0)</f>
        <v>67424</v>
      </c>
      <c r="E6294" s="218">
        <f>H6254</f>
        <v>1.04E-2</v>
      </c>
      <c r="F6294" s="508">
        <f t="shared" si="369"/>
        <v>701.20960000000002</v>
      </c>
      <c r="G6294" s="509"/>
      <c r="H6294" s="110"/>
      <c r="J6294" s="117">
        <f>((('Mano Obra'!$M$6/30)*F6294)/D6294)*G6261</f>
        <v>0</v>
      </c>
    </row>
    <row r="6295" spans="1:10">
      <c r="A6295" s="512" t="s">
        <v>4100</v>
      </c>
      <c r="B6295" s="512"/>
      <c r="C6295" s="512"/>
      <c r="D6295" s="512"/>
      <c r="E6295" s="512"/>
      <c r="F6295" s="512"/>
      <c r="G6295" s="512"/>
      <c r="H6295" s="95">
        <f>SUM(F6292:F6294)</f>
        <v>3435.8271999999997</v>
      </c>
      <c r="J6295" s="117"/>
    </row>
    <row r="6296" spans="1:10">
      <c r="A6296" s="208" t="s">
        <v>4226</v>
      </c>
      <c r="B6296" s="186"/>
      <c r="C6296" s="186"/>
      <c r="D6296" s="183"/>
      <c r="E6296" s="184"/>
      <c r="F6296" s="185"/>
      <c r="G6296" s="184"/>
      <c r="H6296" s="193"/>
    </row>
    <row r="6297" spans="1:10">
      <c r="A6297" s="513" t="s">
        <v>4213</v>
      </c>
      <c r="B6297" s="514"/>
      <c r="C6297" s="514"/>
      <c r="D6297" s="514"/>
      <c r="E6297" s="181"/>
      <c r="F6297" s="182" t="s">
        <v>4227</v>
      </c>
      <c r="G6297" s="181" t="s">
        <v>4228</v>
      </c>
      <c r="H6297" s="194"/>
    </row>
    <row r="6298" spans="1:10">
      <c r="A6298" s="204" t="s">
        <v>4096</v>
      </c>
      <c r="B6298" s="62"/>
      <c r="C6298" s="62"/>
      <c r="D6298" s="63"/>
      <c r="E6298" s="68"/>
      <c r="F6298" s="69">
        <v>0</v>
      </c>
      <c r="G6298" s="70" t="e">
        <f>F6298*H6262</f>
        <v>#VALUE!</v>
      </c>
      <c r="H6298" s="193"/>
    </row>
    <row r="6299" spans="1:10">
      <c r="A6299" s="205" t="s">
        <v>4229</v>
      </c>
      <c r="B6299" s="71"/>
      <c r="C6299" s="71"/>
      <c r="D6299" s="72"/>
      <c r="E6299" s="68"/>
      <c r="F6299" s="69">
        <v>0</v>
      </c>
      <c r="G6299" s="70" t="e">
        <f>F6299*H6262</f>
        <v>#VALUE!</v>
      </c>
      <c r="H6299" s="193"/>
    </row>
    <row r="6300" spans="1:10">
      <c r="A6300" s="205" t="s">
        <v>4</v>
      </c>
      <c r="B6300" s="71"/>
      <c r="C6300" s="71"/>
      <c r="D6300" s="72"/>
      <c r="E6300" s="68"/>
      <c r="F6300" s="69">
        <v>0</v>
      </c>
      <c r="G6300" s="70" t="e">
        <f>F6300*H6262</f>
        <v>#VALUE!</v>
      </c>
      <c r="H6300" s="193"/>
    </row>
    <row r="6301" spans="1:10">
      <c r="A6301" s="206"/>
      <c r="B6301" s="73"/>
      <c r="C6301" s="65"/>
      <c r="D6301" s="74"/>
      <c r="E6301" s="75"/>
      <c r="F6301" s="76"/>
      <c r="G6301" s="77"/>
      <c r="H6301" s="195"/>
    </row>
    <row r="6302" spans="1:10">
      <c r="A6302" s="207"/>
      <c r="B6302" s="73"/>
      <c r="C6302" s="73"/>
      <c r="D6302" s="74"/>
      <c r="E6302" s="78"/>
      <c r="F6302" s="515" t="s">
        <v>4230</v>
      </c>
      <c r="G6302" s="516"/>
      <c r="H6302" s="214" t="e">
        <f>H6262+G6298+G6299+G6300</f>
        <v>#VALUE!</v>
      </c>
    </row>
    <row r="6303" spans="1:10">
      <c r="A6303" s="73"/>
      <c r="B6303" s="73"/>
      <c r="C6303" s="73"/>
      <c r="D6303" s="74"/>
      <c r="E6303" s="360"/>
      <c r="F6303" s="361"/>
      <c r="G6303" s="361"/>
      <c r="H6303" s="362"/>
    </row>
    <row r="6304" spans="1:10">
      <c r="A6304" s="73"/>
      <c r="B6304" s="73"/>
      <c r="C6304" s="73"/>
      <c r="D6304" s="74"/>
      <c r="E6304" s="360"/>
      <c r="F6304" s="361"/>
      <c r="G6304" s="361"/>
      <c r="H6304" s="362"/>
    </row>
    <row r="6305" spans="1:14">
      <c r="A6305" s="537" t="s">
        <v>4214</v>
      </c>
      <c r="B6305" s="538"/>
      <c r="C6305" s="538"/>
      <c r="D6305" s="538"/>
      <c r="E6305" s="538"/>
      <c r="F6305" s="538"/>
      <c r="G6305" s="538"/>
      <c r="H6305" s="539"/>
    </row>
    <row r="6306" spans="1:14">
      <c r="A6306" s="81"/>
      <c r="B6306" s="82"/>
      <c r="C6306" s="82"/>
      <c r="D6306" s="82"/>
      <c r="E6306" s="82"/>
      <c r="F6306" s="83"/>
      <c r="G6306" s="84"/>
      <c r="H6306" s="352">
        <f>ROUND((5/60)/8,4)</f>
        <v>1.04E-2</v>
      </c>
      <c r="I6306" s="105"/>
    </row>
    <row r="6307" spans="1:14">
      <c r="A6307" s="540" t="s">
        <v>4209</v>
      </c>
      <c r="B6307" s="542" t="str">
        <f>COSTOS!$C$14</f>
        <v>MODERNIZACION A TECNOLOGIA LED</v>
      </c>
      <c r="C6307" s="542"/>
      <c r="D6307" s="542"/>
      <c r="E6307" s="542"/>
      <c r="F6307" s="542"/>
      <c r="G6307" s="542"/>
      <c r="H6307" s="543" t="s">
        <v>4210</v>
      </c>
    </row>
    <row r="6308" spans="1:14">
      <c r="A6308" s="541"/>
      <c r="B6308" s="542"/>
      <c r="C6308" s="542"/>
      <c r="D6308" s="542"/>
      <c r="E6308" s="542"/>
      <c r="F6308" s="542"/>
      <c r="G6308" s="542"/>
      <c r="H6308" s="543"/>
    </row>
    <row r="6309" spans="1:14">
      <c r="A6309" s="541"/>
      <c r="B6309" s="542"/>
      <c r="C6309" s="542"/>
      <c r="D6309" s="542"/>
      <c r="E6309" s="542"/>
      <c r="F6309" s="542"/>
      <c r="G6309" s="542"/>
      <c r="H6309" s="543"/>
    </row>
    <row r="6310" spans="1:14" ht="15" customHeight="1">
      <c r="A6310" s="541"/>
      <c r="B6310" s="542"/>
      <c r="C6310" s="542"/>
      <c r="D6310" s="542"/>
      <c r="E6310" s="542"/>
      <c r="F6310" s="542"/>
      <c r="G6310" s="542"/>
      <c r="H6310" s="197">
        <f ca="1">TODAY()</f>
        <v>44889</v>
      </c>
      <c r="K6310" t="s">
        <v>4380</v>
      </c>
      <c r="L6310" t="s">
        <v>4381</v>
      </c>
      <c r="M6310" t="s">
        <v>4382</v>
      </c>
      <c r="N6310" t="s">
        <v>4383</v>
      </c>
    </row>
    <row r="6311" spans="1:14" ht="60.75" customHeight="1">
      <c r="A6311" s="209" t="s">
        <v>4211</v>
      </c>
      <c r="B6311" s="544" t="str">
        <f>COSTOS!$D$16</f>
        <v>Luminarias</v>
      </c>
      <c r="C6311" s="544"/>
      <c r="D6311" s="544"/>
      <c r="E6311" s="544"/>
      <c r="F6311" s="544"/>
      <c r="G6311" s="60" t="s">
        <v>4212</v>
      </c>
      <c r="H6311" s="363">
        <v>3.13</v>
      </c>
      <c r="K6311" s="55" t="e">
        <f>H6337</f>
        <v>#VALUE!</v>
      </c>
      <c r="L6311" s="55">
        <f>H6347</f>
        <v>3435.8271999999997</v>
      </c>
      <c r="M6311" s="55" t="e">
        <f>H6320</f>
        <v>#VALUE!</v>
      </c>
      <c r="N6311" s="55" t="e">
        <f>H6341</f>
        <v>#VALUE!</v>
      </c>
    </row>
    <row r="6312" spans="1:14" ht="43.2" customHeight="1">
      <c r="A6312" s="210" t="s">
        <v>4213</v>
      </c>
      <c r="B6312" s="545" t="str">
        <f>VLOOKUP(H6311,COSTOS!C:M,2,0)</f>
        <v>Red canalizada en cable aluminio 3 No 2 x 500m</v>
      </c>
      <c r="C6312" s="546"/>
      <c r="D6312" s="546"/>
      <c r="E6312" s="547"/>
      <c r="F6312" s="61" t="s">
        <v>0</v>
      </c>
      <c r="G6312" s="328" t="str">
        <f>VLOOKUP(H6311,COSTOS!C:M,8,0)</f>
        <v>Und</v>
      </c>
      <c r="H6312" s="248"/>
      <c r="I6312" s="278"/>
      <c r="J6312" s="280"/>
      <c r="K6312" s="280"/>
      <c r="L6312" s="280"/>
    </row>
    <row r="6313" spans="1:14">
      <c r="A6313" s="211"/>
      <c r="B6313" s="102"/>
      <c r="C6313" s="102"/>
      <c r="D6313" s="102"/>
      <c r="E6313" s="103"/>
      <c r="F6313" s="104" t="s">
        <v>1</v>
      </c>
      <c r="G6313" s="328">
        <f>VLOOKUP(H6311,COSTOS!C:M,9,0)</f>
        <v>0</v>
      </c>
      <c r="H6313" s="329"/>
      <c r="I6313" s="279"/>
    </row>
    <row r="6314" spans="1:14">
      <c r="A6314" s="212" t="s">
        <v>4215</v>
      </c>
      <c r="B6314" s="65"/>
      <c r="C6314" s="65"/>
      <c r="D6314" s="66"/>
      <c r="E6314" s="190"/>
      <c r="F6314" s="191"/>
      <c r="G6314" s="192" t="s">
        <v>4216</v>
      </c>
      <c r="H6314" s="198" t="e">
        <f>H6320+H6337+H6341+H6347</f>
        <v>#VALUE!</v>
      </c>
    </row>
    <row r="6315" spans="1:14" ht="41.4">
      <c r="A6315" s="548" t="s">
        <v>4213</v>
      </c>
      <c r="B6315" s="548"/>
      <c r="C6315" s="548"/>
      <c r="D6315" s="67" t="s">
        <v>0</v>
      </c>
      <c r="E6315" s="188" t="s">
        <v>4217</v>
      </c>
      <c r="F6315" s="189" t="s">
        <v>4204</v>
      </c>
      <c r="G6315" s="64" t="s">
        <v>2</v>
      </c>
      <c r="H6315" s="199" t="s">
        <v>4218</v>
      </c>
      <c r="K6315" s="281"/>
    </row>
    <row r="6316" spans="1:14">
      <c r="A6316" s="517" t="s">
        <v>3946</v>
      </c>
      <c r="B6316" s="549">
        <f>VLOOKUP(A6316,'Equip, Herr y Transp'!$B$2:$E$738,2,0)</f>
        <v>2</v>
      </c>
      <c r="C6316" s="549"/>
      <c r="D6316" s="85">
        <f>VLOOKUP(A6316,'Equip, Herr y Transp'!$B$2:$E$217,2,0)</f>
        <v>2</v>
      </c>
      <c r="E6316" s="85" t="str">
        <f>VLOOKUP(A6316,'Equip, Herr y Transp'!$B$2:$E$217,3,0)</f>
        <v>EQU</v>
      </c>
      <c r="F6316" s="86">
        <f>H6306</f>
        <v>1.04E-2</v>
      </c>
      <c r="G6316" s="112" t="e">
        <f>F6316*E6316</f>
        <v>#VALUE!</v>
      </c>
      <c r="H6316" s="108"/>
    </row>
    <row r="6317" spans="1:14">
      <c r="A6317" s="517" t="s">
        <v>8</v>
      </c>
      <c r="B6317" s="549" t="e">
        <f>VLOOKUP(A6317,'Equip, Herr y Transp'!$B$2:$E$738,2,0)</f>
        <v>#N/A</v>
      </c>
      <c r="C6317" s="549"/>
      <c r="D6317" s="85" t="e">
        <f>VLOOKUP(A6317,'Equip, Herr y Transp'!$B$2:$E$217,2,0)</f>
        <v>#N/A</v>
      </c>
      <c r="E6317" s="85" t="e">
        <f>VLOOKUP(A6317,'Equip, Herr y Transp'!$B$2:$E$217,3,0)</f>
        <v>#N/A</v>
      </c>
      <c r="F6317" s="86">
        <f>H6306</f>
        <v>1.04E-2</v>
      </c>
      <c r="G6317" s="112" t="e">
        <f>F6317*E6317</f>
        <v>#N/A</v>
      </c>
      <c r="H6317" s="107"/>
    </row>
    <row r="6318" spans="1:14">
      <c r="A6318" s="517" t="s">
        <v>8</v>
      </c>
      <c r="B6318" s="549" t="e">
        <f>VLOOKUP(A6318,'Equip, Herr y Transp'!$B$2:$E$738,2,0)</f>
        <v>#N/A</v>
      </c>
      <c r="C6318" s="549"/>
      <c r="D6318" s="85" t="e">
        <f>VLOOKUP(A6318,'Equip, Herr y Transp'!$B$2:$E$217,2,0)</f>
        <v>#N/A</v>
      </c>
      <c r="E6318" s="85" t="e">
        <f>VLOOKUP(A6318,'Equip, Herr y Transp'!$B$2:$E$217,3,0)</f>
        <v>#N/A</v>
      </c>
      <c r="F6318" s="86">
        <f>H6306</f>
        <v>1.04E-2</v>
      </c>
      <c r="G6318" s="112" t="e">
        <f>F6318*E6318</f>
        <v>#N/A</v>
      </c>
      <c r="H6318" s="107"/>
    </row>
    <row r="6319" spans="1:14">
      <c r="A6319" s="517" t="s">
        <v>8</v>
      </c>
      <c r="B6319" s="549" t="e">
        <f>VLOOKUP(A6319,'Equip, Herr y Transp'!$B$2:$E$738,2,0)</f>
        <v>#N/A</v>
      </c>
      <c r="C6319" s="549"/>
      <c r="D6319" s="85" t="e">
        <f>VLOOKUP(A6319,'Equip, Herr y Transp'!$B$2:$E$217,2,0)</f>
        <v>#N/A</v>
      </c>
      <c r="E6319" s="85" t="e">
        <f>VLOOKUP(A6319,'Equip, Herr y Transp'!$B$2:$E$217,3,0)</f>
        <v>#N/A</v>
      </c>
      <c r="F6319" s="86">
        <f>H6306</f>
        <v>1.04E-2</v>
      </c>
      <c r="G6319" s="112" t="e">
        <f>F6319*E6319</f>
        <v>#N/A</v>
      </c>
      <c r="H6319" s="107"/>
    </row>
    <row r="6320" spans="1:14">
      <c r="A6320" s="520" t="s">
        <v>4099</v>
      </c>
      <c r="B6320" s="521"/>
      <c r="C6320" s="521"/>
      <c r="D6320" s="521"/>
      <c r="E6320" s="521"/>
      <c r="F6320" s="521"/>
      <c r="G6320" s="521"/>
      <c r="H6320" s="87" t="e">
        <f>SUM(G6316:G6319)</f>
        <v>#VALUE!</v>
      </c>
    </row>
    <row r="6321" spans="1:15">
      <c r="A6321" s="550" t="s">
        <v>4219</v>
      </c>
      <c r="B6321" s="551"/>
      <c r="C6321" s="551"/>
      <c r="D6321" s="551"/>
      <c r="E6321" s="551"/>
      <c r="F6321" s="551"/>
      <c r="G6321" s="551"/>
      <c r="H6321" s="552"/>
      <c r="K6321" s="50"/>
      <c r="L6321" s="50"/>
      <c r="M6321" s="50"/>
      <c r="N6321" s="50"/>
      <c r="O6321" s="50"/>
    </row>
    <row r="6322" spans="1:15" ht="30" customHeight="1">
      <c r="A6322" s="553" t="s">
        <v>7</v>
      </c>
      <c r="B6322" s="554"/>
      <c r="C6322" s="99" t="s">
        <v>0</v>
      </c>
      <c r="D6322" s="100" t="s">
        <v>4097</v>
      </c>
      <c r="E6322" s="101" t="s">
        <v>1</v>
      </c>
      <c r="F6322" s="555" t="s">
        <v>4207</v>
      </c>
      <c r="G6322" s="555"/>
      <c r="H6322" s="196"/>
      <c r="K6322" s="50"/>
      <c r="L6322" s="50"/>
      <c r="M6322" s="50"/>
      <c r="N6322" s="50"/>
      <c r="O6322" s="50"/>
    </row>
    <row r="6323" spans="1:15">
      <c r="A6323" s="535" t="s">
        <v>4434</v>
      </c>
      <c r="B6323" s="536"/>
      <c r="C6323" s="88">
        <f>VLOOKUP(A6323,'Materiales '!$C$2:$G$396,3,0)</f>
        <v>2</v>
      </c>
      <c r="D6323" s="89" t="str">
        <f>VLOOKUP(A6323,'Materiales '!$C$2:$G$396,4,0)</f>
        <v>Ml</v>
      </c>
      <c r="E6323" s="90">
        <v>3</v>
      </c>
      <c r="F6323" s="508" t="e">
        <f>E6323*D6323</f>
        <v>#VALUE!</v>
      </c>
      <c r="G6323" s="519"/>
      <c r="H6323" s="111"/>
      <c r="I6323">
        <f>E6323*G6313</f>
        <v>0</v>
      </c>
      <c r="J6323" s="57"/>
      <c r="K6323" s="50"/>
      <c r="L6323" s="50"/>
      <c r="M6323" s="50"/>
      <c r="N6323" s="50"/>
      <c r="O6323" s="50"/>
    </row>
    <row r="6324" spans="1:15">
      <c r="A6324" s="535" t="s">
        <v>8</v>
      </c>
      <c r="B6324" s="536"/>
      <c r="C6324" s="88">
        <f>VLOOKUP(A6324,'Materiales '!$C$2:$G$396,3,0)</f>
        <v>0</v>
      </c>
      <c r="D6324" s="89" t="str">
        <f>VLOOKUP(A6324,'Materiales '!$C$2:$G$396,4,0)</f>
        <v>-</v>
      </c>
      <c r="E6324" s="90"/>
      <c r="F6324" s="508" t="e">
        <f t="shared" ref="F6324:F6330" si="370">E6324*D6324</f>
        <v>#VALUE!</v>
      </c>
      <c r="G6324" s="519"/>
      <c r="H6324" s="111"/>
      <c r="I6324">
        <f>E6324*G6313</f>
        <v>0</v>
      </c>
      <c r="J6324" s="57"/>
      <c r="K6324" s="50"/>
      <c r="L6324" s="50"/>
      <c r="M6324" s="50"/>
      <c r="N6324" s="50"/>
      <c r="O6324" s="50"/>
    </row>
    <row r="6325" spans="1:15">
      <c r="A6325" s="517" t="s">
        <v>8</v>
      </c>
      <c r="B6325" s="518">
        <f>VLOOKUP(A6325,'Materiales '!$C$2:$G$396,3,0)</f>
        <v>0</v>
      </c>
      <c r="C6325" s="88">
        <f>VLOOKUP(A6325,'Materiales '!$C$2:$G$396,3,0)</f>
        <v>0</v>
      </c>
      <c r="D6325" s="89" t="str">
        <f>VLOOKUP(A6325,'Materiales '!$C$2:$G$396,4,0)</f>
        <v>-</v>
      </c>
      <c r="E6325" s="90"/>
      <c r="F6325" s="508" t="e">
        <f t="shared" si="370"/>
        <v>#VALUE!</v>
      </c>
      <c r="G6325" s="519"/>
      <c r="H6325" s="111"/>
      <c r="I6325">
        <f>E6325*G6313</f>
        <v>0</v>
      </c>
      <c r="J6325" s="58"/>
      <c r="K6325" s="50"/>
      <c r="L6325" s="50"/>
      <c r="M6325" s="50"/>
      <c r="N6325" s="50"/>
      <c r="O6325" s="50"/>
    </row>
    <row r="6326" spans="1:15">
      <c r="A6326" s="517" t="s">
        <v>8</v>
      </c>
      <c r="B6326" s="518">
        <f>VLOOKUP(A6326,'Materiales '!$C$2:$G$396,3,0)</f>
        <v>0</v>
      </c>
      <c r="C6326" s="88">
        <f>VLOOKUP(A6326,'Materiales '!$C$2:$G$396,3,0)</f>
        <v>0</v>
      </c>
      <c r="D6326" s="89" t="str">
        <f>VLOOKUP(A6326,'Materiales '!$C$2:$G$396,4,0)</f>
        <v>-</v>
      </c>
      <c r="E6326" s="90"/>
      <c r="F6326" s="508" t="e">
        <f t="shared" si="370"/>
        <v>#VALUE!</v>
      </c>
      <c r="G6326" s="519"/>
      <c r="H6326" s="111"/>
      <c r="I6326">
        <f>E6326*G6313</f>
        <v>0</v>
      </c>
      <c r="J6326" s="58"/>
      <c r="K6326" s="50"/>
      <c r="L6326" s="50"/>
      <c r="M6326" s="50"/>
      <c r="N6326" s="50"/>
      <c r="O6326" s="50"/>
    </row>
    <row r="6327" spans="1:15">
      <c r="A6327" s="517" t="s">
        <v>8</v>
      </c>
      <c r="B6327" s="518">
        <f>VLOOKUP(A6327,'Materiales '!$C$2:$G$396,3,0)</f>
        <v>0</v>
      </c>
      <c r="C6327" s="88">
        <f>VLOOKUP(A6327,'Materiales '!$C$2:$G$396,3,0)</f>
        <v>0</v>
      </c>
      <c r="D6327" s="89" t="str">
        <f>VLOOKUP(A6327,'Materiales '!$C$2:$G$396,4,0)</f>
        <v>-</v>
      </c>
      <c r="E6327" s="90"/>
      <c r="F6327" s="508" t="e">
        <f t="shared" si="370"/>
        <v>#VALUE!</v>
      </c>
      <c r="G6327" s="519"/>
      <c r="H6327" s="111"/>
      <c r="I6327">
        <f>E6327*G6313</f>
        <v>0</v>
      </c>
      <c r="J6327" s="58"/>
      <c r="K6327" s="50"/>
      <c r="L6327" s="50"/>
      <c r="M6327" s="50"/>
      <c r="N6327" s="50"/>
      <c r="O6327" s="50"/>
    </row>
    <row r="6328" spans="1:15">
      <c r="A6328" s="517" t="s">
        <v>8</v>
      </c>
      <c r="B6328" s="518">
        <f>VLOOKUP(A6328,'Materiales '!$C$2:$G$396,3,0)</f>
        <v>0</v>
      </c>
      <c r="C6328" s="88">
        <f>VLOOKUP(A6328,'Materiales '!$C$2:$G$396,3,0)</f>
        <v>0</v>
      </c>
      <c r="D6328" s="89" t="str">
        <f>VLOOKUP(A6328,'Materiales '!$C$2:$G$396,4,0)</f>
        <v>-</v>
      </c>
      <c r="E6328" s="90"/>
      <c r="F6328" s="508" t="e">
        <f t="shared" si="370"/>
        <v>#VALUE!</v>
      </c>
      <c r="G6328" s="519"/>
      <c r="H6328" s="111"/>
      <c r="I6328">
        <f>E6328*G6313</f>
        <v>0</v>
      </c>
      <c r="J6328" s="58"/>
      <c r="K6328" s="50"/>
      <c r="L6328" s="50"/>
      <c r="M6328" s="50"/>
      <c r="N6328" s="50"/>
      <c r="O6328" s="50"/>
    </row>
    <row r="6329" spans="1:15">
      <c r="A6329" s="517" t="s">
        <v>8</v>
      </c>
      <c r="B6329" s="518">
        <f>VLOOKUP(A6329,'Materiales '!$C$2:$G$396,3,0)</f>
        <v>0</v>
      </c>
      <c r="C6329" s="88">
        <f>VLOOKUP(A6329,'Materiales '!$C$2:$G$396,3,0)</f>
        <v>0</v>
      </c>
      <c r="D6329" s="89" t="str">
        <f>VLOOKUP(A6329,'Materiales '!$C$2:$G$396,4,0)</f>
        <v>-</v>
      </c>
      <c r="E6329" s="90"/>
      <c r="F6329" s="508" t="e">
        <f t="shared" si="370"/>
        <v>#VALUE!</v>
      </c>
      <c r="G6329" s="519"/>
      <c r="H6329" s="111"/>
      <c r="I6329">
        <f>E6329*G6313</f>
        <v>0</v>
      </c>
      <c r="J6329" s="58"/>
      <c r="K6329" s="50"/>
      <c r="L6329" s="50"/>
      <c r="M6329" s="50"/>
      <c r="N6329" s="50"/>
      <c r="O6329" s="50"/>
    </row>
    <row r="6330" spans="1:15" ht="21.75" customHeight="1">
      <c r="A6330" s="517" t="s">
        <v>8</v>
      </c>
      <c r="B6330" s="518">
        <f>VLOOKUP(A6330,'Materiales '!$C$2:$G$396,3,0)</f>
        <v>0</v>
      </c>
      <c r="C6330" s="88">
        <f>VLOOKUP(A6330,'Materiales '!$C$2:$G$396,3,0)</f>
        <v>0</v>
      </c>
      <c r="D6330" s="89" t="str">
        <f>VLOOKUP(A6330,'Materiales '!$C$2:$G$396,4,0)</f>
        <v>-</v>
      </c>
      <c r="E6330" s="90"/>
      <c r="F6330" s="508" t="e">
        <f t="shared" si="370"/>
        <v>#VALUE!</v>
      </c>
      <c r="G6330" s="519"/>
      <c r="H6330" s="111"/>
      <c r="I6330">
        <f>E6330*G6313</f>
        <v>0</v>
      </c>
      <c r="J6330" s="58"/>
      <c r="K6330" s="50"/>
      <c r="L6330" s="50"/>
      <c r="M6330" s="50"/>
      <c r="N6330" s="50"/>
      <c r="O6330" s="50"/>
    </row>
    <row r="6331" spans="1:15">
      <c r="A6331" s="517" t="s">
        <v>8</v>
      </c>
      <c r="B6331" s="518">
        <f>VLOOKUP(A6331,'Materiales '!$C$2:$G$396,3,0)</f>
        <v>0</v>
      </c>
      <c r="C6331" s="88">
        <f>VLOOKUP(A6331,'Materiales '!$C$2:$G$396,3,0)</f>
        <v>0</v>
      </c>
      <c r="D6331" s="89" t="str">
        <f>VLOOKUP(A6331,'Materiales '!$C$2:$G$396,4,0)</f>
        <v>-</v>
      </c>
      <c r="E6331" s="90"/>
      <c r="F6331" s="508" t="e">
        <f>E6331*D6331</f>
        <v>#VALUE!</v>
      </c>
      <c r="G6331" s="519"/>
      <c r="H6331" s="110"/>
      <c r="I6331">
        <f>E6331*G6313</f>
        <v>0</v>
      </c>
      <c r="J6331" s="58"/>
      <c r="K6331" s="50"/>
      <c r="L6331" s="50"/>
      <c r="M6331" s="50"/>
      <c r="N6331" s="50"/>
      <c r="O6331" s="50"/>
    </row>
    <row r="6332" spans="1:15">
      <c r="A6332" s="517" t="s">
        <v>8</v>
      </c>
      <c r="B6332" s="518">
        <f>VLOOKUP(A6332,'Materiales '!$C$2:$G$396,3,0)</f>
        <v>0</v>
      </c>
      <c r="C6332" s="88">
        <f>VLOOKUP(A6332,'Materiales '!$C$2:$G$396,3,0)</f>
        <v>0</v>
      </c>
      <c r="D6332" s="89" t="str">
        <f>VLOOKUP(A6332,'Materiales '!$C$2:$G$396,4,0)</f>
        <v>-</v>
      </c>
      <c r="E6332" s="90"/>
      <c r="F6332" s="508" t="e">
        <f t="shared" ref="F6332:F6335" si="371">E6332*D6332</f>
        <v>#VALUE!</v>
      </c>
      <c r="G6332" s="519"/>
      <c r="H6332" s="111"/>
      <c r="I6332">
        <f>E6332*G6313</f>
        <v>0</v>
      </c>
      <c r="J6332" s="58"/>
      <c r="K6332" s="50"/>
      <c r="L6332" s="50"/>
      <c r="M6332" s="50"/>
      <c r="N6332" s="50"/>
      <c r="O6332" s="50"/>
    </row>
    <row r="6333" spans="1:15">
      <c r="A6333" s="517" t="s">
        <v>8</v>
      </c>
      <c r="B6333" s="518">
        <f>VLOOKUP(A6333,'Materiales '!$C$2:$G$396,3,0)</f>
        <v>0</v>
      </c>
      <c r="C6333" s="88">
        <f>VLOOKUP(A6333,'Materiales '!$C$2:$G$396,3,0)</f>
        <v>0</v>
      </c>
      <c r="D6333" s="89" t="str">
        <f>VLOOKUP(A6333,'Materiales '!$C$2:$G$396,4,0)</f>
        <v>-</v>
      </c>
      <c r="E6333" s="90"/>
      <c r="F6333" s="508" t="e">
        <f t="shared" si="371"/>
        <v>#VALUE!</v>
      </c>
      <c r="G6333" s="519"/>
      <c r="H6333" s="111"/>
      <c r="I6333">
        <f>E6333*G6313</f>
        <v>0</v>
      </c>
      <c r="J6333" s="58"/>
      <c r="K6333" s="50"/>
      <c r="L6333" s="50"/>
      <c r="M6333" s="50"/>
      <c r="N6333" s="50"/>
      <c r="O6333" s="50"/>
    </row>
    <row r="6334" spans="1:15">
      <c r="A6334" s="517" t="s">
        <v>8</v>
      </c>
      <c r="B6334" s="518">
        <f>VLOOKUP(A6334,'Materiales '!$C$2:$G$396,3,0)</f>
        <v>0</v>
      </c>
      <c r="C6334" s="88">
        <f>VLOOKUP(A6334,'Materiales '!$C$2:$G$396,3,0)</f>
        <v>0</v>
      </c>
      <c r="D6334" s="89" t="str">
        <f>VLOOKUP(A6334,'Materiales '!$C$2:$G$396,4,0)</f>
        <v>-</v>
      </c>
      <c r="E6334" s="90"/>
      <c r="F6334" s="508" t="e">
        <f t="shared" si="371"/>
        <v>#VALUE!</v>
      </c>
      <c r="G6334" s="519"/>
      <c r="H6334" s="111"/>
      <c r="I6334">
        <f>E6334*G6313</f>
        <v>0</v>
      </c>
      <c r="J6334" s="58"/>
      <c r="K6334" s="50"/>
      <c r="L6334" s="50"/>
      <c r="M6334" s="50"/>
      <c r="N6334" s="50"/>
      <c r="O6334" s="50"/>
    </row>
    <row r="6335" spans="1:15">
      <c r="A6335" s="517" t="s">
        <v>8</v>
      </c>
      <c r="B6335" s="518">
        <f>VLOOKUP(A6335,'Materiales '!$C$2:$G$396,3,0)</f>
        <v>0</v>
      </c>
      <c r="C6335" s="88">
        <f>VLOOKUP(A6335,'Materiales '!$C$2:$G$396,3,0)</f>
        <v>0</v>
      </c>
      <c r="D6335" s="89" t="str">
        <f>VLOOKUP(A6335,'Materiales '!$C$2:$G$396,4,0)</f>
        <v>-</v>
      </c>
      <c r="E6335" s="90"/>
      <c r="F6335" s="508" t="e">
        <f t="shared" si="371"/>
        <v>#VALUE!</v>
      </c>
      <c r="G6335" s="519"/>
      <c r="H6335" s="111"/>
      <c r="I6335">
        <f>E6335*G6313</f>
        <v>0</v>
      </c>
      <c r="J6335" s="58"/>
      <c r="K6335" s="50"/>
      <c r="L6335" s="50"/>
      <c r="M6335" s="50"/>
      <c r="N6335" s="50"/>
      <c r="O6335" s="50"/>
    </row>
    <row r="6336" spans="1:15">
      <c r="A6336" s="517" t="s">
        <v>8</v>
      </c>
      <c r="B6336" s="518">
        <f>VLOOKUP(A6336,'Materiales '!$C$2:$G$396,3,0)</f>
        <v>0</v>
      </c>
      <c r="C6336" s="88">
        <f>VLOOKUP(A6336,'Materiales '!$C$2:$G$396,3,0)</f>
        <v>0</v>
      </c>
      <c r="D6336" s="89" t="str">
        <f>VLOOKUP(A6336,'Materiales '!$C$2:$G$396,4,0)</f>
        <v>-</v>
      </c>
      <c r="E6336" s="90"/>
      <c r="F6336" s="508" t="e">
        <f>E6336*D6336</f>
        <v>#VALUE!</v>
      </c>
      <c r="G6336" s="519"/>
      <c r="H6336" s="110"/>
      <c r="I6336">
        <f>E6336*G6313</f>
        <v>0</v>
      </c>
      <c r="J6336" s="58"/>
      <c r="K6336" s="50"/>
      <c r="L6336" s="50"/>
      <c r="M6336" s="50"/>
      <c r="N6336" s="50"/>
      <c r="O6336" s="50"/>
    </row>
    <row r="6337" spans="1:15">
      <c r="A6337" s="520" t="s">
        <v>4098</v>
      </c>
      <c r="B6337" s="521"/>
      <c r="C6337" s="521"/>
      <c r="D6337" s="521"/>
      <c r="E6337" s="521"/>
      <c r="F6337" s="521"/>
      <c r="G6337" s="522"/>
      <c r="H6337" s="106" t="e">
        <f>SUM(F6323:F6336)</f>
        <v>#VALUE!</v>
      </c>
      <c r="J6337" s="58"/>
      <c r="K6337" s="50"/>
      <c r="L6337" s="50"/>
      <c r="M6337" s="50"/>
      <c r="N6337" s="50"/>
      <c r="O6337" s="50"/>
    </row>
    <row r="6338" spans="1:15">
      <c r="A6338" s="523" t="s">
        <v>4220</v>
      </c>
      <c r="B6338" s="524"/>
      <c r="C6338" s="524"/>
      <c r="D6338" s="524"/>
      <c r="E6338" s="525"/>
      <c r="F6338" s="524"/>
      <c r="G6338" s="524"/>
      <c r="H6338" s="526"/>
      <c r="J6338" s="58"/>
      <c r="K6338" s="50"/>
      <c r="L6338" s="50"/>
      <c r="M6338" s="50"/>
      <c r="N6338" s="50"/>
      <c r="O6338" s="50"/>
    </row>
    <row r="6339" spans="1:15">
      <c r="A6339" s="527" t="s">
        <v>7</v>
      </c>
      <c r="B6339" s="528"/>
      <c r="C6339" s="98" t="s">
        <v>4221</v>
      </c>
      <c r="D6339" s="97" t="s">
        <v>4222</v>
      </c>
      <c r="E6339" s="187" t="s">
        <v>4223</v>
      </c>
      <c r="F6339" s="529" t="s">
        <v>4207</v>
      </c>
      <c r="G6339" s="529"/>
      <c r="H6339" s="109"/>
      <c r="K6339" s="50"/>
      <c r="L6339" s="50"/>
      <c r="M6339" s="50"/>
      <c r="N6339" s="50"/>
      <c r="O6339" s="50"/>
    </row>
    <row r="6340" spans="1:15">
      <c r="A6340" s="506" t="s">
        <v>3928</v>
      </c>
      <c r="B6340" s="507"/>
      <c r="C6340" s="213">
        <v>1</v>
      </c>
      <c r="D6340" s="92">
        <v>5.0000000000000001E-3</v>
      </c>
      <c r="E6340" s="93" t="str">
        <f>VLOOKUP(A6340,'Equip, Herr y Transp'!$B$2:$E$217,3,0)</f>
        <v>TR</v>
      </c>
      <c r="F6340" s="530" t="e">
        <f>E6340*D6340*C6340</f>
        <v>#VALUE!</v>
      </c>
      <c r="G6340" s="531"/>
      <c r="H6340" s="107"/>
      <c r="M6340" s="50"/>
    </row>
    <row r="6341" spans="1:15">
      <c r="A6341" s="532" t="s">
        <v>4205</v>
      </c>
      <c r="B6341" s="533"/>
      <c r="C6341" s="533"/>
      <c r="D6341" s="533"/>
      <c r="E6341" s="533"/>
      <c r="F6341" s="533"/>
      <c r="G6341" s="533"/>
      <c r="H6341" s="95" t="e">
        <f>F6340</f>
        <v>#VALUE!</v>
      </c>
    </row>
    <row r="6342" spans="1:15">
      <c r="A6342" s="523" t="s">
        <v>4224</v>
      </c>
      <c r="B6342" s="524"/>
      <c r="C6342" s="524"/>
      <c r="D6342" s="524"/>
      <c r="E6342" s="524"/>
      <c r="F6342" s="524"/>
      <c r="G6342" s="524"/>
      <c r="H6342" s="526"/>
    </row>
    <row r="6343" spans="1:15">
      <c r="A6343" s="527" t="s">
        <v>7</v>
      </c>
      <c r="B6343" s="528"/>
      <c r="C6343" s="96" t="s">
        <v>1</v>
      </c>
      <c r="D6343" s="97" t="s">
        <v>4225</v>
      </c>
      <c r="E6343" s="98" t="s">
        <v>4204</v>
      </c>
      <c r="F6343" s="527" t="s">
        <v>5</v>
      </c>
      <c r="G6343" s="534"/>
      <c r="H6343" s="109"/>
    </row>
    <row r="6344" spans="1:15">
      <c r="A6344" s="506" t="s">
        <v>4191</v>
      </c>
      <c r="B6344" s="507"/>
      <c r="C6344" s="91">
        <v>1</v>
      </c>
      <c r="D6344" s="94">
        <f>VLOOKUP(A6344,'Mano Obra'!$B$2:$T$117,19,0)</f>
        <v>152456</v>
      </c>
      <c r="E6344" s="218">
        <f>H6306</f>
        <v>1.04E-2</v>
      </c>
      <c r="F6344" s="508">
        <f>E6344*D6344*C6344</f>
        <v>1585.5423999999998</v>
      </c>
      <c r="G6344" s="509"/>
      <c r="H6344" s="111"/>
      <c r="I6344" s="59"/>
      <c r="J6344" s="117">
        <f>((('Mano Obra'!$M$4/30)*F6344)/D6344)*G6313</f>
        <v>0</v>
      </c>
    </row>
    <row r="6345" spans="1:15">
      <c r="A6345" s="510" t="s">
        <v>4192</v>
      </c>
      <c r="B6345" s="511">
        <f>VLOOKUP(A6345,'Mano Obra'!$B$3:$D$290,2,0)</f>
        <v>1900000</v>
      </c>
      <c r="C6345" s="91">
        <v>1</v>
      </c>
      <c r="D6345" s="94">
        <f>VLOOKUP(A6345,'Mano Obra'!$B$2:$T$117,19,0)</f>
        <v>110488</v>
      </c>
      <c r="E6345" s="218">
        <f>H6306</f>
        <v>1.04E-2</v>
      </c>
      <c r="F6345" s="508">
        <f t="shared" ref="F6345:F6346" si="372">E6345*D6345*C6345</f>
        <v>1149.0752</v>
      </c>
      <c r="G6345" s="509"/>
      <c r="H6345" s="111"/>
      <c r="J6345" s="117">
        <f>((('Mano Obra'!$M$5/30)*F6345)/D6345)*G6313</f>
        <v>0</v>
      </c>
    </row>
    <row r="6346" spans="1:15">
      <c r="A6346" s="510" t="s">
        <v>4181</v>
      </c>
      <c r="B6346" s="511">
        <f>VLOOKUP(A6346,'Mano Obra'!$B$3:$D$290,2,0)</f>
        <v>1000000</v>
      </c>
      <c r="C6346" s="91">
        <v>1</v>
      </c>
      <c r="D6346" s="94">
        <f>VLOOKUP(A6346,'Mano Obra'!$B$2:$T$117,19,0)</f>
        <v>67424</v>
      </c>
      <c r="E6346" s="218">
        <f>H6306</f>
        <v>1.04E-2</v>
      </c>
      <c r="F6346" s="508">
        <f t="shared" si="372"/>
        <v>701.20960000000002</v>
      </c>
      <c r="G6346" s="509"/>
      <c r="H6346" s="110"/>
      <c r="J6346" s="117">
        <f>((('Mano Obra'!$M$6/30)*F6346)/D6346)*G6313</f>
        <v>0</v>
      </c>
    </row>
    <row r="6347" spans="1:15">
      <c r="A6347" s="512" t="s">
        <v>4100</v>
      </c>
      <c r="B6347" s="512"/>
      <c r="C6347" s="512"/>
      <c r="D6347" s="512"/>
      <c r="E6347" s="512"/>
      <c r="F6347" s="512"/>
      <c r="G6347" s="512"/>
      <c r="H6347" s="95">
        <f>SUM(F6344:F6346)</f>
        <v>3435.8271999999997</v>
      </c>
      <c r="J6347" s="117"/>
    </row>
    <row r="6348" spans="1:15">
      <c r="A6348" s="208" t="s">
        <v>4226</v>
      </c>
      <c r="B6348" s="186"/>
      <c r="C6348" s="186"/>
      <c r="D6348" s="183"/>
      <c r="E6348" s="184"/>
      <c r="F6348" s="185"/>
      <c r="G6348" s="184"/>
      <c r="H6348" s="193"/>
    </row>
    <row r="6349" spans="1:15">
      <c r="A6349" s="513" t="s">
        <v>4213</v>
      </c>
      <c r="B6349" s="514"/>
      <c r="C6349" s="514"/>
      <c r="D6349" s="514"/>
      <c r="E6349" s="181"/>
      <c r="F6349" s="182" t="s">
        <v>4227</v>
      </c>
      <c r="G6349" s="181" t="s">
        <v>4228</v>
      </c>
      <c r="H6349" s="194"/>
    </row>
    <row r="6350" spans="1:15">
      <c r="A6350" s="204" t="s">
        <v>4096</v>
      </c>
      <c r="B6350" s="62"/>
      <c r="C6350" s="62"/>
      <c r="D6350" s="63"/>
      <c r="E6350" s="68"/>
      <c r="F6350" s="69">
        <v>0</v>
      </c>
      <c r="G6350" s="70" t="e">
        <f>F6350*H6314</f>
        <v>#VALUE!</v>
      </c>
      <c r="H6350" s="193"/>
    </row>
    <row r="6351" spans="1:15">
      <c r="A6351" s="205" t="s">
        <v>4229</v>
      </c>
      <c r="B6351" s="71"/>
      <c r="C6351" s="71"/>
      <c r="D6351" s="72"/>
      <c r="E6351" s="68"/>
      <c r="F6351" s="69">
        <v>0</v>
      </c>
      <c r="G6351" s="70" t="e">
        <f>F6351*H6314</f>
        <v>#VALUE!</v>
      </c>
      <c r="H6351" s="193"/>
    </row>
    <row r="6352" spans="1:15">
      <c r="A6352" s="205" t="s">
        <v>4</v>
      </c>
      <c r="B6352" s="71"/>
      <c r="C6352" s="71"/>
      <c r="D6352" s="72"/>
      <c r="E6352" s="68"/>
      <c r="F6352" s="69">
        <v>0</v>
      </c>
      <c r="G6352" s="70" t="e">
        <f>F6352*H6314</f>
        <v>#VALUE!</v>
      </c>
      <c r="H6352" s="193"/>
    </row>
    <row r="6353" spans="1:14">
      <c r="A6353" s="206"/>
      <c r="B6353" s="73"/>
      <c r="C6353" s="65"/>
      <c r="D6353" s="74"/>
      <c r="E6353" s="75"/>
      <c r="F6353" s="76"/>
      <c r="G6353" s="77"/>
      <c r="H6353" s="195"/>
    </row>
    <row r="6354" spans="1:14">
      <c r="A6354" s="207"/>
      <c r="B6354" s="73"/>
      <c r="C6354" s="73"/>
      <c r="D6354" s="74"/>
      <c r="E6354" s="78"/>
      <c r="F6354" s="515" t="s">
        <v>4230</v>
      </c>
      <c r="G6354" s="516"/>
      <c r="H6354" s="214" t="e">
        <f>H6314+G6350+G6351+G6352</f>
        <v>#VALUE!</v>
      </c>
    </row>
    <row r="6355" spans="1:14">
      <c r="A6355" s="73"/>
      <c r="B6355" s="73"/>
      <c r="C6355" s="73"/>
      <c r="D6355" s="74"/>
      <c r="E6355" s="360"/>
      <c r="F6355" s="361"/>
      <c r="G6355" s="361"/>
      <c r="H6355" s="362"/>
    </row>
    <row r="6356" spans="1:14">
      <c r="A6356" s="80"/>
      <c r="B6356" s="80"/>
      <c r="C6356" s="80"/>
      <c r="D6356" s="80"/>
      <c r="E6356" s="80"/>
      <c r="F6356" s="80"/>
      <c r="G6356" s="80"/>
      <c r="H6356" s="353"/>
    </row>
    <row r="6357" spans="1:14">
      <c r="A6357" s="537" t="s">
        <v>4214</v>
      </c>
      <c r="B6357" s="538"/>
      <c r="C6357" s="538"/>
      <c r="D6357" s="538"/>
      <c r="E6357" s="538"/>
      <c r="F6357" s="538"/>
      <c r="G6357" s="538"/>
      <c r="H6357" s="539"/>
    </row>
    <row r="6358" spans="1:14">
      <c r="A6358" s="81"/>
      <c r="B6358" s="82"/>
      <c r="C6358" s="82"/>
      <c r="D6358" s="82"/>
      <c r="E6358" s="82"/>
      <c r="F6358" s="83"/>
      <c r="G6358" s="84"/>
      <c r="H6358" s="352">
        <f>ROUND((5/60)/8,4)</f>
        <v>1.04E-2</v>
      </c>
      <c r="I6358" s="105"/>
    </row>
    <row r="6359" spans="1:14">
      <c r="A6359" s="540" t="s">
        <v>4209</v>
      </c>
      <c r="B6359" s="542" t="str">
        <f>COSTOS!$C$14</f>
        <v>MODERNIZACION A TECNOLOGIA LED</v>
      </c>
      <c r="C6359" s="542"/>
      <c r="D6359" s="542"/>
      <c r="E6359" s="542"/>
      <c r="F6359" s="542"/>
      <c r="G6359" s="542"/>
      <c r="H6359" s="543" t="s">
        <v>4210</v>
      </c>
    </row>
    <row r="6360" spans="1:14">
      <c r="A6360" s="541"/>
      <c r="B6360" s="542"/>
      <c r="C6360" s="542"/>
      <c r="D6360" s="542"/>
      <c r="E6360" s="542"/>
      <c r="F6360" s="542"/>
      <c r="G6360" s="542"/>
      <c r="H6360" s="543"/>
    </row>
    <row r="6361" spans="1:14">
      <c r="A6361" s="541"/>
      <c r="B6361" s="542"/>
      <c r="C6361" s="542"/>
      <c r="D6361" s="542"/>
      <c r="E6361" s="542"/>
      <c r="F6361" s="542"/>
      <c r="G6361" s="542"/>
      <c r="H6361" s="543"/>
    </row>
    <row r="6362" spans="1:14" ht="15" customHeight="1">
      <c r="A6362" s="541"/>
      <c r="B6362" s="542"/>
      <c r="C6362" s="542"/>
      <c r="D6362" s="542"/>
      <c r="E6362" s="542"/>
      <c r="F6362" s="542"/>
      <c r="G6362" s="542"/>
      <c r="H6362" s="197">
        <f ca="1">TODAY()</f>
        <v>44889</v>
      </c>
      <c r="K6362" t="s">
        <v>4380</v>
      </c>
      <c r="L6362" t="s">
        <v>4381</v>
      </c>
      <c r="M6362" t="s">
        <v>4382</v>
      </c>
      <c r="N6362" t="s">
        <v>4383</v>
      </c>
    </row>
    <row r="6363" spans="1:14" ht="60.75" customHeight="1">
      <c r="A6363" s="209" t="s">
        <v>4211</v>
      </c>
      <c r="B6363" s="544" t="str">
        <f>COSTOS!$D$16</f>
        <v>Luminarias</v>
      </c>
      <c r="C6363" s="544"/>
      <c r="D6363" s="544"/>
      <c r="E6363" s="544"/>
      <c r="F6363" s="544"/>
      <c r="G6363" s="60" t="s">
        <v>4212</v>
      </c>
      <c r="H6363" s="359">
        <v>3.14</v>
      </c>
      <c r="K6363" s="55" t="e">
        <f>H6389</f>
        <v>#VALUE!</v>
      </c>
      <c r="L6363" s="55">
        <f>H6399</f>
        <v>3435.8271999999997</v>
      </c>
      <c r="M6363" s="55" t="e">
        <f>H6372</f>
        <v>#VALUE!</v>
      </c>
      <c r="N6363" s="55" t="e">
        <f>H6393</f>
        <v>#VALUE!</v>
      </c>
    </row>
    <row r="6364" spans="1:14" ht="43.2" customHeight="1">
      <c r="A6364" s="210" t="s">
        <v>4213</v>
      </c>
      <c r="B6364" s="545" t="str">
        <f>VLOOKUP(H6363,COSTOS!C:M,2,0)</f>
        <v>Red aérea en cable encauchetado 3x6 x 500m</v>
      </c>
      <c r="C6364" s="546"/>
      <c r="D6364" s="546"/>
      <c r="E6364" s="547"/>
      <c r="F6364" s="61" t="s">
        <v>0</v>
      </c>
      <c r="G6364" s="328" t="str">
        <f>VLOOKUP(H6363,COSTOS!C:M,8,0)</f>
        <v>Und</v>
      </c>
      <c r="H6364" s="248"/>
      <c r="I6364" s="278"/>
      <c r="J6364" s="280"/>
      <c r="K6364" s="280"/>
      <c r="L6364" s="280"/>
    </row>
    <row r="6365" spans="1:14">
      <c r="A6365" s="211"/>
      <c r="B6365" s="102"/>
      <c r="C6365" s="102"/>
      <c r="D6365" s="102"/>
      <c r="E6365" s="103"/>
      <c r="F6365" s="104" t="s">
        <v>1</v>
      </c>
      <c r="G6365" s="328">
        <f>VLOOKUP(H6363,COSTOS!C:M,9,0)</f>
        <v>0</v>
      </c>
      <c r="H6365" s="329"/>
      <c r="I6365" s="279"/>
    </row>
    <row r="6366" spans="1:14">
      <c r="A6366" s="212" t="s">
        <v>4215</v>
      </c>
      <c r="B6366" s="65"/>
      <c r="C6366" s="65"/>
      <c r="D6366" s="66"/>
      <c r="E6366" s="190"/>
      <c r="F6366" s="191"/>
      <c r="G6366" s="192" t="s">
        <v>4216</v>
      </c>
      <c r="H6366" s="198" t="e">
        <f>H6372+H6389+H6393+H6399</f>
        <v>#VALUE!</v>
      </c>
    </row>
    <row r="6367" spans="1:14" ht="41.4">
      <c r="A6367" s="548" t="s">
        <v>4213</v>
      </c>
      <c r="B6367" s="548"/>
      <c r="C6367" s="548"/>
      <c r="D6367" s="67" t="s">
        <v>0</v>
      </c>
      <c r="E6367" s="188" t="s">
        <v>4217</v>
      </c>
      <c r="F6367" s="189" t="s">
        <v>4204</v>
      </c>
      <c r="G6367" s="64" t="s">
        <v>2</v>
      </c>
      <c r="H6367" s="199" t="s">
        <v>4218</v>
      </c>
      <c r="K6367" s="281"/>
    </row>
    <row r="6368" spans="1:14">
      <c r="A6368" s="517" t="s">
        <v>3946</v>
      </c>
      <c r="B6368" s="549">
        <f>VLOOKUP(A6368,'Equip, Herr y Transp'!$B$2:$E$738,2,0)</f>
        <v>2</v>
      </c>
      <c r="C6368" s="549"/>
      <c r="D6368" s="85">
        <f>VLOOKUP(A6368,'Equip, Herr y Transp'!$B$2:$E$217,2,0)</f>
        <v>2</v>
      </c>
      <c r="E6368" s="85" t="str">
        <f>VLOOKUP(A6368,'Equip, Herr y Transp'!$B$2:$E$217,3,0)</f>
        <v>EQU</v>
      </c>
      <c r="F6368" s="86">
        <f>H6358</f>
        <v>1.04E-2</v>
      </c>
      <c r="G6368" s="112" t="e">
        <f>F6368*E6368</f>
        <v>#VALUE!</v>
      </c>
      <c r="H6368" s="108"/>
    </row>
    <row r="6369" spans="1:15">
      <c r="A6369" s="517" t="s">
        <v>3904</v>
      </c>
      <c r="B6369" s="549">
        <f>VLOOKUP(A6369,'Equip, Herr y Transp'!$B$2:$E$738,2,0)</f>
        <v>2</v>
      </c>
      <c r="C6369" s="549"/>
      <c r="D6369" s="85">
        <f>VLOOKUP(A6369,'Equip, Herr y Transp'!$B$2:$E$217,2,0)</f>
        <v>2</v>
      </c>
      <c r="E6369" s="85" t="str">
        <f>VLOOKUP(A6369,'Equip, Herr y Transp'!$B$2:$E$217,3,0)</f>
        <v>EQU</v>
      </c>
      <c r="F6369" s="86">
        <f>H6358</f>
        <v>1.04E-2</v>
      </c>
      <c r="G6369" s="112" t="e">
        <f>F6369*E6369</f>
        <v>#VALUE!</v>
      </c>
      <c r="H6369" s="107"/>
    </row>
    <row r="6370" spans="1:15">
      <c r="A6370" s="517" t="s">
        <v>8</v>
      </c>
      <c r="B6370" s="549" t="e">
        <f>VLOOKUP(A6370,'Equip, Herr y Transp'!$B$2:$E$738,2,0)</f>
        <v>#N/A</v>
      </c>
      <c r="C6370" s="549"/>
      <c r="D6370" s="85" t="e">
        <f>VLOOKUP(A6370,'Equip, Herr y Transp'!$B$2:$E$217,2,0)</f>
        <v>#N/A</v>
      </c>
      <c r="E6370" s="85" t="e">
        <f>VLOOKUP(A6370,'Equip, Herr y Transp'!$B$2:$E$217,3,0)</f>
        <v>#N/A</v>
      </c>
      <c r="F6370" s="86">
        <f>H6358</f>
        <v>1.04E-2</v>
      </c>
      <c r="G6370" s="112" t="e">
        <f>F6370*E6370</f>
        <v>#N/A</v>
      </c>
      <c r="H6370" s="107"/>
    </row>
    <row r="6371" spans="1:15">
      <c r="A6371" s="517" t="s">
        <v>8</v>
      </c>
      <c r="B6371" s="549" t="e">
        <f>VLOOKUP(A6371,'Equip, Herr y Transp'!$B$2:$E$738,2,0)</f>
        <v>#N/A</v>
      </c>
      <c r="C6371" s="549"/>
      <c r="D6371" s="85" t="e">
        <f>VLOOKUP(A6371,'Equip, Herr y Transp'!$B$2:$E$217,2,0)</f>
        <v>#N/A</v>
      </c>
      <c r="E6371" s="85" t="e">
        <f>VLOOKUP(A6371,'Equip, Herr y Transp'!$B$2:$E$217,3,0)</f>
        <v>#N/A</v>
      </c>
      <c r="F6371" s="86">
        <f>H6358</f>
        <v>1.04E-2</v>
      </c>
      <c r="G6371" s="112" t="e">
        <f>F6371*E6371</f>
        <v>#N/A</v>
      </c>
      <c r="H6371" s="107"/>
    </row>
    <row r="6372" spans="1:15">
      <c r="A6372" s="520" t="s">
        <v>4099</v>
      </c>
      <c r="B6372" s="521"/>
      <c r="C6372" s="521"/>
      <c r="D6372" s="521"/>
      <c r="E6372" s="521"/>
      <c r="F6372" s="521"/>
      <c r="G6372" s="521"/>
      <c r="H6372" s="87" t="e">
        <f>SUM(G6368:G6371)</f>
        <v>#VALUE!</v>
      </c>
    </row>
    <row r="6373" spans="1:15">
      <c r="A6373" s="550" t="s">
        <v>4219</v>
      </c>
      <c r="B6373" s="551"/>
      <c r="C6373" s="551"/>
      <c r="D6373" s="551"/>
      <c r="E6373" s="551"/>
      <c r="F6373" s="551"/>
      <c r="G6373" s="551"/>
      <c r="H6373" s="552"/>
      <c r="K6373" s="50"/>
      <c r="L6373" s="50"/>
      <c r="M6373" s="50"/>
      <c r="N6373" s="50"/>
      <c r="O6373" s="50"/>
    </row>
    <row r="6374" spans="1:15" ht="30" customHeight="1">
      <c r="A6374" s="553" t="s">
        <v>7</v>
      </c>
      <c r="B6374" s="554"/>
      <c r="C6374" s="99" t="s">
        <v>0</v>
      </c>
      <c r="D6374" s="100" t="s">
        <v>4097</v>
      </c>
      <c r="E6374" s="101" t="s">
        <v>1</v>
      </c>
      <c r="F6374" s="555" t="s">
        <v>4207</v>
      </c>
      <c r="G6374" s="555"/>
      <c r="H6374" s="196"/>
      <c r="K6374" s="50"/>
      <c r="L6374" s="50"/>
      <c r="M6374" s="50"/>
      <c r="N6374" s="50"/>
      <c r="O6374" s="50"/>
    </row>
    <row r="6375" spans="1:15">
      <c r="A6375" s="535" t="s">
        <v>4727</v>
      </c>
      <c r="B6375" s="536"/>
      <c r="C6375" s="88">
        <f>VLOOKUP(A6375,'Materiales '!$C$2:$G$396,3,0)</f>
        <v>2</v>
      </c>
      <c r="D6375" s="89" t="str">
        <f>VLOOKUP(A6375,'Materiales '!$C$2:$G$396,4,0)</f>
        <v>Ml</v>
      </c>
      <c r="E6375" s="90">
        <v>1</v>
      </c>
      <c r="F6375" s="508" t="e">
        <f>E6375*D6375</f>
        <v>#VALUE!</v>
      </c>
      <c r="G6375" s="519"/>
      <c r="H6375" s="111"/>
      <c r="I6375">
        <f>E6375*G6365</f>
        <v>0</v>
      </c>
      <c r="J6375" s="57"/>
      <c r="K6375" s="50"/>
      <c r="L6375" s="50"/>
      <c r="M6375" s="50"/>
      <c r="N6375" s="50"/>
      <c r="O6375" s="50"/>
    </row>
    <row r="6376" spans="1:15">
      <c r="A6376" s="535" t="s">
        <v>8</v>
      </c>
      <c r="B6376" s="536"/>
      <c r="C6376" s="88">
        <f>VLOOKUP(A6376,'Materiales '!$C$2:$G$396,3,0)</f>
        <v>0</v>
      </c>
      <c r="D6376" s="89" t="str">
        <f>VLOOKUP(A6376,'Materiales '!$C$2:$G$396,4,0)</f>
        <v>-</v>
      </c>
      <c r="E6376" s="90"/>
      <c r="F6376" s="508" t="e">
        <f t="shared" ref="F6376:F6382" si="373">E6376*D6376</f>
        <v>#VALUE!</v>
      </c>
      <c r="G6376" s="519"/>
      <c r="H6376" s="111"/>
      <c r="I6376">
        <f>E6376*G6365</f>
        <v>0</v>
      </c>
      <c r="J6376" s="57"/>
      <c r="K6376" s="50"/>
      <c r="L6376" s="50"/>
      <c r="M6376" s="50"/>
      <c r="N6376" s="50"/>
      <c r="O6376" s="50"/>
    </row>
    <row r="6377" spans="1:15">
      <c r="A6377" s="517" t="s">
        <v>8</v>
      </c>
      <c r="B6377" s="518">
        <f>VLOOKUP(A6377,'Materiales '!$C$2:$G$396,3,0)</f>
        <v>0</v>
      </c>
      <c r="C6377" s="88">
        <f>VLOOKUP(A6377,'Materiales '!$C$2:$G$396,3,0)</f>
        <v>0</v>
      </c>
      <c r="D6377" s="89" t="str">
        <f>VLOOKUP(A6377,'Materiales '!$C$2:$G$396,4,0)</f>
        <v>-</v>
      </c>
      <c r="E6377" s="90"/>
      <c r="F6377" s="508" t="e">
        <f t="shared" si="373"/>
        <v>#VALUE!</v>
      </c>
      <c r="G6377" s="519"/>
      <c r="H6377" s="111"/>
      <c r="I6377">
        <f>E6377*G6365</f>
        <v>0</v>
      </c>
      <c r="J6377" s="58"/>
      <c r="K6377" s="50"/>
      <c r="L6377" s="50"/>
      <c r="M6377" s="50"/>
      <c r="N6377" s="50"/>
      <c r="O6377" s="50"/>
    </row>
    <row r="6378" spans="1:15">
      <c r="A6378" s="517" t="s">
        <v>8</v>
      </c>
      <c r="B6378" s="518">
        <f>VLOOKUP(A6378,'Materiales '!$C$2:$G$396,3,0)</f>
        <v>0</v>
      </c>
      <c r="C6378" s="88">
        <f>VLOOKUP(A6378,'Materiales '!$C$2:$G$396,3,0)</f>
        <v>0</v>
      </c>
      <c r="D6378" s="89" t="str">
        <f>VLOOKUP(A6378,'Materiales '!$C$2:$G$396,4,0)</f>
        <v>-</v>
      </c>
      <c r="E6378" s="90"/>
      <c r="F6378" s="508" t="e">
        <f t="shared" si="373"/>
        <v>#VALUE!</v>
      </c>
      <c r="G6378" s="519"/>
      <c r="H6378" s="111"/>
      <c r="I6378">
        <f>E6378*G6365</f>
        <v>0</v>
      </c>
      <c r="J6378" s="58"/>
      <c r="K6378" s="50"/>
      <c r="L6378" s="50"/>
      <c r="M6378" s="50"/>
      <c r="N6378" s="50"/>
      <c r="O6378" s="50"/>
    </row>
    <row r="6379" spans="1:15">
      <c r="A6379" s="517" t="s">
        <v>8</v>
      </c>
      <c r="B6379" s="518">
        <f>VLOOKUP(A6379,'Materiales '!$C$2:$G$396,3,0)</f>
        <v>0</v>
      </c>
      <c r="C6379" s="88">
        <f>VLOOKUP(A6379,'Materiales '!$C$2:$G$396,3,0)</f>
        <v>0</v>
      </c>
      <c r="D6379" s="89" t="str">
        <f>VLOOKUP(A6379,'Materiales '!$C$2:$G$396,4,0)</f>
        <v>-</v>
      </c>
      <c r="E6379" s="90"/>
      <c r="F6379" s="508" t="e">
        <f t="shared" si="373"/>
        <v>#VALUE!</v>
      </c>
      <c r="G6379" s="519"/>
      <c r="H6379" s="111"/>
      <c r="I6379">
        <f>E6379*G6365</f>
        <v>0</v>
      </c>
      <c r="J6379" s="58"/>
      <c r="K6379" s="50"/>
      <c r="L6379" s="50"/>
      <c r="M6379" s="50"/>
      <c r="N6379" s="50"/>
      <c r="O6379" s="50"/>
    </row>
    <row r="6380" spans="1:15">
      <c r="A6380" s="517" t="s">
        <v>8</v>
      </c>
      <c r="B6380" s="518">
        <f>VLOOKUP(A6380,'Materiales '!$C$2:$G$396,3,0)</f>
        <v>0</v>
      </c>
      <c r="C6380" s="88">
        <f>VLOOKUP(A6380,'Materiales '!$C$2:$G$396,3,0)</f>
        <v>0</v>
      </c>
      <c r="D6380" s="89" t="str">
        <f>VLOOKUP(A6380,'Materiales '!$C$2:$G$396,4,0)</f>
        <v>-</v>
      </c>
      <c r="E6380" s="90"/>
      <c r="F6380" s="508" t="e">
        <f t="shared" si="373"/>
        <v>#VALUE!</v>
      </c>
      <c r="G6380" s="519"/>
      <c r="H6380" s="111"/>
      <c r="I6380">
        <f>E6380*G6365</f>
        <v>0</v>
      </c>
      <c r="J6380" s="58"/>
      <c r="K6380" s="50"/>
      <c r="L6380" s="50"/>
      <c r="M6380" s="50"/>
      <c r="N6380" s="50"/>
      <c r="O6380" s="50"/>
    </row>
    <row r="6381" spans="1:15">
      <c r="A6381" s="517" t="s">
        <v>8</v>
      </c>
      <c r="B6381" s="518">
        <f>VLOOKUP(A6381,'Materiales '!$C$2:$G$396,3,0)</f>
        <v>0</v>
      </c>
      <c r="C6381" s="88">
        <f>VLOOKUP(A6381,'Materiales '!$C$2:$G$396,3,0)</f>
        <v>0</v>
      </c>
      <c r="D6381" s="89" t="str">
        <f>VLOOKUP(A6381,'Materiales '!$C$2:$G$396,4,0)</f>
        <v>-</v>
      </c>
      <c r="E6381" s="90"/>
      <c r="F6381" s="508" t="e">
        <f t="shared" si="373"/>
        <v>#VALUE!</v>
      </c>
      <c r="G6381" s="519"/>
      <c r="H6381" s="111"/>
      <c r="I6381">
        <f>E6381*G6365</f>
        <v>0</v>
      </c>
      <c r="J6381" s="58"/>
      <c r="K6381" s="50"/>
      <c r="L6381" s="50"/>
      <c r="M6381" s="50"/>
      <c r="N6381" s="50"/>
      <c r="O6381" s="50"/>
    </row>
    <row r="6382" spans="1:15" ht="21.75" customHeight="1">
      <c r="A6382" s="517" t="s">
        <v>8</v>
      </c>
      <c r="B6382" s="518">
        <f>VLOOKUP(A6382,'Materiales '!$C$2:$G$396,3,0)</f>
        <v>0</v>
      </c>
      <c r="C6382" s="88">
        <f>VLOOKUP(A6382,'Materiales '!$C$2:$G$396,3,0)</f>
        <v>0</v>
      </c>
      <c r="D6382" s="89" t="str">
        <f>VLOOKUP(A6382,'Materiales '!$C$2:$G$396,4,0)</f>
        <v>-</v>
      </c>
      <c r="E6382" s="90"/>
      <c r="F6382" s="508" t="e">
        <f t="shared" si="373"/>
        <v>#VALUE!</v>
      </c>
      <c r="G6382" s="519"/>
      <c r="H6382" s="111"/>
      <c r="I6382">
        <f>E6382*G6365</f>
        <v>0</v>
      </c>
      <c r="J6382" s="58"/>
      <c r="K6382" s="50"/>
      <c r="L6382" s="50"/>
      <c r="M6382" s="50"/>
      <c r="N6382" s="50"/>
      <c r="O6382" s="50"/>
    </row>
    <row r="6383" spans="1:15">
      <c r="A6383" s="517" t="s">
        <v>8</v>
      </c>
      <c r="B6383" s="518">
        <f>VLOOKUP(A6383,'Materiales '!$C$2:$G$396,3,0)</f>
        <v>0</v>
      </c>
      <c r="C6383" s="88">
        <f>VLOOKUP(A6383,'Materiales '!$C$2:$G$396,3,0)</f>
        <v>0</v>
      </c>
      <c r="D6383" s="89" t="str">
        <f>VLOOKUP(A6383,'Materiales '!$C$2:$G$396,4,0)</f>
        <v>-</v>
      </c>
      <c r="E6383" s="90"/>
      <c r="F6383" s="508" t="e">
        <f>E6383*D6383</f>
        <v>#VALUE!</v>
      </c>
      <c r="G6383" s="519"/>
      <c r="H6383" s="110"/>
      <c r="I6383">
        <f>E6383*G6365</f>
        <v>0</v>
      </c>
      <c r="J6383" s="58"/>
      <c r="K6383" s="50"/>
      <c r="L6383" s="50"/>
      <c r="M6383" s="50"/>
      <c r="N6383" s="50"/>
      <c r="O6383" s="50"/>
    </row>
    <row r="6384" spans="1:15">
      <c r="A6384" s="517" t="s">
        <v>8</v>
      </c>
      <c r="B6384" s="518">
        <f>VLOOKUP(A6384,'Materiales '!$C$2:$G$396,3,0)</f>
        <v>0</v>
      </c>
      <c r="C6384" s="88">
        <f>VLOOKUP(A6384,'Materiales '!$C$2:$G$396,3,0)</f>
        <v>0</v>
      </c>
      <c r="D6384" s="89" t="str">
        <f>VLOOKUP(A6384,'Materiales '!$C$2:$G$396,4,0)</f>
        <v>-</v>
      </c>
      <c r="E6384" s="90"/>
      <c r="F6384" s="508" t="e">
        <f t="shared" ref="F6384:F6387" si="374">E6384*D6384</f>
        <v>#VALUE!</v>
      </c>
      <c r="G6384" s="519"/>
      <c r="H6384" s="111"/>
      <c r="I6384">
        <f>E6384*G6365</f>
        <v>0</v>
      </c>
      <c r="J6384" s="58"/>
      <c r="K6384" s="50"/>
      <c r="L6384" s="50"/>
      <c r="M6384" s="50"/>
      <c r="N6384" s="50"/>
      <c r="O6384" s="50"/>
    </row>
    <row r="6385" spans="1:15">
      <c r="A6385" s="517" t="s">
        <v>8</v>
      </c>
      <c r="B6385" s="518">
        <f>VLOOKUP(A6385,'Materiales '!$C$2:$G$396,3,0)</f>
        <v>0</v>
      </c>
      <c r="C6385" s="88">
        <f>VLOOKUP(A6385,'Materiales '!$C$2:$G$396,3,0)</f>
        <v>0</v>
      </c>
      <c r="D6385" s="89" t="str">
        <f>VLOOKUP(A6385,'Materiales '!$C$2:$G$396,4,0)</f>
        <v>-</v>
      </c>
      <c r="E6385" s="90"/>
      <c r="F6385" s="508" t="e">
        <f t="shared" si="374"/>
        <v>#VALUE!</v>
      </c>
      <c r="G6385" s="519"/>
      <c r="H6385" s="111"/>
      <c r="I6385">
        <f>E6385*G6365</f>
        <v>0</v>
      </c>
      <c r="J6385" s="58"/>
      <c r="K6385" s="50"/>
      <c r="L6385" s="50"/>
      <c r="M6385" s="50"/>
      <c r="N6385" s="50"/>
      <c r="O6385" s="50"/>
    </row>
    <row r="6386" spans="1:15">
      <c r="A6386" s="517" t="s">
        <v>8</v>
      </c>
      <c r="B6386" s="518">
        <f>VLOOKUP(A6386,'Materiales '!$C$2:$G$396,3,0)</f>
        <v>0</v>
      </c>
      <c r="C6386" s="88">
        <f>VLOOKUP(A6386,'Materiales '!$C$2:$G$396,3,0)</f>
        <v>0</v>
      </c>
      <c r="D6386" s="89" t="str">
        <f>VLOOKUP(A6386,'Materiales '!$C$2:$G$396,4,0)</f>
        <v>-</v>
      </c>
      <c r="E6386" s="90"/>
      <c r="F6386" s="508" t="e">
        <f t="shared" si="374"/>
        <v>#VALUE!</v>
      </c>
      <c r="G6386" s="519"/>
      <c r="H6386" s="111"/>
      <c r="I6386">
        <f>E6386*G6365</f>
        <v>0</v>
      </c>
      <c r="J6386" s="58"/>
      <c r="K6386" s="50"/>
      <c r="L6386" s="50"/>
      <c r="M6386" s="50"/>
      <c r="N6386" s="50"/>
      <c r="O6386" s="50"/>
    </row>
    <row r="6387" spans="1:15">
      <c r="A6387" s="517" t="s">
        <v>8</v>
      </c>
      <c r="B6387" s="518">
        <f>VLOOKUP(A6387,'Materiales '!$C$2:$G$396,3,0)</f>
        <v>0</v>
      </c>
      <c r="C6387" s="88">
        <f>VLOOKUP(A6387,'Materiales '!$C$2:$G$396,3,0)</f>
        <v>0</v>
      </c>
      <c r="D6387" s="89" t="str">
        <f>VLOOKUP(A6387,'Materiales '!$C$2:$G$396,4,0)</f>
        <v>-</v>
      </c>
      <c r="E6387" s="90"/>
      <c r="F6387" s="508" t="e">
        <f t="shared" si="374"/>
        <v>#VALUE!</v>
      </c>
      <c r="G6387" s="519"/>
      <c r="H6387" s="111"/>
      <c r="I6387">
        <f>E6387*G6365</f>
        <v>0</v>
      </c>
      <c r="J6387" s="58"/>
      <c r="K6387" s="50"/>
      <c r="L6387" s="50"/>
      <c r="M6387" s="50"/>
      <c r="N6387" s="50"/>
      <c r="O6387" s="50"/>
    </row>
    <row r="6388" spans="1:15">
      <c r="A6388" s="517" t="s">
        <v>8</v>
      </c>
      <c r="B6388" s="518">
        <f>VLOOKUP(A6388,'Materiales '!$C$2:$G$396,3,0)</f>
        <v>0</v>
      </c>
      <c r="C6388" s="88">
        <f>VLOOKUP(A6388,'Materiales '!$C$2:$G$396,3,0)</f>
        <v>0</v>
      </c>
      <c r="D6388" s="89" t="str">
        <f>VLOOKUP(A6388,'Materiales '!$C$2:$G$396,4,0)</f>
        <v>-</v>
      </c>
      <c r="E6388" s="90"/>
      <c r="F6388" s="508" t="e">
        <f>E6388*D6388</f>
        <v>#VALUE!</v>
      </c>
      <c r="G6388" s="519"/>
      <c r="H6388" s="110"/>
      <c r="I6388">
        <f>E6388*G6365</f>
        <v>0</v>
      </c>
      <c r="J6388" s="58"/>
      <c r="K6388" s="50"/>
      <c r="L6388" s="50"/>
      <c r="M6388" s="50"/>
      <c r="N6388" s="50"/>
      <c r="O6388" s="50"/>
    </row>
    <row r="6389" spans="1:15">
      <c r="A6389" s="520" t="s">
        <v>4098</v>
      </c>
      <c r="B6389" s="521"/>
      <c r="C6389" s="521"/>
      <c r="D6389" s="521"/>
      <c r="E6389" s="521"/>
      <c r="F6389" s="521"/>
      <c r="G6389" s="522"/>
      <c r="H6389" s="106" t="e">
        <f>SUM(F6375:F6388)</f>
        <v>#VALUE!</v>
      </c>
      <c r="J6389" s="58"/>
      <c r="K6389" s="50"/>
      <c r="L6389" s="50"/>
      <c r="M6389" s="50"/>
      <c r="N6389" s="50"/>
      <c r="O6389" s="50"/>
    </row>
    <row r="6390" spans="1:15">
      <c r="A6390" s="523" t="s">
        <v>4220</v>
      </c>
      <c r="B6390" s="524"/>
      <c r="C6390" s="524"/>
      <c r="D6390" s="524"/>
      <c r="E6390" s="525"/>
      <c r="F6390" s="524"/>
      <c r="G6390" s="524"/>
      <c r="H6390" s="526"/>
      <c r="J6390" s="58"/>
      <c r="K6390" s="50"/>
      <c r="L6390" s="50"/>
      <c r="M6390" s="50"/>
      <c r="N6390" s="50"/>
      <c r="O6390" s="50"/>
    </row>
    <row r="6391" spans="1:15">
      <c r="A6391" s="527" t="s">
        <v>7</v>
      </c>
      <c r="B6391" s="528"/>
      <c r="C6391" s="98" t="s">
        <v>4221</v>
      </c>
      <c r="D6391" s="97" t="s">
        <v>4222</v>
      </c>
      <c r="E6391" s="187" t="s">
        <v>4223</v>
      </c>
      <c r="F6391" s="529" t="s">
        <v>4207</v>
      </c>
      <c r="G6391" s="529"/>
      <c r="H6391" s="109"/>
      <c r="K6391" s="50"/>
      <c r="L6391" s="50"/>
      <c r="M6391" s="50"/>
      <c r="N6391" s="50"/>
      <c r="O6391" s="50"/>
    </row>
    <row r="6392" spans="1:15">
      <c r="A6392" s="506" t="s">
        <v>3928</v>
      </c>
      <c r="B6392" s="507"/>
      <c r="C6392" s="213">
        <v>1</v>
      </c>
      <c r="D6392" s="92">
        <v>5.0000000000000001E-3</v>
      </c>
      <c r="E6392" s="93" t="str">
        <f>VLOOKUP(A6392,'Equip, Herr y Transp'!$B$2:$E$217,3,0)</f>
        <v>TR</v>
      </c>
      <c r="F6392" s="530" t="e">
        <f>E6392*D6392*C6392</f>
        <v>#VALUE!</v>
      </c>
      <c r="G6392" s="531"/>
      <c r="H6392" s="107"/>
      <c r="M6392" s="50"/>
    </row>
    <row r="6393" spans="1:15">
      <c r="A6393" s="532" t="s">
        <v>4205</v>
      </c>
      <c r="B6393" s="533"/>
      <c r="C6393" s="533"/>
      <c r="D6393" s="533"/>
      <c r="E6393" s="533"/>
      <c r="F6393" s="533"/>
      <c r="G6393" s="533"/>
      <c r="H6393" s="95" t="e">
        <f>F6392</f>
        <v>#VALUE!</v>
      </c>
    </row>
    <row r="6394" spans="1:15">
      <c r="A6394" s="523" t="s">
        <v>4224</v>
      </c>
      <c r="B6394" s="524"/>
      <c r="C6394" s="524"/>
      <c r="D6394" s="524"/>
      <c r="E6394" s="524"/>
      <c r="F6394" s="524"/>
      <c r="G6394" s="524"/>
      <c r="H6394" s="526"/>
    </row>
    <row r="6395" spans="1:15">
      <c r="A6395" s="527" t="s">
        <v>7</v>
      </c>
      <c r="B6395" s="528"/>
      <c r="C6395" s="96" t="s">
        <v>1</v>
      </c>
      <c r="D6395" s="97" t="s">
        <v>4225</v>
      </c>
      <c r="E6395" s="98" t="s">
        <v>4204</v>
      </c>
      <c r="F6395" s="527" t="s">
        <v>5</v>
      </c>
      <c r="G6395" s="534"/>
      <c r="H6395" s="109"/>
    </row>
    <row r="6396" spans="1:15">
      <c r="A6396" s="506" t="s">
        <v>4191</v>
      </c>
      <c r="B6396" s="507"/>
      <c r="C6396" s="91">
        <v>1</v>
      </c>
      <c r="D6396" s="94">
        <f>VLOOKUP(A6396,'Mano Obra'!$B$2:$T$117,19,0)</f>
        <v>152456</v>
      </c>
      <c r="E6396" s="218">
        <f>H6358</f>
        <v>1.04E-2</v>
      </c>
      <c r="F6396" s="508">
        <f>E6396*D6396*C6396</f>
        <v>1585.5423999999998</v>
      </c>
      <c r="G6396" s="509"/>
      <c r="H6396" s="111"/>
      <c r="I6396" s="59"/>
      <c r="J6396" s="117">
        <f>((('Mano Obra'!$M$4/30)*F6396)/D6396)*G6365</f>
        <v>0</v>
      </c>
    </row>
    <row r="6397" spans="1:15">
      <c r="A6397" s="510" t="s">
        <v>4192</v>
      </c>
      <c r="B6397" s="511">
        <f>VLOOKUP(A6397,'Mano Obra'!$B$3:$D$290,2,0)</f>
        <v>1900000</v>
      </c>
      <c r="C6397" s="91">
        <v>1</v>
      </c>
      <c r="D6397" s="94">
        <f>VLOOKUP(A6397,'Mano Obra'!$B$2:$T$117,19,0)</f>
        <v>110488</v>
      </c>
      <c r="E6397" s="218">
        <f>H6358</f>
        <v>1.04E-2</v>
      </c>
      <c r="F6397" s="508">
        <f t="shared" ref="F6397:F6398" si="375">E6397*D6397*C6397</f>
        <v>1149.0752</v>
      </c>
      <c r="G6397" s="509"/>
      <c r="H6397" s="111"/>
      <c r="J6397" s="117">
        <f>((('Mano Obra'!$M$5/30)*F6397)/D6397)*G6365</f>
        <v>0</v>
      </c>
    </row>
    <row r="6398" spans="1:15">
      <c r="A6398" s="510" t="s">
        <v>4181</v>
      </c>
      <c r="B6398" s="511">
        <f>VLOOKUP(A6398,'Mano Obra'!$B$3:$D$290,2,0)</f>
        <v>1000000</v>
      </c>
      <c r="C6398" s="91">
        <v>1</v>
      </c>
      <c r="D6398" s="94">
        <f>VLOOKUP(A6398,'Mano Obra'!$B$2:$T$117,19,0)</f>
        <v>67424</v>
      </c>
      <c r="E6398" s="218">
        <f>H6358</f>
        <v>1.04E-2</v>
      </c>
      <c r="F6398" s="508">
        <f t="shared" si="375"/>
        <v>701.20960000000002</v>
      </c>
      <c r="G6398" s="509"/>
      <c r="H6398" s="110"/>
      <c r="J6398" s="117">
        <f>((('Mano Obra'!$M$6/30)*F6398)/D6398)*G6365</f>
        <v>0</v>
      </c>
    </row>
    <row r="6399" spans="1:15">
      <c r="A6399" s="512" t="s">
        <v>4100</v>
      </c>
      <c r="B6399" s="512"/>
      <c r="C6399" s="512"/>
      <c r="D6399" s="512"/>
      <c r="E6399" s="512"/>
      <c r="F6399" s="512"/>
      <c r="G6399" s="512"/>
      <c r="H6399" s="95">
        <f>SUM(F6396:F6398)</f>
        <v>3435.8271999999997</v>
      </c>
      <c r="J6399" s="117"/>
    </row>
    <row r="6400" spans="1:15">
      <c r="A6400" s="208" t="s">
        <v>4226</v>
      </c>
      <c r="B6400" s="186"/>
      <c r="C6400" s="186"/>
      <c r="D6400" s="183"/>
      <c r="E6400" s="184"/>
      <c r="F6400" s="185"/>
      <c r="G6400" s="184"/>
      <c r="H6400" s="193"/>
    </row>
    <row r="6401" spans="1:14">
      <c r="A6401" s="513" t="s">
        <v>4213</v>
      </c>
      <c r="B6401" s="514"/>
      <c r="C6401" s="514"/>
      <c r="D6401" s="514"/>
      <c r="E6401" s="181"/>
      <c r="F6401" s="182" t="s">
        <v>4227</v>
      </c>
      <c r="G6401" s="181" t="s">
        <v>4228</v>
      </c>
      <c r="H6401" s="194"/>
    </row>
    <row r="6402" spans="1:14">
      <c r="A6402" s="204" t="s">
        <v>4096</v>
      </c>
      <c r="B6402" s="62"/>
      <c r="C6402" s="62"/>
      <c r="D6402" s="63"/>
      <c r="E6402" s="68"/>
      <c r="F6402" s="69">
        <v>0</v>
      </c>
      <c r="G6402" s="70" t="e">
        <f>F6402*H6366</f>
        <v>#VALUE!</v>
      </c>
      <c r="H6402" s="193"/>
    </row>
    <row r="6403" spans="1:14">
      <c r="A6403" s="205" t="s">
        <v>4229</v>
      </c>
      <c r="B6403" s="71"/>
      <c r="C6403" s="71"/>
      <c r="D6403" s="72"/>
      <c r="E6403" s="68"/>
      <c r="F6403" s="69">
        <v>0</v>
      </c>
      <c r="G6403" s="70" t="e">
        <f>F6403*H6366</f>
        <v>#VALUE!</v>
      </c>
      <c r="H6403" s="193"/>
    </row>
    <row r="6404" spans="1:14">
      <c r="A6404" s="205" t="s">
        <v>4</v>
      </c>
      <c r="B6404" s="71"/>
      <c r="C6404" s="71"/>
      <c r="D6404" s="72"/>
      <c r="E6404" s="68"/>
      <c r="F6404" s="69">
        <v>0</v>
      </c>
      <c r="G6404" s="70" t="e">
        <f>F6404*H6366</f>
        <v>#VALUE!</v>
      </c>
      <c r="H6404" s="193"/>
    </row>
    <row r="6405" spans="1:14">
      <c r="A6405" s="206"/>
      <c r="B6405" s="73"/>
      <c r="C6405" s="65"/>
      <c r="D6405" s="74"/>
      <c r="E6405" s="75"/>
      <c r="F6405" s="76"/>
      <c r="G6405" s="77"/>
      <c r="H6405" s="195"/>
    </row>
    <row r="6406" spans="1:14">
      <c r="A6406" s="207"/>
      <c r="B6406" s="73"/>
      <c r="C6406" s="73"/>
      <c r="D6406" s="74"/>
      <c r="E6406" s="78"/>
      <c r="F6406" s="515" t="s">
        <v>4230</v>
      </c>
      <c r="G6406" s="516"/>
      <c r="H6406" s="214" t="e">
        <f>H6366+G6402+G6403+G6404</f>
        <v>#VALUE!</v>
      </c>
    </row>
    <row r="6407" spans="1:14">
      <c r="A6407" s="73"/>
      <c r="B6407" s="73"/>
      <c r="C6407" s="73"/>
      <c r="D6407" s="74"/>
      <c r="E6407" s="360"/>
      <c r="F6407" s="361"/>
      <c r="G6407" s="361"/>
      <c r="H6407" s="362"/>
    </row>
    <row r="6408" spans="1:14">
      <c r="A6408" s="80"/>
      <c r="B6408" s="80"/>
      <c r="C6408" s="80"/>
      <c r="D6408" s="80"/>
      <c r="E6408" s="80"/>
      <c r="F6408" s="80"/>
      <c r="G6408" s="80"/>
      <c r="H6408" s="353"/>
    </row>
    <row r="6409" spans="1:14">
      <c r="A6409" s="537" t="s">
        <v>4214</v>
      </c>
      <c r="B6409" s="538"/>
      <c r="C6409" s="538"/>
      <c r="D6409" s="538"/>
      <c r="E6409" s="538"/>
      <c r="F6409" s="538"/>
      <c r="G6409" s="538"/>
      <c r="H6409" s="539"/>
    </row>
    <row r="6410" spans="1:14">
      <c r="A6410" s="81"/>
      <c r="B6410" s="82"/>
      <c r="C6410" s="82"/>
      <c r="D6410" s="82"/>
      <c r="E6410" s="82"/>
      <c r="F6410" s="83"/>
      <c r="G6410" s="84"/>
      <c r="H6410" s="352">
        <f>ROUND((8/60)/8,4)</f>
        <v>1.67E-2</v>
      </c>
      <c r="I6410" s="105"/>
    </row>
    <row r="6411" spans="1:14">
      <c r="A6411" s="540" t="s">
        <v>4209</v>
      </c>
      <c r="B6411" s="542" t="str">
        <f>COSTOS!$C$14</f>
        <v>MODERNIZACION A TECNOLOGIA LED</v>
      </c>
      <c r="C6411" s="542"/>
      <c r="D6411" s="542"/>
      <c r="E6411" s="542"/>
      <c r="F6411" s="542"/>
      <c r="G6411" s="542"/>
      <c r="H6411" s="543" t="s">
        <v>4210</v>
      </c>
    </row>
    <row r="6412" spans="1:14">
      <c r="A6412" s="541"/>
      <c r="B6412" s="542"/>
      <c r="C6412" s="542"/>
      <c r="D6412" s="542"/>
      <c r="E6412" s="542"/>
      <c r="F6412" s="542"/>
      <c r="G6412" s="542"/>
      <c r="H6412" s="543"/>
    </row>
    <row r="6413" spans="1:14">
      <c r="A6413" s="541"/>
      <c r="B6413" s="542"/>
      <c r="C6413" s="542"/>
      <c r="D6413" s="542"/>
      <c r="E6413" s="542"/>
      <c r="F6413" s="542"/>
      <c r="G6413" s="542"/>
      <c r="H6413" s="543"/>
    </row>
    <row r="6414" spans="1:14" ht="15" customHeight="1">
      <c r="A6414" s="541"/>
      <c r="B6414" s="542"/>
      <c r="C6414" s="542"/>
      <c r="D6414" s="542"/>
      <c r="E6414" s="542"/>
      <c r="F6414" s="542"/>
      <c r="G6414" s="542"/>
      <c r="H6414" s="197">
        <f ca="1">TODAY()</f>
        <v>44889</v>
      </c>
      <c r="K6414" t="s">
        <v>4380</v>
      </c>
      <c r="L6414" t="s">
        <v>4381</v>
      </c>
      <c r="M6414" t="s">
        <v>4382</v>
      </c>
      <c r="N6414" t="s">
        <v>4383</v>
      </c>
    </row>
    <row r="6415" spans="1:14" ht="60.75" customHeight="1">
      <c r="A6415" s="209" t="s">
        <v>4211</v>
      </c>
      <c r="B6415" s="544" t="str">
        <f>COSTOS!$D$16</f>
        <v>Luminarias</v>
      </c>
      <c r="C6415" s="544"/>
      <c r="D6415" s="544"/>
      <c r="E6415" s="544"/>
      <c r="F6415" s="544"/>
      <c r="G6415" s="60" t="s">
        <v>4212</v>
      </c>
      <c r="H6415" s="363">
        <v>3.15</v>
      </c>
      <c r="K6415" s="55" t="e">
        <f>H6441</f>
        <v>#VALUE!</v>
      </c>
      <c r="L6415" s="55">
        <f>H6451</f>
        <v>5517.1455999999998</v>
      </c>
      <c r="M6415" s="55" t="e">
        <f>H6424</f>
        <v>#VALUE!</v>
      </c>
      <c r="N6415" s="55" t="e">
        <f>H6445</f>
        <v>#VALUE!</v>
      </c>
    </row>
    <row r="6416" spans="1:14" ht="43.2" customHeight="1">
      <c r="A6416" s="210" t="s">
        <v>4213</v>
      </c>
      <c r="B6416" s="545" t="str">
        <f>VLOOKUP(H6415,COSTOS!C:M,2,0)</f>
        <v>Red aerea en cable multiplex 2x1/0+1/0 AWG AL x 500m</v>
      </c>
      <c r="C6416" s="546"/>
      <c r="D6416" s="546"/>
      <c r="E6416" s="547"/>
      <c r="F6416" s="61" t="s">
        <v>0</v>
      </c>
      <c r="G6416" s="328" t="str">
        <f>VLOOKUP(H6415,COSTOS!C:M,8,0)</f>
        <v>Und</v>
      </c>
      <c r="H6416" s="248"/>
      <c r="I6416" s="278"/>
      <c r="J6416" s="280"/>
      <c r="K6416" s="280"/>
      <c r="L6416" s="280"/>
    </row>
    <row r="6417" spans="1:15">
      <c r="A6417" s="211"/>
      <c r="B6417" s="102"/>
      <c r="C6417" s="102"/>
      <c r="D6417" s="102"/>
      <c r="E6417" s="103"/>
      <c r="F6417" s="104" t="s">
        <v>1</v>
      </c>
      <c r="G6417" s="328">
        <f>VLOOKUP(H6415,COSTOS!C:M,9,0)</f>
        <v>0</v>
      </c>
      <c r="H6417" s="329"/>
      <c r="I6417" s="279"/>
    </row>
    <row r="6418" spans="1:15">
      <c r="A6418" s="212" t="s">
        <v>4215</v>
      </c>
      <c r="B6418" s="65"/>
      <c r="C6418" s="65"/>
      <c r="D6418" s="66"/>
      <c r="E6418" s="190"/>
      <c r="F6418" s="191"/>
      <c r="G6418" s="192" t="s">
        <v>4216</v>
      </c>
      <c r="H6418" s="198" t="e">
        <f>H6424+H6441+H6445+H6451</f>
        <v>#VALUE!</v>
      </c>
    </row>
    <row r="6419" spans="1:15" ht="41.4">
      <c r="A6419" s="548" t="s">
        <v>4213</v>
      </c>
      <c r="B6419" s="548"/>
      <c r="C6419" s="548"/>
      <c r="D6419" s="67" t="s">
        <v>0</v>
      </c>
      <c r="E6419" s="188" t="s">
        <v>4217</v>
      </c>
      <c r="F6419" s="189" t="s">
        <v>4204</v>
      </c>
      <c r="G6419" s="64" t="s">
        <v>2</v>
      </c>
      <c r="H6419" s="199" t="s">
        <v>4218</v>
      </c>
      <c r="K6419" s="281"/>
    </row>
    <row r="6420" spans="1:15">
      <c r="A6420" s="517" t="s">
        <v>3946</v>
      </c>
      <c r="B6420" s="549">
        <f>VLOOKUP(A6420,'Equip, Herr y Transp'!$B$2:$E$738,2,0)</f>
        <v>2</v>
      </c>
      <c r="C6420" s="549"/>
      <c r="D6420" s="85">
        <f>VLOOKUP(A6420,'Equip, Herr y Transp'!$B$2:$E$217,2,0)</f>
        <v>2</v>
      </c>
      <c r="E6420" s="85" t="str">
        <f>VLOOKUP(A6420,'Equip, Herr y Transp'!$B$2:$E$217,3,0)</f>
        <v>EQU</v>
      </c>
      <c r="F6420" s="86">
        <f>H6410</f>
        <v>1.67E-2</v>
      </c>
      <c r="G6420" s="112" t="e">
        <f>F6420*E6420</f>
        <v>#VALUE!</v>
      </c>
      <c r="H6420" s="108"/>
    </row>
    <row r="6421" spans="1:15">
      <c r="A6421" s="517" t="s">
        <v>3904</v>
      </c>
      <c r="B6421" s="549">
        <f>VLOOKUP(A6421,'Equip, Herr y Transp'!$B$2:$E$738,2,0)</f>
        <v>2</v>
      </c>
      <c r="C6421" s="549"/>
      <c r="D6421" s="85">
        <f>VLOOKUP(A6421,'Equip, Herr y Transp'!$B$2:$E$217,2,0)</f>
        <v>2</v>
      </c>
      <c r="E6421" s="85" t="str">
        <f>VLOOKUP(A6421,'Equip, Herr y Transp'!$B$2:$E$217,3,0)</f>
        <v>EQU</v>
      </c>
      <c r="F6421" s="86">
        <f>H6410</f>
        <v>1.67E-2</v>
      </c>
      <c r="G6421" s="112" t="e">
        <f>F6421*E6421</f>
        <v>#VALUE!</v>
      </c>
      <c r="H6421" s="107"/>
    </row>
    <row r="6422" spans="1:15">
      <c r="A6422" s="517" t="s">
        <v>8</v>
      </c>
      <c r="B6422" s="549" t="e">
        <f>VLOOKUP(A6422,'Equip, Herr y Transp'!$B$2:$E$738,2,0)</f>
        <v>#N/A</v>
      </c>
      <c r="C6422" s="549"/>
      <c r="D6422" s="85" t="e">
        <f>VLOOKUP(A6422,'Equip, Herr y Transp'!$B$2:$E$217,2,0)</f>
        <v>#N/A</v>
      </c>
      <c r="E6422" s="85" t="e">
        <f>VLOOKUP(A6422,'Equip, Herr y Transp'!$B$2:$E$217,3,0)</f>
        <v>#N/A</v>
      </c>
      <c r="F6422" s="86">
        <f>H6410</f>
        <v>1.67E-2</v>
      </c>
      <c r="G6422" s="112" t="e">
        <f>F6422*E6422</f>
        <v>#N/A</v>
      </c>
      <c r="H6422" s="107"/>
    </row>
    <row r="6423" spans="1:15">
      <c r="A6423" s="517" t="s">
        <v>8</v>
      </c>
      <c r="B6423" s="549" t="e">
        <f>VLOOKUP(A6423,'Equip, Herr y Transp'!$B$2:$E$738,2,0)</f>
        <v>#N/A</v>
      </c>
      <c r="C6423" s="549"/>
      <c r="D6423" s="85" t="e">
        <f>VLOOKUP(A6423,'Equip, Herr y Transp'!$B$2:$E$217,2,0)</f>
        <v>#N/A</v>
      </c>
      <c r="E6423" s="85" t="e">
        <f>VLOOKUP(A6423,'Equip, Herr y Transp'!$B$2:$E$217,3,0)</f>
        <v>#N/A</v>
      </c>
      <c r="F6423" s="86">
        <f>H6410</f>
        <v>1.67E-2</v>
      </c>
      <c r="G6423" s="112" t="e">
        <f>F6423*E6423</f>
        <v>#N/A</v>
      </c>
      <c r="H6423" s="107"/>
    </row>
    <row r="6424" spans="1:15">
      <c r="A6424" s="520" t="s">
        <v>4099</v>
      </c>
      <c r="B6424" s="521"/>
      <c r="C6424" s="521"/>
      <c r="D6424" s="521"/>
      <c r="E6424" s="521"/>
      <c r="F6424" s="521"/>
      <c r="G6424" s="521"/>
      <c r="H6424" s="87" t="e">
        <f>SUM(G6420:G6423)</f>
        <v>#VALUE!</v>
      </c>
    </row>
    <row r="6425" spans="1:15">
      <c r="A6425" s="550" t="s">
        <v>4219</v>
      </c>
      <c r="B6425" s="551"/>
      <c r="C6425" s="551"/>
      <c r="D6425" s="551"/>
      <c r="E6425" s="551"/>
      <c r="F6425" s="551"/>
      <c r="G6425" s="551"/>
      <c r="H6425" s="552"/>
      <c r="K6425" s="50"/>
      <c r="L6425" s="50"/>
      <c r="M6425" s="50"/>
      <c r="N6425" s="50"/>
      <c r="O6425" s="50"/>
    </row>
    <row r="6426" spans="1:15" ht="30" customHeight="1">
      <c r="A6426" s="553" t="s">
        <v>7</v>
      </c>
      <c r="B6426" s="554"/>
      <c r="C6426" s="99" t="s">
        <v>0</v>
      </c>
      <c r="D6426" s="100" t="s">
        <v>4097</v>
      </c>
      <c r="E6426" s="101" t="s">
        <v>1</v>
      </c>
      <c r="F6426" s="555" t="s">
        <v>4207</v>
      </c>
      <c r="G6426" s="555"/>
      <c r="H6426" s="196"/>
      <c r="K6426" s="50"/>
      <c r="L6426" s="50"/>
      <c r="M6426" s="50"/>
      <c r="N6426" s="50"/>
      <c r="O6426" s="50"/>
    </row>
    <row r="6427" spans="1:15">
      <c r="A6427" s="535" t="s">
        <v>4442</v>
      </c>
      <c r="B6427" s="536"/>
      <c r="C6427" s="88">
        <f>VLOOKUP(A6427,'Materiales '!$C$2:$G$396,3,0)</f>
        <v>2</v>
      </c>
      <c r="D6427" s="89" t="str">
        <f>VLOOKUP(A6427,'Materiales '!$C$2:$G$396,4,0)</f>
        <v>Ml</v>
      </c>
      <c r="E6427" s="90">
        <v>1</v>
      </c>
      <c r="F6427" s="508" t="e">
        <f>E6427*D6427</f>
        <v>#VALUE!</v>
      </c>
      <c r="G6427" s="519"/>
      <c r="H6427" s="111"/>
      <c r="I6427">
        <f>E6427*G6417</f>
        <v>0</v>
      </c>
      <c r="J6427" s="57"/>
      <c r="K6427" s="50"/>
      <c r="L6427" s="50"/>
      <c r="M6427" s="50"/>
      <c r="N6427" s="50"/>
      <c r="O6427" s="50"/>
    </row>
    <row r="6428" spans="1:15">
      <c r="A6428" s="535" t="s">
        <v>8</v>
      </c>
      <c r="B6428" s="536"/>
      <c r="C6428" s="88">
        <f>VLOOKUP(A6428,'Materiales '!$C$2:$G$396,3,0)</f>
        <v>0</v>
      </c>
      <c r="D6428" s="89" t="str">
        <f>VLOOKUP(A6428,'Materiales '!$C$2:$G$396,4,0)</f>
        <v>-</v>
      </c>
      <c r="E6428" s="90"/>
      <c r="F6428" s="508" t="e">
        <f t="shared" ref="F6428:F6434" si="376">E6428*D6428</f>
        <v>#VALUE!</v>
      </c>
      <c r="G6428" s="519"/>
      <c r="H6428" s="111"/>
      <c r="I6428">
        <f>E6428*G6417</f>
        <v>0</v>
      </c>
      <c r="J6428" s="57"/>
      <c r="K6428" s="50"/>
      <c r="L6428" s="50"/>
      <c r="M6428" s="50"/>
      <c r="N6428" s="50"/>
      <c r="O6428" s="50"/>
    </row>
    <row r="6429" spans="1:15">
      <c r="A6429" s="517" t="s">
        <v>8</v>
      </c>
      <c r="B6429" s="518">
        <f>VLOOKUP(A6429,'Materiales '!$C$2:$G$396,3,0)</f>
        <v>0</v>
      </c>
      <c r="C6429" s="88">
        <f>VLOOKUP(A6429,'Materiales '!$C$2:$G$396,3,0)</f>
        <v>0</v>
      </c>
      <c r="D6429" s="89" t="str">
        <f>VLOOKUP(A6429,'Materiales '!$C$2:$G$396,4,0)</f>
        <v>-</v>
      </c>
      <c r="E6429" s="90"/>
      <c r="F6429" s="508" t="e">
        <f t="shared" si="376"/>
        <v>#VALUE!</v>
      </c>
      <c r="G6429" s="519"/>
      <c r="H6429" s="111"/>
      <c r="I6429">
        <f>E6429*G6417</f>
        <v>0</v>
      </c>
      <c r="J6429" s="58"/>
      <c r="K6429" s="50"/>
      <c r="L6429" s="50"/>
      <c r="M6429" s="50"/>
      <c r="N6429" s="50"/>
      <c r="O6429" s="50"/>
    </row>
    <row r="6430" spans="1:15">
      <c r="A6430" s="517" t="s">
        <v>8</v>
      </c>
      <c r="B6430" s="518">
        <f>VLOOKUP(A6430,'Materiales '!$C$2:$G$396,3,0)</f>
        <v>0</v>
      </c>
      <c r="C6430" s="88">
        <f>VLOOKUP(A6430,'Materiales '!$C$2:$G$396,3,0)</f>
        <v>0</v>
      </c>
      <c r="D6430" s="89" t="str">
        <f>VLOOKUP(A6430,'Materiales '!$C$2:$G$396,4,0)</f>
        <v>-</v>
      </c>
      <c r="E6430" s="90"/>
      <c r="F6430" s="508" t="e">
        <f t="shared" si="376"/>
        <v>#VALUE!</v>
      </c>
      <c r="G6430" s="519"/>
      <c r="H6430" s="111"/>
      <c r="I6430">
        <f>E6430*G6417</f>
        <v>0</v>
      </c>
      <c r="J6430" s="58"/>
      <c r="K6430" s="50"/>
      <c r="L6430" s="50"/>
      <c r="M6430" s="50"/>
      <c r="N6430" s="50"/>
      <c r="O6430" s="50"/>
    </row>
    <row r="6431" spans="1:15">
      <c r="A6431" s="517" t="s">
        <v>8</v>
      </c>
      <c r="B6431" s="518">
        <f>VLOOKUP(A6431,'Materiales '!$C$2:$G$396,3,0)</f>
        <v>0</v>
      </c>
      <c r="C6431" s="88">
        <f>VLOOKUP(A6431,'Materiales '!$C$2:$G$396,3,0)</f>
        <v>0</v>
      </c>
      <c r="D6431" s="89" t="str">
        <f>VLOOKUP(A6431,'Materiales '!$C$2:$G$396,4,0)</f>
        <v>-</v>
      </c>
      <c r="E6431" s="90"/>
      <c r="F6431" s="508" t="e">
        <f t="shared" si="376"/>
        <v>#VALUE!</v>
      </c>
      <c r="G6431" s="519"/>
      <c r="H6431" s="111"/>
      <c r="I6431">
        <f>E6431*G6417</f>
        <v>0</v>
      </c>
      <c r="J6431" s="58"/>
      <c r="K6431" s="50"/>
      <c r="L6431" s="50"/>
      <c r="M6431" s="50"/>
      <c r="N6431" s="50"/>
      <c r="O6431" s="50"/>
    </row>
    <row r="6432" spans="1:15">
      <c r="A6432" s="517" t="s">
        <v>8</v>
      </c>
      <c r="B6432" s="518">
        <f>VLOOKUP(A6432,'Materiales '!$C$2:$G$396,3,0)</f>
        <v>0</v>
      </c>
      <c r="C6432" s="88">
        <f>VLOOKUP(A6432,'Materiales '!$C$2:$G$396,3,0)</f>
        <v>0</v>
      </c>
      <c r="D6432" s="89" t="str">
        <f>VLOOKUP(A6432,'Materiales '!$C$2:$G$396,4,0)</f>
        <v>-</v>
      </c>
      <c r="E6432" s="90"/>
      <c r="F6432" s="508" t="e">
        <f t="shared" si="376"/>
        <v>#VALUE!</v>
      </c>
      <c r="G6432" s="519"/>
      <c r="H6432" s="111"/>
      <c r="I6432">
        <f>E6432*G6417</f>
        <v>0</v>
      </c>
      <c r="J6432" s="58"/>
      <c r="K6432" s="50"/>
      <c r="L6432" s="50"/>
      <c r="M6432" s="50"/>
      <c r="N6432" s="50"/>
      <c r="O6432" s="50"/>
    </row>
    <row r="6433" spans="1:15">
      <c r="A6433" s="517" t="s">
        <v>8</v>
      </c>
      <c r="B6433" s="518">
        <f>VLOOKUP(A6433,'Materiales '!$C$2:$G$396,3,0)</f>
        <v>0</v>
      </c>
      <c r="C6433" s="88">
        <f>VLOOKUP(A6433,'Materiales '!$C$2:$G$396,3,0)</f>
        <v>0</v>
      </c>
      <c r="D6433" s="89" t="str">
        <f>VLOOKUP(A6433,'Materiales '!$C$2:$G$396,4,0)</f>
        <v>-</v>
      </c>
      <c r="E6433" s="90"/>
      <c r="F6433" s="508" t="e">
        <f t="shared" si="376"/>
        <v>#VALUE!</v>
      </c>
      <c r="G6433" s="519"/>
      <c r="H6433" s="111"/>
      <c r="I6433">
        <f>E6433*G6417</f>
        <v>0</v>
      </c>
      <c r="J6433" s="58"/>
      <c r="K6433" s="50"/>
      <c r="L6433" s="50"/>
      <c r="M6433" s="50"/>
      <c r="N6433" s="50"/>
      <c r="O6433" s="50"/>
    </row>
    <row r="6434" spans="1:15" ht="21.75" customHeight="1">
      <c r="A6434" s="517" t="s">
        <v>8</v>
      </c>
      <c r="B6434" s="518">
        <f>VLOOKUP(A6434,'Materiales '!$C$2:$G$396,3,0)</f>
        <v>0</v>
      </c>
      <c r="C6434" s="88">
        <f>VLOOKUP(A6434,'Materiales '!$C$2:$G$396,3,0)</f>
        <v>0</v>
      </c>
      <c r="D6434" s="89" t="str">
        <f>VLOOKUP(A6434,'Materiales '!$C$2:$G$396,4,0)</f>
        <v>-</v>
      </c>
      <c r="E6434" s="90"/>
      <c r="F6434" s="508" t="e">
        <f t="shared" si="376"/>
        <v>#VALUE!</v>
      </c>
      <c r="G6434" s="519"/>
      <c r="H6434" s="111"/>
      <c r="I6434">
        <f>E6434*G6417</f>
        <v>0</v>
      </c>
      <c r="J6434" s="58"/>
      <c r="K6434" s="50"/>
      <c r="L6434" s="50"/>
      <c r="M6434" s="50"/>
      <c r="N6434" s="50"/>
      <c r="O6434" s="50"/>
    </row>
    <row r="6435" spans="1:15">
      <c r="A6435" s="517" t="s">
        <v>8</v>
      </c>
      <c r="B6435" s="518">
        <f>VLOOKUP(A6435,'Materiales '!$C$2:$G$396,3,0)</f>
        <v>0</v>
      </c>
      <c r="C6435" s="88">
        <f>VLOOKUP(A6435,'Materiales '!$C$2:$G$396,3,0)</f>
        <v>0</v>
      </c>
      <c r="D6435" s="89" t="str">
        <f>VLOOKUP(A6435,'Materiales '!$C$2:$G$396,4,0)</f>
        <v>-</v>
      </c>
      <c r="E6435" s="90"/>
      <c r="F6435" s="508" t="e">
        <f>E6435*D6435</f>
        <v>#VALUE!</v>
      </c>
      <c r="G6435" s="519"/>
      <c r="H6435" s="110"/>
      <c r="I6435">
        <f>E6435*G6417</f>
        <v>0</v>
      </c>
      <c r="J6435" s="58"/>
      <c r="K6435" s="50"/>
      <c r="L6435" s="50"/>
      <c r="M6435" s="50"/>
      <c r="N6435" s="50"/>
      <c r="O6435" s="50"/>
    </row>
    <row r="6436" spans="1:15">
      <c r="A6436" s="517" t="s">
        <v>8</v>
      </c>
      <c r="B6436" s="518">
        <f>VLOOKUP(A6436,'Materiales '!$C$2:$G$396,3,0)</f>
        <v>0</v>
      </c>
      <c r="C6436" s="88">
        <f>VLOOKUP(A6436,'Materiales '!$C$2:$G$396,3,0)</f>
        <v>0</v>
      </c>
      <c r="D6436" s="89" t="str">
        <f>VLOOKUP(A6436,'Materiales '!$C$2:$G$396,4,0)</f>
        <v>-</v>
      </c>
      <c r="E6436" s="90"/>
      <c r="F6436" s="508" t="e">
        <f t="shared" ref="F6436:F6439" si="377">E6436*D6436</f>
        <v>#VALUE!</v>
      </c>
      <c r="G6436" s="519"/>
      <c r="H6436" s="111"/>
      <c r="I6436">
        <f>E6436*G6417</f>
        <v>0</v>
      </c>
      <c r="J6436" s="58"/>
      <c r="K6436" s="50"/>
      <c r="L6436" s="50"/>
      <c r="M6436" s="50"/>
      <c r="N6436" s="50"/>
      <c r="O6436" s="50"/>
    </row>
    <row r="6437" spans="1:15">
      <c r="A6437" s="517" t="s">
        <v>8</v>
      </c>
      <c r="B6437" s="518">
        <f>VLOOKUP(A6437,'Materiales '!$C$2:$G$396,3,0)</f>
        <v>0</v>
      </c>
      <c r="C6437" s="88">
        <f>VLOOKUP(A6437,'Materiales '!$C$2:$G$396,3,0)</f>
        <v>0</v>
      </c>
      <c r="D6437" s="89" t="str">
        <f>VLOOKUP(A6437,'Materiales '!$C$2:$G$396,4,0)</f>
        <v>-</v>
      </c>
      <c r="E6437" s="90"/>
      <c r="F6437" s="508" t="e">
        <f t="shared" si="377"/>
        <v>#VALUE!</v>
      </c>
      <c r="G6437" s="519"/>
      <c r="H6437" s="111"/>
      <c r="I6437">
        <f>E6437*G6417</f>
        <v>0</v>
      </c>
      <c r="J6437" s="58"/>
      <c r="K6437" s="50"/>
      <c r="L6437" s="50"/>
      <c r="M6437" s="50"/>
      <c r="N6437" s="50"/>
      <c r="O6437" s="50"/>
    </row>
    <row r="6438" spans="1:15">
      <c r="A6438" s="517" t="s">
        <v>8</v>
      </c>
      <c r="B6438" s="518">
        <f>VLOOKUP(A6438,'Materiales '!$C$2:$G$396,3,0)</f>
        <v>0</v>
      </c>
      <c r="C6438" s="88">
        <f>VLOOKUP(A6438,'Materiales '!$C$2:$G$396,3,0)</f>
        <v>0</v>
      </c>
      <c r="D6438" s="89" t="str">
        <f>VLOOKUP(A6438,'Materiales '!$C$2:$G$396,4,0)</f>
        <v>-</v>
      </c>
      <c r="E6438" s="90"/>
      <c r="F6438" s="508" t="e">
        <f t="shared" si="377"/>
        <v>#VALUE!</v>
      </c>
      <c r="G6438" s="519"/>
      <c r="H6438" s="111"/>
      <c r="I6438">
        <f>E6438*G6417</f>
        <v>0</v>
      </c>
      <c r="J6438" s="58"/>
      <c r="K6438" s="50"/>
      <c r="L6438" s="50"/>
      <c r="M6438" s="50"/>
      <c r="N6438" s="50"/>
      <c r="O6438" s="50"/>
    </row>
    <row r="6439" spans="1:15">
      <c r="A6439" s="517" t="s">
        <v>8</v>
      </c>
      <c r="B6439" s="518">
        <f>VLOOKUP(A6439,'Materiales '!$C$2:$G$396,3,0)</f>
        <v>0</v>
      </c>
      <c r="C6439" s="88">
        <f>VLOOKUP(A6439,'Materiales '!$C$2:$G$396,3,0)</f>
        <v>0</v>
      </c>
      <c r="D6439" s="89" t="str">
        <f>VLOOKUP(A6439,'Materiales '!$C$2:$G$396,4,0)</f>
        <v>-</v>
      </c>
      <c r="E6439" s="90"/>
      <c r="F6439" s="508" t="e">
        <f t="shared" si="377"/>
        <v>#VALUE!</v>
      </c>
      <c r="G6439" s="519"/>
      <c r="H6439" s="111"/>
      <c r="I6439">
        <f>E6439*G6417</f>
        <v>0</v>
      </c>
      <c r="J6439" s="58"/>
      <c r="K6439" s="50"/>
      <c r="L6439" s="50"/>
      <c r="M6439" s="50"/>
      <c r="N6439" s="50"/>
      <c r="O6439" s="50"/>
    </row>
    <row r="6440" spans="1:15">
      <c r="A6440" s="517" t="s">
        <v>8</v>
      </c>
      <c r="B6440" s="518">
        <f>VLOOKUP(A6440,'Materiales '!$C$2:$G$396,3,0)</f>
        <v>0</v>
      </c>
      <c r="C6440" s="88">
        <f>VLOOKUP(A6440,'Materiales '!$C$2:$G$396,3,0)</f>
        <v>0</v>
      </c>
      <c r="D6440" s="89" t="str">
        <f>VLOOKUP(A6440,'Materiales '!$C$2:$G$396,4,0)</f>
        <v>-</v>
      </c>
      <c r="E6440" s="90"/>
      <c r="F6440" s="508" t="e">
        <f>E6440*D6440</f>
        <v>#VALUE!</v>
      </c>
      <c r="G6440" s="519"/>
      <c r="H6440" s="110"/>
      <c r="I6440">
        <f>E6440*G6417</f>
        <v>0</v>
      </c>
      <c r="J6440" s="58"/>
      <c r="K6440" s="50"/>
      <c r="L6440" s="50"/>
      <c r="M6440" s="50"/>
      <c r="N6440" s="50"/>
      <c r="O6440" s="50"/>
    </row>
    <row r="6441" spans="1:15">
      <c r="A6441" s="520" t="s">
        <v>4098</v>
      </c>
      <c r="B6441" s="521"/>
      <c r="C6441" s="521"/>
      <c r="D6441" s="521"/>
      <c r="E6441" s="521"/>
      <c r="F6441" s="521"/>
      <c r="G6441" s="522"/>
      <c r="H6441" s="106" t="e">
        <f>SUM(F6427:F6440)</f>
        <v>#VALUE!</v>
      </c>
      <c r="J6441" s="58"/>
      <c r="K6441" s="50"/>
      <c r="L6441" s="50"/>
      <c r="M6441" s="50"/>
      <c r="N6441" s="50"/>
      <c r="O6441" s="50"/>
    </row>
    <row r="6442" spans="1:15">
      <c r="A6442" s="523" t="s">
        <v>4220</v>
      </c>
      <c r="B6442" s="524"/>
      <c r="C6442" s="524"/>
      <c r="D6442" s="524"/>
      <c r="E6442" s="525"/>
      <c r="F6442" s="524"/>
      <c r="G6442" s="524"/>
      <c r="H6442" s="526"/>
      <c r="J6442" s="58"/>
      <c r="K6442" s="50"/>
      <c r="L6442" s="50"/>
      <c r="M6442" s="50"/>
      <c r="N6442" s="50"/>
      <c r="O6442" s="50"/>
    </row>
    <row r="6443" spans="1:15">
      <c r="A6443" s="527" t="s">
        <v>7</v>
      </c>
      <c r="B6443" s="528"/>
      <c r="C6443" s="98" t="s">
        <v>4221</v>
      </c>
      <c r="D6443" s="97" t="s">
        <v>4222</v>
      </c>
      <c r="E6443" s="187" t="s">
        <v>4223</v>
      </c>
      <c r="F6443" s="529" t="s">
        <v>4207</v>
      </c>
      <c r="G6443" s="529"/>
      <c r="H6443" s="109"/>
      <c r="K6443" s="50"/>
      <c r="L6443" s="50"/>
      <c r="M6443" s="50"/>
      <c r="N6443" s="50"/>
      <c r="O6443" s="50"/>
    </row>
    <row r="6444" spans="1:15">
      <c r="A6444" s="506" t="s">
        <v>3928</v>
      </c>
      <c r="B6444" s="507"/>
      <c r="C6444" s="213">
        <v>1</v>
      </c>
      <c r="D6444" s="92">
        <v>5.0000000000000001E-3</v>
      </c>
      <c r="E6444" s="93" t="str">
        <f>VLOOKUP(A6444,'Equip, Herr y Transp'!$B$2:$E$217,3,0)</f>
        <v>TR</v>
      </c>
      <c r="F6444" s="530" t="e">
        <f>E6444*D6444*C6444</f>
        <v>#VALUE!</v>
      </c>
      <c r="G6444" s="531"/>
      <c r="H6444" s="107"/>
      <c r="M6444" s="50"/>
    </row>
    <row r="6445" spans="1:15">
      <c r="A6445" s="532" t="s">
        <v>4205</v>
      </c>
      <c r="B6445" s="533"/>
      <c r="C6445" s="533"/>
      <c r="D6445" s="533"/>
      <c r="E6445" s="533"/>
      <c r="F6445" s="533"/>
      <c r="G6445" s="533"/>
      <c r="H6445" s="95" t="e">
        <f>F6444</f>
        <v>#VALUE!</v>
      </c>
    </row>
    <row r="6446" spans="1:15">
      <c r="A6446" s="523" t="s">
        <v>4224</v>
      </c>
      <c r="B6446" s="524"/>
      <c r="C6446" s="524"/>
      <c r="D6446" s="524"/>
      <c r="E6446" s="524"/>
      <c r="F6446" s="524"/>
      <c r="G6446" s="524"/>
      <c r="H6446" s="526"/>
    </row>
    <row r="6447" spans="1:15">
      <c r="A6447" s="527" t="s">
        <v>7</v>
      </c>
      <c r="B6447" s="528"/>
      <c r="C6447" s="96" t="s">
        <v>1</v>
      </c>
      <c r="D6447" s="97" t="s">
        <v>4225</v>
      </c>
      <c r="E6447" s="98" t="s">
        <v>4204</v>
      </c>
      <c r="F6447" s="527" t="s">
        <v>5</v>
      </c>
      <c r="G6447" s="534"/>
      <c r="H6447" s="109"/>
    </row>
    <row r="6448" spans="1:15">
      <c r="A6448" s="506" t="s">
        <v>4191</v>
      </c>
      <c r="B6448" s="507"/>
      <c r="C6448" s="91">
        <v>1</v>
      </c>
      <c r="D6448" s="94">
        <f>VLOOKUP(A6448,'Mano Obra'!$B$2:$T$117,19,0)</f>
        <v>152456</v>
      </c>
      <c r="E6448" s="218">
        <f>H6410</f>
        <v>1.67E-2</v>
      </c>
      <c r="F6448" s="508">
        <f>E6448*D6448*C6448</f>
        <v>2546.0151999999998</v>
      </c>
      <c r="G6448" s="509"/>
      <c r="H6448" s="111"/>
      <c r="I6448" s="59"/>
      <c r="J6448" s="117">
        <f>((('Mano Obra'!$M$4/30)*F6448)/D6448)*G6417</f>
        <v>0</v>
      </c>
    </row>
    <row r="6449" spans="1:10">
      <c r="A6449" s="510" t="s">
        <v>4192</v>
      </c>
      <c r="B6449" s="511">
        <f>VLOOKUP(A6449,'Mano Obra'!$B$3:$D$290,2,0)</f>
        <v>1900000</v>
      </c>
      <c r="C6449" s="91">
        <v>1</v>
      </c>
      <c r="D6449" s="94">
        <f>VLOOKUP(A6449,'Mano Obra'!$B$2:$T$117,19,0)</f>
        <v>110488</v>
      </c>
      <c r="E6449" s="218">
        <f>H6410</f>
        <v>1.67E-2</v>
      </c>
      <c r="F6449" s="508">
        <f t="shared" ref="F6449:F6450" si="378">E6449*D6449*C6449</f>
        <v>1845.1496</v>
      </c>
      <c r="G6449" s="509"/>
      <c r="H6449" s="111"/>
      <c r="J6449" s="117">
        <f>((('Mano Obra'!$M$5/30)*F6449)/D6449)*G6417</f>
        <v>0</v>
      </c>
    </row>
    <row r="6450" spans="1:10">
      <c r="A6450" s="510" t="s">
        <v>4181</v>
      </c>
      <c r="B6450" s="511">
        <f>VLOOKUP(A6450,'Mano Obra'!$B$3:$D$290,2,0)</f>
        <v>1000000</v>
      </c>
      <c r="C6450" s="91">
        <v>1</v>
      </c>
      <c r="D6450" s="94">
        <f>VLOOKUP(A6450,'Mano Obra'!$B$2:$T$117,19,0)</f>
        <v>67424</v>
      </c>
      <c r="E6450" s="218">
        <f>H6410</f>
        <v>1.67E-2</v>
      </c>
      <c r="F6450" s="508">
        <f t="shared" si="378"/>
        <v>1125.9808</v>
      </c>
      <c r="G6450" s="509"/>
      <c r="H6450" s="110"/>
      <c r="J6450" s="117">
        <f>((('Mano Obra'!$M$6/30)*F6450)/D6450)*G6417</f>
        <v>0</v>
      </c>
    </row>
    <row r="6451" spans="1:10">
      <c r="A6451" s="512" t="s">
        <v>4100</v>
      </c>
      <c r="B6451" s="512"/>
      <c r="C6451" s="512"/>
      <c r="D6451" s="512"/>
      <c r="E6451" s="512"/>
      <c r="F6451" s="512"/>
      <c r="G6451" s="512"/>
      <c r="H6451" s="95">
        <f>SUM(F6448:F6450)</f>
        <v>5517.1455999999998</v>
      </c>
      <c r="J6451" s="117"/>
    </row>
    <row r="6452" spans="1:10">
      <c r="A6452" s="208" t="s">
        <v>4226</v>
      </c>
      <c r="B6452" s="186"/>
      <c r="C6452" s="186"/>
      <c r="D6452" s="183"/>
      <c r="E6452" s="184"/>
      <c r="F6452" s="185"/>
      <c r="G6452" s="184"/>
      <c r="H6452" s="193"/>
    </row>
    <row r="6453" spans="1:10">
      <c r="A6453" s="513" t="s">
        <v>4213</v>
      </c>
      <c r="B6453" s="514"/>
      <c r="C6453" s="514"/>
      <c r="D6453" s="514"/>
      <c r="E6453" s="181"/>
      <c r="F6453" s="182" t="s">
        <v>4227</v>
      </c>
      <c r="G6453" s="181" t="s">
        <v>4228</v>
      </c>
      <c r="H6453" s="194"/>
    </row>
    <row r="6454" spans="1:10">
      <c r="A6454" s="204" t="s">
        <v>4096</v>
      </c>
      <c r="B6454" s="62"/>
      <c r="C6454" s="62"/>
      <c r="D6454" s="63"/>
      <c r="E6454" s="68"/>
      <c r="F6454" s="69">
        <v>0</v>
      </c>
      <c r="G6454" s="70" t="e">
        <f>F6454*H6418</f>
        <v>#VALUE!</v>
      </c>
      <c r="H6454" s="193"/>
    </row>
    <row r="6455" spans="1:10">
      <c r="A6455" s="205" t="s">
        <v>4229</v>
      </c>
      <c r="B6455" s="71"/>
      <c r="C6455" s="71"/>
      <c r="D6455" s="72"/>
      <c r="E6455" s="68"/>
      <c r="F6455" s="69">
        <v>0</v>
      </c>
      <c r="G6455" s="70" t="e">
        <f>F6455*H6418</f>
        <v>#VALUE!</v>
      </c>
      <c r="H6455" s="193"/>
    </row>
    <row r="6456" spans="1:10">
      <c r="A6456" s="205" t="s">
        <v>4</v>
      </c>
      <c r="B6456" s="71"/>
      <c r="C6456" s="71"/>
      <c r="D6456" s="72"/>
      <c r="E6456" s="68"/>
      <c r="F6456" s="69">
        <v>0</v>
      </c>
      <c r="G6456" s="70" t="e">
        <f>F6456*H6418</f>
        <v>#VALUE!</v>
      </c>
      <c r="H6456" s="193"/>
    </row>
    <row r="6457" spans="1:10">
      <c r="A6457" s="206"/>
      <c r="B6457" s="73"/>
      <c r="C6457" s="65"/>
      <c r="D6457" s="74"/>
      <c r="E6457" s="75"/>
      <c r="F6457" s="76"/>
      <c r="G6457" s="77"/>
      <c r="H6457" s="195"/>
    </row>
    <row r="6458" spans="1:10">
      <c r="A6458" s="207"/>
      <c r="B6458" s="73"/>
      <c r="C6458" s="73"/>
      <c r="D6458" s="74"/>
      <c r="E6458" s="78"/>
      <c r="F6458" s="515" t="s">
        <v>4230</v>
      </c>
      <c r="G6458" s="516"/>
      <c r="H6458" s="214" t="e">
        <f>H6418+G6454+G6455+G6456</f>
        <v>#VALUE!</v>
      </c>
    </row>
    <row r="6459" spans="1:10">
      <c r="A6459" s="73"/>
      <c r="B6459" s="73"/>
      <c r="C6459" s="73"/>
      <c r="D6459" s="74"/>
      <c r="E6459" s="360"/>
      <c r="F6459" s="361"/>
      <c r="G6459" s="361"/>
      <c r="H6459" s="362"/>
    </row>
    <row r="6460" spans="1:10">
      <c r="A6460" s="80"/>
      <c r="B6460" s="80"/>
      <c r="C6460" s="80"/>
      <c r="D6460" s="80"/>
      <c r="E6460" s="80"/>
      <c r="F6460" s="80"/>
      <c r="G6460" s="80"/>
      <c r="H6460" s="353"/>
    </row>
    <row r="6461" spans="1:10">
      <c r="A6461" s="537" t="s">
        <v>4214</v>
      </c>
      <c r="B6461" s="538"/>
      <c r="C6461" s="538"/>
      <c r="D6461" s="538"/>
      <c r="E6461" s="538"/>
      <c r="F6461" s="538"/>
      <c r="G6461" s="538"/>
      <c r="H6461" s="539"/>
    </row>
    <row r="6462" spans="1:10">
      <c r="A6462" s="81"/>
      <c r="B6462" s="82"/>
      <c r="C6462" s="82"/>
      <c r="D6462" s="82"/>
      <c r="E6462" s="82"/>
      <c r="F6462" s="83"/>
      <c r="G6462" s="84"/>
      <c r="H6462" s="352">
        <f>ROUND((8/60)/8,4)</f>
        <v>1.67E-2</v>
      </c>
      <c r="I6462" s="105"/>
    </row>
    <row r="6463" spans="1:10">
      <c r="A6463" s="540" t="s">
        <v>4209</v>
      </c>
      <c r="B6463" s="542" t="str">
        <f>COSTOS!$C$14</f>
        <v>MODERNIZACION A TECNOLOGIA LED</v>
      </c>
      <c r="C6463" s="542"/>
      <c r="D6463" s="542"/>
      <c r="E6463" s="542"/>
      <c r="F6463" s="542"/>
      <c r="G6463" s="542"/>
      <c r="H6463" s="543" t="s">
        <v>4210</v>
      </c>
    </row>
    <row r="6464" spans="1:10">
      <c r="A6464" s="541"/>
      <c r="B6464" s="542"/>
      <c r="C6464" s="542"/>
      <c r="D6464" s="542"/>
      <c r="E6464" s="542"/>
      <c r="F6464" s="542"/>
      <c r="G6464" s="542"/>
      <c r="H6464" s="543"/>
    </row>
    <row r="6465" spans="1:15">
      <c r="A6465" s="541"/>
      <c r="B6465" s="542"/>
      <c r="C6465" s="542"/>
      <c r="D6465" s="542"/>
      <c r="E6465" s="542"/>
      <c r="F6465" s="542"/>
      <c r="G6465" s="542"/>
      <c r="H6465" s="543"/>
    </row>
    <row r="6466" spans="1:15" ht="15" customHeight="1">
      <c r="A6466" s="541"/>
      <c r="B6466" s="542"/>
      <c r="C6466" s="542"/>
      <c r="D6466" s="542"/>
      <c r="E6466" s="542"/>
      <c r="F6466" s="542"/>
      <c r="G6466" s="542"/>
      <c r="H6466" s="197">
        <f ca="1">TODAY()</f>
        <v>44889</v>
      </c>
      <c r="K6466" t="s">
        <v>4380</v>
      </c>
      <c r="L6466" t="s">
        <v>4381</v>
      </c>
      <c r="M6466" t="s">
        <v>4382</v>
      </c>
      <c r="N6466" t="s">
        <v>4383</v>
      </c>
    </row>
    <row r="6467" spans="1:15" ht="60.75" customHeight="1">
      <c r="A6467" s="209" t="s">
        <v>4211</v>
      </c>
      <c r="B6467" s="544" t="str">
        <f>COSTOS!$D$16</f>
        <v>Luminarias</v>
      </c>
      <c r="C6467" s="544"/>
      <c r="D6467" s="544"/>
      <c r="E6467" s="544"/>
      <c r="F6467" s="544"/>
      <c r="G6467" s="60" t="s">
        <v>4212</v>
      </c>
      <c r="H6467" s="363">
        <v>3.16</v>
      </c>
      <c r="K6467" s="55" t="e">
        <f>H6493</f>
        <v>#VALUE!</v>
      </c>
      <c r="L6467" s="55">
        <f>H6503</f>
        <v>5517.1455999999998</v>
      </c>
      <c r="M6467" s="55" t="e">
        <f>H6476</f>
        <v>#VALUE!</v>
      </c>
      <c r="N6467" s="55" t="e">
        <f>H6497</f>
        <v>#VALUE!</v>
      </c>
    </row>
    <row r="6468" spans="1:15" ht="43.2" customHeight="1">
      <c r="A6468" s="210" t="s">
        <v>4213</v>
      </c>
      <c r="B6468" s="545" t="str">
        <f>VLOOKUP(H6467,COSTOS!C:M,2,0)</f>
        <v>Red aerea en cable AAAC 123 kcmil x 500m</v>
      </c>
      <c r="C6468" s="546"/>
      <c r="D6468" s="546"/>
      <c r="E6468" s="547"/>
      <c r="F6468" s="61" t="s">
        <v>0</v>
      </c>
      <c r="G6468" s="328" t="str">
        <f>VLOOKUP(H6467,COSTOS!C:M,8,0)</f>
        <v>Und</v>
      </c>
      <c r="H6468" s="248"/>
      <c r="I6468" s="278"/>
      <c r="J6468" s="280"/>
      <c r="K6468" s="280"/>
      <c r="L6468" s="280"/>
    </row>
    <row r="6469" spans="1:15">
      <c r="A6469" s="211"/>
      <c r="B6469" s="102"/>
      <c r="C6469" s="102"/>
      <c r="D6469" s="102"/>
      <c r="E6469" s="103"/>
      <c r="F6469" s="104" t="s">
        <v>1</v>
      </c>
      <c r="G6469" s="328">
        <f>VLOOKUP(H6467,COSTOS!C:M,9,0)</f>
        <v>0</v>
      </c>
      <c r="H6469" s="329"/>
      <c r="I6469" s="279"/>
    </row>
    <row r="6470" spans="1:15">
      <c r="A6470" s="212" t="s">
        <v>4215</v>
      </c>
      <c r="B6470" s="65"/>
      <c r="C6470" s="65"/>
      <c r="D6470" s="66"/>
      <c r="E6470" s="190"/>
      <c r="F6470" s="191"/>
      <c r="G6470" s="192" t="s">
        <v>4216</v>
      </c>
      <c r="H6470" s="198" t="e">
        <f>H6476+H6493+H6497+H6503</f>
        <v>#VALUE!</v>
      </c>
    </row>
    <row r="6471" spans="1:15" ht="41.4">
      <c r="A6471" s="548" t="s">
        <v>4213</v>
      </c>
      <c r="B6471" s="548"/>
      <c r="C6471" s="548"/>
      <c r="D6471" s="67" t="s">
        <v>0</v>
      </c>
      <c r="E6471" s="188" t="s">
        <v>4217</v>
      </c>
      <c r="F6471" s="189" t="s">
        <v>4204</v>
      </c>
      <c r="G6471" s="64" t="s">
        <v>2</v>
      </c>
      <c r="H6471" s="199" t="s">
        <v>4218</v>
      </c>
      <c r="K6471" s="281"/>
    </row>
    <row r="6472" spans="1:15">
      <c r="A6472" s="517" t="s">
        <v>3946</v>
      </c>
      <c r="B6472" s="549">
        <f>VLOOKUP(A6472,'Equip, Herr y Transp'!$B$2:$E$738,2,0)</f>
        <v>2</v>
      </c>
      <c r="C6472" s="549"/>
      <c r="D6472" s="85">
        <f>VLOOKUP(A6472,'Equip, Herr y Transp'!$B$2:$E$217,2,0)</f>
        <v>2</v>
      </c>
      <c r="E6472" s="85" t="str">
        <f>VLOOKUP(A6472,'Equip, Herr y Transp'!$B$2:$E$217,3,0)</f>
        <v>EQU</v>
      </c>
      <c r="F6472" s="86">
        <f>H6462</f>
        <v>1.67E-2</v>
      </c>
      <c r="G6472" s="112" t="e">
        <f>F6472*E6472</f>
        <v>#VALUE!</v>
      </c>
      <c r="H6472" s="108"/>
    </row>
    <row r="6473" spans="1:15">
      <c r="A6473" s="517" t="s">
        <v>3895</v>
      </c>
      <c r="B6473" s="549">
        <f>VLOOKUP(A6473,'Equip, Herr y Transp'!$B$2:$E$738,2,0)</f>
        <v>4</v>
      </c>
      <c r="C6473" s="549"/>
      <c r="D6473" s="85">
        <f>VLOOKUP(A6473,'Equip, Herr y Transp'!$B$2:$E$217,2,0)</f>
        <v>4</v>
      </c>
      <c r="E6473" s="85" t="str">
        <f>VLOOKUP(A6473,'Equip, Herr y Transp'!$B$2:$E$217,3,0)</f>
        <v>TR</v>
      </c>
      <c r="F6473" s="86">
        <v>1E-3</v>
      </c>
      <c r="G6473" s="112" t="e">
        <f>F6473*E6473</f>
        <v>#VALUE!</v>
      </c>
      <c r="H6473" s="107"/>
    </row>
    <row r="6474" spans="1:15">
      <c r="A6474" s="517" t="s">
        <v>8</v>
      </c>
      <c r="B6474" s="549" t="e">
        <f>VLOOKUP(A6474,'Equip, Herr y Transp'!$B$2:$E$738,2,0)</f>
        <v>#N/A</v>
      </c>
      <c r="C6474" s="549"/>
      <c r="D6474" s="85" t="e">
        <f>VLOOKUP(A6474,'Equip, Herr y Transp'!$B$2:$E$217,2,0)</f>
        <v>#N/A</v>
      </c>
      <c r="E6474" s="85" t="e">
        <f>VLOOKUP(A6474,'Equip, Herr y Transp'!$B$2:$E$217,3,0)</f>
        <v>#N/A</v>
      </c>
      <c r="F6474" s="86">
        <f>H6462</f>
        <v>1.67E-2</v>
      </c>
      <c r="G6474" s="112" t="e">
        <f>F6474*E6474</f>
        <v>#N/A</v>
      </c>
      <c r="H6474" s="107"/>
    </row>
    <row r="6475" spans="1:15">
      <c r="A6475" s="517" t="s">
        <v>8</v>
      </c>
      <c r="B6475" s="549" t="e">
        <f>VLOOKUP(A6475,'Equip, Herr y Transp'!$B$2:$E$738,2,0)</f>
        <v>#N/A</v>
      </c>
      <c r="C6475" s="549"/>
      <c r="D6475" s="85" t="e">
        <f>VLOOKUP(A6475,'Equip, Herr y Transp'!$B$2:$E$217,2,0)</f>
        <v>#N/A</v>
      </c>
      <c r="E6475" s="85" t="e">
        <f>VLOOKUP(A6475,'Equip, Herr y Transp'!$B$2:$E$217,3,0)</f>
        <v>#N/A</v>
      </c>
      <c r="F6475" s="86">
        <f>H6462</f>
        <v>1.67E-2</v>
      </c>
      <c r="G6475" s="112" t="e">
        <f>F6475*E6475</f>
        <v>#N/A</v>
      </c>
      <c r="H6475" s="107"/>
    </row>
    <row r="6476" spans="1:15">
      <c r="A6476" s="520" t="s">
        <v>4099</v>
      </c>
      <c r="B6476" s="521"/>
      <c r="C6476" s="521"/>
      <c r="D6476" s="521"/>
      <c r="E6476" s="521"/>
      <c r="F6476" s="521"/>
      <c r="G6476" s="521"/>
      <c r="H6476" s="87" t="e">
        <f>SUM(G6472:G6475)</f>
        <v>#VALUE!</v>
      </c>
    </row>
    <row r="6477" spans="1:15">
      <c r="A6477" s="550" t="s">
        <v>4219</v>
      </c>
      <c r="B6477" s="551"/>
      <c r="C6477" s="551"/>
      <c r="D6477" s="551"/>
      <c r="E6477" s="551"/>
      <c r="F6477" s="551"/>
      <c r="G6477" s="551"/>
      <c r="H6477" s="552"/>
      <c r="K6477" s="50"/>
      <c r="L6477" s="50"/>
      <c r="M6477" s="50"/>
      <c r="N6477" s="50"/>
      <c r="O6477" s="50"/>
    </row>
    <row r="6478" spans="1:15" ht="30" customHeight="1">
      <c r="A6478" s="553" t="s">
        <v>7</v>
      </c>
      <c r="B6478" s="554"/>
      <c r="C6478" s="99" t="s">
        <v>0</v>
      </c>
      <c r="D6478" s="100" t="s">
        <v>4097</v>
      </c>
      <c r="E6478" s="101" t="s">
        <v>1</v>
      </c>
      <c r="F6478" s="555" t="s">
        <v>4207</v>
      </c>
      <c r="G6478" s="555"/>
      <c r="H6478" s="196"/>
      <c r="K6478" s="50"/>
      <c r="L6478" s="50"/>
      <c r="M6478" s="50"/>
      <c r="N6478" s="50"/>
      <c r="O6478" s="50"/>
    </row>
    <row r="6479" spans="1:15">
      <c r="A6479" s="535" t="s">
        <v>4431</v>
      </c>
      <c r="B6479" s="536"/>
      <c r="C6479" s="88">
        <f>VLOOKUP(A6479,'Materiales '!$C$2:$G$396,3,0)</f>
        <v>2</v>
      </c>
      <c r="D6479" s="89" t="str">
        <f>VLOOKUP(A6479,'Materiales '!$C$2:$G$396,4,0)</f>
        <v>Ml</v>
      </c>
      <c r="E6479" s="90">
        <v>1</v>
      </c>
      <c r="F6479" s="508" t="e">
        <f>E6479*D6479</f>
        <v>#VALUE!</v>
      </c>
      <c r="G6479" s="519"/>
      <c r="H6479" s="111"/>
      <c r="I6479">
        <f>E6479*G6469</f>
        <v>0</v>
      </c>
      <c r="J6479" s="57"/>
      <c r="K6479" s="50"/>
      <c r="L6479" s="50"/>
      <c r="M6479" s="50"/>
      <c r="N6479" s="50"/>
      <c r="O6479" s="50"/>
    </row>
    <row r="6480" spans="1:15">
      <c r="A6480" s="535" t="s">
        <v>8</v>
      </c>
      <c r="B6480" s="536"/>
      <c r="C6480" s="88">
        <f>VLOOKUP(A6480,'Materiales '!$C$2:$G$396,3,0)</f>
        <v>0</v>
      </c>
      <c r="D6480" s="89" t="str">
        <f>VLOOKUP(A6480,'Materiales '!$C$2:$G$396,4,0)</f>
        <v>-</v>
      </c>
      <c r="E6480" s="90"/>
      <c r="F6480" s="508" t="e">
        <f t="shared" ref="F6480:F6486" si="379">E6480*D6480</f>
        <v>#VALUE!</v>
      </c>
      <c r="G6480" s="519"/>
      <c r="H6480" s="111"/>
      <c r="I6480">
        <f>E6480*G6469</f>
        <v>0</v>
      </c>
      <c r="J6480" s="57"/>
      <c r="K6480" s="50"/>
      <c r="L6480" s="50"/>
      <c r="M6480" s="50"/>
      <c r="N6480" s="50"/>
      <c r="O6480" s="50"/>
    </row>
    <row r="6481" spans="1:15">
      <c r="A6481" s="517" t="s">
        <v>8</v>
      </c>
      <c r="B6481" s="518">
        <f>VLOOKUP(A6481,'Materiales '!$C$2:$G$396,3,0)</f>
        <v>0</v>
      </c>
      <c r="C6481" s="88">
        <f>VLOOKUP(A6481,'Materiales '!$C$2:$G$396,3,0)</f>
        <v>0</v>
      </c>
      <c r="D6481" s="89" t="str">
        <f>VLOOKUP(A6481,'Materiales '!$C$2:$G$396,4,0)</f>
        <v>-</v>
      </c>
      <c r="E6481" s="90"/>
      <c r="F6481" s="508" t="e">
        <f t="shared" si="379"/>
        <v>#VALUE!</v>
      </c>
      <c r="G6481" s="519"/>
      <c r="H6481" s="111"/>
      <c r="I6481">
        <f>E6481*G6469</f>
        <v>0</v>
      </c>
      <c r="J6481" s="58"/>
      <c r="K6481" s="50"/>
      <c r="L6481" s="50"/>
      <c r="M6481" s="50"/>
      <c r="N6481" s="50"/>
      <c r="O6481" s="50"/>
    </row>
    <row r="6482" spans="1:15">
      <c r="A6482" s="517" t="s">
        <v>8</v>
      </c>
      <c r="B6482" s="518">
        <f>VLOOKUP(A6482,'Materiales '!$C$2:$G$396,3,0)</f>
        <v>0</v>
      </c>
      <c r="C6482" s="88">
        <f>VLOOKUP(A6482,'Materiales '!$C$2:$G$396,3,0)</f>
        <v>0</v>
      </c>
      <c r="D6482" s="89" t="str">
        <f>VLOOKUP(A6482,'Materiales '!$C$2:$G$396,4,0)</f>
        <v>-</v>
      </c>
      <c r="E6482" s="90"/>
      <c r="F6482" s="508" t="e">
        <f t="shared" si="379"/>
        <v>#VALUE!</v>
      </c>
      <c r="G6482" s="519"/>
      <c r="H6482" s="111"/>
      <c r="I6482">
        <f>E6482*G6469</f>
        <v>0</v>
      </c>
      <c r="J6482" s="58"/>
      <c r="K6482" s="50"/>
      <c r="L6482" s="50"/>
      <c r="M6482" s="50"/>
      <c r="N6482" s="50"/>
      <c r="O6482" s="50"/>
    </row>
    <row r="6483" spans="1:15">
      <c r="A6483" s="517" t="s">
        <v>8</v>
      </c>
      <c r="B6483" s="518">
        <f>VLOOKUP(A6483,'Materiales '!$C$2:$G$396,3,0)</f>
        <v>0</v>
      </c>
      <c r="C6483" s="88">
        <f>VLOOKUP(A6483,'Materiales '!$C$2:$G$396,3,0)</f>
        <v>0</v>
      </c>
      <c r="D6483" s="89" t="str">
        <f>VLOOKUP(A6483,'Materiales '!$C$2:$G$396,4,0)</f>
        <v>-</v>
      </c>
      <c r="E6483" s="90"/>
      <c r="F6483" s="508" t="e">
        <f t="shared" si="379"/>
        <v>#VALUE!</v>
      </c>
      <c r="G6483" s="519"/>
      <c r="H6483" s="111"/>
      <c r="I6483">
        <f>E6483*G6469</f>
        <v>0</v>
      </c>
      <c r="J6483" s="58"/>
      <c r="K6483" s="50"/>
      <c r="L6483" s="50"/>
      <c r="M6483" s="50"/>
      <c r="N6483" s="50"/>
      <c r="O6483" s="50"/>
    </row>
    <row r="6484" spans="1:15">
      <c r="A6484" s="517" t="s">
        <v>8</v>
      </c>
      <c r="B6484" s="518">
        <f>VLOOKUP(A6484,'Materiales '!$C$2:$G$396,3,0)</f>
        <v>0</v>
      </c>
      <c r="C6484" s="88">
        <f>VLOOKUP(A6484,'Materiales '!$C$2:$G$396,3,0)</f>
        <v>0</v>
      </c>
      <c r="D6484" s="89" t="str">
        <f>VLOOKUP(A6484,'Materiales '!$C$2:$G$396,4,0)</f>
        <v>-</v>
      </c>
      <c r="E6484" s="90"/>
      <c r="F6484" s="508" t="e">
        <f t="shared" si="379"/>
        <v>#VALUE!</v>
      </c>
      <c r="G6484" s="519"/>
      <c r="H6484" s="111"/>
      <c r="I6484">
        <f>E6484*G6469</f>
        <v>0</v>
      </c>
      <c r="J6484" s="58"/>
      <c r="K6484" s="50"/>
      <c r="L6484" s="50"/>
      <c r="M6484" s="50"/>
      <c r="N6484" s="50"/>
      <c r="O6484" s="50"/>
    </row>
    <row r="6485" spans="1:15">
      <c r="A6485" s="517" t="s">
        <v>8</v>
      </c>
      <c r="B6485" s="518">
        <f>VLOOKUP(A6485,'Materiales '!$C$2:$G$396,3,0)</f>
        <v>0</v>
      </c>
      <c r="C6485" s="88">
        <f>VLOOKUP(A6485,'Materiales '!$C$2:$G$396,3,0)</f>
        <v>0</v>
      </c>
      <c r="D6485" s="89" t="str">
        <f>VLOOKUP(A6485,'Materiales '!$C$2:$G$396,4,0)</f>
        <v>-</v>
      </c>
      <c r="E6485" s="90"/>
      <c r="F6485" s="508" t="e">
        <f t="shared" si="379"/>
        <v>#VALUE!</v>
      </c>
      <c r="G6485" s="519"/>
      <c r="H6485" s="111"/>
      <c r="I6485">
        <f>E6485*G6469</f>
        <v>0</v>
      </c>
      <c r="J6485" s="58"/>
      <c r="K6485" s="50"/>
      <c r="L6485" s="50"/>
      <c r="M6485" s="50"/>
      <c r="N6485" s="50"/>
      <c r="O6485" s="50"/>
    </row>
    <row r="6486" spans="1:15" ht="21.75" customHeight="1">
      <c r="A6486" s="517" t="s">
        <v>8</v>
      </c>
      <c r="B6486" s="518">
        <f>VLOOKUP(A6486,'Materiales '!$C$2:$G$396,3,0)</f>
        <v>0</v>
      </c>
      <c r="C6486" s="88">
        <f>VLOOKUP(A6486,'Materiales '!$C$2:$G$396,3,0)</f>
        <v>0</v>
      </c>
      <c r="D6486" s="89" t="str">
        <f>VLOOKUP(A6486,'Materiales '!$C$2:$G$396,4,0)</f>
        <v>-</v>
      </c>
      <c r="E6486" s="90"/>
      <c r="F6486" s="508" t="e">
        <f t="shared" si="379"/>
        <v>#VALUE!</v>
      </c>
      <c r="G6486" s="519"/>
      <c r="H6486" s="111"/>
      <c r="I6486">
        <f>E6486*G6469</f>
        <v>0</v>
      </c>
      <c r="J6486" s="58"/>
      <c r="K6486" s="50"/>
      <c r="L6486" s="50"/>
      <c r="M6486" s="50"/>
      <c r="N6486" s="50"/>
      <c r="O6486" s="50"/>
    </row>
    <row r="6487" spans="1:15">
      <c r="A6487" s="517" t="s">
        <v>8</v>
      </c>
      <c r="B6487" s="518">
        <f>VLOOKUP(A6487,'Materiales '!$C$2:$G$396,3,0)</f>
        <v>0</v>
      </c>
      <c r="C6487" s="88">
        <f>VLOOKUP(A6487,'Materiales '!$C$2:$G$396,3,0)</f>
        <v>0</v>
      </c>
      <c r="D6487" s="89" t="str">
        <f>VLOOKUP(A6487,'Materiales '!$C$2:$G$396,4,0)</f>
        <v>-</v>
      </c>
      <c r="E6487" s="90"/>
      <c r="F6487" s="508" t="e">
        <f>E6487*D6487</f>
        <v>#VALUE!</v>
      </c>
      <c r="G6487" s="519"/>
      <c r="H6487" s="110"/>
      <c r="I6487">
        <f>E6487*G6469</f>
        <v>0</v>
      </c>
      <c r="J6487" s="58"/>
      <c r="K6487" s="50"/>
      <c r="L6487" s="50"/>
      <c r="M6487" s="50"/>
      <c r="N6487" s="50"/>
      <c r="O6487" s="50"/>
    </row>
    <row r="6488" spans="1:15">
      <c r="A6488" s="517" t="s">
        <v>8</v>
      </c>
      <c r="B6488" s="518">
        <f>VLOOKUP(A6488,'Materiales '!$C$2:$G$396,3,0)</f>
        <v>0</v>
      </c>
      <c r="C6488" s="88">
        <f>VLOOKUP(A6488,'Materiales '!$C$2:$G$396,3,0)</f>
        <v>0</v>
      </c>
      <c r="D6488" s="89" t="str">
        <f>VLOOKUP(A6488,'Materiales '!$C$2:$G$396,4,0)</f>
        <v>-</v>
      </c>
      <c r="E6488" s="90"/>
      <c r="F6488" s="508" t="e">
        <f t="shared" ref="F6488:F6491" si="380">E6488*D6488</f>
        <v>#VALUE!</v>
      </c>
      <c r="G6488" s="519"/>
      <c r="H6488" s="111"/>
      <c r="I6488">
        <f>E6488*G6469</f>
        <v>0</v>
      </c>
      <c r="J6488" s="58"/>
      <c r="K6488" s="50"/>
      <c r="L6488" s="50"/>
      <c r="M6488" s="50"/>
      <c r="N6488" s="50"/>
      <c r="O6488" s="50"/>
    </row>
    <row r="6489" spans="1:15">
      <c r="A6489" s="517" t="s">
        <v>8</v>
      </c>
      <c r="B6489" s="518">
        <f>VLOOKUP(A6489,'Materiales '!$C$2:$G$396,3,0)</f>
        <v>0</v>
      </c>
      <c r="C6489" s="88">
        <f>VLOOKUP(A6489,'Materiales '!$C$2:$G$396,3,0)</f>
        <v>0</v>
      </c>
      <c r="D6489" s="89" t="str">
        <f>VLOOKUP(A6489,'Materiales '!$C$2:$G$396,4,0)</f>
        <v>-</v>
      </c>
      <c r="E6489" s="90"/>
      <c r="F6489" s="508" t="e">
        <f t="shared" si="380"/>
        <v>#VALUE!</v>
      </c>
      <c r="G6489" s="519"/>
      <c r="H6489" s="111"/>
      <c r="I6489">
        <f>E6489*G6469</f>
        <v>0</v>
      </c>
      <c r="J6489" s="58"/>
      <c r="K6489" s="50"/>
      <c r="L6489" s="50"/>
      <c r="M6489" s="50"/>
      <c r="N6489" s="50"/>
      <c r="O6489" s="50"/>
    </row>
    <row r="6490" spans="1:15">
      <c r="A6490" s="517" t="s">
        <v>8</v>
      </c>
      <c r="B6490" s="518">
        <f>VLOOKUP(A6490,'Materiales '!$C$2:$G$396,3,0)</f>
        <v>0</v>
      </c>
      <c r="C6490" s="88">
        <f>VLOOKUP(A6490,'Materiales '!$C$2:$G$396,3,0)</f>
        <v>0</v>
      </c>
      <c r="D6490" s="89" t="str">
        <f>VLOOKUP(A6490,'Materiales '!$C$2:$G$396,4,0)</f>
        <v>-</v>
      </c>
      <c r="E6490" s="90"/>
      <c r="F6490" s="508" t="e">
        <f t="shared" si="380"/>
        <v>#VALUE!</v>
      </c>
      <c r="G6490" s="519"/>
      <c r="H6490" s="111"/>
      <c r="I6490">
        <f>E6490*G6469</f>
        <v>0</v>
      </c>
      <c r="J6490" s="58"/>
      <c r="K6490" s="50"/>
      <c r="L6490" s="50"/>
      <c r="M6490" s="50"/>
      <c r="N6490" s="50"/>
      <c r="O6490" s="50"/>
    </row>
    <row r="6491" spans="1:15">
      <c r="A6491" s="517" t="s">
        <v>8</v>
      </c>
      <c r="B6491" s="518">
        <f>VLOOKUP(A6491,'Materiales '!$C$2:$G$396,3,0)</f>
        <v>0</v>
      </c>
      <c r="C6491" s="88">
        <f>VLOOKUP(A6491,'Materiales '!$C$2:$G$396,3,0)</f>
        <v>0</v>
      </c>
      <c r="D6491" s="89" t="str">
        <f>VLOOKUP(A6491,'Materiales '!$C$2:$G$396,4,0)</f>
        <v>-</v>
      </c>
      <c r="E6491" s="90"/>
      <c r="F6491" s="508" t="e">
        <f t="shared" si="380"/>
        <v>#VALUE!</v>
      </c>
      <c r="G6491" s="519"/>
      <c r="H6491" s="111"/>
      <c r="I6491">
        <f>E6491*G6469</f>
        <v>0</v>
      </c>
      <c r="J6491" s="58"/>
      <c r="K6491" s="50"/>
      <c r="L6491" s="50"/>
      <c r="M6491" s="50"/>
      <c r="N6491" s="50"/>
      <c r="O6491" s="50"/>
    </row>
    <row r="6492" spans="1:15">
      <c r="A6492" s="517" t="s">
        <v>8</v>
      </c>
      <c r="B6492" s="518">
        <f>VLOOKUP(A6492,'Materiales '!$C$2:$G$396,3,0)</f>
        <v>0</v>
      </c>
      <c r="C6492" s="88">
        <f>VLOOKUP(A6492,'Materiales '!$C$2:$G$396,3,0)</f>
        <v>0</v>
      </c>
      <c r="D6492" s="89" t="str">
        <f>VLOOKUP(A6492,'Materiales '!$C$2:$G$396,4,0)</f>
        <v>-</v>
      </c>
      <c r="E6492" s="90"/>
      <c r="F6492" s="508" t="e">
        <f>E6492*D6492</f>
        <v>#VALUE!</v>
      </c>
      <c r="G6492" s="519"/>
      <c r="H6492" s="110"/>
      <c r="I6492">
        <f>E6492*G6469</f>
        <v>0</v>
      </c>
      <c r="J6492" s="58"/>
      <c r="K6492" s="50"/>
      <c r="L6492" s="50"/>
      <c r="M6492" s="50"/>
      <c r="N6492" s="50"/>
      <c r="O6492" s="50"/>
    </row>
    <row r="6493" spans="1:15">
      <c r="A6493" s="520" t="s">
        <v>4098</v>
      </c>
      <c r="B6493" s="521"/>
      <c r="C6493" s="521"/>
      <c r="D6493" s="521"/>
      <c r="E6493" s="521"/>
      <c r="F6493" s="521"/>
      <c r="G6493" s="522"/>
      <c r="H6493" s="106" t="e">
        <f>SUM(F6479:F6492)</f>
        <v>#VALUE!</v>
      </c>
      <c r="J6493" s="58"/>
      <c r="K6493" s="50"/>
      <c r="L6493" s="50"/>
      <c r="M6493" s="50"/>
      <c r="N6493" s="50"/>
      <c r="O6493" s="50"/>
    </row>
    <row r="6494" spans="1:15">
      <c r="A6494" s="523" t="s">
        <v>4220</v>
      </c>
      <c r="B6494" s="524"/>
      <c r="C6494" s="524"/>
      <c r="D6494" s="524"/>
      <c r="E6494" s="525"/>
      <c r="F6494" s="524"/>
      <c r="G6494" s="524"/>
      <c r="H6494" s="526"/>
      <c r="J6494" s="58"/>
      <c r="K6494" s="50"/>
      <c r="L6494" s="50"/>
      <c r="M6494" s="50"/>
      <c r="N6494" s="50"/>
      <c r="O6494" s="50"/>
    </row>
    <row r="6495" spans="1:15">
      <c r="A6495" s="527" t="s">
        <v>7</v>
      </c>
      <c r="B6495" s="528"/>
      <c r="C6495" s="98" t="s">
        <v>4221</v>
      </c>
      <c r="D6495" s="97" t="s">
        <v>4222</v>
      </c>
      <c r="E6495" s="187" t="s">
        <v>4223</v>
      </c>
      <c r="F6495" s="529" t="s">
        <v>4207</v>
      </c>
      <c r="G6495" s="529"/>
      <c r="H6495" s="109"/>
      <c r="K6495" s="50"/>
      <c r="L6495" s="50"/>
      <c r="M6495" s="50"/>
      <c r="N6495" s="50"/>
      <c r="O6495" s="50"/>
    </row>
    <row r="6496" spans="1:15">
      <c r="A6496" s="506" t="s">
        <v>3928</v>
      </c>
      <c r="B6496" s="507"/>
      <c r="C6496" s="213">
        <v>1</v>
      </c>
      <c r="D6496" s="92">
        <v>5.0000000000000001E-3</v>
      </c>
      <c r="E6496" s="93" t="str">
        <f>VLOOKUP(A6496,'Equip, Herr y Transp'!$B$2:$E$217,3,0)</f>
        <v>TR</v>
      </c>
      <c r="F6496" s="530" t="e">
        <f>E6496*D6496*C6496</f>
        <v>#VALUE!</v>
      </c>
      <c r="G6496" s="531"/>
      <c r="H6496" s="107"/>
      <c r="M6496" s="50"/>
    </row>
    <row r="6497" spans="1:10">
      <c r="A6497" s="532" t="s">
        <v>4205</v>
      </c>
      <c r="B6497" s="533"/>
      <c r="C6497" s="533"/>
      <c r="D6497" s="533"/>
      <c r="E6497" s="533"/>
      <c r="F6497" s="533"/>
      <c r="G6497" s="533"/>
      <c r="H6497" s="95" t="e">
        <f>F6496</f>
        <v>#VALUE!</v>
      </c>
    </row>
    <row r="6498" spans="1:10">
      <c r="A6498" s="523" t="s">
        <v>4224</v>
      </c>
      <c r="B6498" s="524"/>
      <c r="C6498" s="524"/>
      <c r="D6498" s="524"/>
      <c r="E6498" s="524"/>
      <c r="F6498" s="524"/>
      <c r="G6498" s="524"/>
      <c r="H6498" s="526"/>
    </row>
    <row r="6499" spans="1:10">
      <c r="A6499" s="527" t="s">
        <v>7</v>
      </c>
      <c r="B6499" s="528"/>
      <c r="C6499" s="96" t="s">
        <v>1</v>
      </c>
      <c r="D6499" s="97" t="s">
        <v>4225</v>
      </c>
      <c r="E6499" s="98" t="s">
        <v>4204</v>
      </c>
      <c r="F6499" s="527" t="s">
        <v>5</v>
      </c>
      <c r="G6499" s="534"/>
      <c r="H6499" s="109"/>
    </row>
    <row r="6500" spans="1:10">
      <c r="A6500" s="506" t="s">
        <v>4191</v>
      </c>
      <c r="B6500" s="507"/>
      <c r="C6500" s="91">
        <v>1</v>
      </c>
      <c r="D6500" s="94">
        <f>VLOOKUP(A6500,'Mano Obra'!$B$2:$T$117,19,0)</f>
        <v>152456</v>
      </c>
      <c r="E6500" s="218">
        <f>H6462</f>
        <v>1.67E-2</v>
      </c>
      <c r="F6500" s="508">
        <f>E6500*D6500*C6500</f>
        <v>2546.0151999999998</v>
      </c>
      <c r="G6500" s="509"/>
      <c r="H6500" s="111"/>
      <c r="I6500" s="59"/>
      <c r="J6500" s="117">
        <f>((('Mano Obra'!$M$4/30)*F6500)/D6500)*G6469</f>
        <v>0</v>
      </c>
    </row>
    <row r="6501" spans="1:10">
      <c r="A6501" s="510" t="s">
        <v>4192</v>
      </c>
      <c r="B6501" s="511">
        <f>VLOOKUP(A6501,'Mano Obra'!$B$3:$D$290,2,0)</f>
        <v>1900000</v>
      </c>
      <c r="C6501" s="91">
        <v>1</v>
      </c>
      <c r="D6501" s="94">
        <f>VLOOKUP(A6501,'Mano Obra'!$B$2:$T$117,19,0)</f>
        <v>110488</v>
      </c>
      <c r="E6501" s="218">
        <f>H6462</f>
        <v>1.67E-2</v>
      </c>
      <c r="F6501" s="508">
        <f t="shared" ref="F6501:F6502" si="381">E6501*D6501*C6501</f>
        <v>1845.1496</v>
      </c>
      <c r="G6501" s="509"/>
      <c r="H6501" s="111"/>
      <c r="J6501" s="117">
        <f>((('Mano Obra'!$M$5/30)*F6501)/D6501)*G6469</f>
        <v>0</v>
      </c>
    </row>
    <row r="6502" spans="1:10">
      <c r="A6502" s="510" t="s">
        <v>4181</v>
      </c>
      <c r="B6502" s="511">
        <f>VLOOKUP(A6502,'Mano Obra'!$B$3:$D$290,2,0)</f>
        <v>1000000</v>
      </c>
      <c r="C6502" s="91">
        <v>1</v>
      </c>
      <c r="D6502" s="94">
        <f>VLOOKUP(A6502,'Mano Obra'!$B$2:$T$117,19,0)</f>
        <v>67424</v>
      </c>
      <c r="E6502" s="218">
        <f>H6462</f>
        <v>1.67E-2</v>
      </c>
      <c r="F6502" s="508">
        <f t="shared" si="381"/>
        <v>1125.9808</v>
      </c>
      <c r="G6502" s="509"/>
      <c r="H6502" s="110"/>
      <c r="J6502" s="117">
        <f>((('Mano Obra'!$M$6/30)*F6502)/D6502)*G6469</f>
        <v>0</v>
      </c>
    </row>
    <row r="6503" spans="1:10">
      <c r="A6503" s="512" t="s">
        <v>4100</v>
      </c>
      <c r="B6503" s="512"/>
      <c r="C6503" s="512"/>
      <c r="D6503" s="512"/>
      <c r="E6503" s="512"/>
      <c r="F6503" s="512"/>
      <c r="G6503" s="512"/>
      <c r="H6503" s="95">
        <f>SUM(F6500:F6502)</f>
        <v>5517.1455999999998</v>
      </c>
      <c r="J6503" s="117"/>
    </row>
    <row r="6504" spans="1:10">
      <c r="A6504" s="208" t="s">
        <v>4226</v>
      </c>
      <c r="B6504" s="186"/>
      <c r="C6504" s="186"/>
      <c r="D6504" s="183"/>
      <c r="E6504" s="184"/>
      <c r="F6504" s="185"/>
      <c r="G6504" s="184"/>
      <c r="H6504" s="193"/>
    </row>
    <row r="6505" spans="1:10">
      <c r="A6505" s="513" t="s">
        <v>4213</v>
      </c>
      <c r="B6505" s="514"/>
      <c r="C6505" s="514"/>
      <c r="D6505" s="514"/>
      <c r="E6505" s="181"/>
      <c r="F6505" s="182" t="s">
        <v>4227</v>
      </c>
      <c r="G6505" s="181" t="s">
        <v>4228</v>
      </c>
      <c r="H6505" s="194"/>
    </row>
    <row r="6506" spans="1:10">
      <c r="A6506" s="204" t="s">
        <v>4096</v>
      </c>
      <c r="B6506" s="62"/>
      <c r="C6506" s="62"/>
      <c r="D6506" s="63"/>
      <c r="E6506" s="68"/>
      <c r="F6506" s="69">
        <v>0</v>
      </c>
      <c r="G6506" s="70" t="e">
        <f>F6506*H6470</f>
        <v>#VALUE!</v>
      </c>
      <c r="H6506" s="193"/>
    </row>
    <row r="6507" spans="1:10">
      <c r="A6507" s="205" t="s">
        <v>4229</v>
      </c>
      <c r="B6507" s="71"/>
      <c r="C6507" s="71"/>
      <c r="D6507" s="72"/>
      <c r="E6507" s="68"/>
      <c r="F6507" s="69">
        <v>0</v>
      </c>
      <c r="G6507" s="70" t="e">
        <f>F6507*H6470</f>
        <v>#VALUE!</v>
      </c>
      <c r="H6507" s="193"/>
    </row>
    <row r="6508" spans="1:10">
      <c r="A6508" s="205" t="s">
        <v>4</v>
      </c>
      <c r="B6508" s="71"/>
      <c r="C6508" s="71"/>
      <c r="D6508" s="72"/>
      <c r="E6508" s="68"/>
      <c r="F6508" s="69">
        <v>0</v>
      </c>
      <c r="G6508" s="70" t="e">
        <f>F6508*H6470</f>
        <v>#VALUE!</v>
      </c>
      <c r="H6508" s="193"/>
    </row>
    <row r="6509" spans="1:10">
      <c r="A6509" s="206"/>
      <c r="B6509" s="73"/>
      <c r="C6509" s="65"/>
      <c r="D6509" s="74"/>
      <c r="E6509" s="75"/>
      <c r="F6509" s="76"/>
      <c r="G6509" s="77"/>
      <c r="H6509" s="195"/>
    </row>
    <row r="6510" spans="1:10">
      <c r="A6510" s="207"/>
      <c r="B6510" s="73"/>
      <c r="C6510" s="73"/>
      <c r="D6510" s="74"/>
      <c r="E6510" s="78"/>
      <c r="F6510" s="515" t="s">
        <v>4230</v>
      </c>
      <c r="G6510" s="516"/>
      <c r="H6510" s="214" t="e">
        <f>H6470+G6506+G6507+G6508</f>
        <v>#VALUE!</v>
      </c>
    </row>
    <row r="6511" spans="1:10">
      <c r="A6511" s="73"/>
      <c r="B6511" s="73"/>
      <c r="C6511" s="73"/>
      <c r="D6511" s="74"/>
      <c r="E6511" s="360"/>
      <c r="F6511" s="361"/>
      <c r="G6511" s="361"/>
      <c r="H6511" s="362"/>
    </row>
    <row r="6512" spans="1:10">
      <c r="A6512" s="73"/>
      <c r="B6512" s="73"/>
      <c r="C6512" s="73"/>
      <c r="D6512" s="74"/>
      <c r="E6512" s="360"/>
      <c r="F6512" s="361"/>
      <c r="G6512" s="361"/>
      <c r="H6512" s="362"/>
    </row>
    <row r="6513" spans="1:14">
      <c r="A6513" s="537" t="s">
        <v>4214</v>
      </c>
      <c r="B6513" s="538"/>
      <c r="C6513" s="538"/>
      <c r="D6513" s="538"/>
      <c r="E6513" s="538"/>
      <c r="F6513" s="538"/>
      <c r="G6513" s="538"/>
      <c r="H6513" s="539"/>
    </row>
    <row r="6514" spans="1:14">
      <c r="A6514" s="81"/>
      <c r="B6514" s="82"/>
      <c r="C6514" s="82"/>
      <c r="D6514" s="82"/>
      <c r="E6514" s="82"/>
      <c r="F6514" s="83"/>
      <c r="G6514" s="84"/>
      <c r="H6514" s="352">
        <f>ROUND((3/60)/8,4)</f>
        <v>6.3E-3</v>
      </c>
      <c r="I6514" s="105"/>
    </row>
    <row r="6515" spans="1:14">
      <c r="A6515" s="540" t="s">
        <v>4209</v>
      </c>
      <c r="B6515" s="542" t="str">
        <f>COSTOS!$C$14</f>
        <v>MODERNIZACION A TECNOLOGIA LED</v>
      </c>
      <c r="C6515" s="542"/>
      <c r="D6515" s="542"/>
      <c r="E6515" s="542"/>
      <c r="F6515" s="542"/>
      <c r="G6515" s="542"/>
      <c r="H6515" s="543" t="s">
        <v>4210</v>
      </c>
    </row>
    <row r="6516" spans="1:14">
      <c r="A6516" s="541"/>
      <c r="B6516" s="542"/>
      <c r="C6516" s="542"/>
      <c r="D6516" s="542"/>
      <c r="E6516" s="542"/>
      <c r="F6516" s="542"/>
      <c r="G6516" s="542"/>
      <c r="H6516" s="543"/>
    </row>
    <row r="6517" spans="1:14">
      <c r="A6517" s="541"/>
      <c r="B6517" s="542"/>
      <c r="C6517" s="542"/>
      <c r="D6517" s="542"/>
      <c r="E6517" s="542"/>
      <c r="F6517" s="542"/>
      <c r="G6517" s="542"/>
      <c r="H6517" s="543"/>
    </row>
    <row r="6518" spans="1:14" ht="15" customHeight="1">
      <c r="A6518" s="541"/>
      <c r="B6518" s="542"/>
      <c r="C6518" s="542"/>
      <c r="D6518" s="542"/>
      <c r="E6518" s="542"/>
      <c r="F6518" s="542"/>
      <c r="G6518" s="542"/>
      <c r="H6518" s="197">
        <f ca="1">TODAY()</f>
        <v>44889</v>
      </c>
      <c r="K6518" t="s">
        <v>4380</v>
      </c>
      <c r="L6518" t="s">
        <v>4381</v>
      </c>
      <c r="M6518" t="s">
        <v>4382</v>
      </c>
      <c r="N6518" t="s">
        <v>4383</v>
      </c>
    </row>
    <row r="6519" spans="1:14" ht="60.75" customHeight="1">
      <c r="A6519" s="209" t="s">
        <v>4211</v>
      </c>
      <c r="B6519" s="544" t="str">
        <f>COSTOS!$D$16</f>
        <v>Luminarias</v>
      </c>
      <c r="C6519" s="544"/>
      <c r="D6519" s="544"/>
      <c r="E6519" s="544"/>
      <c r="F6519" s="544"/>
      <c r="G6519" s="60" t="s">
        <v>4212</v>
      </c>
      <c r="H6519" s="363">
        <v>3.17</v>
      </c>
      <c r="K6519" s="55" t="e">
        <f>H6545</f>
        <v>#VALUE!</v>
      </c>
      <c r="L6519" s="55">
        <f>H6555</f>
        <v>2081.3184000000001</v>
      </c>
      <c r="M6519" s="55" t="e">
        <f>H6528</f>
        <v>#VALUE!</v>
      </c>
      <c r="N6519" s="55" t="e">
        <f>H6549</f>
        <v>#VALUE!</v>
      </c>
    </row>
    <row r="6520" spans="1:14" ht="43.2" customHeight="1">
      <c r="A6520" s="210" t="s">
        <v>4213</v>
      </c>
      <c r="B6520" s="545" t="str">
        <f>VLOOKUP(H6519,COSTOS!C:M,2,0)</f>
        <v>Cable serie 8000 AL #4 x500m</v>
      </c>
      <c r="C6520" s="546"/>
      <c r="D6520" s="546"/>
      <c r="E6520" s="547"/>
      <c r="F6520" s="61" t="s">
        <v>0</v>
      </c>
      <c r="G6520" s="328" t="str">
        <f>VLOOKUP(H6519,COSTOS!C:M,8,0)</f>
        <v>Und</v>
      </c>
      <c r="H6520" s="248"/>
      <c r="I6520" s="278"/>
      <c r="J6520" s="280"/>
      <c r="K6520" s="280"/>
      <c r="L6520" s="280"/>
    </row>
    <row r="6521" spans="1:14">
      <c r="A6521" s="211"/>
      <c r="B6521" s="102"/>
      <c r="C6521" s="102"/>
      <c r="D6521" s="102"/>
      <c r="E6521" s="103"/>
      <c r="F6521" s="104" t="s">
        <v>1</v>
      </c>
      <c r="G6521" s="328">
        <f>VLOOKUP(H6519,COSTOS!C:M,9,0)</f>
        <v>0</v>
      </c>
      <c r="H6521" s="329"/>
      <c r="I6521" s="279"/>
    </row>
    <row r="6522" spans="1:14">
      <c r="A6522" s="212" t="s">
        <v>4215</v>
      </c>
      <c r="B6522" s="65"/>
      <c r="C6522" s="65"/>
      <c r="D6522" s="66"/>
      <c r="E6522" s="190"/>
      <c r="F6522" s="191"/>
      <c r="G6522" s="192" t="s">
        <v>4216</v>
      </c>
      <c r="H6522" s="198" t="e">
        <f>H6528+H6545+H6549+H6555</f>
        <v>#VALUE!</v>
      </c>
    </row>
    <row r="6523" spans="1:14" ht="41.4">
      <c r="A6523" s="548" t="s">
        <v>4213</v>
      </c>
      <c r="B6523" s="548"/>
      <c r="C6523" s="548"/>
      <c r="D6523" s="67" t="s">
        <v>0</v>
      </c>
      <c r="E6523" s="188" t="s">
        <v>4217</v>
      </c>
      <c r="F6523" s="189" t="s">
        <v>4204</v>
      </c>
      <c r="G6523" s="64" t="s">
        <v>2</v>
      </c>
      <c r="H6523" s="199" t="s">
        <v>4218</v>
      </c>
      <c r="K6523" s="281"/>
    </row>
    <row r="6524" spans="1:14">
      <c r="A6524" s="517" t="s">
        <v>3946</v>
      </c>
      <c r="B6524" s="549">
        <f>VLOOKUP(A6524,'Equip, Herr y Transp'!$B$2:$E$738,2,0)</f>
        <v>2</v>
      </c>
      <c r="C6524" s="549"/>
      <c r="D6524" s="85">
        <f>VLOOKUP(A6524,'Equip, Herr y Transp'!$B$2:$E$217,2,0)</f>
        <v>2</v>
      </c>
      <c r="E6524" s="85" t="str">
        <f>VLOOKUP(A6524,'Equip, Herr y Transp'!$B$2:$E$217,3,0)</f>
        <v>EQU</v>
      </c>
      <c r="F6524" s="86">
        <f>H6514</f>
        <v>6.3E-3</v>
      </c>
      <c r="G6524" s="112" t="e">
        <f>F6524*E6524</f>
        <v>#VALUE!</v>
      </c>
      <c r="H6524" s="108"/>
    </row>
    <row r="6525" spans="1:14">
      <c r="A6525" s="517" t="s">
        <v>8</v>
      </c>
      <c r="B6525" s="549" t="e">
        <f>VLOOKUP(A6525,'Equip, Herr y Transp'!$B$2:$E$738,2,0)</f>
        <v>#N/A</v>
      </c>
      <c r="C6525" s="549"/>
      <c r="D6525" s="85" t="e">
        <f>VLOOKUP(A6525,'Equip, Herr y Transp'!$B$2:$E$217,2,0)</f>
        <v>#N/A</v>
      </c>
      <c r="E6525" s="85" t="e">
        <f>VLOOKUP(A6525,'Equip, Herr y Transp'!$B$2:$E$217,3,0)</f>
        <v>#N/A</v>
      </c>
      <c r="F6525" s="86">
        <f>H6514</f>
        <v>6.3E-3</v>
      </c>
      <c r="G6525" s="112" t="e">
        <f>F6525*E6525</f>
        <v>#N/A</v>
      </c>
      <c r="H6525" s="107"/>
    </row>
    <row r="6526" spans="1:14">
      <c r="A6526" s="517" t="s">
        <v>8</v>
      </c>
      <c r="B6526" s="549" t="e">
        <f>VLOOKUP(A6526,'Equip, Herr y Transp'!$B$2:$E$738,2,0)</f>
        <v>#N/A</v>
      </c>
      <c r="C6526" s="549"/>
      <c r="D6526" s="85" t="e">
        <f>VLOOKUP(A6526,'Equip, Herr y Transp'!$B$2:$E$217,2,0)</f>
        <v>#N/A</v>
      </c>
      <c r="E6526" s="85" t="e">
        <f>VLOOKUP(A6526,'Equip, Herr y Transp'!$B$2:$E$217,3,0)</f>
        <v>#N/A</v>
      </c>
      <c r="F6526" s="86">
        <f>H6514</f>
        <v>6.3E-3</v>
      </c>
      <c r="G6526" s="112" t="e">
        <f>F6526*E6526</f>
        <v>#N/A</v>
      </c>
      <c r="H6526" s="107"/>
    </row>
    <row r="6527" spans="1:14">
      <c r="A6527" s="517" t="s">
        <v>8</v>
      </c>
      <c r="B6527" s="549" t="e">
        <f>VLOOKUP(A6527,'Equip, Herr y Transp'!$B$2:$E$738,2,0)</f>
        <v>#N/A</v>
      </c>
      <c r="C6527" s="549"/>
      <c r="D6527" s="85" t="e">
        <f>VLOOKUP(A6527,'Equip, Herr y Transp'!$B$2:$E$217,2,0)</f>
        <v>#N/A</v>
      </c>
      <c r="E6527" s="85" t="e">
        <f>VLOOKUP(A6527,'Equip, Herr y Transp'!$B$2:$E$217,3,0)</f>
        <v>#N/A</v>
      </c>
      <c r="F6527" s="86">
        <f>H6514</f>
        <v>6.3E-3</v>
      </c>
      <c r="G6527" s="112" t="e">
        <f>F6527*E6527</f>
        <v>#N/A</v>
      </c>
      <c r="H6527" s="107"/>
    </row>
    <row r="6528" spans="1:14">
      <c r="A6528" s="520" t="s">
        <v>4099</v>
      </c>
      <c r="B6528" s="521"/>
      <c r="C6528" s="521"/>
      <c r="D6528" s="521"/>
      <c r="E6528" s="521"/>
      <c r="F6528" s="521"/>
      <c r="G6528" s="521"/>
      <c r="H6528" s="87" t="e">
        <f>SUM(G6524:G6527)</f>
        <v>#VALUE!</v>
      </c>
    </row>
    <row r="6529" spans="1:15">
      <c r="A6529" s="550" t="s">
        <v>4219</v>
      </c>
      <c r="B6529" s="551"/>
      <c r="C6529" s="551"/>
      <c r="D6529" s="551"/>
      <c r="E6529" s="551"/>
      <c r="F6529" s="551"/>
      <c r="G6529" s="551"/>
      <c r="H6529" s="552"/>
      <c r="K6529" s="50"/>
      <c r="L6529" s="50"/>
      <c r="M6529" s="50"/>
      <c r="N6529" s="50"/>
      <c r="O6529" s="50"/>
    </row>
    <row r="6530" spans="1:15" ht="30" customHeight="1">
      <c r="A6530" s="553" t="s">
        <v>7</v>
      </c>
      <c r="B6530" s="554"/>
      <c r="C6530" s="99" t="s">
        <v>0</v>
      </c>
      <c r="D6530" s="100" t="s">
        <v>4097</v>
      </c>
      <c r="E6530" s="101" t="s">
        <v>1</v>
      </c>
      <c r="F6530" s="555" t="s">
        <v>4207</v>
      </c>
      <c r="G6530" s="555"/>
      <c r="H6530" s="196"/>
      <c r="K6530" s="50"/>
      <c r="L6530" s="50"/>
      <c r="M6530" s="50"/>
      <c r="N6530" s="50"/>
      <c r="O6530" s="50"/>
    </row>
    <row r="6531" spans="1:15">
      <c r="A6531" s="535" t="s">
        <v>4433</v>
      </c>
      <c r="B6531" s="536"/>
      <c r="C6531" s="88">
        <f>VLOOKUP(A6531,'Materiales '!$C$2:$G$396,3,0)</f>
        <v>2</v>
      </c>
      <c r="D6531" s="89" t="str">
        <f>VLOOKUP(A6531,'Materiales '!$C$2:$G$396,4,0)</f>
        <v>Ml</v>
      </c>
      <c r="E6531" s="90">
        <v>1</v>
      </c>
      <c r="F6531" s="508" t="e">
        <f>E6531*D6531</f>
        <v>#VALUE!</v>
      </c>
      <c r="G6531" s="519"/>
      <c r="H6531" s="111"/>
      <c r="I6531">
        <f>E6531*G6521</f>
        <v>0</v>
      </c>
      <c r="J6531" s="57"/>
      <c r="K6531" s="50"/>
      <c r="L6531" s="50"/>
      <c r="M6531" s="50"/>
      <c r="N6531" s="50"/>
      <c r="O6531" s="50"/>
    </row>
    <row r="6532" spans="1:15">
      <c r="A6532" s="535" t="s">
        <v>8</v>
      </c>
      <c r="B6532" s="536"/>
      <c r="C6532" s="88">
        <f>VLOOKUP(A6532,'Materiales '!$C$2:$G$396,3,0)</f>
        <v>0</v>
      </c>
      <c r="D6532" s="89" t="str">
        <f>VLOOKUP(A6532,'Materiales '!$C$2:$G$396,4,0)</f>
        <v>-</v>
      </c>
      <c r="E6532" s="90"/>
      <c r="F6532" s="508" t="e">
        <f t="shared" ref="F6532:F6538" si="382">E6532*D6532</f>
        <v>#VALUE!</v>
      </c>
      <c r="G6532" s="519"/>
      <c r="H6532" s="111"/>
      <c r="I6532">
        <f>E6532*G6521</f>
        <v>0</v>
      </c>
      <c r="J6532" s="57"/>
      <c r="K6532" s="50"/>
      <c r="L6532" s="50"/>
      <c r="M6532" s="50"/>
      <c r="N6532" s="50"/>
      <c r="O6532" s="50"/>
    </row>
    <row r="6533" spans="1:15">
      <c r="A6533" s="517" t="s">
        <v>8</v>
      </c>
      <c r="B6533" s="518">
        <f>VLOOKUP(A6533,'Materiales '!$C$2:$G$396,3,0)</f>
        <v>0</v>
      </c>
      <c r="C6533" s="88">
        <f>VLOOKUP(A6533,'Materiales '!$C$2:$G$396,3,0)</f>
        <v>0</v>
      </c>
      <c r="D6533" s="89" t="str">
        <f>VLOOKUP(A6533,'Materiales '!$C$2:$G$396,4,0)</f>
        <v>-</v>
      </c>
      <c r="E6533" s="90"/>
      <c r="F6533" s="508" t="e">
        <f t="shared" si="382"/>
        <v>#VALUE!</v>
      </c>
      <c r="G6533" s="519"/>
      <c r="H6533" s="111"/>
      <c r="I6533">
        <f>E6533*G6521</f>
        <v>0</v>
      </c>
      <c r="J6533" s="58"/>
      <c r="K6533" s="50"/>
      <c r="L6533" s="50"/>
      <c r="M6533" s="50"/>
      <c r="N6533" s="50"/>
      <c r="O6533" s="50"/>
    </row>
    <row r="6534" spans="1:15">
      <c r="A6534" s="517" t="s">
        <v>8</v>
      </c>
      <c r="B6534" s="518">
        <f>VLOOKUP(A6534,'Materiales '!$C$2:$G$396,3,0)</f>
        <v>0</v>
      </c>
      <c r="C6534" s="88">
        <f>VLOOKUP(A6534,'Materiales '!$C$2:$G$396,3,0)</f>
        <v>0</v>
      </c>
      <c r="D6534" s="89" t="str">
        <f>VLOOKUP(A6534,'Materiales '!$C$2:$G$396,4,0)</f>
        <v>-</v>
      </c>
      <c r="E6534" s="90"/>
      <c r="F6534" s="508" t="e">
        <f t="shared" si="382"/>
        <v>#VALUE!</v>
      </c>
      <c r="G6534" s="519"/>
      <c r="H6534" s="111"/>
      <c r="I6534">
        <f>E6534*G6521</f>
        <v>0</v>
      </c>
      <c r="J6534" s="58"/>
      <c r="K6534" s="50"/>
      <c r="L6534" s="50"/>
      <c r="M6534" s="50"/>
      <c r="N6534" s="50"/>
      <c r="O6534" s="50"/>
    </row>
    <row r="6535" spans="1:15">
      <c r="A6535" s="517" t="s">
        <v>8</v>
      </c>
      <c r="B6535" s="518">
        <f>VLOOKUP(A6535,'Materiales '!$C$2:$G$396,3,0)</f>
        <v>0</v>
      </c>
      <c r="C6535" s="88">
        <f>VLOOKUP(A6535,'Materiales '!$C$2:$G$396,3,0)</f>
        <v>0</v>
      </c>
      <c r="D6535" s="89" t="str">
        <f>VLOOKUP(A6535,'Materiales '!$C$2:$G$396,4,0)</f>
        <v>-</v>
      </c>
      <c r="E6535" s="90"/>
      <c r="F6535" s="508" t="e">
        <f t="shared" si="382"/>
        <v>#VALUE!</v>
      </c>
      <c r="G6535" s="519"/>
      <c r="H6535" s="111"/>
      <c r="I6535">
        <f>E6535*G6521</f>
        <v>0</v>
      </c>
      <c r="J6535" s="58"/>
      <c r="K6535" s="50"/>
      <c r="L6535" s="50"/>
      <c r="M6535" s="50"/>
      <c r="N6535" s="50"/>
      <c r="O6535" s="50"/>
    </row>
    <row r="6536" spans="1:15">
      <c r="A6536" s="517" t="s">
        <v>8</v>
      </c>
      <c r="B6536" s="518">
        <f>VLOOKUP(A6536,'Materiales '!$C$2:$G$396,3,0)</f>
        <v>0</v>
      </c>
      <c r="C6536" s="88">
        <f>VLOOKUP(A6536,'Materiales '!$C$2:$G$396,3,0)</f>
        <v>0</v>
      </c>
      <c r="D6536" s="89" t="str">
        <f>VLOOKUP(A6536,'Materiales '!$C$2:$G$396,4,0)</f>
        <v>-</v>
      </c>
      <c r="E6536" s="90"/>
      <c r="F6536" s="508" t="e">
        <f t="shared" si="382"/>
        <v>#VALUE!</v>
      </c>
      <c r="G6536" s="519"/>
      <c r="H6536" s="111"/>
      <c r="I6536">
        <f>E6536*G6521</f>
        <v>0</v>
      </c>
      <c r="J6536" s="58"/>
      <c r="K6536" s="50"/>
      <c r="L6536" s="50"/>
      <c r="M6536" s="50"/>
      <c r="N6536" s="50"/>
      <c r="O6536" s="50"/>
    </row>
    <row r="6537" spans="1:15">
      <c r="A6537" s="517" t="s">
        <v>8</v>
      </c>
      <c r="B6537" s="518">
        <f>VLOOKUP(A6537,'Materiales '!$C$2:$G$396,3,0)</f>
        <v>0</v>
      </c>
      <c r="C6537" s="88">
        <f>VLOOKUP(A6537,'Materiales '!$C$2:$G$396,3,0)</f>
        <v>0</v>
      </c>
      <c r="D6537" s="89" t="str">
        <f>VLOOKUP(A6537,'Materiales '!$C$2:$G$396,4,0)</f>
        <v>-</v>
      </c>
      <c r="E6537" s="90"/>
      <c r="F6537" s="508" t="e">
        <f t="shared" si="382"/>
        <v>#VALUE!</v>
      </c>
      <c r="G6537" s="519"/>
      <c r="H6537" s="111"/>
      <c r="I6537">
        <f>E6537*G6521</f>
        <v>0</v>
      </c>
      <c r="J6537" s="58"/>
      <c r="K6537" s="50"/>
      <c r="L6537" s="50"/>
      <c r="M6537" s="50"/>
      <c r="N6537" s="50"/>
      <c r="O6537" s="50"/>
    </row>
    <row r="6538" spans="1:15" ht="21.75" customHeight="1">
      <c r="A6538" s="517" t="s">
        <v>8</v>
      </c>
      <c r="B6538" s="518">
        <f>VLOOKUP(A6538,'Materiales '!$C$2:$G$396,3,0)</f>
        <v>0</v>
      </c>
      <c r="C6538" s="88">
        <f>VLOOKUP(A6538,'Materiales '!$C$2:$G$396,3,0)</f>
        <v>0</v>
      </c>
      <c r="D6538" s="89" t="str">
        <f>VLOOKUP(A6538,'Materiales '!$C$2:$G$396,4,0)</f>
        <v>-</v>
      </c>
      <c r="E6538" s="90"/>
      <c r="F6538" s="508" t="e">
        <f t="shared" si="382"/>
        <v>#VALUE!</v>
      </c>
      <c r="G6538" s="519"/>
      <c r="H6538" s="111"/>
      <c r="I6538">
        <f>E6538*G6521</f>
        <v>0</v>
      </c>
      <c r="J6538" s="58"/>
      <c r="K6538" s="50"/>
      <c r="L6538" s="50"/>
      <c r="M6538" s="50"/>
      <c r="N6538" s="50"/>
      <c r="O6538" s="50"/>
    </row>
    <row r="6539" spans="1:15">
      <c r="A6539" s="517" t="s">
        <v>8</v>
      </c>
      <c r="B6539" s="518">
        <f>VLOOKUP(A6539,'Materiales '!$C$2:$G$396,3,0)</f>
        <v>0</v>
      </c>
      <c r="C6539" s="88">
        <f>VLOOKUP(A6539,'Materiales '!$C$2:$G$396,3,0)</f>
        <v>0</v>
      </c>
      <c r="D6539" s="89" t="str">
        <f>VLOOKUP(A6539,'Materiales '!$C$2:$G$396,4,0)</f>
        <v>-</v>
      </c>
      <c r="E6539" s="90"/>
      <c r="F6539" s="508" t="e">
        <f>E6539*D6539</f>
        <v>#VALUE!</v>
      </c>
      <c r="G6539" s="519"/>
      <c r="H6539" s="110"/>
      <c r="I6539">
        <f>E6539*G6521</f>
        <v>0</v>
      </c>
      <c r="J6539" s="58"/>
      <c r="K6539" s="50"/>
      <c r="L6539" s="50"/>
      <c r="M6539" s="50"/>
      <c r="N6539" s="50"/>
      <c r="O6539" s="50"/>
    </row>
    <row r="6540" spans="1:15">
      <c r="A6540" s="517" t="s">
        <v>8</v>
      </c>
      <c r="B6540" s="518">
        <f>VLOOKUP(A6540,'Materiales '!$C$2:$G$396,3,0)</f>
        <v>0</v>
      </c>
      <c r="C6540" s="88">
        <f>VLOOKUP(A6540,'Materiales '!$C$2:$G$396,3,0)</f>
        <v>0</v>
      </c>
      <c r="D6540" s="89" t="str">
        <f>VLOOKUP(A6540,'Materiales '!$C$2:$G$396,4,0)</f>
        <v>-</v>
      </c>
      <c r="E6540" s="90"/>
      <c r="F6540" s="508" t="e">
        <f t="shared" ref="F6540:F6543" si="383">E6540*D6540</f>
        <v>#VALUE!</v>
      </c>
      <c r="G6540" s="519"/>
      <c r="H6540" s="111"/>
      <c r="I6540">
        <f>E6540*G6521</f>
        <v>0</v>
      </c>
      <c r="J6540" s="58"/>
      <c r="K6540" s="50"/>
      <c r="L6540" s="50"/>
      <c r="M6540" s="50"/>
      <c r="N6540" s="50"/>
      <c r="O6540" s="50"/>
    </row>
    <row r="6541" spans="1:15">
      <c r="A6541" s="517" t="s">
        <v>8</v>
      </c>
      <c r="B6541" s="518">
        <f>VLOOKUP(A6541,'Materiales '!$C$2:$G$396,3,0)</f>
        <v>0</v>
      </c>
      <c r="C6541" s="88">
        <f>VLOOKUP(A6541,'Materiales '!$C$2:$G$396,3,0)</f>
        <v>0</v>
      </c>
      <c r="D6541" s="89" t="str">
        <f>VLOOKUP(A6541,'Materiales '!$C$2:$G$396,4,0)</f>
        <v>-</v>
      </c>
      <c r="E6541" s="90"/>
      <c r="F6541" s="508" t="e">
        <f t="shared" si="383"/>
        <v>#VALUE!</v>
      </c>
      <c r="G6541" s="519"/>
      <c r="H6541" s="111"/>
      <c r="I6541">
        <f>E6541*G6521</f>
        <v>0</v>
      </c>
      <c r="J6541" s="58"/>
      <c r="K6541" s="50"/>
      <c r="L6541" s="50"/>
      <c r="M6541" s="50"/>
      <c r="N6541" s="50"/>
      <c r="O6541" s="50"/>
    </row>
    <row r="6542" spans="1:15">
      <c r="A6542" s="517" t="s">
        <v>8</v>
      </c>
      <c r="B6542" s="518">
        <f>VLOOKUP(A6542,'Materiales '!$C$2:$G$396,3,0)</f>
        <v>0</v>
      </c>
      <c r="C6542" s="88">
        <f>VLOOKUP(A6542,'Materiales '!$C$2:$G$396,3,0)</f>
        <v>0</v>
      </c>
      <c r="D6542" s="89" t="str">
        <f>VLOOKUP(A6542,'Materiales '!$C$2:$G$396,4,0)</f>
        <v>-</v>
      </c>
      <c r="E6542" s="90"/>
      <c r="F6542" s="508" t="e">
        <f t="shared" si="383"/>
        <v>#VALUE!</v>
      </c>
      <c r="G6542" s="519"/>
      <c r="H6542" s="111"/>
      <c r="I6542">
        <f>E6542*G6521</f>
        <v>0</v>
      </c>
      <c r="J6542" s="58"/>
      <c r="K6542" s="50"/>
      <c r="L6542" s="50"/>
      <c r="M6542" s="50"/>
      <c r="N6542" s="50"/>
      <c r="O6542" s="50"/>
    </row>
    <row r="6543" spans="1:15">
      <c r="A6543" s="517" t="s">
        <v>8</v>
      </c>
      <c r="B6543" s="518">
        <f>VLOOKUP(A6543,'Materiales '!$C$2:$G$396,3,0)</f>
        <v>0</v>
      </c>
      <c r="C6543" s="88">
        <f>VLOOKUP(A6543,'Materiales '!$C$2:$G$396,3,0)</f>
        <v>0</v>
      </c>
      <c r="D6543" s="89" t="str">
        <f>VLOOKUP(A6543,'Materiales '!$C$2:$G$396,4,0)</f>
        <v>-</v>
      </c>
      <c r="E6543" s="90"/>
      <c r="F6543" s="508" t="e">
        <f t="shared" si="383"/>
        <v>#VALUE!</v>
      </c>
      <c r="G6543" s="519"/>
      <c r="H6543" s="111"/>
      <c r="I6543">
        <f>E6543*G6521</f>
        <v>0</v>
      </c>
      <c r="J6543" s="58"/>
      <c r="K6543" s="50"/>
      <c r="L6543" s="50"/>
      <c r="M6543" s="50"/>
      <c r="N6543" s="50"/>
      <c r="O6543" s="50"/>
    </row>
    <row r="6544" spans="1:15">
      <c r="A6544" s="517" t="s">
        <v>8</v>
      </c>
      <c r="B6544" s="518">
        <f>VLOOKUP(A6544,'Materiales '!$C$2:$G$396,3,0)</f>
        <v>0</v>
      </c>
      <c r="C6544" s="88">
        <f>VLOOKUP(A6544,'Materiales '!$C$2:$G$396,3,0)</f>
        <v>0</v>
      </c>
      <c r="D6544" s="89" t="str">
        <f>VLOOKUP(A6544,'Materiales '!$C$2:$G$396,4,0)</f>
        <v>-</v>
      </c>
      <c r="E6544" s="90"/>
      <c r="F6544" s="508" t="e">
        <f>E6544*D6544</f>
        <v>#VALUE!</v>
      </c>
      <c r="G6544" s="519"/>
      <c r="H6544" s="110"/>
      <c r="I6544">
        <f>E6544*G6521</f>
        <v>0</v>
      </c>
      <c r="J6544" s="58"/>
      <c r="K6544" s="50"/>
      <c r="L6544" s="50"/>
      <c r="M6544" s="50"/>
      <c r="N6544" s="50"/>
      <c r="O6544" s="50"/>
    </row>
    <row r="6545" spans="1:15">
      <c r="A6545" s="520" t="s">
        <v>4098</v>
      </c>
      <c r="B6545" s="521"/>
      <c r="C6545" s="521"/>
      <c r="D6545" s="521"/>
      <c r="E6545" s="521"/>
      <c r="F6545" s="521"/>
      <c r="G6545" s="522"/>
      <c r="H6545" s="106" t="e">
        <f>SUM(F6531:F6544)</f>
        <v>#VALUE!</v>
      </c>
      <c r="J6545" s="58"/>
      <c r="K6545" s="50"/>
      <c r="L6545" s="50"/>
      <c r="M6545" s="50"/>
      <c r="N6545" s="50"/>
      <c r="O6545" s="50"/>
    </row>
    <row r="6546" spans="1:15">
      <c r="A6546" s="523" t="s">
        <v>4220</v>
      </c>
      <c r="B6546" s="524"/>
      <c r="C6546" s="524"/>
      <c r="D6546" s="524"/>
      <c r="E6546" s="525"/>
      <c r="F6546" s="524"/>
      <c r="G6546" s="524"/>
      <c r="H6546" s="526"/>
      <c r="J6546" s="58"/>
      <c r="K6546" s="50"/>
      <c r="L6546" s="50"/>
      <c r="M6546" s="50"/>
      <c r="N6546" s="50"/>
      <c r="O6546" s="50"/>
    </row>
    <row r="6547" spans="1:15">
      <c r="A6547" s="527" t="s">
        <v>7</v>
      </c>
      <c r="B6547" s="528"/>
      <c r="C6547" s="98" t="s">
        <v>4221</v>
      </c>
      <c r="D6547" s="97" t="s">
        <v>4222</v>
      </c>
      <c r="E6547" s="187" t="s">
        <v>4223</v>
      </c>
      <c r="F6547" s="529" t="s">
        <v>4207</v>
      </c>
      <c r="G6547" s="529"/>
      <c r="H6547" s="109"/>
      <c r="K6547" s="50"/>
      <c r="L6547" s="50"/>
      <c r="M6547" s="50"/>
      <c r="N6547" s="50"/>
      <c r="O6547" s="50"/>
    </row>
    <row r="6548" spans="1:15">
      <c r="A6548" s="506" t="s">
        <v>3928</v>
      </c>
      <c r="B6548" s="507"/>
      <c r="C6548" s="213">
        <v>1</v>
      </c>
      <c r="D6548" s="92">
        <v>3.0000000000000001E-3</v>
      </c>
      <c r="E6548" s="93" t="str">
        <f>VLOOKUP(A6548,'Equip, Herr y Transp'!$B$2:$E$217,3,0)</f>
        <v>TR</v>
      </c>
      <c r="F6548" s="530" t="e">
        <f>E6548*D6548*C6548</f>
        <v>#VALUE!</v>
      </c>
      <c r="G6548" s="531"/>
      <c r="H6548" s="107"/>
      <c r="M6548" s="50"/>
    </row>
    <row r="6549" spans="1:15">
      <c r="A6549" s="532" t="s">
        <v>4205</v>
      </c>
      <c r="B6549" s="533"/>
      <c r="C6549" s="533"/>
      <c r="D6549" s="533"/>
      <c r="E6549" s="533"/>
      <c r="F6549" s="533"/>
      <c r="G6549" s="533"/>
      <c r="H6549" s="95" t="e">
        <f>F6548</f>
        <v>#VALUE!</v>
      </c>
    </row>
    <row r="6550" spans="1:15">
      <c r="A6550" s="523" t="s">
        <v>4224</v>
      </c>
      <c r="B6550" s="524"/>
      <c r="C6550" s="524"/>
      <c r="D6550" s="524"/>
      <c r="E6550" s="524"/>
      <c r="F6550" s="524"/>
      <c r="G6550" s="524"/>
      <c r="H6550" s="526"/>
    </row>
    <row r="6551" spans="1:15">
      <c r="A6551" s="527" t="s">
        <v>7</v>
      </c>
      <c r="B6551" s="528"/>
      <c r="C6551" s="96" t="s">
        <v>1</v>
      </c>
      <c r="D6551" s="97" t="s">
        <v>4225</v>
      </c>
      <c r="E6551" s="98" t="s">
        <v>4204</v>
      </c>
      <c r="F6551" s="527" t="s">
        <v>5</v>
      </c>
      <c r="G6551" s="534"/>
      <c r="H6551" s="109"/>
    </row>
    <row r="6552" spans="1:15">
      <c r="A6552" s="506" t="s">
        <v>4191</v>
      </c>
      <c r="B6552" s="507"/>
      <c r="C6552" s="91">
        <v>1</v>
      </c>
      <c r="D6552" s="94">
        <f>VLOOKUP(A6552,'Mano Obra'!$B$2:$T$117,19,0)</f>
        <v>152456</v>
      </c>
      <c r="E6552" s="218">
        <f>H6514</f>
        <v>6.3E-3</v>
      </c>
      <c r="F6552" s="508">
        <f>E6552*D6552*C6552</f>
        <v>960.47280000000001</v>
      </c>
      <c r="G6552" s="509"/>
      <c r="H6552" s="111"/>
      <c r="I6552" s="59"/>
      <c r="J6552" s="117">
        <f>((('Mano Obra'!$M$4/30)*F6552)/D6552)*G6521</f>
        <v>0</v>
      </c>
    </row>
    <row r="6553" spans="1:15">
      <c r="A6553" s="510" t="s">
        <v>4192</v>
      </c>
      <c r="B6553" s="511">
        <f>VLOOKUP(A6553,'Mano Obra'!$B$3:$D$290,2,0)</f>
        <v>1900000</v>
      </c>
      <c r="C6553" s="91">
        <v>1</v>
      </c>
      <c r="D6553" s="94">
        <f>VLOOKUP(A6553,'Mano Obra'!$B$2:$T$117,19,0)</f>
        <v>110488</v>
      </c>
      <c r="E6553" s="218">
        <f>H6514</f>
        <v>6.3E-3</v>
      </c>
      <c r="F6553" s="508">
        <f t="shared" ref="F6553:F6554" si="384">E6553*D6553*C6553</f>
        <v>696.07439999999997</v>
      </c>
      <c r="G6553" s="509"/>
      <c r="H6553" s="111"/>
      <c r="J6553" s="117">
        <f>((('Mano Obra'!$M$5/30)*F6553)/D6553)*G6521</f>
        <v>0</v>
      </c>
    </row>
    <row r="6554" spans="1:15">
      <c r="A6554" s="510" t="s">
        <v>4181</v>
      </c>
      <c r="B6554" s="511">
        <f>VLOOKUP(A6554,'Mano Obra'!$B$3:$D$290,2,0)</f>
        <v>1000000</v>
      </c>
      <c r="C6554" s="91">
        <v>1</v>
      </c>
      <c r="D6554" s="94">
        <f>VLOOKUP(A6554,'Mano Obra'!$B$2:$T$117,19,0)</f>
        <v>67424</v>
      </c>
      <c r="E6554" s="218">
        <f>H6514</f>
        <v>6.3E-3</v>
      </c>
      <c r="F6554" s="508">
        <f t="shared" si="384"/>
        <v>424.77120000000002</v>
      </c>
      <c r="G6554" s="509"/>
      <c r="H6554" s="110"/>
      <c r="J6554" s="117">
        <f>((('Mano Obra'!$M$6/30)*F6554)/D6554)*G6521</f>
        <v>0</v>
      </c>
    </row>
    <row r="6555" spans="1:15">
      <c r="A6555" s="512" t="s">
        <v>4100</v>
      </c>
      <c r="B6555" s="512"/>
      <c r="C6555" s="512"/>
      <c r="D6555" s="512"/>
      <c r="E6555" s="512"/>
      <c r="F6555" s="512"/>
      <c r="G6555" s="512"/>
      <c r="H6555" s="95">
        <f>SUM(F6552:F6554)</f>
        <v>2081.3184000000001</v>
      </c>
      <c r="J6555" s="117"/>
    </row>
    <row r="6556" spans="1:15">
      <c r="A6556" s="208" t="s">
        <v>4226</v>
      </c>
      <c r="B6556" s="186"/>
      <c r="C6556" s="186"/>
      <c r="D6556" s="183"/>
      <c r="E6556" s="184"/>
      <c r="F6556" s="185"/>
      <c r="G6556" s="184"/>
      <c r="H6556" s="193"/>
    </row>
    <row r="6557" spans="1:15">
      <c r="A6557" s="513" t="s">
        <v>4213</v>
      </c>
      <c r="B6557" s="514"/>
      <c r="C6557" s="514"/>
      <c r="D6557" s="514"/>
      <c r="E6557" s="181"/>
      <c r="F6557" s="182" t="s">
        <v>4227</v>
      </c>
      <c r="G6557" s="181" t="s">
        <v>4228</v>
      </c>
      <c r="H6557" s="194"/>
    </row>
    <row r="6558" spans="1:15">
      <c r="A6558" s="204" t="s">
        <v>4096</v>
      </c>
      <c r="B6558" s="62"/>
      <c r="C6558" s="62"/>
      <c r="D6558" s="63"/>
      <c r="E6558" s="68"/>
      <c r="F6558" s="69">
        <v>0</v>
      </c>
      <c r="G6558" s="70" t="e">
        <f>F6558*H6522</f>
        <v>#VALUE!</v>
      </c>
      <c r="H6558" s="193"/>
    </row>
    <row r="6559" spans="1:15">
      <c r="A6559" s="205" t="s">
        <v>4229</v>
      </c>
      <c r="B6559" s="71"/>
      <c r="C6559" s="71"/>
      <c r="D6559" s="72"/>
      <c r="E6559" s="68"/>
      <c r="F6559" s="69">
        <v>0</v>
      </c>
      <c r="G6559" s="70" t="e">
        <f>F6559*H6522</f>
        <v>#VALUE!</v>
      </c>
      <c r="H6559" s="193"/>
    </row>
    <row r="6560" spans="1:15">
      <c r="A6560" s="205" t="s">
        <v>4</v>
      </c>
      <c r="B6560" s="71"/>
      <c r="C6560" s="71"/>
      <c r="D6560" s="72"/>
      <c r="E6560" s="68"/>
      <c r="F6560" s="69">
        <v>0</v>
      </c>
      <c r="G6560" s="70" t="e">
        <f>F6560*H6522</f>
        <v>#VALUE!</v>
      </c>
      <c r="H6560" s="193"/>
    </row>
    <row r="6561" spans="1:14">
      <c r="A6561" s="206"/>
      <c r="B6561" s="73"/>
      <c r="C6561" s="65"/>
      <c r="D6561" s="74"/>
      <c r="E6561" s="75"/>
      <c r="F6561" s="76"/>
      <c r="G6561" s="77"/>
      <c r="H6561" s="195"/>
    </row>
    <row r="6562" spans="1:14">
      <c r="A6562" s="207"/>
      <c r="B6562" s="73"/>
      <c r="C6562" s="73"/>
      <c r="D6562" s="74"/>
      <c r="E6562" s="78"/>
      <c r="F6562" s="515" t="s">
        <v>4230</v>
      </c>
      <c r="G6562" s="516"/>
      <c r="H6562" s="214" t="e">
        <f>H6522+G6558+G6559+G6560</f>
        <v>#VALUE!</v>
      </c>
    </row>
    <row r="6563" spans="1:14">
      <c r="A6563" s="73"/>
      <c r="B6563" s="73"/>
      <c r="C6563" s="73"/>
      <c r="D6563" s="74"/>
      <c r="E6563" s="360"/>
      <c r="F6563" s="361"/>
      <c r="G6563" s="361"/>
      <c r="H6563" s="362"/>
    </row>
    <row r="6564" spans="1:14">
      <c r="A6564" s="73"/>
      <c r="B6564" s="73"/>
      <c r="C6564" s="73"/>
      <c r="D6564" s="74"/>
      <c r="E6564" s="360"/>
      <c r="F6564" s="361"/>
      <c r="G6564" s="361"/>
      <c r="H6564" s="362"/>
    </row>
    <row r="6565" spans="1:14">
      <c r="A6565" s="73"/>
      <c r="B6565" s="73"/>
      <c r="C6565" s="73"/>
      <c r="D6565" s="74"/>
      <c r="E6565" s="360"/>
      <c r="F6565" s="361"/>
      <c r="G6565" s="361"/>
      <c r="H6565" s="362"/>
    </row>
    <row r="6566" spans="1:14">
      <c r="A6566" s="537" t="s">
        <v>4214</v>
      </c>
      <c r="B6566" s="538"/>
      <c r="C6566" s="538"/>
      <c r="D6566" s="538"/>
      <c r="E6566" s="538"/>
      <c r="F6566" s="538"/>
      <c r="G6566" s="538"/>
      <c r="H6566" s="539"/>
    </row>
    <row r="6567" spans="1:14">
      <c r="A6567" s="81"/>
      <c r="B6567" s="82"/>
      <c r="C6567" s="82"/>
      <c r="D6567" s="82"/>
      <c r="E6567" s="82"/>
      <c r="F6567" s="83"/>
      <c r="G6567" s="84"/>
      <c r="H6567" s="352">
        <f>ROUND((3/60)/8,4)</f>
        <v>6.3E-3</v>
      </c>
      <c r="I6567" s="105"/>
    </row>
    <row r="6568" spans="1:14">
      <c r="A6568" s="540" t="s">
        <v>4209</v>
      </c>
      <c r="B6568" s="542" t="str">
        <f>COSTOS!$C$14</f>
        <v>MODERNIZACION A TECNOLOGIA LED</v>
      </c>
      <c r="C6568" s="542"/>
      <c r="D6568" s="542"/>
      <c r="E6568" s="542"/>
      <c r="F6568" s="542"/>
      <c r="G6568" s="542"/>
      <c r="H6568" s="543" t="s">
        <v>4210</v>
      </c>
    </row>
    <row r="6569" spans="1:14">
      <c r="A6569" s="541"/>
      <c r="B6569" s="542"/>
      <c r="C6569" s="542"/>
      <c r="D6569" s="542"/>
      <c r="E6569" s="542"/>
      <c r="F6569" s="542"/>
      <c r="G6569" s="542"/>
      <c r="H6569" s="543"/>
    </row>
    <row r="6570" spans="1:14">
      <c r="A6570" s="541"/>
      <c r="B6570" s="542"/>
      <c r="C6570" s="542"/>
      <c r="D6570" s="542"/>
      <c r="E6570" s="542"/>
      <c r="F6570" s="542"/>
      <c r="G6570" s="542"/>
      <c r="H6570" s="543"/>
    </row>
    <row r="6571" spans="1:14" ht="15" customHeight="1">
      <c r="A6571" s="541"/>
      <c r="B6571" s="542"/>
      <c r="C6571" s="542"/>
      <c r="D6571" s="542"/>
      <c r="E6571" s="542"/>
      <c r="F6571" s="542"/>
      <c r="G6571" s="542"/>
      <c r="H6571" s="197">
        <f ca="1">TODAY()</f>
        <v>44889</v>
      </c>
      <c r="K6571" t="s">
        <v>4380</v>
      </c>
      <c r="L6571" t="s">
        <v>4381</v>
      </c>
      <c r="M6571" t="s">
        <v>4382</v>
      </c>
      <c r="N6571" t="s">
        <v>4383</v>
      </c>
    </row>
    <row r="6572" spans="1:14" ht="60.75" customHeight="1">
      <c r="A6572" s="209" t="s">
        <v>4211</v>
      </c>
      <c r="B6572" s="544" t="str">
        <f>COSTOS!$D$16</f>
        <v>Luminarias</v>
      </c>
      <c r="C6572" s="544"/>
      <c r="D6572" s="544"/>
      <c r="E6572" s="544"/>
      <c r="F6572" s="544"/>
      <c r="G6572" s="60" t="s">
        <v>4212</v>
      </c>
      <c r="H6572" s="363">
        <v>3.18</v>
      </c>
      <c r="K6572" s="55" t="e">
        <f>H6598</f>
        <v>#VALUE!</v>
      </c>
      <c r="L6572" s="55">
        <f>H6608</f>
        <v>2081.3184000000001</v>
      </c>
      <c r="M6572" s="55" t="e">
        <f>H6581</f>
        <v>#VALUE!</v>
      </c>
      <c r="N6572" s="55" t="e">
        <f>H6602</f>
        <v>#VALUE!</v>
      </c>
    </row>
    <row r="6573" spans="1:14" ht="43.2" customHeight="1">
      <c r="A6573" s="210" t="s">
        <v>4213</v>
      </c>
      <c r="B6573" s="545" t="str">
        <f>VLOOKUP(H6572,COSTOS!C:M,2,0)</f>
        <v>Cable serie 8000 AL #6 x500m</v>
      </c>
      <c r="C6573" s="546"/>
      <c r="D6573" s="546"/>
      <c r="E6573" s="547"/>
      <c r="F6573" s="61" t="s">
        <v>0</v>
      </c>
      <c r="G6573" s="328" t="str">
        <f>VLOOKUP(H6572,COSTOS!C:M,8,0)</f>
        <v>Und</v>
      </c>
      <c r="H6573" s="248"/>
      <c r="I6573" s="278"/>
      <c r="J6573" s="280"/>
      <c r="K6573" s="280"/>
      <c r="L6573" s="280"/>
    </row>
    <row r="6574" spans="1:14">
      <c r="A6574" s="211"/>
      <c r="B6574" s="102"/>
      <c r="C6574" s="102"/>
      <c r="D6574" s="102"/>
      <c r="E6574" s="103"/>
      <c r="F6574" s="104" t="s">
        <v>1</v>
      </c>
      <c r="G6574" s="328">
        <f>VLOOKUP(H6572,COSTOS!C:M,9,0)</f>
        <v>0</v>
      </c>
      <c r="H6574" s="329"/>
      <c r="I6574" s="279"/>
    </row>
    <row r="6575" spans="1:14">
      <c r="A6575" s="212" t="s">
        <v>4215</v>
      </c>
      <c r="B6575" s="65"/>
      <c r="C6575" s="65"/>
      <c r="D6575" s="66"/>
      <c r="E6575" s="190"/>
      <c r="F6575" s="191"/>
      <c r="G6575" s="192" t="s">
        <v>4216</v>
      </c>
      <c r="H6575" s="198" t="e">
        <f>H6581+H6598+H6602+H6608</f>
        <v>#VALUE!</v>
      </c>
    </row>
    <row r="6576" spans="1:14" ht="41.4">
      <c r="A6576" s="548" t="s">
        <v>4213</v>
      </c>
      <c r="B6576" s="548"/>
      <c r="C6576" s="548"/>
      <c r="D6576" s="67" t="s">
        <v>0</v>
      </c>
      <c r="E6576" s="188" t="s">
        <v>4217</v>
      </c>
      <c r="F6576" s="189" t="s">
        <v>4204</v>
      </c>
      <c r="G6576" s="64" t="s">
        <v>2</v>
      </c>
      <c r="H6576" s="199" t="s">
        <v>4218</v>
      </c>
      <c r="K6576" s="281"/>
    </row>
    <row r="6577" spans="1:15">
      <c r="A6577" s="517" t="s">
        <v>3946</v>
      </c>
      <c r="B6577" s="549">
        <f>VLOOKUP(A6577,'Equip, Herr y Transp'!$B$2:$E$738,2,0)</f>
        <v>2</v>
      </c>
      <c r="C6577" s="549"/>
      <c r="D6577" s="85">
        <f>VLOOKUP(A6577,'Equip, Herr y Transp'!$B$2:$E$217,2,0)</f>
        <v>2</v>
      </c>
      <c r="E6577" s="85" t="str">
        <f>VLOOKUP(A6577,'Equip, Herr y Transp'!$B$2:$E$217,3,0)</f>
        <v>EQU</v>
      </c>
      <c r="F6577" s="86">
        <f>H6567</f>
        <v>6.3E-3</v>
      </c>
      <c r="G6577" s="112" t="e">
        <f>F6577*E6577</f>
        <v>#VALUE!</v>
      </c>
      <c r="H6577" s="108"/>
    </row>
    <row r="6578" spans="1:15">
      <c r="A6578" s="517" t="s">
        <v>8</v>
      </c>
      <c r="B6578" s="549" t="e">
        <f>VLOOKUP(A6578,'Equip, Herr y Transp'!$B$2:$E$738,2,0)</f>
        <v>#N/A</v>
      </c>
      <c r="C6578" s="549"/>
      <c r="D6578" s="85" t="e">
        <f>VLOOKUP(A6578,'Equip, Herr y Transp'!$B$2:$E$217,2,0)</f>
        <v>#N/A</v>
      </c>
      <c r="E6578" s="85" t="e">
        <f>VLOOKUP(A6578,'Equip, Herr y Transp'!$B$2:$E$217,3,0)</f>
        <v>#N/A</v>
      </c>
      <c r="F6578" s="86">
        <f>H6567</f>
        <v>6.3E-3</v>
      </c>
      <c r="G6578" s="112" t="e">
        <f>F6578*E6578</f>
        <v>#N/A</v>
      </c>
      <c r="H6578" s="107"/>
    </row>
    <row r="6579" spans="1:15">
      <c r="A6579" s="517" t="s">
        <v>8</v>
      </c>
      <c r="B6579" s="549" t="e">
        <f>VLOOKUP(A6579,'Equip, Herr y Transp'!$B$2:$E$738,2,0)</f>
        <v>#N/A</v>
      </c>
      <c r="C6579" s="549"/>
      <c r="D6579" s="85" t="e">
        <f>VLOOKUP(A6579,'Equip, Herr y Transp'!$B$2:$E$217,2,0)</f>
        <v>#N/A</v>
      </c>
      <c r="E6579" s="85" t="e">
        <f>VLOOKUP(A6579,'Equip, Herr y Transp'!$B$2:$E$217,3,0)</f>
        <v>#N/A</v>
      </c>
      <c r="F6579" s="86">
        <f>H6567</f>
        <v>6.3E-3</v>
      </c>
      <c r="G6579" s="112" t="e">
        <f>F6579*E6579</f>
        <v>#N/A</v>
      </c>
      <c r="H6579" s="107"/>
    </row>
    <row r="6580" spans="1:15">
      <c r="A6580" s="517" t="s">
        <v>8</v>
      </c>
      <c r="B6580" s="549" t="e">
        <f>VLOOKUP(A6580,'Equip, Herr y Transp'!$B$2:$E$738,2,0)</f>
        <v>#N/A</v>
      </c>
      <c r="C6580" s="549"/>
      <c r="D6580" s="85" t="e">
        <f>VLOOKUP(A6580,'Equip, Herr y Transp'!$B$2:$E$217,2,0)</f>
        <v>#N/A</v>
      </c>
      <c r="E6580" s="85" t="e">
        <f>VLOOKUP(A6580,'Equip, Herr y Transp'!$B$2:$E$217,3,0)</f>
        <v>#N/A</v>
      </c>
      <c r="F6580" s="86">
        <f>H6567</f>
        <v>6.3E-3</v>
      </c>
      <c r="G6580" s="112" t="e">
        <f>F6580*E6580</f>
        <v>#N/A</v>
      </c>
      <c r="H6580" s="107"/>
    </row>
    <row r="6581" spans="1:15">
      <c r="A6581" s="520" t="s">
        <v>4099</v>
      </c>
      <c r="B6581" s="521"/>
      <c r="C6581" s="521"/>
      <c r="D6581" s="521"/>
      <c r="E6581" s="521"/>
      <c r="F6581" s="521"/>
      <c r="G6581" s="521"/>
      <c r="H6581" s="87" t="e">
        <f>SUM(G6577:G6580)</f>
        <v>#VALUE!</v>
      </c>
    </row>
    <row r="6582" spans="1:15">
      <c r="A6582" s="550" t="s">
        <v>4219</v>
      </c>
      <c r="B6582" s="551"/>
      <c r="C6582" s="551"/>
      <c r="D6582" s="551"/>
      <c r="E6582" s="551"/>
      <c r="F6582" s="551"/>
      <c r="G6582" s="551"/>
      <c r="H6582" s="552"/>
      <c r="K6582" s="50"/>
      <c r="L6582" s="50"/>
      <c r="M6582" s="50"/>
      <c r="N6582" s="50"/>
      <c r="O6582" s="50"/>
    </row>
    <row r="6583" spans="1:15" ht="30" customHeight="1">
      <c r="A6583" s="553" t="s">
        <v>7</v>
      </c>
      <c r="B6583" s="554"/>
      <c r="C6583" s="99" t="s">
        <v>0</v>
      </c>
      <c r="D6583" s="100" t="s">
        <v>4097</v>
      </c>
      <c r="E6583" s="101" t="s">
        <v>1</v>
      </c>
      <c r="F6583" s="555" t="s">
        <v>4207</v>
      </c>
      <c r="G6583" s="555"/>
      <c r="H6583" s="196"/>
      <c r="K6583" s="50"/>
      <c r="L6583" s="50"/>
      <c r="M6583" s="50"/>
      <c r="N6583" s="50"/>
      <c r="O6583" s="50"/>
    </row>
    <row r="6584" spans="1:15">
      <c r="A6584" s="535" t="s">
        <v>4435</v>
      </c>
      <c r="B6584" s="536"/>
      <c r="C6584" s="88">
        <f>VLOOKUP(A6584,'Materiales '!$C$2:$G$396,3,0)</f>
        <v>2</v>
      </c>
      <c r="D6584" s="89" t="str">
        <f>VLOOKUP(A6584,'Materiales '!$C$2:$G$396,4,0)</f>
        <v>Ml</v>
      </c>
      <c r="E6584" s="90">
        <v>1</v>
      </c>
      <c r="F6584" s="508" t="e">
        <f>E6584*D6584</f>
        <v>#VALUE!</v>
      </c>
      <c r="G6584" s="519"/>
      <c r="H6584" s="111"/>
      <c r="I6584">
        <f>E6584*G6574</f>
        <v>0</v>
      </c>
      <c r="J6584" s="57"/>
      <c r="K6584" s="50"/>
      <c r="L6584" s="50"/>
      <c r="M6584" s="50"/>
      <c r="N6584" s="50"/>
      <c r="O6584" s="50"/>
    </row>
    <row r="6585" spans="1:15">
      <c r="A6585" s="535" t="s">
        <v>8</v>
      </c>
      <c r="B6585" s="536"/>
      <c r="C6585" s="88">
        <f>VLOOKUP(A6585,'Materiales '!$C$2:$G$396,3,0)</f>
        <v>0</v>
      </c>
      <c r="D6585" s="89" t="str">
        <f>VLOOKUP(A6585,'Materiales '!$C$2:$G$396,4,0)</f>
        <v>-</v>
      </c>
      <c r="E6585" s="90"/>
      <c r="F6585" s="508" t="e">
        <f t="shared" ref="F6585:F6591" si="385">E6585*D6585</f>
        <v>#VALUE!</v>
      </c>
      <c r="G6585" s="519"/>
      <c r="H6585" s="111"/>
      <c r="I6585">
        <f>E6585*G6574</f>
        <v>0</v>
      </c>
      <c r="J6585" s="57"/>
      <c r="K6585" s="50"/>
      <c r="L6585" s="50"/>
      <c r="M6585" s="50"/>
      <c r="N6585" s="50"/>
      <c r="O6585" s="50"/>
    </row>
    <row r="6586" spans="1:15">
      <c r="A6586" s="517" t="s">
        <v>8</v>
      </c>
      <c r="B6586" s="518">
        <f>VLOOKUP(A6586,'Materiales '!$C$2:$G$396,3,0)</f>
        <v>0</v>
      </c>
      <c r="C6586" s="88">
        <f>VLOOKUP(A6586,'Materiales '!$C$2:$G$396,3,0)</f>
        <v>0</v>
      </c>
      <c r="D6586" s="89" t="str">
        <f>VLOOKUP(A6586,'Materiales '!$C$2:$G$396,4,0)</f>
        <v>-</v>
      </c>
      <c r="E6586" s="90"/>
      <c r="F6586" s="508" t="e">
        <f t="shared" si="385"/>
        <v>#VALUE!</v>
      </c>
      <c r="G6586" s="519"/>
      <c r="H6586" s="111"/>
      <c r="I6586">
        <f>E6586*G6574</f>
        <v>0</v>
      </c>
      <c r="J6586" s="58"/>
      <c r="K6586" s="50"/>
      <c r="L6586" s="50"/>
      <c r="M6586" s="50"/>
      <c r="N6586" s="50"/>
      <c r="O6586" s="50"/>
    </row>
    <row r="6587" spans="1:15">
      <c r="A6587" s="517" t="s">
        <v>8</v>
      </c>
      <c r="B6587" s="518">
        <f>VLOOKUP(A6587,'Materiales '!$C$2:$G$396,3,0)</f>
        <v>0</v>
      </c>
      <c r="C6587" s="88">
        <f>VLOOKUP(A6587,'Materiales '!$C$2:$G$396,3,0)</f>
        <v>0</v>
      </c>
      <c r="D6587" s="89" t="str">
        <f>VLOOKUP(A6587,'Materiales '!$C$2:$G$396,4,0)</f>
        <v>-</v>
      </c>
      <c r="E6587" s="90"/>
      <c r="F6587" s="508" t="e">
        <f t="shared" si="385"/>
        <v>#VALUE!</v>
      </c>
      <c r="G6587" s="519"/>
      <c r="H6587" s="111"/>
      <c r="I6587">
        <f>E6587*G6574</f>
        <v>0</v>
      </c>
      <c r="J6587" s="58"/>
      <c r="K6587" s="50"/>
      <c r="L6587" s="50"/>
      <c r="M6587" s="50"/>
      <c r="N6587" s="50"/>
      <c r="O6587" s="50"/>
    </row>
    <row r="6588" spans="1:15">
      <c r="A6588" s="517" t="s">
        <v>8</v>
      </c>
      <c r="B6588" s="518">
        <f>VLOOKUP(A6588,'Materiales '!$C$2:$G$396,3,0)</f>
        <v>0</v>
      </c>
      <c r="C6588" s="88">
        <f>VLOOKUP(A6588,'Materiales '!$C$2:$G$396,3,0)</f>
        <v>0</v>
      </c>
      <c r="D6588" s="89" t="str">
        <f>VLOOKUP(A6588,'Materiales '!$C$2:$G$396,4,0)</f>
        <v>-</v>
      </c>
      <c r="E6588" s="90"/>
      <c r="F6588" s="508" t="e">
        <f t="shared" si="385"/>
        <v>#VALUE!</v>
      </c>
      <c r="G6588" s="519"/>
      <c r="H6588" s="111"/>
      <c r="I6588">
        <f>E6588*G6574</f>
        <v>0</v>
      </c>
      <c r="J6588" s="58"/>
      <c r="K6588" s="50"/>
      <c r="L6588" s="50"/>
      <c r="M6588" s="50"/>
      <c r="N6588" s="50"/>
      <c r="O6588" s="50"/>
    </row>
    <row r="6589" spans="1:15">
      <c r="A6589" s="517" t="s">
        <v>8</v>
      </c>
      <c r="B6589" s="518">
        <f>VLOOKUP(A6589,'Materiales '!$C$2:$G$396,3,0)</f>
        <v>0</v>
      </c>
      <c r="C6589" s="88">
        <f>VLOOKUP(A6589,'Materiales '!$C$2:$G$396,3,0)</f>
        <v>0</v>
      </c>
      <c r="D6589" s="89" t="str">
        <f>VLOOKUP(A6589,'Materiales '!$C$2:$G$396,4,0)</f>
        <v>-</v>
      </c>
      <c r="E6589" s="90"/>
      <c r="F6589" s="508" t="e">
        <f t="shared" si="385"/>
        <v>#VALUE!</v>
      </c>
      <c r="G6589" s="519"/>
      <c r="H6589" s="111"/>
      <c r="I6589">
        <f>E6589*G6574</f>
        <v>0</v>
      </c>
      <c r="J6589" s="58"/>
      <c r="K6589" s="50"/>
      <c r="L6589" s="50"/>
      <c r="M6589" s="50"/>
      <c r="N6589" s="50"/>
      <c r="O6589" s="50"/>
    </row>
    <row r="6590" spans="1:15">
      <c r="A6590" s="517" t="s">
        <v>8</v>
      </c>
      <c r="B6590" s="518">
        <f>VLOOKUP(A6590,'Materiales '!$C$2:$G$396,3,0)</f>
        <v>0</v>
      </c>
      <c r="C6590" s="88">
        <f>VLOOKUP(A6590,'Materiales '!$C$2:$G$396,3,0)</f>
        <v>0</v>
      </c>
      <c r="D6590" s="89" t="str">
        <f>VLOOKUP(A6590,'Materiales '!$C$2:$G$396,4,0)</f>
        <v>-</v>
      </c>
      <c r="E6590" s="90"/>
      <c r="F6590" s="508" t="e">
        <f t="shared" si="385"/>
        <v>#VALUE!</v>
      </c>
      <c r="G6590" s="519"/>
      <c r="H6590" s="111"/>
      <c r="I6590">
        <f>E6590*G6574</f>
        <v>0</v>
      </c>
      <c r="J6590" s="58"/>
      <c r="K6590" s="50"/>
      <c r="L6590" s="50"/>
      <c r="M6590" s="50"/>
      <c r="N6590" s="50"/>
      <c r="O6590" s="50"/>
    </row>
    <row r="6591" spans="1:15" ht="21.75" customHeight="1">
      <c r="A6591" s="517" t="s">
        <v>8</v>
      </c>
      <c r="B6591" s="518">
        <f>VLOOKUP(A6591,'Materiales '!$C$2:$G$396,3,0)</f>
        <v>0</v>
      </c>
      <c r="C6591" s="88">
        <f>VLOOKUP(A6591,'Materiales '!$C$2:$G$396,3,0)</f>
        <v>0</v>
      </c>
      <c r="D6591" s="89" t="str">
        <f>VLOOKUP(A6591,'Materiales '!$C$2:$G$396,4,0)</f>
        <v>-</v>
      </c>
      <c r="E6591" s="90"/>
      <c r="F6591" s="508" t="e">
        <f t="shared" si="385"/>
        <v>#VALUE!</v>
      </c>
      <c r="G6591" s="519"/>
      <c r="H6591" s="111"/>
      <c r="I6591">
        <f>E6591*G6574</f>
        <v>0</v>
      </c>
      <c r="J6591" s="58"/>
      <c r="K6591" s="50"/>
      <c r="L6591" s="50"/>
      <c r="M6591" s="50"/>
      <c r="N6591" s="50"/>
      <c r="O6591" s="50"/>
    </row>
    <row r="6592" spans="1:15">
      <c r="A6592" s="517" t="s">
        <v>8</v>
      </c>
      <c r="B6592" s="518">
        <f>VLOOKUP(A6592,'Materiales '!$C$2:$G$396,3,0)</f>
        <v>0</v>
      </c>
      <c r="C6592" s="88">
        <f>VLOOKUP(A6592,'Materiales '!$C$2:$G$396,3,0)</f>
        <v>0</v>
      </c>
      <c r="D6592" s="89" t="str">
        <f>VLOOKUP(A6592,'Materiales '!$C$2:$G$396,4,0)</f>
        <v>-</v>
      </c>
      <c r="E6592" s="90"/>
      <c r="F6592" s="508" t="e">
        <f>E6592*D6592</f>
        <v>#VALUE!</v>
      </c>
      <c r="G6592" s="519"/>
      <c r="H6592" s="110"/>
      <c r="I6592">
        <f>E6592*G6574</f>
        <v>0</v>
      </c>
      <c r="J6592" s="58"/>
      <c r="K6592" s="50"/>
      <c r="L6592" s="50"/>
      <c r="M6592" s="50"/>
      <c r="N6592" s="50"/>
      <c r="O6592" s="50"/>
    </row>
    <row r="6593" spans="1:15">
      <c r="A6593" s="517" t="s">
        <v>8</v>
      </c>
      <c r="B6593" s="518">
        <f>VLOOKUP(A6593,'Materiales '!$C$2:$G$396,3,0)</f>
        <v>0</v>
      </c>
      <c r="C6593" s="88">
        <f>VLOOKUP(A6593,'Materiales '!$C$2:$G$396,3,0)</f>
        <v>0</v>
      </c>
      <c r="D6593" s="89" t="str">
        <f>VLOOKUP(A6593,'Materiales '!$C$2:$G$396,4,0)</f>
        <v>-</v>
      </c>
      <c r="E6593" s="90"/>
      <c r="F6593" s="508" t="e">
        <f t="shared" ref="F6593:F6596" si="386">E6593*D6593</f>
        <v>#VALUE!</v>
      </c>
      <c r="G6593" s="519"/>
      <c r="H6593" s="111"/>
      <c r="I6593">
        <f>E6593*G6574</f>
        <v>0</v>
      </c>
      <c r="J6593" s="58"/>
      <c r="K6593" s="50"/>
      <c r="L6593" s="50"/>
      <c r="M6593" s="50"/>
      <c r="N6593" s="50"/>
      <c r="O6593" s="50"/>
    </row>
    <row r="6594" spans="1:15">
      <c r="A6594" s="517" t="s">
        <v>8</v>
      </c>
      <c r="B6594" s="518">
        <f>VLOOKUP(A6594,'Materiales '!$C$2:$G$396,3,0)</f>
        <v>0</v>
      </c>
      <c r="C6594" s="88">
        <f>VLOOKUP(A6594,'Materiales '!$C$2:$G$396,3,0)</f>
        <v>0</v>
      </c>
      <c r="D6594" s="89" t="str">
        <f>VLOOKUP(A6594,'Materiales '!$C$2:$G$396,4,0)</f>
        <v>-</v>
      </c>
      <c r="E6594" s="90"/>
      <c r="F6594" s="508" t="e">
        <f t="shared" si="386"/>
        <v>#VALUE!</v>
      </c>
      <c r="G6594" s="519"/>
      <c r="H6594" s="111"/>
      <c r="I6594">
        <f>E6594*G6574</f>
        <v>0</v>
      </c>
      <c r="J6594" s="58"/>
      <c r="K6594" s="50"/>
      <c r="L6594" s="50"/>
      <c r="M6594" s="50"/>
      <c r="N6594" s="50"/>
      <c r="O6594" s="50"/>
    </row>
    <row r="6595" spans="1:15">
      <c r="A6595" s="517" t="s">
        <v>8</v>
      </c>
      <c r="B6595" s="518">
        <f>VLOOKUP(A6595,'Materiales '!$C$2:$G$396,3,0)</f>
        <v>0</v>
      </c>
      <c r="C6595" s="88">
        <f>VLOOKUP(A6595,'Materiales '!$C$2:$G$396,3,0)</f>
        <v>0</v>
      </c>
      <c r="D6595" s="89" t="str">
        <f>VLOOKUP(A6595,'Materiales '!$C$2:$G$396,4,0)</f>
        <v>-</v>
      </c>
      <c r="E6595" s="90"/>
      <c r="F6595" s="508" t="e">
        <f t="shared" si="386"/>
        <v>#VALUE!</v>
      </c>
      <c r="G6595" s="519"/>
      <c r="H6595" s="111"/>
      <c r="I6595">
        <f>E6595*G6574</f>
        <v>0</v>
      </c>
      <c r="J6595" s="58"/>
      <c r="K6595" s="50"/>
      <c r="L6595" s="50"/>
      <c r="M6595" s="50"/>
      <c r="N6595" s="50"/>
      <c r="O6595" s="50"/>
    </row>
    <row r="6596" spans="1:15">
      <c r="A6596" s="517" t="s">
        <v>8</v>
      </c>
      <c r="B6596" s="518">
        <f>VLOOKUP(A6596,'Materiales '!$C$2:$G$396,3,0)</f>
        <v>0</v>
      </c>
      <c r="C6596" s="88">
        <f>VLOOKUP(A6596,'Materiales '!$C$2:$G$396,3,0)</f>
        <v>0</v>
      </c>
      <c r="D6596" s="89" t="str">
        <f>VLOOKUP(A6596,'Materiales '!$C$2:$G$396,4,0)</f>
        <v>-</v>
      </c>
      <c r="E6596" s="90"/>
      <c r="F6596" s="508" t="e">
        <f t="shared" si="386"/>
        <v>#VALUE!</v>
      </c>
      <c r="G6596" s="519"/>
      <c r="H6596" s="111"/>
      <c r="I6596">
        <f>E6596*G6574</f>
        <v>0</v>
      </c>
      <c r="J6596" s="58"/>
      <c r="K6596" s="50"/>
      <c r="L6596" s="50"/>
      <c r="M6596" s="50"/>
      <c r="N6596" s="50"/>
      <c r="O6596" s="50"/>
    </row>
    <row r="6597" spans="1:15">
      <c r="A6597" s="517" t="s">
        <v>8</v>
      </c>
      <c r="B6597" s="518">
        <f>VLOOKUP(A6597,'Materiales '!$C$2:$G$396,3,0)</f>
        <v>0</v>
      </c>
      <c r="C6597" s="88">
        <f>VLOOKUP(A6597,'Materiales '!$C$2:$G$396,3,0)</f>
        <v>0</v>
      </c>
      <c r="D6597" s="89" t="str">
        <f>VLOOKUP(A6597,'Materiales '!$C$2:$G$396,4,0)</f>
        <v>-</v>
      </c>
      <c r="E6597" s="90"/>
      <c r="F6597" s="508" t="e">
        <f>E6597*D6597</f>
        <v>#VALUE!</v>
      </c>
      <c r="G6597" s="519"/>
      <c r="H6597" s="110"/>
      <c r="I6597">
        <f>E6597*G6574</f>
        <v>0</v>
      </c>
      <c r="J6597" s="58"/>
      <c r="K6597" s="50"/>
      <c r="L6597" s="50"/>
      <c r="M6597" s="50"/>
      <c r="N6597" s="50"/>
      <c r="O6597" s="50"/>
    </row>
    <row r="6598" spans="1:15">
      <c r="A6598" s="520" t="s">
        <v>4098</v>
      </c>
      <c r="B6598" s="521"/>
      <c r="C6598" s="521"/>
      <c r="D6598" s="521"/>
      <c r="E6598" s="521"/>
      <c r="F6598" s="521"/>
      <c r="G6598" s="522"/>
      <c r="H6598" s="106" t="e">
        <f>SUM(F6584:F6597)</f>
        <v>#VALUE!</v>
      </c>
      <c r="J6598" s="58"/>
      <c r="K6598" s="50"/>
      <c r="L6598" s="50"/>
      <c r="M6598" s="50"/>
      <c r="N6598" s="50"/>
      <c r="O6598" s="50"/>
    </row>
    <row r="6599" spans="1:15">
      <c r="A6599" s="523" t="s">
        <v>4220</v>
      </c>
      <c r="B6599" s="524"/>
      <c r="C6599" s="524"/>
      <c r="D6599" s="524"/>
      <c r="E6599" s="525"/>
      <c r="F6599" s="524"/>
      <c r="G6599" s="524"/>
      <c r="H6599" s="526"/>
      <c r="J6599" s="58"/>
      <c r="K6599" s="50"/>
      <c r="L6599" s="50"/>
      <c r="M6599" s="50"/>
      <c r="N6599" s="50"/>
      <c r="O6599" s="50"/>
    </row>
    <row r="6600" spans="1:15">
      <c r="A6600" s="527" t="s">
        <v>7</v>
      </c>
      <c r="B6600" s="528"/>
      <c r="C6600" s="98" t="s">
        <v>4221</v>
      </c>
      <c r="D6600" s="97" t="s">
        <v>4222</v>
      </c>
      <c r="E6600" s="187" t="s">
        <v>4223</v>
      </c>
      <c r="F6600" s="529" t="s">
        <v>4207</v>
      </c>
      <c r="G6600" s="529"/>
      <c r="H6600" s="109"/>
      <c r="K6600" s="50"/>
      <c r="L6600" s="50"/>
      <c r="M6600" s="50"/>
      <c r="N6600" s="50"/>
      <c r="O6600" s="50"/>
    </row>
    <row r="6601" spans="1:15">
      <c r="A6601" s="506" t="s">
        <v>3928</v>
      </c>
      <c r="B6601" s="507"/>
      <c r="C6601" s="213">
        <v>1</v>
      </c>
      <c r="D6601" s="92">
        <v>3.0000000000000001E-3</v>
      </c>
      <c r="E6601" s="93" t="str">
        <f>VLOOKUP(A6601,'Equip, Herr y Transp'!$B$2:$E$217,3,0)</f>
        <v>TR</v>
      </c>
      <c r="F6601" s="530" t="e">
        <f>E6601*D6601*C6601</f>
        <v>#VALUE!</v>
      </c>
      <c r="G6601" s="531"/>
      <c r="H6601" s="107"/>
      <c r="M6601" s="50"/>
    </row>
    <row r="6602" spans="1:15">
      <c r="A6602" s="532" t="s">
        <v>4205</v>
      </c>
      <c r="B6602" s="533"/>
      <c r="C6602" s="533"/>
      <c r="D6602" s="533"/>
      <c r="E6602" s="533"/>
      <c r="F6602" s="533"/>
      <c r="G6602" s="533"/>
      <c r="H6602" s="95" t="e">
        <f>F6601</f>
        <v>#VALUE!</v>
      </c>
    </row>
    <row r="6603" spans="1:15">
      <c r="A6603" s="523" t="s">
        <v>4224</v>
      </c>
      <c r="B6603" s="524"/>
      <c r="C6603" s="524"/>
      <c r="D6603" s="524"/>
      <c r="E6603" s="524"/>
      <c r="F6603" s="524"/>
      <c r="G6603" s="524"/>
      <c r="H6603" s="526"/>
    </row>
    <row r="6604" spans="1:15">
      <c r="A6604" s="527" t="s">
        <v>7</v>
      </c>
      <c r="B6604" s="528"/>
      <c r="C6604" s="96" t="s">
        <v>1</v>
      </c>
      <c r="D6604" s="97" t="s">
        <v>4225</v>
      </c>
      <c r="E6604" s="98" t="s">
        <v>4204</v>
      </c>
      <c r="F6604" s="527" t="s">
        <v>5</v>
      </c>
      <c r="G6604" s="534"/>
      <c r="H6604" s="109"/>
    </row>
    <row r="6605" spans="1:15">
      <c r="A6605" s="506" t="s">
        <v>4191</v>
      </c>
      <c r="B6605" s="507"/>
      <c r="C6605" s="91">
        <v>1</v>
      </c>
      <c r="D6605" s="94">
        <f>VLOOKUP(A6605,'Mano Obra'!$B$2:$T$117,19,0)</f>
        <v>152456</v>
      </c>
      <c r="E6605" s="218">
        <f>H6567</f>
        <v>6.3E-3</v>
      </c>
      <c r="F6605" s="508">
        <f>E6605*D6605*C6605</f>
        <v>960.47280000000001</v>
      </c>
      <c r="G6605" s="509"/>
      <c r="H6605" s="111"/>
      <c r="I6605" s="59"/>
      <c r="J6605" s="117">
        <f>((('Mano Obra'!$M$4/30)*F6605)/D6605)*G6574</f>
        <v>0</v>
      </c>
    </row>
    <row r="6606" spans="1:15">
      <c r="A6606" s="510" t="s">
        <v>4192</v>
      </c>
      <c r="B6606" s="511">
        <f>VLOOKUP(A6606,'Mano Obra'!$B$3:$D$290,2,0)</f>
        <v>1900000</v>
      </c>
      <c r="C6606" s="91">
        <v>1</v>
      </c>
      <c r="D6606" s="94">
        <f>VLOOKUP(A6606,'Mano Obra'!$B$2:$T$117,19,0)</f>
        <v>110488</v>
      </c>
      <c r="E6606" s="218">
        <f>H6567</f>
        <v>6.3E-3</v>
      </c>
      <c r="F6606" s="508">
        <f t="shared" ref="F6606:F6607" si="387">E6606*D6606*C6606</f>
        <v>696.07439999999997</v>
      </c>
      <c r="G6606" s="509"/>
      <c r="H6606" s="111"/>
      <c r="J6606" s="117">
        <f>((('Mano Obra'!$M$5/30)*F6606)/D6606)*G6574</f>
        <v>0</v>
      </c>
    </row>
    <row r="6607" spans="1:15">
      <c r="A6607" s="510" t="s">
        <v>4181</v>
      </c>
      <c r="B6607" s="511">
        <f>VLOOKUP(A6607,'Mano Obra'!$B$3:$D$290,2,0)</f>
        <v>1000000</v>
      </c>
      <c r="C6607" s="91">
        <v>1</v>
      </c>
      <c r="D6607" s="94">
        <f>VLOOKUP(A6607,'Mano Obra'!$B$2:$T$117,19,0)</f>
        <v>67424</v>
      </c>
      <c r="E6607" s="218">
        <f>H6567</f>
        <v>6.3E-3</v>
      </c>
      <c r="F6607" s="508">
        <f t="shared" si="387"/>
        <v>424.77120000000002</v>
      </c>
      <c r="G6607" s="509"/>
      <c r="H6607" s="110"/>
      <c r="J6607" s="117">
        <f>((('Mano Obra'!$M$6/30)*F6607)/D6607)*G6574</f>
        <v>0</v>
      </c>
    </row>
    <row r="6608" spans="1:15">
      <c r="A6608" s="512" t="s">
        <v>4100</v>
      </c>
      <c r="B6608" s="512"/>
      <c r="C6608" s="512"/>
      <c r="D6608" s="512"/>
      <c r="E6608" s="512"/>
      <c r="F6608" s="512"/>
      <c r="G6608" s="512"/>
      <c r="H6608" s="95">
        <f>SUM(F6605:F6607)</f>
        <v>2081.3184000000001</v>
      </c>
      <c r="J6608" s="117"/>
    </row>
    <row r="6609" spans="1:14">
      <c r="A6609" s="208" t="s">
        <v>4226</v>
      </c>
      <c r="B6609" s="186"/>
      <c r="C6609" s="186"/>
      <c r="D6609" s="183"/>
      <c r="E6609" s="184"/>
      <c r="F6609" s="185"/>
      <c r="G6609" s="184"/>
      <c r="H6609" s="193"/>
    </row>
    <row r="6610" spans="1:14">
      <c r="A6610" s="513" t="s">
        <v>4213</v>
      </c>
      <c r="B6610" s="514"/>
      <c r="C6610" s="514"/>
      <c r="D6610" s="514"/>
      <c r="E6610" s="181"/>
      <c r="F6610" s="182" t="s">
        <v>4227</v>
      </c>
      <c r="G6610" s="181" t="s">
        <v>4228</v>
      </c>
      <c r="H6610" s="194"/>
    </row>
    <row r="6611" spans="1:14">
      <c r="A6611" s="204" t="s">
        <v>4096</v>
      </c>
      <c r="B6611" s="62"/>
      <c r="C6611" s="62"/>
      <c r="D6611" s="63"/>
      <c r="E6611" s="68"/>
      <c r="F6611" s="69">
        <v>0</v>
      </c>
      <c r="G6611" s="70" t="e">
        <f>F6611*H6575</f>
        <v>#VALUE!</v>
      </c>
      <c r="H6611" s="193"/>
    </row>
    <row r="6612" spans="1:14">
      <c r="A6612" s="205" t="s">
        <v>4229</v>
      </c>
      <c r="B6612" s="71"/>
      <c r="C6612" s="71"/>
      <c r="D6612" s="72"/>
      <c r="E6612" s="68"/>
      <c r="F6612" s="69">
        <v>0</v>
      </c>
      <c r="G6612" s="70" t="e">
        <f>F6612*H6575</f>
        <v>#VALUE!</v>
      </c>
      <c r="H6612" s="193"/>
    </row>
    <row r="6613" spans="1:14">
      <c r="A6613" s="205" t="s">
        <v>4</v>
      </c>
      <c r="B6613" s="71"/>
      <c r="C6613" s="71"/>
      <c r="D6613" s="72"/>
      <c r="E6613" s="68"/>
      <c r="F6613" s="69">
        <v>0</v>
      </c>
      <c r="G6613" s="70" t="e">
        <f>F6613*H6575</f>
        <v>#VALUE!</v>
      </c>
      <c r="H6613" s="193"/>
    </row>
    <row r="6614" spans="1:14">
      <c r="A6614" s="206"/>
      <c r="B6614" s="73"/>
      <c r="C6614" s="65"/>
      <c r="D6614" s="74"/>
      <c r="E6614" s="75"/>
      <c r="F6614" s="76"/>
      <c r="G6614" s="77"/>
      <c r="H6614" s="195"/>
    </row>
    <row r="6615" spans="1:14">
      <c r="A6615" s="207"/>
      <c r="B6615" s="73"/>
      <c r="C6615" s="73"/>
      <c r="D6615" s="74"/>
      <c r="E6615" s="78"/>
      <c r="F6615" s="515" t="s">
        <v>4230</v>
      </c>
      <c r="G6615" s="516"/>
      <c r="H6615" s="214" t="e">
        <f>H6575+G6611+G6612+G6613</f>
        <v>#VALUE!</v>
      </c>
    </row>
    <row r="6616" spans="1:14">
      <c r="A6616" s="73"/>
      <c r="B6616" s="73"/>
      <c r="C6616" s="73"/>
      <c r="D6616" s="74"/>
      <c r="E6616" s="360"/>
      <c r="F6616" s="361"/>
      <c r="G6616" s="361"/>
      <c r="H6616" s="373"/>
    </row>
    <row r="6617" spans="1:14">
      <c r="A6617" s="80"/>
      <c r="B6617" s="80"/>
      <c r="C6617" s="80"/>
      <c r="D6617" s="80"/>
      <c r="E6617" s="80"/>
      <c r="F6617" s="80"/>
      <c r="G6617" s="80"/>
      <c r="H6617" s="353"/>
    </row>
    <row r="6618" spans="1:14">
      <c r="A6618" s="537" t="s">
        <v>4214</v>
      </c>
      <c r="B6618" s="538"/>
      <c r="C6618" s="538"/>
      <c r="D6618" s="538"/>
      <c r="E6618" s="538"/>
      <c r="F6618" s="538"/>
      <c r="G6618" s="538"/>
      <c r="H6618" s="539"/>
    </row>
    <row r="6619" spans="1:14">
      <c r="A6619" s="81"/>
      <c r="B6619" s="82"/>
      <c r="C6619" s="82"/>
      <c r="D6619" s="82"/>
      <c r="E6619" s="82"/>
      <c r="F6619" s="83"/>
      <c r="G6619" s="84"/>
      <c r="H6619" s="352">
        <f>ROUND((5/60)/8,4)</f>
        <v>1.04E-2</v>
      </c>
      <c r="I6619" s="105"/>
    </row>
    <row r="6620" spans="1:14">
      <c r="A6620" s="540" t="s">
        <v>4209</v>
      </c>
      <c r="B6620" s="542" t="str">
        <f>COSTOS!$C$14</f>
        <v>MODERNIZACION A TECNOLOGIA LED</v>
      </c>
      <c r="C6620" s="542"/>
      <c r="D6620" s="542"/>
      <c r="E6620" s="542"/>
      <c r="F6620" s="542"/>
      <c r="G6620" s="542"/>
      <c r="H6620" s="543" t="s">
        <v>4210</v>
      </c>
    </row>
    <row r="6621" spans="1:14">
      <c r="A6621" s="541"/>
      <c r="B6621" s="542"/>
      <c r="C6621" s="542"/>
      <c r="D6621" s="542"/>
      <c r="E6621" s="542"/>
      <c r="F6621" s="542"/>
      <c r="G6621" s="542"/>
      <c r="H6621" s="543"/>
    </row>
    <row r="6622" spans="1:14">
      <c r="A6622" s="541"/>
      <c r="B6622" s="542"/>
      <c r="C6622" s="542"/>
      <c r="D6622" s="542"/>
      <c r="E6622" s="542"/>
      <c r="F6622" s="542"/>
      <c r="G6622" s="542"/>
      <c r="H6622" s="543"/>
    </row>
    <row r="6623" spans="1:14" ht="15" customHeight="1">
      <c r="A6623" s="541"/>
      <c r="B6623" s="542"/>
      <c r="C6623" s="542"/>
      <c r="D6623" s="542"/>
      <c r="E6623" s="542"/>
      <c r="F6623" s="542"/>
      <c r="G6623" s="542"/>
      <c r="H6623" s="197">
        <f ca="1">TODAY()</f>
        <v>44889</v>
      </c>
      <c r="K6623" t="s">
        <v>4380</v>
      </c>
      <c r="L6623" t="s">
        <v>4381</v>
      </c>
      <c r="M6623" t="s">
        <v>4382</v>
      </c>
      <c r="N6623" t="s">
        <v>4383</v>
      </c>
    </row>
    <row r="6624" spans="1:14" ht="60.75" customHeight="1">
      <c r="A6624" s="209" t="s">
        <v>4211</v>
      </c>
      <c r="B6624" s="544" t="str">
        <f>COSTOS!$D$16</f>
        <v>Luminarias</v>
      </c>
      <c r="C6624" s="544"/>
      <c r="D6624" s="544"/>
      <c r="E6624" s="544"/>
      <c r="F6624" s="544"/>
      <c r="G6624" s="60" t="s">
        <v>4212</v>
      </c>
      <c r="H6624" s="363">
        <v>3.19</v>
      </c>
      <c r="K6624" s="55" t="e">
        <f>H6650</f>
        <v>#VALUE!</v>
      </c>
      <c r="L6624" s="55">
        <f>H6660</f>
        <v>3435.8271999999997</v>
      </c>
      <c r="M6624" s="55" t="e">
        <f>H6633</f>
        <v>#VALUE!</v>
      </c>
      <c r="N6624" s="55" t="e">
        <f>H6654</f>
        <v>#VALUE!</v>
      </c>
    </row>
    <row r="6625" spans="1:15" ht="43.2" customHeight="1">
      <c r="A6625" s="210" t="s">
        <v>4213</v>
      </c>
      <c r="B6625" s="545" t="str">
        <f>VLOOKUP(H6624,COSTOS!C:M,2,0)</f>
        <v>Red canalizada en cable aluminio 4 No 4 x500m</v>
      </c>
      <c r="C6625" s="546"/>
      <c r="D6625" s="546"/>
      <c r="E6625" s="547"/>
      <c r="F6625" s="61" t="s">
        <v>0</v>
      </c>
      <c r="G6625" s="328" t="str">
        <f>VLOOKUP(H6624,COSTOS!C:M,8,0)</f>
        <v>Und</v>
      </c>
      <c r="H6625" s="248"/>
      <c r="I6625" s="278"/>
      <c r="J6625" s="280"/>
      <c r="K6625" s="280"/>
      <c r="L6625" s="280"/>
    </row>
    <row r="6626" spans="1:15">
      <c r="A6626" s="211"/>
      <c r="B6626" s="102"/>
      <c r="C6626" s="102"/>
      <c r="D6626" s="102"/>
      <c r="E6626" s="103"/>
      <c r="F6626" s="104" t="s">
        <v>1</v>
      </c>
      <c r="G6626" s="328">
        <f>VLOOKUP(H6624,COSTOS!C:M,9,0)</f>
        <v>0</v>
      </c>
      <c r="H6626" s="329"/>
      <c r="I6626" s="279"/>
    </row>
    <row r="6627" spans="1:15">
      <c r="A6627" s="212" t="s">
        <v>4215</v>
      </c>
      <c r="B6627" s="65"/>
      <c r="C6627" s="65"/>
      <c r="D6627" s="66"/>
      <c r="E6627" s="190"/>
      <c r="F6627" s="191"/>
      <c r="G6627" s="192" t="s">
        <v>4216</v>
      </c>
      <c r="H6627" s="198" t="e">
        <f>H6633+H6650+H6654+H6660</f>
        <v>#VALUE!</v>
      </c>
    </row>
    <row r="6628" spans="1:15" ht="41.4">
      <c r="A6628" s="548" t="s">
        <v>4213</v>
      </c>
      <c r="B6628" s="548"/>
      <c r="C6628" s="548"/>
      <c r="D6628" s="67" t="s">
        <v>0</v>
      </c>
      <c r="E6628" s="188" t="s">
        <v>4217</v>
      </c>
      <c r="F6628" s="189" t="s">
        <v>4204</v>
      </c>
      <c r="G6628" s="64" t="s">
        <v>2</v>
      </c>
      <c r="H6628" s="199" t="s">
        <v>4218</v>
      </c>
      <c r="K6628" s="281"/>
    </row>
    <row r="6629" spans="1:15">
      <c r="A6629" s="517" t="s">
        <v>3946</v>
      </c>
      <c r="B6629" s="549">
        <f>VLOOKUP(A6629,'Equip, Herr y Transp'!$B$2:$E$738,2,0)</f>
        <v>2</v>
      </c>
      <c r="C6629" s="549"/>
      <c r="D6629" s="85">
        <f>VLOOKUP(A6629,'Equip, Herr y Transp'!$B$2:$E$217,2,0)</f>
        <v>2</v>
      </c>
      <c r="E6629" s="85" t="str">
        <f>VLOOKUP(A6629,'Equip, Herr y Transp'!$B$2:$E$217,3,0)</f>
        <v>EQU</v>
      </c>
      <c r="F6629" s="86">
        <f>H6619</f>
        <v>1.04E-2</v>
      </c>
      <c r="G6629" s="112" t="e">
        <f>F6629*E6629</f>
        <v>#VALUE!</v>
      </c>
      <c r="H6629" s="108"/>
    </row>
    <row r="6630" spans="1:15">
      <c r="A6630" s="517" t="s">
        <v>8</v>
      </c>
      <c r="B6630" s="549" t="e">
        <f>VLOOKUP(A6630,'Equip, Herr y Transp'!$B$2:$E$738,2,0)</f>
        <v>#N/A</v>
      </c>
      <c r="C6630" s="549"/>
      <c r="D6630" s="85" t="e">
        <f>VLOOKUP(A6630,'Equip, Herr y Transp'!$B$2:$E$217,2,0)</f>
        <v>#N/A</v>
      </c>
      <c r="E6630" s="85" t="e">
        <f>VLOOKUP(A6630,'Equip, Herr y Transp'!$B$2:$E$217,3,0)</f>
        <v>#N/A</v>
      </c>
      <c r="F6630" s="86">
        <f>H6619</f>
        <v>1.04E-2</v>
      </c>
      <c r="G6630" s="112" t="e">
        <f>F6630*E6630</f>
        <v>#N/A</v>
      </c>
      <c r="H6630" s="107"/>
    </row>
    <row r="6631" spans="1:15">
      <c r="A6631" s="517" t="s">
        <v>8</v>
      </c>
      <c r="B6631" s="549" t="e">
        <f>VLOOKUP(A6631,'Equip, Herr y Transp'!$B$2:$E$738,2,0)</f>
        <v>#N/A</v>
      </c>
      <c r="C6631" s="549"/>
      <c r="D6631" s="85" t="e">
        <f>VLOOKUP(A6631,'Equip, Herr y Transp'!$B$2:$E$217,2,0)</f>
        <v>#N/A</v>
      </c>
      <c r="E6631" s="85" t="e">
        <f>VLOOKUP(A6631,'Equip, Herr y Transp'!$B$2:$E$217,3,0)</f>
        <v>#N/A</v>
      </c>
      <c r="F6631" s="86">
        <f>H6619</f>
        <v>1.04E-2</v>
      </c>
      <c r="G6631" s="112" t="e">
        <f>F6631*E6631</f>
        <v>#N/A</v>
      </c>
      <c r="H6631" s="107"/>
    </row>
    <row r="6632" spans="1:15">
      <c r="A6632" s="517" t="s">
        <v>8</v>
      </c>
      <c r="B6632" s="549" t="e">
        <f>VLOOKUP(A6632,'Equip, Herr y Transp'!$B$2:$E$738,2,0)</f>
        <v>#N/A</v>
      </c>
      <c r="C6632" s="549"/>
      <c r="D6632" s="85" t="e">
        <f>VLOOKUP(A6632,'Equip, Herr y Transp'!$B$2:$E$217,2,0)</f>
        <v>#N/A</v>
      </c>
      <c r="E6632" s="85" t="e">
        <f>VLOOKUP(A6632,'Equip, Herr y Transp'!$B$2:$E$217,3,0)</f>
        <v>#N/A</v>
      </c>
      <c r="F6632" s="86">
        <f>H6619</f>
        <v>1.04E-2</v>
      </c>
      <c r="G6632" s="112" t="e">
        <f>F6632*E6632</f>
        <v>#N/A</v>
      </c>
      <c r="H6632" s="107"/>
    </row>
    <row r="6633" spans="1:15">
      <c r="A6633" s="520" t="s">
        <v>4099</v>
      </c>
      <c r="B6633" s="521"/>
      <c r="C6633" s="521"/>
      <c r="D6633" s="521"/>
      <c r="E6633" s="521"/>
      <c r="F6633" s="521"/>
      <c r="G6633" s="521"/>
      <c r="H6633" s="87" t="e">
        <f>SUM(G6629:G6632)</f>
        <v>#VALUE!</v>
      </c>
    </row>
    <row r="6634" spans="1:15">
      <c r="A6634" s="550" t="s">
        <v>4219</v>
      </c>
      <c r="B6634" s="551"/>
      <c r="C6634" s="551"/>
      <c r="D6634" s="551"/>
      <c r="E6634" s="551"/>
      <c r="F6634" s="551"/>
      <c r="G6634" s="551"/>
      <c r="H6634" s="552"/>
      <c r="K6634" s="50"/>
      <c r="L6634" s="50"/>
      <c r="M6634" s="50"/>
      <c r="N6634" s="50"/>
      <c r="O6634" s="50"/>
    </row>
    <row r="6635" spans="1:15" ht="30" customHeight="1">
      <c r="A6635" s="553" t="s">
        <v>7</v>
      </c>
      <c r="B6635" s="554"/>
      <c r="C6635" s="99" t="s">
        <v>0</v>
      </c>
      <c r="D6635" s="100" t="s">
        <v>4097</v>
      </c>
      <c r="E6635" s="101" t="s">
        <v>1</v>
      </c>
      <c r="F6635" s="555" t="s">
        <v>4207</v>
      </c>
      <c r="G6635" s="555"/>
      <c r="H6635" s="196"/>
      <c r="K6635" s="50"/>
      <c r="L6635" s="50"/>
      <c r="M6635" s="50"/>
      <c r="N6635" s="50"/>
      <c r="O6635" s="50"/>
    </row>
    <row r="6636" spans="1:15">
      <c r="A6636" s="535" t="s">
        <v>4433</v>
      </c>
      <c r="B6636" s="536"/>
      <c r="C6636" s="88">
        <f>VLOOKUP(A6636,'Materiales '!$C$2:$G$396,3,0)</f>
        <v>2</v>
      </c>
      <c r="D6636" s="89" t="str">
        <f>VLOOKUP(A6636,'Materiales '!$C$2:$G$396,4,0)</f>
        <v>Ml</v>
      </c>
      <c r="E6636" s="90">
        <v>4</v>
      </c>
      <c r="F6636" s="508" t="e">
        <f>E6636*D6636</f>
        <v>#VALUE!</v>
      </c>
      <c r="G6636" s="519"/>
      <c r="H6636" s="111"/>
      <c r="I6636">
        <f>E6636*G6626</f>
        <v>0</v>
      </c>
      <c r="J6636" s="57"/>
      <c r="K6636" s="50"/>
      <c r="L6636" s="50"/>
      <c r="M6636" s="50"/>
      <c r="N6636" s="50"/>
      <c r="O6636" s="50"/>
    </row>
    <row r="6637" spans="1:15">
      <c r="A6637" s="535" t="s">
        <v>8</v>
      </c>
      <c r="B6637" s="536"/>
      <c r="C6637" s="88">
        <f>VLOOKUP(A6637,'Materiales '!$C$2:$G$396,3,0)</f>
        <v>0</v>
      </c>
      <c r="D6637" s="89" t="str">
        <f>VLOOKUP(A6637,'Materiales '!$C$2:$G$396,4,0)</f>
        <v>-</v>
      </c>
      <c r="E6637" s="90"/>
      <c r="F6637" s="508" t="e">
        <f t="shared" ref="F6637:F6643" si="388">E6637*D6637</f>
        <v>#VALUE!</v>
      </c>
      <c r="G6637" s="519"/>
      <c r="H6637" s="111"/>
      <c r="I6637">
        <f>E6637*G6626</f>
        <v>0</v>
      </c>
      <c r="J6637" s="57"/>
      <c r="K6637" s="50"/>
      <c r="L6637" s="50"/>
      <c r="M6637" s="50"/>
      <c r="N6637" s="50"/>
      <c r="O6637" s="50"/>
    </row>
    <row r="6638" spans="1:15">
      <c r="A6638" s="517" t="s">
        <v>8</v>
      </c>
      <c r="B6638" s="518">
        <f>VLOOKUP(A6638,'Materiales '!$C$2:$G$396,3,0)</f>
        <v>0</v>
      </c>
      <c r="C6638" s="88">
        <f>VLOOKUP(A6638,'Materiales '!$C$2:$G$396,3,0)</f>
        <v>0</v>
      </c>
      <c r="D6638" s="89" t="str">
        <f>VLOOKUP(A6638,'Materiales '!$C$2:$G$396,4,0)</f>
        <v>-</v>
      </c>
      <c r="E6638" s="90"/>
      <c r="F6638" s="508" t="e">
        <f t="shared" si="388"/>
        <v>#VALUE!</v>
      </c>
      <c r="G6638" s="519"/>
      <c r="H6638" s="111"/>
      <c r="I6638">
        <f>E6638*G6626</f>
        <v>0</v>
      </c>
      <c r="J6638" s="58"/>
      <c r="K6638" s="50"/>
      <c r="L6638" s="50"/>
      <c r="M6638" s="50"/>
      <c r="N6638" s="50"/>
      <c r="O6638" s="50"/>
    </row>
    <row r="6639" spans="1:15">
      <c r="A6639" s="517" t="s">
        <v>8</v>
      </c>
      <c r="B6639" s="518">
        <f>VLOOKUP(A6639,'Materiales '!$C$2:$G$396,3,0)</f>
        <v>0</v>
      </c>
      <c r="C6639" s="88">
        <f>VLOOKUP(A6639,'Materiales '!$C$2:$G$396,3,0)</f>
        <v>0</v>
      </c>
      <c r="D6639" s="89" t="str">
        <f>VLOOKUP(A6639,'Materiales '!$C$2:$G$396,4,0)</f>
        <v>-</v>
      </c>
      <c r="E6639" s="90"/>
      <c r="F6639" s="508" t="e">
        <f t="shared" si="388"/>
        <v>#VALUE!</v>
      </c>
      <c r="G6639" s="519"/>
      <c r="H6639" s="111"/>
      <c r="I6639">
        <f>E6639*G6626</f>
        <v>0</v>
      </c>
      <c r="J6639" s="58"/>
      <c r="K6639" s="50"/>
      <c r="L6639" s="50"/>
      <c r="M6639" s="50"/>
      <c r="N6639" s="50"/>
      <c r="O6639" s="50"/>
    </row>
    <row r="6640" spans="1:15">
      <c r="A6640" s="517" t="s">
        <v>8</v>
      </c>
      <c r="B6640" s="518">
        <f>VLOOKUP(A6640,'Materiales '!$C$2:$G$396,3,0)</f>
        <v>0</v>
      </c>
      <c r="C6640" s="88">
        <f>VLOOKUP(A6640,'Materiales '!$C$2:$G$396,3,0)</f>
        <v>0</v>
      </c>
      <c r="D6640" s="89" t="str">
        <f>VLOOKUP(A6640,'Materiales '!$C$2:$G$396,4,0)</f>
        <v>-</v>
      </c>
      <c r="E6640" s="90"/>
      <c r="F6640" s="508" t="e">
        <f t="shared" si="388"/>
        <v>#VALUE!</v>
      </c>
      <c r="G6640" s="519"/>
      <c r="H6640" s="111"/>
      <c r="I6640">
        <f>E6640*G6626</f>
        <v>0</v>
      </c>
      <c r="J6640" s="58"/>
      <c r="K6640" s="50"/>
      <c r="L6640" s="50"/>
      <c r="M6640" s="50"/>
      <c r="N6640" s="50"/>
      <c r="O6640" s="50"/>
    </row>
    <row r="6641" spans="1:15">
      <c r="A6641" s="517" t="s">
        <v>8</v>
      </c>
      <c r="B6641" s="518">
        <f>VLOOKUP(A6641,'Materiales '!$C$2:$G$396,3,0)</f>
        <v>0</v>
      </c>
      <c r="C6641" s="88">
        <f>VLOOKUP(A6641,'Materiales '!$C$2:$G$396,3,0)</f>
        <v>0</v>
      </c>
      <c r="D6641" s="89" t="str">
        <f>VLOOKUP(A6641,'Materiales '!$C$2:$G$396,4,0)</f>
        <v>-</v>
      </c>
      <c r="E6641" s="90"/>
      <c r="F6641" s="508" t="e">
        <f t="shared" si="388"/>
        <v>#VALUE!</v>
      </c>
      <c r="G6641" s="519"/>
      <c r="H6641" s="111"/>
      <c r="I6641">
        <f>E6641*G6626</f>
        <v>0</v>
      </c>
      <c r="J6641" s="58"/>
      <c r="K6641" s="50"/>
      <c r="L6641" s="50"/>
      <c r="M6641" s="50"/>
      <c r="N6641" s="50"/>
      <c r="O6641" s="50"/>
    </row>
    <row r="6642" spans="1:15">
      <c r="A6642" s="517" t="s">
        <v>8</v>
      </c>
      <c r="B6642" s="518">
        <f>VLOOKUP(A6642,'Materiales '!$C$2:$G$396,3,0)</f>
        <v>0</v>
      </c>
      <c r="C6642" s="88">
        <f>VLOOKUP(A6642,'Materiales '!$C$2:$G$396,3,0)</f>
        <v>0</v>
      </c>
      <c r="D6642" s="89" t="str">
        <f>VLOOKUP(A6642,'Materiales '!$C$2:$G$396,4,0)</f>
        <v>-</v>
      </c>
      <c r="E6642" s="90"/>
      <c r="F6642" s="508" t="e">
        <f t="shared" si="388"/>
        <v>#VALUE!</v>
      </c>
      <c r="G6642" s="519"/>
      <c r="H6642" s="111"/>
      <c r="I6642">
        <f>E6642*G6626</f>
        <v>0</v>
      </c>
      <c r="J6642" s="58"/>
      <c r="K6642" s="50"/>
      <c r="L6642" s="50"/>
      <c r="M6642" s="50"/>
      <c r="N6642" s="50"/>
      <c r="O6642" s="50"/>
    </row>
    <row r="6643" spans="1:15" ht="21.75" customHeight="1">
      <c r="A6643" s="517" t="s">
        <v>8</v>
      </c>
      <c r="B6643" s="518">
        <f>VLOOKUP(A6643,'Materiales '!$C$2:$G$396,3,0)</f>
        <v>0</v>
      </c>
      <c r="C6643" s="88">
        <f>VLOOKUP(A6643,'Materiales '!$C$2:$G$396,3,0)</f>
        <v>0</v>
      </c>
      <c r="D6643" s="89" t="str">
        <f>VLOOKUP(A6643,'Materiales '!$C$2:$G$396,4,0)</f>
        <v>-</v>
      </c>
      <c r="E6643" s="90"/>
      <c r="F6643" s="508" t="e">
        <f t="shared" si="388"/>
        <v>#VALUE!</v>
      </c>
      <c r="G6643" s="519"/>
      <c r="H6643" s="111"/>
      <c r="I6643">
        <f>E6643*G6626</f>
        <v>0</v>
      </c>
      <c r="J6643" s="58"/>
      <c r="K6643" s="50"/>
      <c r="L6643" s="50"/>
      <c r="M6643" s="50"/>
      <c r="N6643" s="50"/>
      <c r="O6643" s="50"/>
    </row>
    <row r="6644" spans="1:15">
      <c r="A6644" s="517" t="s">
        <v>8</v>
      </c>
      <c r="B6644" s="518">
        <f>VLOOKUP(A6644,'Materiales '!$C$2:$G$396,3,0)</f>
        <v>0</v>
      </c>
      <c r="C6644" s="88">
        <f>VLOOKUP(A6644,'Materiales '!$C$2:$G$396,3,0)</f>
        <v>0</v>
      </c>
      <c r="D6644" s="89" t="str">
        <f>VLOOKUP(A6644,'Materiales '!$C$2:$G$396,4,0)</f>
        <v>-</v>
      </c>
      <c r="E6644" s="90"/>
      <c r="F6644" s="508" t="e">
        <f>E6644*D6644</f>
        <v>#VALUE!</v>
      </c>
      <c r="G6644" s="519"/>
      <c r="H6644" s="110"/>
      <c r="I6644">
        <f>E6644*G6626</f>
        <v>0</v>
      </c>
      <c r="J6644" s="58"/>
      <c r="K6644" s="50"/>
      <c r="L6644" s="50"/>
      <c r="M6644" s="50"/>
      <c r="N6644" s="50"/>
      <c r="O6644" s="50"/>
    </row>
    <row r="6645" spans="1:15">
      <c r="A6645" s="517" t="s">
        <v>8</v>
      </c>
      <c r="B6645" s="518">
        <f>VLOOKUP(A6645,'Materiales '!$C$2:$G$396,3,0)</f>
        <v>0</v>
      </c>
      <c r="C6645" s="88">
        <f>VLOOKUP(A6645,'Materiales '!$C$2:$G$396,3,0)</f>
        <v>0</v>
      </c>
      <c r="D6645" s="89" t="str">
        <f>VLOOKUP(A6645,'Materiales '!$C$2:$G$396,4,0)</f>
        <v>-</v>
      </c>
      <c r="E6645" s="90"/>
      <c r="F6645" s="508" t="e">
        <f t="shared" ref="F6645:F6648" si="389">E6645*D6645</f>
        <v>#VALUE!</v>
      </c>
      <c r="G6645" s="519"/>
      <c r="H6645" s="111"/>
      <c r="I6645">
        <f>E6645*G6626</f>
        <v>0</v>
      </c>
      <c r="J6645" s="58"/>
      <c r="K6645" s="50"/>
      <c r="L6645" s="50"/>
      <c r="M6645" s="50"/>
      <c r="N6645" s="50"/>
      <c r="O6645" s="50"/>
    </row>
    <row r="6646" spans="1:15">
      <c r="A6646" s="517" t="s">
        <v>8</v>
      </c>
      <c r="B6646" s="518">
        <f>VLOOKUP(A6646,'Materiales '!$C$2:$G$396,3,0)</f>
        <v>0</v>
      </c>
      <c r="C6646" s="88">
        <f>VLOOKUP(A6646,'Materiales '!$C$2:$G$396,3,0)</f>
        <v>0</v>
      </c>
      <c r="D6646" s="89" t="str">
        <f>VLOOKUP(A6646,'Materiales '!$C$2:$G$396,4,0)</f>
        <v>-</v>
      </c>
      <c r="E6646" s="90"/>
      <c r="F6646" s="508" t="e">
        <f t="shared" si="389"/>
        <v>#VALUE!</v>
      </c>
      <c r="G6646" s="519"/>
      <c r="H6646" s="111"/>
      <c r="I6646">
        <f>E6646*G6626</f>
        <v>0</v>
      </c>
      <c r="J6646" s="58"/>
      <c r="K6646" s="50"/>
      <c r="L6646" s="50"/>
      <c r="M6646" s="50"/>
      <c r="N6646" s="50"/>
      <c r="O6646" s="50"/>
    </row>
    <row r="6647" spans="1:15">
      <c r="A6647" s="517" t="s">
        <v>8</v>
      </c>
      <c r="B6647" s="518">
        <f>VLOOKUP(A6647,'Materiales '!$C$2:$G$396,3,0)</f>
        <v>0</v>
      </c>
      <c r="C6647" s="88">
        <f>VLOOKUP(A6647,'Materiales '!$C$2:$G$396,3,0)</f>
        <v>0</v>
      </c>
      <c r="D6647" s="89" t="str">
        <f>VLOOKUP(A6647,'Materiales '!$C$2:$G$396,4,0)</f>
        <v>-</v>
      </c>
      <c r="E6647" s="90"/>
      <c r="F6647" s="508" t="e">
        <f t="shared" si="389"/>
        <v>#VALUE!</v>
      </c>
      <c r="G6647" s="519"/>
      <c r="H6647" s="111"/>
      <c r="I6647">
        <f>E6647*G6626</f>
        <v>0</v>
      </c>
      <c r="J6647" s="58"/>
      <c r="K6647" s="50"/>
      <c r="L6647" s="50"/>
      <c r="M6647" s="50"/>
      <c r="N6647" s="50"/>
      <c r="O6647" s="50"/>
    </row>
    <row r="6648" spans="1:15">
      <c r="A6648" s="517" t="s">
        <v>8</v>
      </c>
      <c r="B6648" s="518">
        <f>VLOOKUP(A6648,'Materiales '!$C$2:$G$396,3,0)</f>
        <v>0</v>
      </c>
      <c r="C6648" s="88">
        <f>VLOOKUP(A6648,'Materiales '!$C$2:$G$396,3,0)</f>
        <v>0</v>
      </c>
      <c r="D6648" s="89" t="str">
        <f>VLOOKUP(A6648,'Materiales '!$C$2:$G$396,4,0)</f>
        <v>-</v>
      </c>
      <c r="E6648" s="90"/>
      <c r="F6648" s="508" t="e">
        <f t="shared" si="389"/>
        <v>#VALUE!</v>
      </c>
      <c r="G6648" s="519"/>
      <c r="H6648" s="111"/>
      <c r="I6648">
        <f>E6648*G6626</f>
        <v>0</v>
      </c>
      <c r="J6648" s="58"/>
      <c r="K6648" s="50"/>
      <c r="L6648" s="50"/>
      <c r="M6648" s="50"/>
      <c r="N6648" s="50"/>
      <c r="O6648" s="50"/>
    </row>
    <row r="6649" spans="1:15">
      <c r="A6649" s="517" t="s">
        <v>8</v>
      </c>
      <c r="B6649" s="518">
        <f>VLOOKUP(A6649,'Materiales '!$C$2:$G$396,3,0)</f>
        <v>0</v>
      </c>
      <c r="C6649" s="88">
        <f>VLOOKUP(A6649,'Materiales '!$C$2:$G$396,3,0)</f>
        <v>0</v>
      </c>
      <c r="D6649" s="89" t="str">
        <f>VLOOKUP(A6649,'Materiales '!$C$2:$G$396,4,0)</f>
        <v>-</v>
      </c>
      <c r="E6649" s="90"/>
      <c r="F6649" s="508" t="e">
        <f>E6649*D6649</f>
        <v>#VALUE!</v>
      </c>
      <c r="G6649" s="519"/>
      <c r="H6649" s="110"/>
      <c r="I6649">
        <f>E6649*G6626</f>
        <v>0</v>
      </c>
      <c r="J6649" s="58"/>
      <c r="K6649" s="50"/>
      <c r="L6649" s="50"/>
      <c r="M6649" s="50"/>
      <c r="N6649" s="50"/>
      <c r="O6649" s="50"/>
    </row>
    <row r="6650" spans="1:15">
      <c r="A6650" s="520" t="s">
        <v>4098</v>
      </c>
      <c r="B6650" s="521"/>
      <c r="C6650" s="521"/>
      <c r="D6650" s="521"/>
      <c r="E6650" s="521"/>
      <c r="F6650" s="521"/>
      <c r="G6650" s="522"/>
      <c r="H6650" s="106" t="e">
        <f>SUM(F6636:F6649)</f>
        <v>#VALUE!</v>
      </c>
      <c r="J6650" s="58"/>
      <c r="K6650" s="50"/>
      <c r="L6650" s="50"/>
      <c r="M6650" s="50"/>
      <c r="N6650" s="50"/>
      <c r="O6650" s="50"/>
    </row>
    <row r="6651" spans="1:15">
      <c r="A6651" s="523" t="s">
        <v>4220</v>
      </c>
      <c r="B6651" s="524"/>
      <c r="C6651" s="524"/>
      <c r="D6651" s="524"/>
      <c r="E6651" s="525"/>
      <c r="F6651" s="524"/>
      <c r="G6651" s="524"/>
      <c r="H6651" s="526"/>
      <c r="J6651" s="58"/>
      <c r="K6651" s="50"/>
      <c r="L6651" s="50"/>
      <c r="M6651" s="50"/>
      <c r="N6651" s="50"/>
      <c r="O6651" s="50"/>
    </row>
    <row r="6652" spans="1:15">
      <c r="A6652" s="527" t="s">
        <v>7</v>
      </c>
      <c r="B6652" s="528"/>
      <c r="C6652" s="98" t="s">
        <v>4221</v>
      </c>
      <c r="D6652" s="97" t="s">
        <v>4222</v>
      </c>
      <c r="E6652" s="187" t="s">
        <v>4223</v>
      </c>
      <c r="F6652" s="529" t="s">
        <v>4207</v>
      </c>
      <c r="G6652" s="529"/>
      <c r="H6652" s="109"/>
      <c r="K6652" s="50"/>
      <c r="L6652" s="50"/>
      <c r="M6652" s="50"/>
      <c r="N6652" s="50"/>
      <c r="O6652" s="50"/>
    </row>
    <row r="6653" spans="1:15">
      <c r="A6653" s="506" t="s">
        <v>3928</v>
      </c>
      <c r="B6653" s="507"/>
      <c r="C6653" s="213">
        <v>1</v>
      </c>
      <c r="D6653" s="92">
        <v>5.0000000000000001E-3</v>
      </c>
      <c r="E6653" s="93" t="str">
        <f>VLOOKUP(A6653,'Equip, Herr y Transp'!$B$2:$E$217,3,0)</f>
        <v>TR</v>
      </c>
      <c r="F6653" s="530" t="e">
        <f>E6653*D6653*C6653</f>
        <v>#VALUE!</v>
      </c>
      <c r="G6653" s="531"/>
      <c r="H6653" s="107"/>
      <c r="M6653" s="50"/>
    </row>
    <row r="6654" spans="1:15">
      <c r="A6654" s="532" t="s">
        <v>4205</v>
      </c>
      <c r="B6654" s="533"/>
      <c r="C6654" s="533"/>
      <c r="D6654" s="533"/>
      <c r="E6654" s="533"/>
      <c r="F6654" s="533"/>
      <c r="G6654" s="533"/>
      <c r="H6654" s="95" t="e">
        <f>F6653</f>
        <v>#VALUE!</v>
      </c>
    </row>
    <row r="6655" spans="1:15">
      <c r="A6655" s="523" t="s">
        <v>4224</v>
      </c>
      <c r="B6655" s="524"/>
      <c r="C6655" s="524"/>
      <c r="D6655" s="524"/>
      <c r="E6655" s="524"/>
      <c r="F6655" s="524"/>
      <c r="G6655" s="524"/>
      <c r="H6655" s="526"/>
    </row>
    <row r="6656" spans="1:15">
      <c r="A6656" s="527" t="s">
        <v>7</v>
      </c>
      <c r="B6656" s="528"/>
      <c r="C6656" s="96" t="s">
        <v>1</v>
      </c>
      <c r="D6656" s="97" t="s">
        <v>4225</v>
      </c>
      <c r="E6656" s="98" t="s">
        <v>4204</v>
      </c>
      <c r="F6656" s="527" t="s">
        <v>5</v>
      </c>
      <c r="G6656" s="534"/>
      <c r="H6656" s="109"/>
    </row>
    <row r="6657" spans="1:10">
      <c r="A6657" s="506" t="s">
        <v>4191</v>
      </c>
      <c r="B6657" s="507"/>
      <c r="C6657" s="91">
        <v>1</v>
      </c>
      <c r="D6657" s="94">
        <f>VLOOKUP(A6657,'Mano Obra'!$B$2:$T$117,19,0)</f>
        <v>152456</v>
      </c>
      <c r="E6657" s="218">
        <f>H6619</f>
        <v>1.04E-2</v>
      </c>
      <c r="F6657" s="508">
        <f>E6657*D6657*C6657</f>
        <v>1585.5423999999998</v>
      </c>
      <c r="G6657" s="509"/>
      <c r="H6657" s="111"/>
      <c r="I6657" s="59"/>
      <c r="J6657" s="117">
        <f>((('Mano Obra'!$M$4/30)*F6657)/D6657)*G6626</f>
        <v>0</v>
      </c>
    </row>
    <row r="6658" spans="1:10">
      <c r="A6658" s="510" t="s">
        <v>4192</v>
      </c>
      <c r="B6658" s="511">
        <f>VLOOKUP(A6658,'Mano Obra'!$B$3:$D$290,2,0)</f>
        <v>1900000</v>
      </c>
      <c r="C6658" s="91">
        <v>1</v>
      </c>
      <c r="D6658" s="94">
        <f>VLOOKUP(A6658,'Mano Obra'!$B$2:$T$117,19,0)</f>
        <v>110488</v>
      </c>
      <c r="E6658" s="218">
        <f>H6619</f>
        <v>1.04E-2</v>
      </c>
      <c r="F6658" s="508">
        <f t="shared" ref="F6658:F6659" si="390">E6658*D6658*C6658</f>
        <v>1149.0752</v>
      </c>
      <c r="G6658" s="509"/>
      <c r="H6658" s="111"/>
      <c r="J6658" s="117">
        <f>((('Mano Obra'!$M$5/30)*F6658)/D6658)*G6626</f>
        <v>0</v>
      </c>
    </row>
    <row r="6659" spans="1:10">
      <c r="A6659" s="510" t="s">
        <v>4181</v>
      </c>
      <c r="B6659" s="511">
        <f>VLOOKUP(A6659,'Mano Obra'!$B$3:$D$290,2,0)</f>
        <v>1000000</v>
      </c>
      <c r="C6659" s="91">
        <v>1</v>
      </c>
      <c r="D6659" s="94">
        <f>VLOOKUP(A6659,'Mano Obra'!$B$2:$T$117,19,0)</f>
        <v>67424</v>
      </c>
      <c r="E6659" s="218">
        <f>H6619</f>
        <v>1.04E-2</v>
      </c>
      <c r="F6659" s="508">
        <f t="shared" si="390"/>
        <v>701.20960000000002</v>
      </c>
      <c r="G6659" s="509"/>
      <c r="H6659" s="110"/>
      <c r="J6659" s="117">
        <f>((('Mano Obra'!$M$6/30)*F6659)/D6659)*G6626</f>
        <v>0</v>
      </c>
    </row>
    <row r="6660" spans="1:10">
      <c r="A6660" s="512" t="s">
        <v>4100</v>
      </c>
      <c r="B6660" s="512"/>
      <c r="C6660" s="512"/>
      <c r="D6660" s="512"/>
      <c r="E6660" s="512"/>
      <c r="F6660" s="512"/>
      <c r="G6660" s="512"/>
      <c r="H6660" s="95">
        <f>SUM(F6657:F6659)</f>
        <v>3435.8271999999997</v>
      </c>
      <c r="J6660" s="117"/>
    </row>
    <row r="6661" spans="1:10">
      <c r="A6661" s="208" t="s">
        <v>4226</v>
      </c>
      <c r="B6661" s="186"/>
      <c r="C6661" s="186"/>
      <c r="D6661" s="183"/>
      <c r="E6661" s="184"/>
      <c r="F6661" s="185"/>
      <c r="G6661" s="184"/>
      <c r="H6661" s="193"/>
    </row>
    <row r="6662" spans="1:10">
      <c r="A6662" s="513" t="s">
        <v>4213</v>
      </c>
      <c r="B6662" s="514"/>
      <c r="C6662" s="514"/>
      <c r="D6662" s="514"/>
      <c r="E6662" s="181"/>
      <c r="F6662" s="182" t="s">
        <v>4227</v>
      </c>
      <c r="G6662" s="181" t="s">
        <v>4228</v>
      </c>
      <c r="H6662" s="194"/>
    </row>
    <row r="6663" spans="1:10">
      <c r="A6663" s="204" t="s">
        <v>4096</v>
      </c>
      <c r="B6663" s="62"/>
      <c r="C6663" s="62"/>
      <c r="D6663" s="63"/>
      <c r="E6663" s="68"/>
      <c r="F6663" s="69">
        <v>0</v>
      </c>
      <c r="G6663" s="70" t="e">
        <f>F6663*H6627</f>
        <v>#VALUE!</v>
      </c>
      <c r="H6663" s="193"/>
    </row>
    <row r="6664" spans="1:10">
      <c r="A6664" s="205" t="s">
        <v>4229</v>
      </c>
      <c r="B6664" s="71"/>
      <c r="C6664" s="71"/>
      <c r="D6664" s="72"/>
      <c r="E6664" s="68"/>
      <c r="F6664" s="69">
        <v>0</v>
      </c>
      <c r="G6664" s="70" t="e">
        <f>F6664*H6627</f>
        <v>#VALUE!</v>
      </c>
      <c r="H6664" s="193"/>
    </row>
    <row r="6665" spans="1:10">
      <c r="A6665" s="205" t="s">
        <v>4</v>
      </c>
      <c r="B6665" s="71"/>
      <c r="C6665" s="71"/>
      <c r="D6665" s="72"/>
      <c r="E6665" s="68"/>
      <c r="F6665" s="69">
        <v>0</v>
      </c>
      <c r="G6665" s="70" t="e">
        <f>F6665*H6627</f>
        <v>#VALUE!</v>
      </c>
      <c r="H6665" s="193"/>
    </row>
    <row r="6666" spans="1:10">
      <c r="A6666" s="206"/>
      <c r="B6666" s="73"/>
      <c r="C6666" s="65"/>
      <c r="D6666" s="74"/>
      <c r="E6666" s="75"/>
      <c r="F6666" s="76"/>
      <c r="G6666" s="77"/>
      <c r="H6666" s="195"/>
    </row>
    <row r="6667" spans="1:10">
      <c r="A6667" s="207"/>
      <c r="B6667" s="73"/>
      <c r="C6667" s="73"/>
      <c r="D6667" s="74"/>
      <c r="E6667" s="78"/>
      <c r="F6667" s="515" t="s">
        <v>4230</v>
      </c>
      <c r="G6667" s="516"/>
      <c r="H6667" s="214" t="e">
        <f>H6627+G6663+G6664+G6665</f>
        <v>#VALUE!</v>
      </c>
    </row>
    <row r="6669" spans="1:10">
      <c r="A6669" s="80"/>
      <c r="B6669" s="80"/>
      <c r="C6669" s="80"/>
      <c r="D6669" s="80"/>
      <c r="E6669" s="80"/>
      <c r="F6669" s="80"/>
      <c r="G6669" s="80"/>
      <c r="H6669" s="353"/>
    </row>
    <row r="6670" spans="1:10">
      <c r="A6670" s="537" t="s">
        <v>4214</v>
      </c>
      <c r="B6670" s="538"/>
      <c r="C6670" s="538"/>
      <c r="D6670" s="538"/>
      <c r="E6670" s="538"/>
      <c r="F6670" s="538"/>
      <c r="G6670" s="538"/>
      <c r="H6670" s="539"/>
    </row>
    <row r="6671" spans="1:10">
      <c r="A6671" s="81"/>
      <c r="B6671" s="82"/>
      <c r="C6671" s="82"/>
      <c r="D6671" s="82"/>
      <c r="E6671" s="82"/>
      <c r="F6671" s="83"/>
      <c r="G6671" s="84"/>
      <c r="H6671" s="352">
        <f>ROUND((8/60)/8,4)</f>
        <v>1.67E-2</v>
      </c>
      <c r="I6671" s="105"/>
    </row>
    <row r="6672" spans="1:10">
      <c r="A6672" s="540" t="s">
        <v>4209</v>
      </c>
      <c r="B6672" s="542" t="str">
        <f>COSTOS!$C$14</f>
        <v>MODERNIZACION A TECNOLOGIA LED</v>
      </c>
      <c r="C6672" s="542"/>
      <c r="D6672" s="542"/>
      <c r="E6672" s="542"/>
      <c r="F6672" s="542"/>
      <c r="G6672" s="542"/>
      <c r="H6672" s="543" t="s">
        <v>4210</v>
      </c>
    </row>
    <row r="6673" spans="1:15">
      <c r="A6673" s="541"/>
      <c r="B6673" s="542"/>
      <c r="C6673" s="542"/>
      <c r="D6673" s="542"/>
      <c r="E6673" s="542"/>
      <c r="F6673" s="542"/>
      <c r="G6673" s="542"/>
      <c r="H6673" s="543"/>
    </row>
    <row r="6674" spans="1:15">
      <c r="A6674" s="541"/>
      <c r="B6674" s="542"/>
      <c r="C6674" s="542"/>
      <c r="D6674" s="542"/>
      <c r="E6674" s="542"/>
      <c r="F6674" s="542"/>
      <c r="G6674" s="542"/>
      <c r="H6674" s="543"/>
    </row>
    <row r="6675" spans="1:15" ht="15" customHeight="1">
      <c r="A6675" s="541"/>
      <c r="B6675" s="542"/>
      <c r="C6675" s="542"/>
      <c r="D6675" s="542"/>
      <c r="E6675" s="542"/>
      <c r="F6675" s="542"/>
      <c r="G6675" s="542"/>
      <c r="H6675" s="197">
        <f ca="1">TODAY()</f>
        <v>44889</v>
      </c>
      <c r="K6675" t="s">
        <v>4380</v>
      </c>
      <c r="L6675" t="s">
        <v>4381</v>
      </c>
      <c r="M6675" t="s">
        <v>4382</v>
      </c>
      <c r="N6675" t="s">
        <v>4383</v>
      </c>
    </row>
    <row r="6676" spans="1:15" ht="60.75" customHeight="1">
      <c r="A6676" s="209" t="s">
        <v>4211</v>
      </c>
      <c r="B6676" s="544" t="str">
        <f>COSTOS!$D$16</f>
        <v>Luminarias</v>
      </c>
      <c r="C6676" s="544"/>
      <c r="D6676" s="544"/>
      <c r="E6676" s="544"/>
      <c r="F6676" s="544"/>
      <c r="G6676" s="60" t="s">
        <v>4212</v>
      </c>
      <c r="H6676" s="359" t="s">
        <v>4773</v>
      </c>
      <c r="K6676" s="55" t="e">
        <f>H6702</f>
        <v>#VALUE!</v>
      </c>
      <c r="L6676" s="55">
        <f>H6712</f>
        <v>5517.1455999999998</v>
      </c>
      <c r="M6676" s="55" t="e">
        <f>H6685</f>
        <v>#VALUE!</v>
      </c>
      <c r="N6676" s="55" t="e">
        <f>H6706</f>
        <v>#VALUE!</v>
      </c>
    </row>
    <row r="6677" spans="1:15" ht="43.2" customHeight="1">
      <c r="A6677" s="210" t="s">
        <v>4213</v>
      </c>
      <c r="B6677" s="545" t="str">
        <f>VLOOKUP(H6676,COSTOS!C:M,2,0)</f>
        <v>Red Abierta 3#2 ACSR desnudo x 500m</v>
      </c>
      <c r="C6677" s="546"/>
      <c r="D6677" s="546"/>
      <c r="E6677" s="547"/>
      <c r="F6677" s="61" t="s">
        <v>0</v>
      </c>
      <c r="G6677" s="328" t="str">
        <f>VLOOKUP(H6676,COSTOS!C:M,8,0)</f>
        <v>Und</v>
      </c>
      <c r="H6677" s="248"/>
      <c r="I6677" s="278"/>
      <c r="J6677" s="280"/>
      <c r="K6677" s="280"/>
      <c r="L6677" s="280"/>
    </row>
    <row r="6678" spans="1:15">
      <c r="A6678" s="211"/>
      <c r="B6678" s="102"/>
      <c r="C6678" s="102"/>
      <c r="D6678" s="102"/>
      <c r="E6678" s="103"/>
      <c r="F6678" s="104" t="s">
        <v>1</v>
      </c>
      <c r="G6678" s="328">
        <f>VLOOKUP(H6676,COSTOS!C:M,9,0)</f>
        <v>0</v>
      </c>
      <c r="H6678" s="329"/>
      <c r="I6678" s="279"/>
    </row>
    <row r="6679" spans="1:15">
      <c r="A6679" s="212" t="s">
        <v>4215</v>
      </c>
      <c r="B6679" s="65"/>
      <c r="C6679" s="65"/>
      <c r="D6679" s="66"/>
      <c r="E6679" s="190"/>
      <c r="F6679" s="191"/>
      <c r="G6679" s="192" t="s">
        <v>4216</v>
      </c>
      <c r="H6679" s="198" t="e">
        <f>H6685+H6702+H6706+H6712</f>
        <v>#VALUE!</v>
      </c>
    </row>
    <row r="6680" spans="1:15" ht="41.4">
      <c r="A6680" s="548" t="s">
        <v>4213</v>
      </c>
      <c r="B6680" s="548"/>
      <c r="C6680" s="548"/>
      <c r="D6680" s="67" t="s">
        <v>0</v>
      </c>
      <c r="E6680" s="188" t="s">
        <v>4217</v>
      </c>
      <c r="F6680" s="189" t="s">
        <v>4204</v>
      </c>
      <c r="G6680" s="64" t="s">
        <v>2</v>
      </c>
      <c r="H6680" s="199" t="s">
        <v>4218</v>
      </c>
      <c r="K6680" s="281"/>
    </row>
    <row r="6681" spans="1:15">
      <c r="A6681" s="517" t="s">
        <v>3946</v>
      </c>
      <c r="B6681" s="549">
        <f>VLOOKUP(A6681,'Equip, Herr y Transp'!$B$2:$E$738,2,0)</f>
        <v>2</v>
      </c>
      <c r="C6681" s="549"/>
      <c r="D6681" s="85">
        <f>VLOOKUP(A6681,'Equip, Herr y Transp'!$B$2:$E$217,2,0)</f>
        <v>2</v>
      </c>
      <c r="E6681" s="85" t="str">
        <f>VLOOKUP(A6681,'Equip, Herr y Transp'!$B$2:$E$217,3,0)</f>
        <v>EQU</v>
      </c>
      <c r="F6681" s="86">
        <f>H6671</f>
        <v>1.67E-2</v>
      </c>
      <c r="G6681" s="112" t="e">
        <f>F6681*E6681</f>
        <v>#VALUE!</v>
      </c>
      <c r="H6681" s="108"/>
    </row>
    <row r="6682" spans="1:15">
      <c r="A6682" s="517" t="s">
        <v>3904</v>
      </c>
      <c r="B6682" s="549">
        <f>VLOOKUP(A6682,'Equip, Herr y Transp'!$B$2:$E$738,2,0)</f>
        <v>2</v>
      </c>
      <c r="C6682" s="549"/>
      <c r="D6682" s="85">
        <f>VLOOKUP(A6682,'Equip, Herr y Transp'!$B$2:$E$217,2,0)</f>
        <v>2</v>
      </c>
      <c r="E6682" s="85" t="str">
        <f>VLOOKUP(A6682,'Equip, Herr y Transp'!$B$2:$E$217,3,0)</f>
        <v>EQU</v>
      </c>
      <c r="F6682" s="86">
        <f>H6671</f>
        <v>1.67E-2</v>
      </c>
      <c r="G6682" s="112" t="e">
        <f>F6682*E6682</f>
        <v>#VALUE!</v>
      </c>
      <c r="H6682" s="107"/>
    </row>
    <row r="6683" spans="1:15">
      <c r="A6683" s="517" t="s">
        <v>8</v>
      </c>
      <c r="B6683" s="549" t="e">
        <f>VLOOKUP(A6683,'Equip, Herr y Transp'!$B$2:$E$738,2,0)</f>
        <v>#N/A</v>
      </c>
      <c r="C6683" s="549"/>
      <c r="D6683" s="85" t="e">
        <f>VLOOKUP(A6683,'Equip, Herr y Transp'!$B$2:$E$217,2,0)</f>
        <v>#N/A</v>
      </c>
      <c r="E6683" s="85" t="e">
        <f>VLOOKUP(A6683,'Equip, Herr y Transp'!$B$2:$E$217,3,0)</f>
        <v>#N/A</v>
      </c>
      <c r="F6683" s="86">
        <f>H6671</f>
        <v>1.67E-2</v>
      </c>
      <c r="G6683" s="112" t="e">
        <f>F6683*E6683</f>
        <v>#N/A</v>
      </c>
      <c r="H6683" s="107"/>
    </row>
    <row r="6684" spans="1:15">
      <c r="A6684" s="517" t="s">
        <v>8</v>
      </c>
      <c r="B6684" s="549" t="e">
        <f>VLOOKUP(A6684,'Equip, Herr y Transp'!$B$2:$E$738,2,0)</f>
        <v>#N/A</v>
      </c>
      <c r="C6684" s="549"/>
      <c r="D6684" s="85" t="e">
        <f>VLOOKUP(A6684,'Equip, Herr y Transp'!$B$2:$E$217,2,0)</f>
        <v>#N/A</v>
      </c>
      <c r="E6684" s="85" t="e">
        <f>VLOOKUP(A6684,'Equip, Herr y Transp'!$B$2:$E$217,3,0)</f>
        <v>#N/A</v>
      </c>
      <c r="F6684" s="86">
        <f>H6671</f>
        <v>1.67E-2</v>
      </c>
      <c r="G6684" s="112" t="e">
        <f>F6684*E6684</f>
        <v>#N/A</v>
      </c>
      <c r="H6684" s="107"/>
    </row>
    <row r="6685" spans="1:15">
      <c r="A6685" s="520" t="s">
        <v>4099</v>
      </c>
      <c r="B6685" s="521"/>
      <c r="C6685" s="521"/>
      <c r="D6685" s="521"/>
      <c r="E6685" s="521"/>
      <c r="F6685" s="521"/>
      <c r="G6685" s="521"/>
      <c r="H6685" s="87" t="e">
        <f>SUM(G6681:G6684)</f>
        <v>#VALUE!</v>
      </c>
    </row>
    <row r="6686" spans="1:15">
      <c r="A6686" s="550" t="s">
        <v>4219</v>
      </c>
      <c r="B6686" s="551"/>
      <c r="C6686" s="551"/>
      <c r="D6686" s="551"/>
      <c r="E6686" s="551"/>
      <c r="F6686" s="551"/>
      <c r="G6686" s="551"/>
      <c r="H6686" s="552"/>
      <c r="K6686" s="50"/>
      <c r="L6686" s="50"/>
      <c r="M6686" s="50"/>
      <c r="N6686" s="50"/>
      <c r="O6686" s="50"/>
    </row>
    <row r="6687" spans="1:15" ht="30" customHeight="1">
      <c r="A6687" s="553" t="s">
        <v>7</v>
      </c>
      <c r="B6687" s="554"/>
      <c r="C6687" s="99" t="s">
        <v>0</v>
      </c>
      <c r="D6687" s="100" t="s">
        <v>4097</v>
      </c>
      <c r="E6687" s="101" t="s">
        <v>1</v>
      </c>
      <c r="F6687" s="555" t="s">
        <v>4207</v>
      </c>
      <c r="G6687" s="555"/>
      <c r="H6687" s="196"/>
      <c r="K6687" s="50"/>
      <c r="L6687" s="50"/>
      <c r="M6687" s="50"/>
      <c r="N6687" s="50"/>
      <c r="O6687" s="50"/>
    </row>
    <row r="6688" spans="1:15">
      <c r="A6688" s="535" t="s">
        <v>4430</v>
      </c>
      <c r="B6688" s="536"/>
      <c r="C6688" s="88">
        <f>VLOOKUP(A6688,'Materiales '!$C$2:$G$396,3,0)</f>
        <v>2</v>
      </c>
      <c r="D6688" s="89" t="str">
        <f>VLOOKUP(A6688,'Materiales '!$C$2:$G$396,4,0)</f>
        <v>Ml</v>
      </c>
      <c r="E6688" s="90">
        <v>3</v>
      </c>
      <c r="F6688" s="508" t="e">
        <f>E6688*D6688</f>
        <v>#VALUE!</v>
      </c>
      <c r="G6688" s="519"/>
      <c r="H6688" s="111"/>
      <c r="I6688">
        <f>E6688*G6678</f>
        <v>0</v>
      </c>
      <c r="J6688" s="57"/>
      <c r="K6688" s="50"/>
      <c r="L6688" s="50"/>
      <c r="M6688" s="50"/>
      <c r="N6688" s="50"/>
      <c r="O6688" s="50"/>
    </row>
    <row r="6689" spans="1:15">
      <c r="A6689" s="535" t="s">
        <v>4406</v>
      </c>
      <c r="B6689" s="536"/>
      <c r="C6689" s="88">
        <f>VLOOKUP(A6689,'Materiales '!$C$2:$G$396,3,0)</f>
        <v>4</v>
      </c>
      <c r="D6689" s="89" t="str">
        <f>VLOOKUP(A6689,'Materiales '!$C$2:$G$396,4,0)</f>
        <v>Und</v>
      </c>
      <c r="E6689" s="90">
        <f>3/25</f>
        <v>0.12</v>
      </c>
      <c r="F6689" s="508" t="e">
        <f t="shared" ref="F6689:F6695" si="391">E6689*D6689</f>
        <v>#VALUE!</v>
      </c>
      <c r="G6689" s="519"/>
      <c r="H6689" s="111"/>
      <c r="I6689">
        <f>E6689*G6678</f>
        <v>0</v>
      </c>
      <c r="J6689" s="57"/>
      <c r="K6689" s="50"/>
      <c r="L6689" s="50"/>
      <c r="M6689" s="50"/>
      <c r="N6689" s="50"/>
      <c r="O6689" s="50"/>
    </row>
    <row r="6690" spans="1:15">
      <c r="A6690" s="517" t="s">
        <v>4542</v>
      </c>
      <c r="B6690" s="518">
        <f>VLOOKUP(A6690,'Materiales '!$C$2:$G$396,3,0)</f>
        <v>4</v>
      </c>
      <c r="C6690" s="88">
        <f>VLOOKUP(A6690,'Materiales '!$C$2:$G$396,3,0)</f>
        <v>4</v>
      </c>
      <c r="D6690" s="89" t="str">
        <f>VLOOKUP(A6690,'Materiales '!$C$2:$G$396,4,0)</f>
        <v>Und</v>
      </c>
      <c r="E6690" s="90">
        <f>3/25</f>
        <v>0.12</v>
      </c>
      <c r="F6690" s="508" t="e">
        <f t="shared" si="391"/>
        <v>#VALUE!</v>
      </c>
      <c r="G6690" s="519"/>
      <c r="H6690" s="111"/>
      <c r="I6690">
        <f>E6690*G6678</f>
        <v>0</v>
      </c>
      <c r="J6690" s="58"/>
      <c r="K6690" s="50"/>
      <c r="L6690" s="50"/>
      <c r="M6690" s="50"/>
      <c r="N6690" s="50"/>
      <c r="O6690" s="50"/>
    </row>
    <row r="6691" spans="1:15">
      <c r="A6691" s="517" t="s">
        <v>8</v>
      </c>
      <c r="B6691" s="518">
        <f>VLOOKUP(A6691,'Materiales '!$C$2:$G$396,3,0)</f>
        <v>0</v>
      </c>
      <c r="C6691" s="88">
        <f>VLOOKUP(A6691,'Materiales '!$C$2:$G$396,3,0)</f>
        <v>0</v>
      </c>
      <c r="D6691" s="89" t="str">
        <f>VLOOKUP(A6691,'Materiales '!$C$2:$G$396,4,0)</f>
        <v>-</v>
      </c>
      <c r="E6691" s="90"/>
      <c r="F6691" s="508" t="e">
        <f t="shared" si="391"/>
        <v>#VALUE!</v>
      </c>
      <c r="G6691" s="519"/>
      <c r="H6691" s="111"/>
      <c r="I6691">
        <f>E6691*G6678</f>
        <v>0</v>
      </c>
      <c r="J6691" s="58"/>
      <c r="K6691" s="50"/>
      <c r="L6691" s="50"/>
      <c r="M6691" s="50"/>
      <c r="N6691" s="50"/>
      <c r="O6691" s="50"/>
    </row>
    <row r="6692" spans="1:15">
      <c r="A6692" s="517" t="s">
        <v>8</v>
      </c>
      <c r="B6692" s="518">
        <f>VLOOKUP(A6692,'Materiales '!$C$2:$G$396,3,0)</f>
        <v>0</v>
      </c>
      <c r="C6692" s="88">
        <f>VLOOKUP(A6692,'Materiales '!$C$2:$G$396,3,0)</f>
        <v>0</v>
      </c>
      <c r="D6692" s="89" t="str">
        <f>VLOOKUP(A6692,'Materiales '!$C$2:$G$396,4,0)</f>
        <v>-</v>
      </c>
      <c r="E6692" s="90"/>
      <c r="F6692" s="508" t="e">
        <f t="shared" si="391"/>
        <v>#VALUE!</v>
      </c>
      <c r="G6692" s="519"/>
      <c r="H6692" s="111"/>
      <c r="I6692">
        <f>E6692*G6678</f>
        <v>0</v>
      </c>
      <c r="J6692" s="58"/>
      <c r="K6692" s="50"/>
      <c r="L6692" s="50"/>
      <c r="M6692" s="50"/>
      <c r="N6692" s="50"/>
      <c r="O6692" s="50"/>
    </row>
    <row r="6693" spans="1:15">
      <c r="A6693" s="517" t="s">
        <v>8</v>
      </c>
      <c r="B6693" s="518">
        <f>VLOOKUP(A6693,'Materiales '!$C$2:$G$396,3,0)</f>
        <v>0</v>
      </c>
      <c r="C6693" s="88">
        <f>VLOOKUP(A6693,'Materiales '!$C$2:$G$396,3,0)</f>
        <v>0</v>
      </c>
      <c r="D6693" s="89" t="str">
        <f>VLOOKUP(A6693,'Materiales '!$C$2:$G$396,4,0)</f>
        <v>-</v>
      </c>
      <c r="E6693" s="90"/>
      <c r="F6693" s="508" t="e">
        <f t="shared" si="391"/>
        <v>#VALUE!</v>
      </c>
      <c r="G6693" s="519"/>
      <c r="H6693" s="111"/>
      <c r="I6693">
        <f>E6693*G6678</f>
        <v>0</v>
      </c>
      <c r="J6693" s="58"/>
      <c r="K6693" s="50"/>
      <c r="L6693" s="50"/>
      <c r="M6693" s="50"/>
      <c r="N6693" s="50"/>
      <c r="O6693" s="50"/>
    </row>
    <row r="6694" spans="1:15">
      <c r="A6694" s="517" t="s">
        <v>8</v>
      </c>
      <c r="B6694" s="518">
        <f>VLOOKUP(A6694,'Materiales '!$C$2:$G$396,3,0)</f>
        <v>0</v>
      </c>
      <c r="C6694" s="88">
        <f>VLOOKUP(A6694,'Materiales '!$C$2:$G$396,3,0)</f>
        <v>0</v>
      </c>
      <c r="D6694" s="89" t="str">
        <f>VLOOKUP(A6694,'Materiales '!$C$2:$G$396,4,0)</f>
        <v>-</v>
      </c>
      <c r="E6694" s="90"/>
      <c r="F6694" s="508" t="e">
        <f t="shared" si="391"/>
        <v>#VALUE!</v>
      </c>
      <c r="G6694" s="519"/>
      <c r="H6694" s="111"/>
      <c r="I6694">
        <f>E6694*G6678</f>
        <v>0</v>
      </c>
      <c r="J6694" s="58"/>
      <c r="K6694" s="50"/>
      <c r="L6694" s="50"/>
      <c r="M6694" s="50"/>
      <c r="N6694" s="50"/>
      <c r="O6694" s="50"/>
    </row>
    <row r="6695" spans="1:15" ht="21.75" customHeight="1">
      <c r="A6695" s="517" t="s">
        <v>8</v>
      </c>
      <c r="B6695" s="518">
        <f>VLOOKUP(A6695,'Materiales '!$C$2:$G$396,3,0)</f>
        <v>0</v>
      </c>
      <c r="C6695" s="88">
        <f>VLOOKUP(A6695,'Materiales '!$C$2:$G$396,3,0)</f>
        <v>0</v>
      </c>
      <c r="D6695" s="89" t="str">
        <f>VLOOKUP(A6695,'Materiales '!$C$2:$G$396,4,0)</f>
        <v>-</v>
      </c>
      <c r="E6695" s="90"/>
      <c r="F6695" s="508" t="e">
        <f t="shared" si="391"/>
        <v>#VALUE!</v>
      </c>
      <c r="G6695" s="519"/>
      <c r="H6695" s="111"/>
      <c r="I6695">
        <f>E6695*G6678</f>
        <v>0</v>
      </c>
      <c r="J6695" s="58"/>
      <c r="K6695" s="50"/>
      <c r="L6695" s="50"/>
      <c r="M6695" s="50"/>
      <c r="N6695" s="50"/>
      <c r="O6695" s="50"/>
    </row>
    <row r="6696" spans="1:15">
      <c r="A6696" s="517" t="s">
        <v>8</v>
      </c>
      <c r="B6696" s="518">
        <f>VLOOKUP(A6696,'Materiales '!$C$2:$G$396,3,0)</f>
        <v>0</v>
      </c>
      <c r="C6696" s="88">
        <f>VLOOKUP(A6696,'Materiales '!$C$2:$G$396,3,0)</f>
        <v>0</v>
      </c>
      <c r="D6696" s="89" t="str">
        <f>VLOOKUP(A6696,'Materiales '!$C$2:$G$396,4,0)</f>
        <v>-</v>
      </c>
      <c r="E6696" s="90"/>
      <c r="F6696" s="508" t="e">
        <f>E6696*D6696</f>
        <v>#VALUE!</v>
      </c>
      <c r="G6696" s="519"/>
      <c r="H6696" s="110"/>
      <c r="I6696">
        <f>E6696*G6678</f>
        <v>0</v>
      </c>
      <c r="J6696" s="58"/>
      <c r="K6696" s="50"/>
      <c r="L6696" s="50"/>
      <c r="M6696" s="50"/>
      <c r="N6696" s="50"/>
      <c r="O6696" s="50"/>
    </row>
    <row r="6697" spans="1:15">
      <c r="A6697" s="517" t="s">
        <v>8</v>
      </c>
      <c r="B6697" s="518">
        <f>VLOOKUP(A6697,'Materiales '!$C$2:$G$396,3,0)</f>
        <v>0</v>
      </c>
      <c r="C6697" s="88">
        <f>VLOOKUP(A6697,'Materiales '!$C$2:$G$396,3,0)</f>
        <v>0</v>
      </c>
      <c r="D6697" s="89" t="str">
        <f>VLOOKUP(A6697,'Materiales '!$C$2:$G$396,4,0)</f>
        <v>-</v>
      </c>
      <c r="E6697" s="90"/>
      <c r="F6697" s="508" t="e">
        <f t="shared" ref="F6697:F6700" si="392">E6697*D6697</f>
        <v>#VALUE!</v>
      </c>
      <c r="G6697" s="519"/>
      <c r="H6697" s="111"/>
      <c r="I6697">
        <f>E6697*G6678</f>
        <v>0</v>
      </c>
      <c r="J6697" s="58"/>
      <c r="K6697" s="50"/>
      <c r="L6697" s="50"/>
      <c r="M6697" s="50"/>
      <c r="N6697" s="50"/>
      <c r="O6697" s="50"/>
    </row>
    <row r="6698" spans="1:15">
      <c r="A6698" s="517" t="s">
        <v>8</v>
      </c>
      <c r="B6698" s="518">
        <f>VLOOKUP(A6698,'Materiales '!$C$2:$G$396,3,0)</f>
        <v>0</v>
      </c>
      <c r="C6698" s="88">
        <f>VLOOKUP(A6698,'Materiales '!$C$2:$G$396,3,0)</f>
        <v>0</v>
      </c>
      <c r="D6698" s="89" t="str">
        <f>VLOOKUP(A6698,'Materiales '!$C$2:$G$396,4,0)</f>
        <v>-</v>
      </c>
      <c r="E6698" s="90"/>
      <c r="F6698" s="508" t="e">
        <f t="shared" si="392"/>
        <v>#VALUE!</v>
      </c>
      <c r="G6698" s="519"/>
      <c r="H6698" s="111"/>
      <c r="I6698">
        <f>E6698*G6678</f>
        <v>0</v>
      </c>
      <c r="J6698" s="58"/>
      <c r="K6698" s="50"/>
      <c r="L6698" s="50"/>
      <c r="M6698" s="50"/>
      <c r="N6698" s="50"/>
      <c r="O6698" s="50"/>
    </row>
    <row r="6699" spans="1:15">
      <c r="A6699" s="517" t="s">
        <v>8</v>
      </c>
      <c r="B6699" s="518">
        <f>VLOOKUP(A6699,'Materiales '!$C$2:$G$396,3,0)</f>
        <v>0</v>
      </c>
      <c r="C6699" s="88">
        <f>VLOOKUP(A6699,'Materiales '!$C$2:$G$396,3,0)</f>
        <v>0</v>
      </c>
      <c r="D6699" s="89" t="str">
        <f>VLOOKUP(A6699,'Materiales '!$C$2:$G$396,4,0)</f>
        <v>-</v>
      </c>
      <c r="E6699" s="90"/>
      <c r="F6699" s="508" t="e">
        <f t="shared" si="392"/>
        <v>#VALUE!</v>
      </c>
      <c r="G6699" s="519"/>
      <c r="H6699" s="111"/>
      <c r="I6699">
        <f>E6699*G6678</f>
        <v>0</v>
      </c>
      <c r="J6699" s="58"/>
      <c r="K6699" s="50"/>
      <c r="L6699" s="50"/>
      <c r="M6699" s="50"/>
      <c r="N6699" s="50"/>
      <c r="O6699" s="50"/>
    </row>
    <row r="6700" spans="1:15">
      <c r="A6700" s="517" t="s">
        <v>8</v>
      </c>
      <c r="B6700" s="518">
        <f>VLOOKUP(A6700,'Materiales '!$C$2:$G$396,3,0)</f>
        <v>0</v>
      </c>
      <c r="C6700" s="88">
        <f>VLOOKUP(A6700,'Materiales '!$C$2:$G$396,3,0)</f>
        <v>0</v>
      </c>
      <c r="D6700" s="89" t="str">
        <f>VLOOKUP(A6700,'Materiales '!$C$2:$G$396,4,0)</f>
        <v>-</v>
      </c>
      <c r="E6700" s="90"/>
      <c r="F6700" s="508" t="e">
        <f t="shared" si="392"/>
        <v>#VALUE!</v>
      </c>
      <c r="G6700" s="519"/>
      <c r="H6700" s="111"/>
      <c r="I6700">
        <f>E6700*G6678</f>
        <v>0</v>
      </c>
      <c r="J6700" s="58"/>
      <c r="K6700" s="50"/>
      <c r="L6700" s="50"/>
      <c r="M6700" s="50"/>
      <c r="N6700" s="50"/>
      <c r="O6700" s="50"/>
    </row>
    <row r="6701" spans="1:15">
      <c r="A6701" s="517" t="s">
        <v>8</v>
      </c>
      <c r="B6701" s="518">
        <f>VLOOKUP(A6701,'Materiales '!$C$2:$G$396,3,0)</f>
        <v>0</v>
      </c>
      <c r="C6701" s="88">
        <f>VLOOKUP(A6701,'Materiales '!$C$2:$G$396,3,0)</f>
        <v>0</v>
      </c>
      <c r="D6701" s="89" t="str">
        <f>VLOOKUP(A6701,'Materiales '!$C$2:$G$396,4,0)</f>
        <v>-</v>
      </c>
      <c r="E6701" s="90"/>
      <c r="F6701" s="508" t="e">
        <f>E6701*D6701</f>
        <v>#VALUE!</v>
      </c>
      <c r="G6701" s="519"/>
      <c r="H6701" s="110"/>
      <c r="I6701">
        <f>E6701*G6678</f>
        <v>0</v>
      </c>
      <c r="J6701" s="58"/>
      <c r="K6701" s="50"/>
      <c r="L6701" s="50"/>
      <c r="M6701" s="50"/>
      <c r="N6701" s="50"/>
      <c r="O6701" s="50"/>
    </row>
    <row r="6702" spans="1:15">
      <c r="A6702" s="520" t="s">
        <v>4098</v>
      </c>
      <c r="B6702" s="521"/>
      <c r="C6702" s="521"/>
      <c r="D6702" s="521"/>
      <c r="E6702" s="521"/>
      <c r="F6702" s="521"/>
      <c r="G6702" s="522"/>
      <c r="H6702" s="106" t="e">
        <f>SUM(F6688:F6701)</f>
        <v>#VALUE!</v>
      </c>
      <c r="J6702" s="58"/>
      <c r="K6702" s="50"/>
      <c r="L6702" s="50"/>
      <c r="M6702" s="50"/>
      <c r="N6702" s="50"/>
      <c r="O6702" s="50"/>
    </row>
    <row r="6703" spans="1:15">
      <c r="A6703" s="523" t="s">
        <v>4220</v>
      </c>
      <c r="B6703" s="524"/>
      <c r="C6703" s="524"/>
      <c r="D6703" s="524"/>
      <c r="E6703" s="525"/>
      <c r="F6703" s="524"/>
      <c r="G6703" s="524"/>
      <c r="H6703" s="526"/>
      <c r="J6703" s="58"/>
      <c r="K6703" s="50"/>
      <c r="L6703" s="50"/>
      <c r="M6703" s="50"/>
      <c r="N6703" s="50"/>
      <c r="O6703" s="50"/>
    </row>
    <row r="6704" spans="1:15">
      <c r="A6704" s="527" t="s">
        <v>7</v>
      </c>
      <c r="B6704" s="528"/>
      <c r="C6704" s="98" t="s">
        <v>4221</v>
      </c>
      <c r="D6704" s="97" t="s">
        <v>4222</v>
      </c>
      <c r="E6704" s="187" t="s">
        <v>4223</v>
      </c>
      <c r="F6704" s="529" t="s">
        <v>4207</v>
      </c>
      <c r="G6704" s="529"/>
      <c r="H6704" s="109"/>
      <c r="K6704" s="50"/>
      <c r="L6704" s="50"/>
      <c r="M6704" s="50"/>
      <c r="N6704" s="50"/>
      <c r="O6704" s="50"/>
    </row>
    <row r="6705" spans="1:13">
      <c r="A6705" s="506" t="s">
        <v>3928</v>
      </c>
      <c r="B6705" s="507"/>
      <c r="C6705" s="213">
        <v>1</v>
      </c>
      <c r="D6705" s="92">
        <v>5.0000000000000001E-3</v>
      </c>
      <c r="E6705" s="93" t="str">
        <f>VLOOKUP(A6705,'Equip, Herr y Transp'!$B$2:$E$217,3,0)</f>
        <v>TR</v>
      </c>
      <c r="F6705" s="530" t="e">
        <f>E6705*D6705*C6705</f>
        <v>#VALUE!</v>
      </c>
      <c r="G6705" s="531"/>
      <c r="H6705" s="107"/>
      <c r="M6705" s="50"/>
    </row>
    <row r="6706" spans="1:13">
      <c r="A6706" s="532" t="s">
        <v>4205</v>
      </c>
      <c r="B6706" s="533"/>
      <c r="C6706" s="533"/>
      <c r="D6706" s="533"/>
      <c r="E6706" s="533"/>
      <c r="F6706" s="533"/>
      <c r="G6706" s="533"/>
      <c r="H6706" s="95" t="e">
        <f>F6705</f>
        <v>#VALUE!</v>
      </c>
    </row>
    <row r="6707" spans="1:13">
      <c r="A6707" s="523" t="s">
        <v>4224</v>
      </c>
      <c r="B6707" s="524"/>
      <c r="C6707" s="524"/>
      <c r="D6707" s="524"/>
      <c r="E6707" s="524"/>
      <c r="F6707" s="524"/>
      <c r="G6707" s="524"/>
      <c r="H6707" s="526"/>
    </row>
    <row r="6708" spans="1:13">
      <c r="A6708" s="527" t="s">
        <v>7</v>
      </c>
      <c r="B6708" s="528"/>
      <c r="C6708" s="96" t="s">
        <v>1</v>
      </c>
      <c r="D6708" s="97" t="s">
        <v>4225</v>
      </c>
      <c r="E6708" s="98" t="s">
        <v>4204</v>
      </c>
      <c r="F6708" s="527" t="s">
        <v>5</v>
      </c>
      <c r="G6708" s="534"/>
      <c r="H6708" s="109"/>
    </row>
    <row r="6709" spans="1:13">
      <c r="A6709" s="506" t="s">
        <v>4191</v>
      </c>
      <c r="B6709" s="507"/>
      <c r="C6709" s="91">
        <v>1</v>
      </c>
      <c r="D6709" s="94">
        <f>VLOOKUP(A6709,'Mano Obra'!$B$2:$T$117,19,0)</f>
        <v>152456</v>
      </c>
      <c r="E6709" s="218">
        <f>H6671</f>
        <v>1.67E-2</v>
      </c>
      <c r="F6709" s="508">
        <f>E6709*D6709*C6709</f>
        <v>2546.0151999999998</v>
      </c>
      <c r="G6709" s="509"/>
      <c r="H6709" s="111"/>
      <c r="I6709" s="59"/>
      <c r="J6709" s="117">
        <f>((('Mano Obra'!$M$4/30)*F6709)/D6709)*G6678</f>
        <v>0</v>
      </c>
    </row>
    <row r="6710" spans="1:13">
      <c r="A6710" s="510" t="s">
        <v>4192</v>
      </c>
      <c r="B6710" s="511">
        <f>VLOOKUP(A6710,'Mano Obra'!$B$3:$D$290,2,0)</f>
        <v>1900000</v>
      </c>
      <c r="C6710" s="91">
        <v>1</v>
      </c>
      <c r="D6710" s="94">
        <f>VLOOKUP(A6710,'Mano Obra'!$B$2:$T$117,19,0)</f>
        <v>110488</v>
      </c>
      <c r="E6710" s="218">
        <f>H6671</f>
        <v>1.67E-2</v>
      </c>
      <c r="F6710" s="508">
        <f t="shared" ref="F6710:F6711" si="393">E6710*D6710*C6710</f>
        <v>1845.1496</v>
      </c>
      <c r="G6710" s="509"/>
      <c r="H6710" s="111"/>
      <c r="J6710" s="117">
        <f>((('Mano Obra'!$M$5/30)*F6710)/D6710)*G6678</f>
        <v>0</v>
      </c>
    </row>
    <row r="6711" spans="1:13">
      <c r="A6711" s="510" t="s">
        <v>4181</v>
      </c>
      <c r="B6711" s="511">
        <f>VLOOKUP(A6711,'Mano Obra'!$B$3:$D$290,2,0)</f>
        <v>1000000</v>
      </c>
      <c r="C6711" s="91">
        <v>1</v>
      </c>
      <c r="D6711" s="94">
        <f>VLOOKUP(A6711,'Mano Obra'!$B$2:$T$117,19,0)</f>
        <v>67424</v>
      </c>
      <c r="E6711" s="218">
        <f>H6671</f>
        <v>1.67E-2</v>
      </c>
      <c r="F6711" s="508">
        <f t="shared" si="393"/>
        <v>1125.9808</v>
      </c>
      <c r="G6711" s="509"/>
      <c r="H6711" s="110"/>
      <c r="J6711" s="117">
        <f>((('Mano Obra'!$M$6/30)*F6711)/D6711)*G6678</f>
        <v>0</v>
      </c>
    </row>
    <row r="6712" spans="1:13">
      <c r="A6712" s="512" t="s">
        <v>4100</v>
      </c>
      <c r="B6712" s="512"/>
      <c r="C6712" s="512"/>
      <c r="D6712" s="512"/>
      <c r="E6712" s="512"/>
      <c r="F6712" s="512"/>
      <c r="G6712" s="512"/>
      <c r="H6712" s="95">
        <f>SUM(F6709:F6711)</f>
        <v>5517.1455999999998</v>
      </c>
      <c r="J6712" s="117"/>
    </row>
    <row r="6713" spans="1:13">
      <c r="A6713" s="208" t="s">
        <v>4226</v>
      </c>
      <c r="B6713" s="186"/>
      <c r="C6713" s="186"/>
      <c r="D6713" s="183"/>
      <c r="E6713" s="184"/>
      <c r="F6713" s="185"/>
      <c r="G6713" s="184"/>
      <c r="H6713" s="193"/>
    </row>
    <row r="6714" spans="1:13">
      <c r="A6714" s="513" t="s">
        <v>4213</v>
      </c>
      <c r="B6714" s="514"/>
      <c r="C6714" s="514"/>
      <c r="D6714" s="514"/>
      <c r="E6714" s="181"/>
      <c r="F6714" s="182" t="s">
        <v>4227</v>
      </c>
      <c r="G6714" s="181" t="s">
        <v>4228</v>
      </c>
      <c r="H6714" s="194"/>
    </row>
    <row r="6715" spans="1:13">
      <c r="A6715" s="204" t="s">
        <v>4096</v>
      </c>
      <c r="B6715" s="62"/>
      <c r="C6715" s="62"/>
      <c r="D6715" s="63"/>
      <c r="E6715" s="68"/>
      <c r="F6715" s="69">
        <v>0</v>
      </c>
      <c r="G6715" s="70" t="e">
        <f>F6715*H6679</f>
        <v>#VALUE!</v>
      </c>
      <c r="H6715" s="193"/>
    </row>
    <row r="6716" spans="1:13">
      <c r="A6716" s="205" t="s">
        <v>4229</v>
      </c>
      <c r="B6716" s="71"/>
      <c r="C6716" s="71"/>
      <c r="D6716" s="72"/>
      <c r="E6716" s="68"/>
      <c r="F6716" s="69">
        <v>0</v>
      </c>
      <c r="G6716" s="70" t="e">
        <f>F6716*H6679</f>
        <v>#VALUE!</v>
      </c>
      <c r="H6716" s="193"/>
    </row>
    <row r="6717" spans="1:13">
      <c r="A6717" s="205" t="s">
        <v>4</v>
      </c>
      <c r="B6717" s="71"/>
      <c r="C6717" s="71"/>
      <c r="D6717" s="72"/>
      <c r="E6717" s="68"/>
      <c r="F6717" s="69">
        <v>0</v>
      </c>
      <c r="G6717" s="70" t="e">
        <f>F6717*H6679</f>
        <v>#VALUE!</v>
      </c>
      <c r="H6717" s="193"/>
    </row>
    <row r="6718" spans="1:13">
      <c r="A6718" s="206"/>
      <c r="B6718" s="73"/>
      <c r="C6718" s="65"/>
      <c r="D6718" s="74"/>
      <c r="E6718" s="75"/>
      <c r="F6718" s="76"/>
      <c r="G6718" s="77"/>
      <c r="H6718" s="195"/>
    </row>
    <row r="6719" spans="1:13">
      <c r="A6719" s="207"/>
      <c r="B6719" s="73"/>
      <c r="C6719" s="73"/>
      <c r="D6719" s="74"/>
      <c r="E6719" s="78"/>
      <c r="F6719" s="515" t="s">
        <v>4230</v>
      </c>
      <c r="G6719" s="516"/>
      <c r="H6719" s="214" t="e">
        <f>H6679+G6715+G6716+G6717</f>
        <v>#VALUE!</v>
      </c>
    </row>
    <row r="6721" spans="1:14">
      <c r="A6721" s="80"/>
      <c r="B6721" s="80"/>
      <c r="C6721" s="80"/>
      <c r="D6721" s="80"/>
      <c r="E6721" s="80"/>
      <c r="F6721" s="80"/>
      <c r="G6721" s="80"/>
      <c r="H6721" s="353"/>
    </row>
    <row r="6722" spans="1:14">
      <c r="A6722" s="537" t="s">
        <v>4214</v>
      </c>
      <c r="B6722" s="538"/>
      <c r="C6722" s="538"/>
      <c r="D6722" s="538"/>
      <c r="E6722" s="538"/>
      <c r="F6722" s="538"/>
      <c r="G6722" s="538"/>
      <c r="H6722" s="539"/>
    </row>
    <row r="6723" spans="1:14">
      <c r="A6723" s="81"/>
      <c r="B6723" s="82"/>
      <c r="C6723" s="82"/>
      <c r="D6723" s="82"/>
      <c r="E6723" s="82"/>
      <c r="F6723" s="83"/>
      <c r="G6723" s="84"/>
      <c r="H6723" s="352">
        <f>ROUND((4/60)/8,4)</f>
        <v>8.3000000000000001E-3</v>
      </c>
      <c r="I6723" s="105"/>
    </row>
    <row r="6724" spans="1:14">
      <c r="A6724" s="540" t="s">
        <v>4209</v>
      </c>
      <c r="B6724" s="542" t="str">
        <f>COSTOS!$C$14</f>
        <v>MODERNIZACION A TECNOLOGIA LED</v>
      </c>
      <c r="C6724" s="542"/>
      <c r="D6724" s="542"/>
      <c r="E6724" s="542"/>
      <c r="F6724" s="542"/>
      <c r="G6724" s="542"/>
      <c r="H6724" s="543" t="s">
        <v>4210</v>
      </c>
    </row>
    <row r="6725" spans="1:14">
      <c r="A6725" s="541"/>
      <c r="B6725" s="542"/>
      <c r="C6725" s="542"/>
      <c r="D6725" s="542"/>
      <c r="E6725" s="542"/>
      <c r="F6725" s="542"/>
      <c r="G6725" s="542"/>
      <c r="H6725" s="543"/>
    </row>
    <row r="6726" spans="1:14">
      <c r="A6726" s="541"/>
      <c r="B6726" s="542"/>
      <c r="C6726" s="542"/>
      <c r="D6726" s="542"/>
      <c r="E6726" s="542"/>
      <c r="F6726" s="542"/>
      <c r="G6726" s="542"/>
      <c r="H6726" s="543"/>
    </row>
    <row r="6727" spans="1:14" ht="15" customHeight="1">
      <c r="A6727" s="541"/>
      <c r="B6727" s="542"/>
      <c r="C6727" s="542"/>
      <c r="D6727" s="542"/>
      <c r="E6727" s="542"/>
      <c r="F6727" s="542"/>
      <c r="G6727" s="542"/>
      <c r="H6727" s="197">
        <f ca="1">TODAY()</f>
        <v>44889</v>
      </c>
      <c r="K6727" t="s">
        <v>4380</v>
      </c>
      <c r="L6727" t="s">
        <v>4381</v>
      </c>
      <c r="M6727" t="s">
        <v>4382</v>
      </c>
      <c r="N6727" t="s">
        <v>4383</v>
      </c>
    </row>
    <row r="6728" spans="1:14" ht="60.75" customHeight="1">
      <c r="A6728" s="209" t="s">
        <v>4211</v>
      </c>
      <c r="B6728" s="544" t="str">
        <f>COSTOS!$D$16</f>
        <v>Luminarias</v>
      </c>
      <c r="C6728" s="544"/>
      <c r="D6728" s="544"/>
      <c r="E6728" s="544"/>
      <c r="F6728" s="544"/>
      <c r="G6728" s="60" t="s">
        <v>4212</v>
      </c>
      <c r="H6728" s="363">
        <v>3.23</v>
      </c>
      <c r="K6728" s="55" t="e">
        <f>H6754</f>
        <v>#VALUE!</v>
      </c>
      <c r="L6728" s="55">
        <f>H6764</f>
        <v>2742.0544</v>
      </c>
      <c r="M6728" s="55" t="e">
        <f>H6737</f>
        <v>#VALUE!</v>
      </c>
      <c r="N6728" s="55" t="e">
        <f>H6758</f>
        <v>#VALUE!</v>
      </c>
    </row>
    <row r="6729" spans="1:14" ht="43.2" customHeight="1">
      <c r="A6729" s="210" t="s">
        <v>4213</v>
      </c>
      <c r="B6729" s="545" t="str">
        <f>VLOOKUP(H6728,COSTOS!C:M,2,0)</f>
        <v>Red canalizada en cable aluminio 1/0 x500m</v>
      </c>
      <c r="C6729" s="546"/>
      <c r="D6729" s="546"/>
      <c r="E6729" s="547"/>
      <c r="F6729" s="61" t="s">
        <v>0</v>
      </c>
      <c r="G6729" s="328" t="str">
        <f>VLOOKUP(H6728,COSTOS!C:M,8,0)</f>
        <v>Und</v>
      </c>
      <c r="H6729" s="248"/>
      <c r="I6729" s="278"/>
      <c r="J6729" s="280"/>
      <c r="K6729" s="280"/>
      <c r="L6729" s="280"/>
    </row>
    <row r="6730" spans="1:14">
      <c r="A6730" s="211"/>
      <c r="B6730" s="102"/>
      <c r="C6730" s="102"/>
      <c r="D6730" s="102"/>
      <c r="E6730" s="103"/>
      <c r="F6730" s="104" t="s">
        <v>1</v>
      </c>
      <c r="G6730" s="328">
        <f>VLOOKUP(H6728,COSTOS!C:M,9,0)</f>
        <v>0</v>
      </c>
      <c r="H6730" s="329"/>
      <c r="I6730" s="279"/>
    </row>
    <row r="6731" spans="1:14">
      <c r="A6731" s="212" t="s">
        <v>4215</v>
      </c>
      <c r="B6731" s="65"/>
      <c r="C6731" s="65"/>
      <c r="D6731" s="66"/>
      <c r="E6731" s="190"/>
      <c r="F6731" s="191"/>
      <c r="G6731" s="192" t="s">
        <v>4216</v>
      </c>
      <c r="H6731" s="198" t="e">
        <f>H6737+H6754+H6758+H6764</f>
        <v>#VALUE!</v>
      </c>
    </row>
    <row r="6732" spans="1:14" ht="41.4">
      <c r="A6732" s="548" t="s">
        <v>4213</v>
      </c>
      <c r="B6732" s="548"/>
      <c r="C6732" s="548"/>
      <c r="D6732" s="67" t="s">
        <v>0</v>
      </c>
      <c r="E6732" s="188" t="s">
        <v>4217</v>
      </c>
      <c r="F6732" s="189" t="s">
        <v>4204</v>
      </c>
      <c r="G6732" s="64" t="s">
        <v>2</v>
      </c>
      <c r="H6732" s="199" t="s">
        <v>4218</v>
      </c>
      <c r="K6732" s="281"/>
    </row>
    <row r="6733" spans="1:14">
      <c r="A6733" s="517" t="s">
        <v>3946</v>
      </c>
      <c r="B6733" s="549">
        <f>VLOOKUP(A6733,'Equip, Herr y Transp'!$B$2:$E$738,2,0)</f>
        <v>2</v>
      </c>
      <c r="C6733" s="549"/>
      <c r="D6733" s="85">
        <f>VLOOKUP(A6733,'Equip, Herr y Transp'!$B$2:$E$217,2,0)</f>
        <v>2</v>
      </c>
      <c r="E6733" s="85" t="str">
        <f>VLOOKUP(A6733,'Equip, Herr y Transp'!$B$2:$E$217,3,0)</f>
        <v>EQU</v>
      </c>
      <c r="F6733" s="86">
        <f>H6723</f>
        <v>8.3000000000000001E-3</v>
      </c>
      <c r="G6733" s="112" t="e">
        <f>F6733*E6733</f>
        <v>#VALUE!</v>
      </c>
      <c r="H6733" s="108"/>
    </row>
    <row r="6734" spans="1:14">
      <c r="A6734" s="517" t="s">
        <v>3904</v>
      </c>
      <c r="B6734" s="549">
        <f>VLOOKUP(A6734,'Equip, Herr y Transp'!$B$2:$E$738,2,0)</f>
        <v>2</v>
      </c>
      <c r="C6734" s="549"/>
      <c r="D6734" s="85">
        <f>VLOOKUP(A6734,'Equip, Herr y Transp'!$B$2:$E$217,2,0)</f>
        <v>2</v>
      </c>
      <c r="E6734" s="85" t="str">
        <f>VLOOKUP(A6734,'Equip, Herr y Transp'!$B$2:$E$217,3,0)</f>
        <v>EQU</v>
      </c>
      <c r="F6734" s="86">
        <f>H6723</f>
        <v>8.3000000000000001E-3</v>
      </c>
      <c r="G6734" s="112" t="e">
        <f>F6734*E6734</f>
        <v>#VALUE!</v>
      </c>
      <c r="H6734" s="107"/>
    </row>
    <row r="6735" spans="1:14">
      <c r="A6735" s="517" t="s">
        <v>8</v>
      </c>
      <c r="B6735" s="549" t="e">
        <f>VLOOKUP(A6735,'Equip, Herr y Transp'!$B$2:$E$738,2,0)</f>
        <v>#N/A</v>
      </c>
      <c r="C6735" s="549"/>
      <c r="D6735" s="85" t="e">
        <f>VLOOKUP(A6735,'Equip, Herr y Transp'!$B$2:$E$217,2,0)</f>
        <v>#N/A</v>
      </c>
      <c r="E6735" s="85" t="e">
        <f>VLOOKUP(A6735,'Equip, Herr y Transp'!$B$2:$E$217,3,0)</f>
        <v>#N/A</v>
      </c>
      <c r="F6735" s="86">
        <f>H6723</f>
        <v>8.3000000000000001E-3</v>
      </c>
      <c r="G6735" s="112" t="e">
        <f>F6735*E6735</f>
        <v>#N/A</v>
      </c>
      <c r="H6735" s="107"/>
    </row>
    <row r="6736" spans="1:14">
      <c r="A6736" s="517" t="s">
        <v>8</v>
      </c>
      <c r="B6736" s="549" t="e">
        <f>VLOOKUP(A6736,'Equip, Herr y Transp'!$B$2:$E$738,2,0)</f>
        <v>#N/A</v>
      </c>
      <c r="C6736" s="549"/>
      <c r="D6736" s="85" t="e">
        <f>VLOOKUP(A6736,'Equip, Herr y Transp'!$B$2:$E$217,2,0)</f>
        <v>#N/A</v>
      </c>
      <c r="E6736" s="85" t="e">
        <f>VLOOKUP(A6736,'Equip, Herr y Transp'!$B$2:$E$217,3,0)</f>
        <v>#N/A</v>
      </c>
      <c r="F6736" s="86">
        <f>H6723</f>
        <v>8.3000000000000001E-3</v>
      </c>
      <c r="G6736" s="112" t="e">
        <f>F6736*E6736</f>
        <v>#N/A</v>
      </c>
      <c r="H6736" s="107"/>
    </row>
    <row r="6737" spans="1:15">
      <c r="A6737" s="520" t="s">
        <v>4099</v>
      </c>
      <c r="B6737" s="521"/>
      <c r="C6737" s="521"/>
      <c r="D6737" s="521"/>
      <c r="E6737" s="521"/>
      <c r="F6737" s="521"/>
      <c r="G6737" s="521"/>
      <c r="H6737" s="87" t="e">
        <f>SUM(G6733:G6736)</f>
        <v>#VALUE!</v>
      </c>
    </row>
    <row r="6738" spans="1:15">
      <c r="A6738" s="550" t="s">
        <v>4219</v>
      </c>
      <c r="B6738" s="551"/>
      <c r="C6738" s="551"/>
      <c r="D6738" s="551"/>
      <c r="E6738" s="551"/>
      <c r="F6738" s="551"/>
      <c r="G6738" s="551"/>
      <c r="H6738" s="552"/>
      <c r="K6738" s="50"/>
      <c r="L6738" s="50"/>
      <c r="M6738" s="50"/>
      <c r="N6738" s="50"/>
      <c r="O6738" s="50"/>
    </row>
    <row r="6739" spans="1:15" ht="30" customHeight="1">
      <c r="A6739" s="553" t="s">
        <v>7</v>
      </c>
      <c r="B6739" s="554"/>
      <c r="C6739" s="99" t="s">
        <v>0</v>
      </c>
      <c r="D6739" s="100" t="s">
        <v>4097</v>
      </c>
      <c r="E6739" s="101" t="s">
        <v>1</v>
      </c>
      <c r="F6739" s="555" t="s">
        <v>4207</v>
      </c>
      <c r="G6739" s="555"/>
      <c r="H6739" s="196"/>
      <c r="K6739" s="50"/>
      <c r="L6739" s="50"/>
      <c r="M6739" s="50"/>
      <c r="N6739" s="50"/>
      <c r="O6739" s="50"/>
    </row>
    <row r="6740" spans="1:15">
      <c r="A6740" s="535" t="s">
        <v>4794</v>
      </c>
      <c r="B6740" s="536"/>
      <c r="C6740" s="88">
        <f>VLOOKUP(A6740,'Materiales '!$C$2:$G$396,3,0)</f>
        <v>2</v>
      </c>
      <c r="D6740" s="89" t="str">
        <f>VLOOKUP(A6740,'Materiales '!$C$2:$G$396,4,0)</f>
        <v>Ml</v>
      </c>
      <c r="E6740" s="90">
        <v>1</v>
      </c>
      <c r="F6740" s="508" t="e">
        <f>E6740*D6740</f>
        <v>#VALUE!</v>
      </c>
      <c r="G6740" s="519"/>
      <c r="H6740" s="111"/>
      <c r="I6740">
        <f>E6740*G6730</f>
        <v>0</v>
      </c>
      <c r="J6740" s="57"/>
      <c r="K6740" s="50"/>
      <c r="L6740" s="50"/>
      <c r="M6740" s="50"/>
      <c r="N6740" s="50"/>
      <c r="O6740" s="50"/>
    </row>
    <row r="6741" spans="1:15">
      <c r="A6741" s="535" t="s">
        <v>8</v>
      </c>
      <c r="B6741" s="536"/>
      <c r="C6741" s="88">
        <f>VLOOKUP(A6741,'Materiales '!$C$2:$G$396,3,0)</f>
        <v>0</v>
      </c>
      <c r="D6741" s="89" t="str">
        <f>VLOOKUP(A6741,'Materiales '!$C$2:$G$396,4,0)</f>
        <v>-</v>
      </c>
      <c r="E6741" s="90">
        <f>3/25</f>
        <v>0.12</v>
      </c>
      <c r="F6741" s="508" t="e">
        <f t="shared" ref="F6741:F6747" si="394">E6741*D6741</f>
        <v>#VALUE!</v>
      </c>
      <c r="G6741" s="519"/>
      <c r="H6741" s="111"/>
      <c r="I6741">
        <f>E6741*G6730</f>
        <v>0</v>
      </c>
      <c r="J6741" s="57"/>
      <c r="K6741" s="50"/>
      <c r="L6741" s="50"/>
      <c r="M6741" s="50"/>
      <c r="N6741" s="50"/>
      <c r="O6741" s="50"/>
    </row>
    <row r="6742" spans="1:15">
      <c r="A6742" s="517" t="s">
        <v>8</v>
      </c>
      <c r="B6742" s="518">
        <f>VLOOKUP(A6742,'Materiales '!$C$2:$G$396,3,0)</f>
        <v>0</v>
      </c>
      <c r="C6742" s="88">
        <f>VLOOKUP(A6742,'Materiales '!$C$2:$G$396,3,0)</f>
        <v>0</v>
      </c>
      <c r="D6742" s="89" t="str">
        <f>VLOOKUP(A6742,'Materiales '!$C$2:$G$396,4,0)</f>
        <v>-</v>
      </c>
      <c r="E6742" s="90">
        <f>3/25</f>
        <v>0.12</v>
      </c>
      <c r="F6742" s="508" t="e">
        <f t="shared" si="394"/>
        <v>#VALUE!</v>
      </c>
      <c r="G6742" s="519"/>
      <c r="H6742" s="111"/>
      <c r="I6742">
        <f>E6742*G6730</f>
        <v>0</v>
      </c>
      <c r="J6742" s="58"/>
      <c r="K6742" s="50"/>
      <c r="L6742" s="50"/>
      <c r="M6742" s="50"/>
      <c r="N6742" s="50"/>
      <c r="O6742" s="50"/>
    </row>
    <row r="6743" spans="1:15">
      <c r="A6743" s="517" t="s">
        <v>8</v>
      </c>
      <c r="B6743" s="518">
        <f>VLOOKUP(A6743,'Materiales '!$C$2:$G$396,3,0)</f>
        <v>0</v>
      </c>
      <c r="C6743" s="88">
        <f>VLOOKUP(A6743,'Materiales '!$C$2:$G$396,3,0)</f>
        <v>0</v>
      </c>
      <c r="D6743" s="89" t="str">
        <f>VLOOKUP(A6743,'Materiales '!$C$2:$G$396,4,0)</f>
        <v>-</v>
      </c>
      <c r="E6743" s="90"/>
      <c r="F6743" s="508" t="e">
        <f t="shared" si="394"/>
        <v>#VALUE!</v>
      </c>
      <c r="G6743" s="519"/>
      <c r="H6743" s="111"/>
      <c r="I6743">
        <f>E6743*G6730</f>
        <v>0</v>
      </c>
      <c r="J6743" s="58"/>
      <c r="K6743" s="50"/>
      <c r="L6743" s="50"/>
      <c r="M6743" s="50"/>
      <c r="N6743" s="50"/>
      <c r="O6743" s="50"/>
    </row>
    <row r="6744" spans="1:15">
      <c r="A6744" s="517" t="s">
        <v>8</v>
      </c>
      <c r="B6744" s="518">
        <f>VLOOKUP(A6744,'Materiales '!$C$2:$G$396,3,0)</f>
        <v>0</v>
      </c>
      <c r="C6744" s="88">
        <f>VLOOKUP(A6744,'Materiales '!$C$2:$G$396,3,0)</f>
        <v>0</v>
      </c>
      <c r="D6744" s="89" t="str">
        <f>VLOOKUP(A6744,'Materiales '!$C$2:$G$396,4,0)</f>
        <v>-</v>
      </c>
      <c r="E6744" s="90"/>
      <c r="F6744" s="508" t="e">
        <f t="shared" si="394"/>
        <v>#VALUE!</v>
      </c>
      <c r="G6744" s="519"/>
      <c r="H6744" s="111"/>
      <c r="I6744">
        <f>E6744*G6730</f>
        <v>0</v>
      </c>
      <c r="J6744" s="58"/>
      <c r="K6744" s="50"/>
      <c r="L6744" s="50"/>
      <c r="M6744" s="50"/>
      <c r="N6744" s="50"/>
      <c r="O6744" s="50"/>
    </row>
    <row r="6745" spans="1:15">
      <c r="A6745" s="517" t="s">
        <v>8</v>
      </c>
      <c r="B6745" s="518">
        <f>VLOOKUP(A6745,'Materiales '!$C$2:$G$396,3,0)</f>
        <v>0</v>
      </c>
      <c r="C6745" s="88">
        <f>VLOOKUP(A6745,'Materiales '!$C$2:$G$396,3,0)</f>
        <v>0</v>
      </c>
      <c r="D6745" s="89" t="str">
        <f>VLOOKUP(A6745,'Materiales '!$C$2:$G$396,4,0)</f>
        <v>-</v>
      </c>
      <c r="E6745" s="90"/>
      <c r="F6745" s="508" t="e">
        <f t="shared" si="394"/>
        <v>#VALUE!</v>
      </c>
      <c r="G6745" s="519"/>
      <c r="H6745" s="111"/>
      <c r="I6745">
        <f>E6745*G6730</f>
        <v>0</v>
      </c>
      <c r="J6745" s="58"/>
      <c r="K6745" s="50"/>
      <c r="L6745" s="50"/>
      <c r="M6745" s="50"/>
      <c r="N6745" s="50"/>
      <c r="O6745" s="50"/>
    </row>
    <row r="6746" spans="1:15">
      <c r="A6746" s="517" t="s">
        <v>8</v>
      </c>
      <c r="B6746" s="518">
        <f>VLOOKUP(A6746,'Materiales '!$C$2:$G$396,3,0)</f>
        <v>0</v>
      </c>
      <c r="C6746" s="88">
        <f>VLOOKUP(A6746,'Materiales '!$C$2:$G$396,3,0)</f>
        <v>0</v>
      </c>
      <c r="D6746" s="89" t="str">
        <f>VLOOKUP(A6746,'Materiales '!$C$2:$G$396,4,0)</f>
        <v>-</v>
      </c>
      <c r="E6746" s="90"/>
      <c r="F6746" s="508" t="e">
        <f t="shared" si="394"/>
        <v>#VALUE!</v>
      </c>
      <c r="G6746" s="519"/>
      <c r="H6746" s="111"/>
      <c r="I6746">
        <f>E6746*G6730</f>
        <v>0</v>
      </c>
      <c r="J6746" s="58"/>
      <c r="K6746" s="50"/>
      <c r="L6746" s="50"/>
      <c r="M6746" s="50"/>
      <c r="N6746" s="50"/>
      <c r="O6746" s="50"/>
    </row>
    <row r="6747" spans="1:15" ht="21.75" customHeight="1">
      <c r="A6747" s="517" t="s">
        <v>8</v>
      </c>
      <c r="B6747" s="518">
        <f>VLOOKUP(A6747,'Materiales '!$C$2:$G$396,3,0)</f>
        <v>0</v>
      </c>
      <c r="C6747" s="88">
        <f>VLOOKUP(A6747,'Materiales '!$C$2:$G$396,3,0)</f>
        <v>0</v>
      </c>
      <c r="D6747" s="89" t="str">
        <f>VLOOKUP(A6747,'Materiales '!$C$2:$G$396,4,0)</f>
        <v>-</v>
      </c>
      <c r="E6747" s="90"/>
      <c r="F6747" s="508" t="e">
        <f t="shared" si="394"/>
        <v>#VALUE!</v>
      </c>
      <c r="G6747" s="519"/>
      <c r="H6747" s="111"/>
      <c r="I6747">
        <f>E6747*G6730</f>
        <v>0</v>
      </c>
      <c r="J6747" s="58"/>
      <c r="K6747" s="50"/>
      <c r="L6747" s="50"/>
      <c r="M6747" s="50"/>
      <c r="N6747" s="50"/>
      <c r="O6747" s="50"/>
    </row>
    <row r="6748" spans="1:15">
      <c r="A6748" s="517" t="s">
        <v>8</v>
      </c>
      <c r="B6748" s="518">
        <f>VLOOKUP(A6748,'Materiales '!$C$2:$G$396,3,0)</f>
        <v>0</v>
      </c>
      <c r="C6748" s="88">
        <f>VLOOKUP(A6748,'Materiales '!$C$2:$G$396,3,0)</f>
        <v>0</v>
      </c>
      <c r="D6748" s="89" t="str">
        <f>VLOOKUP(A6748,'Materiales '!$C$2:$G$396,4,0)</f>
        <v>-</v>
      </c>
      <c r="E6748" s="90"/>
      <c r="F6748" s="508" t="e">
        <f>E6748*D6748</f>
        <v>#VALUE!</v>
      </c>
      <c r="G6748" s="519"/>
      <c r="H6748" s="110"/>
      <c r="I6748">
        <f>E6748*G6730</f>
        <v>0</v>
      </c>
      <c r="J6748" s="58"/>
      <c r="K6748" s="50"/>
      <c r="L6748" s="50"/>
      <c r="M6748" s="50"/>
      <c r="N6748" s="50"/>
      <c r="O6748" s="50"/>
    </row>
    <row r="6749" spans="1:15">
      <c r="A6749" s="517" t="s">
        <v>8</v>
      </c>
      <c r="B6749" s="518">
        <f>VLOOKUP(A6749,'Materiales '!$C$2:$G$396,3,0)</f>
        <v>0</v>
      </c>
      <c r="C6749" s="88">
        <f>VLOOKUP(A6749,'Materiales '!$C$2:$G$396,3,0)</f>
        <v>0</v>
      </c>
      <c r="D6749" s="89" t="str">
        <f>VLOOKUP(A6749,'Materiales '!$C$2:$G$396,4,0)</f>
        <v>-</v>
      </c>
      <c r="E6749" s="90"/>
      <c r="F6749" s="508" t="e">
        <f t="shared" ref="F6749:F6752" si="395">E6749*D6749</f>
        <v>#VALUE!</v>
      </c>
      <c r="G6749" s="519"/>
      <c r="H6749" s="111"/>
      <c r="I6749">
        <f>E6749*G6730</f>
        <v>0</v>
      </c>
      <c r="J6749" s="58"/>
      <c r="K6749" s="50"/>
      <c r="L6749" s="50"/>
      <c r="M6749" s="50"/>
      <c r="N6749" s="50"/>
      <c r="O6749" s="50"/>
    </row>
    <row r="6750" spans="1:15">
      <c r="A6750" s="517" t="s">
        <v>8</v>
      </c>
      <c r="B6750" s="518">
        <f>VLOOKUP(A6750,'Materiales '!$C$2:$G$396,3,0)</f>
        <v>0</v>
      </c>
      <c r="C6750" s="88">
        <f>VLOOKUP(A6750,'Materiales '!$C$2:$G$396,3,0)</f>
        <v>0</v>
      </c>
      <c r="D6750" s="89" t="str">
        <f>VLOOKUP(A6750,'Materiales '!$C$2:$G$396,4,0)</f>
        <v>-</v>
      </c>
      <c r="E6750" s="90"/>
      <c r="F6750" s="508" t="e">
        <f t="shared" si="395"/>
        <v>#VALUE!</v>
      </c>
      <c r="G6750" s="519"/>
      <c r="H6750" s="111"/>
      <c r="I6750">
        <f>E6750*G6730</f>
        <v>0</v>
      </c>
      <c r="J6750" s="58"/>
      <c r="K6750" s="50"/>
      <c r="L6750" s="50"/>
      <c r="M6750" s="50"/>
      <c r="N6750" s="50"/>
      <c r="O6750" s="50"/>
    </row>
    <row r="6751" spans="1:15">
      <c r="A6751" s="517" t="s">
        <v>8</v>
      </c>
      <c r="B6751" s="518">
        <f>VLOOKUP(A6751,'Materiales '!$C$2:$G$396,3,0)</f>
        <v>0</v>
      </c>
      <c r="C6751" s="88">
        <f>VLOOKUP(A6751,'Materiales '!$C$2:$G$396,3,0)</f>
        <v>0</v>
      </c>
      <c r="D6751" s="89" t="str">
        <f>VLOOKUP(A6751,'Materiales '!$C$2:$G$396,4,0)</f>
        <v>-</v>
      </c>
      <c r="E6751" s="90"/>
      <c r="F6751" s="508" t="e">
        <f t="shared" si="395"/>
        <v>#VALUE!</v>
      </c>
      <c r="G6751" s="519"/>
      <c r="H6751" s="111"/>
      <c r="I6751">
        <f>E6751*G6730</f>
        <v>0</v>
      </c>
      <c r="J6751" s="58"/>
      <c r="K6751" s="50"/>
      <c r="L6751" s="50"/>
      <c r="M6751" s="50"/>
      <c r="N6751" s="50"/>
      <c r="O6751" s="50"/>
    </row>
    <row r="6752" spans="1:15">
      <c r="A6752" s="517" t="s">
        <v>8</v>
      </c>
      <c r="B6752" s="518">
        <f>VLOOKUP(A6752,'Materiales '!$C$2:$G$396,3,0)</f>
        <v>0</v>
      </c>
      <c r="C6752" s="88">
        <f>VLOOKUP(A6752,'Materiales '!$C$2:$G$396,3,0)</f>
        <v>0</v>
      </c>
      <c r="D6752" s="89" t="str">
        <f>VLOOKUP(A6752,'Materiales '!$C$2:$G$396,4,0)</f>
        <v>-</v>
      </c>
      <c r="E6752" s="90"/>
      <c r="F6752" s="508" t="e">
        <f t="shared" si="395"/>
        <v>#VALUE!</v>
      </c>
      <c r="G6752" s="519"/>
      <c r="H6752" s="111"/>
      <c r="I6752">
        <f>E6752*G6730</f>
        <v>0</v>
      </c>
      <c r="J6752" s="58"/>
      <c r="K6752" s="50"/>
      <c r="L6752" s="50"/>
      <c r="M6752" s="50"/>
      <c r="N6752" s="50"/>
      <c r="O6752" s="50"/>
    </row>
    <row r="6753" spans="1:15">
      <c r="A6753" s="517" t="s">
        <v>8</v>
      </c>
      <c r="B6753" s="518">
        <f>VLOOKUP(A6753,'Materiales '!$C$2:$G$396,3,0)</f>
        <v>0</v>
      </c>
      <c r="C6753" s="88">
        <f>VLOOKUP(A6753,'Materiales '!$C$2:$G$396,3,0)</f>
        <v>0</v>
      </c>
      <c r="D6753" s="89" t="str">
        <f>VLOOKUP(A6753,'Materiales '!$C$2:$G$396,4,0)</f>
        <v>-</v>
      </c>
      <c r="E6753" s="90"/>
      <c r="F6753" s="508" t="e">
        <f>E6753*D6753</f>
        <v>#VALUE!</v>
      </c>
      <c r="G6753" s="519"/>
      <c r="H6753" s="110"/>
      <c r="I6753">
        <f>E6753*G6730</f>
        <v>0</v>
      </c>
      <c r="J6753" s="58"/>
      <c r="K6753" s="50"/>
      <c r="L6753" s="50"/>
      <c r="M6753" s="50"/>
      <c r="N6753" s="50"/>
      <c r="O6753" s="50"/>
    </row>
    <row r="6754" spans="1:15">
      <c r="A6754" s="520" t="s">
        <v>4098</v>
      </c>
      <c r="B6754" s="521"/>
      <c r="C6754" s="521"/>
      <c r="D6754" s="521"/>
      <c r="E6754" s="521"/>
      <c r="F6754" s="521"/>
      <c r="G6754" s="522"/>
      <c r="H6754" s="106" t="e">
        <f>SUM(F6740:F6753)</f>
        <v>#VALUE!</v>
      </c>
      <c r="J6754" s="58"/>
      <c r="K6754" s="50"/>
      <c r="L6754" s="50"/>
      <c r="M6754" s="50"/>
      <c r="N6754" s="50"/>
      <c r="O6754" s="50"/>
    </row>
    <row r="6755" spans="1:15">
      <c r="A6755" s="523" t="s">
        <v>4220</v>
      </c>
      <c r="B6755" s="524"/>
      <c r="C6755" s="524"/>
      <c r="D6755" s="524"/>
      <c r="E6755" s="525"/>
      <c r="F6755" s="524"/>
      <c r="G6755" s="524"/>
      <c r="H6755" s="526"/>
      <c r="J6755" s="58"/>
      <c r="K6755" s="50"/>
      <c r="L6755" s="50"/>
      <c r="M6755" s="50"/>
      <c r="N6755" s="50"/>
      <c r="O6755" s="50"/>
    </row>
    <row r="6756" spans="1:15">
      <c r="A6756" s="527" t="s">
        <v>7</v>
      </c>
      <c r="B6756" s="528"/>
      <c r="C6756" s="98" t="s">
        <v>4221</v>
      </c>
      <c r="D6756" s="97" t="s">
        <v>4222</v>
      </c>
      <c r="E6756" s="187" t="s">
        <v>4223</v>
      </c>
      <c r="F6756" s="529" t="s">
        <v>4207</v>
      </c>
      <c r="G6756" s="529"/>
      <c r="H6756" s="109"/>
      <c r="K6756" s="50"/>
      <c r="L6756" s="50"/>
      <c r="M6756" s="50"/>
      <c r="N6756" s="50"/>
      <c r="O6756" s="50"/>
    </row>
    <row r="6757" spans="1:15">
      <c r="A6757" s="506" t="s">
        <v>3928</v>
      </c>
      <c r="B6757" s="507"/>
      <c r="C6757" s="213">
        <v>1</v>
      </c>
      <c r="D6757" s="92">
        <v>5.0000000000000001E-3</v>
      </c>
      <c r="E6757" s="93" t="str">
        <f>VLOOKUP(A6757,'Equip, Herr y Transp'!$B$2:$E$217,3,0)</f>
        <v>TR</v>
      </c>
      <c r="F6757" s="530" t="e">
        <f>E6757*D6757*C6757</f>
        <v>#VALUE!</v>
      </c>
      <c r="G6757" s="531"/>
      <c r="H6757" s="107"/>
      <c r="M6757" s="50"/>
    </row>
    <row r="6758" spans="1:15">
      <c r="A6758" s="532" t="s">
        <v>4205</v>
      </c>
      <c r="B6758" s="533"/>
      <c r="C6758" s="533"/>
      <c r="D6758" s="533"/>
      <c r="E6758" s="533"/>
      <c r="F6758" s="533"/>
      <c r="G6758" s="533"/>
      <c r="H6758" s="95" t="e">
        <f>F6757</f>
        <v>#VALUE!</v>
      </c>
    </row>
    <row r="6759" spans="1:15">
      <c r="A6759" s="523" t="s">
        <v>4224</v>
      </c>
      <c r="B6759" s="524"/>
      <c r="C6759" s="524"/>
      <c r="D6759" s="524"/>
      <c r="E6759" s="524"/>
      <c r="F6759" s="524"/>
      <c r="G6759" s="524"/>
      <c r="H6759" s="526"/>
    </row>
    <row r="6760" spans="1:15">
      <c r="A6760" s="527" t="s">
        <v>7</v>
      </c>
      <c r="B6760" s="528"/>
      <c r="C6760" s="96" t="s">
        <v>1</v>
      </c>
      <c r="D6760" s="97" t="s">
        <v>4225</v>
      </c>
      <c r="E6760" s="98" t="s">
        <v>4204</v>
      </c>
      <c r="F6760" s="527" t="s">
        <v>5</v>
      </c>
      <c r="G6760" s="534"/>
      <c r="H6760" s="109"/>
    </row>
    <row r="6761" spans="1:15">
      <c r="A6761" s="506" t="s">
        <v>4191</v>
      </c>
      <c r="B6761" s="507"/>
      <c r="C6761" s="91">
        <v>1</v>
      </c>
      <c r="D6761" s="94">
        <f>VLOOKUP(A6761,'Mano Obra'!$B$2:$T$117,19,0)</f>
        <v>152456</v>
      </c>
      <c r="E6761" s="218">
        <f>H6723</f>
        <v>8.3000000000000001E-3</v>
      </c>
      <c r="F6761" s="508">
        <f>E6761*D6761*C6761</f>
        <v>1265.3848</v>
      </c>
      <c r="G6761" s="509"/>
      <c r="H6761" s="111"/>
      <c r="I6761" s="59"/>
      <c r="J6761" s="117">
        <f>((('Mano Obra'!$M$4/30)*F6761)/D6761)*G6730</f>
        <v>0</v>
      </c>
    </row>
    <row r="6762" spans="1:15">
      <c r="A6762" s="510" t="s">
        <v>4192</v>
      </c>
      <c r="B6762" s="511">
        <f>VLOOKUP(A6762,'Mano Obra'!$B$3:$D$290,2,0)</f>
        <v>1900000</v>
      </c>
      <c r="C6762" s="91">
        <v>1</v>
      </c>
      <c r="D6762" s="94">
        <f>VLOOKUP(A6762,'Mano Obra'!$B$2:$T$117,19,0)</f>
        <v>110488</v>
      </c>
      <c r="E6762" s="218">
        <f>H6723</f>
        <v>8.3000000000000001E-3</v>
      </c>
      <c r="F6762" s="508">
        <f t="shared" ref="F6762:F6763" si="396">E6762*D6762*C6762</f>
        <v>917.05039999999997</v>
      </c>
      <c r="G6762" s="509"/>
      <c r="H6762" s="111"/>
      <c r="J6762" s="117">
        <f>((('Mano Obra'!$M$5/30)*F6762)/D6762)*G6730</f>
        <v>0</v>
      </c>
    </row>
    <row r="6763" spans="1:15">
      <c r="A6763" s="510" t="s">
        <v>4181</v>
      </c>
      <c r="B6763" s="511">
        <f>VLOOKUP(A6763,'Mano Obra'!$B$3:$D$290,2,0)</f>
        <v>1000000</v>
      </c>
      <c r="C6763" s="91">
        <v>1</v>
      </c>
      <c r="D6763" s="94">
        <f>VLOOKUP(A6763,'Mano Obra'!$B$2:$T$117,19,0)</f>
        <v>67424</v>
      </c>
      <c r="E6763" s="218">
        <f>H6723</f>
        <v>8.3000000000000001E-3</v>
      </c>
      <c r="F6763" s="508">
        <f t="shared" si="396"/>
        <v>559.61919999999998</v>
      </c>
      <c r="G6763" s="509"/>
      <c r="H6763" s="110"/>
      <c r="J6763" s="117">
        <f>((('Mano Obra'!$M$6/30)*F6763)/D6763)*G6730</f>
        <v>0</v>
      </c>
    </row>
    <row r="6764" spans="1:15">
      <c r="A6764" s="512" t="s">
        <v>4100</v>
      </c>
      <c r="B6764" s="512"/>
      <c r="C6764" s="512"/>
      <c r="D6764" s="512"/>
      <c r="E6764" s="512"/>
      <c r="F6764" s="512"/>
      <c r="G6764" s="512"/>
      <c r="H6764" s="95">
        <f>SUM(F6761:F6763)</f>
        <v>2742.0544</v>
      </c>
      <c r="J6764" s="117"/>
    </row>
    <row r="6765" spans="1:15">
      <c r="A6765" s="208" t="s">
        <v>4226</v>
      </c>
      <c r="B6765" s="186"/>
      <c r="C6765" s="186"/>
      <c r="D6765" s="183"/>
      <c r="E6765" s="184"/>
      <c r="F6765" s="185"/>
      <c r="G6765" s="184"/>
      <c r="H6765" s="193"/>
    </row>
    <row r="6766" spans="1:15">
      <c r="A6766" s="513" t="s">
        <v>4213</v>
      </c>
      <c r="B6766" s="514"/>
      <c r="C6766" s="514"/>
      <c r="D6766" s="514"/>
      <c r="E6766" s="181"/>
      <c r="F6766" s="182" t="s">
        <v>4227</v>
      </c>
      <c r="G6766" s="181" t="s">
        <v>4228</v>
      </c>
      <c r="H6766" s="194"/>
    </row>
    <row r="6767" spans="1:15">
      <c r="A6767" s="204" t="s">
        <v>4096</v>
      </c>
      <c r="B6767" s="62"/>
      <c r="C6767" s="62"/>
      <c r="D6767" s="63"/>
      <c r="E6767" s="68"/>
      <c r="F6767" s="69">
        <v>0</v>
      </c>
      <c r="G6767" s="70" t="e">
        <f>F6767*H6731</f>
        <v>#VALUE!</v>
      </c>
      <c r="H6767" s="193"/>
    </row>
    <row r="6768" spans="1:15">
      <c r="A6768" s="205" t="s">
        <v>4229</v>
      </c>
      <c r="B6768" s="71"/>
      <c r="C6768" s="71"/>
      <c r="D6768" s="72"/>
      <c r="E6768" s="68"/>
      <c r="F6768" s="69">
        <v>0</v>
      </c>
      <c r="G6768" s="70" t="e">
        <f>F6768*H6731</f>
        <v>#VALUE!</v>
      </c>
      <c r="H6768" s="193"/>
    </row>
    <row r="6769" spans="1:14">
      <c r="A6769" s="205" t="s">
        <v>4</v>
      </c>
      <c r="B6769" s="71"/>
      <c r="C6769" s="71"/>
      <c r="D6769" s="72"/>
      <c r="E6769" s="68"/>
      <c r="F6769" s="69">
        <v>0</v>
      </c>
      <c r="G6769" s="70" t="e">
        <f>F6769*H6731</f>
        <v>#VALUE!</v>
      </c>
      <c r="H6769" s="193"/>
    </row>
    <row r="6770" spans="1:14">
      <c r="A6770" s="206"/>
      <c r="B6770" s="73"/>
      <c r="C6770" s="65"/>
      <c r="D6770" s="74"/>
      <c r="E6770" s="75"/>
      <c r="F6770" s="76"/>
      <c r="G6770" s="77"/>
      <c r="H6770" s="195"/>
    </row>
    <row r="6771" spans="1:14">
      <c r="A6771" s="207"/>
      <c r="B6771" s="73"/>
      <c r="C6771" s="73"/>
      <c r="D6771" s="74"/>
      <c r="E6771" s="78"/>
      <c r="F6771" s="515" t="s">
        <v>4230</v>
      </c>
      <c r="G6771" s="516"/>
      <c r="H6771" s="214" t="e">
        <f>H6731+G6767+G6768+G6769</f>
        <v>#VALUE!</v>
      </c>
    </row>
    <row r="6773" spans="1:14">
      <c r="A6773" s="80"/>
      <c r="B6773" s="80"/>
      <c r="C6773" s="80"/>
      <c r="D6773" s="80"/>
      <c r="E6773" s="80"/>
      <c r="F6773" s="80"/>
      <c r="G6773" s="80"/>
      <c r="H6773" s="353"/>
    </row>
    <row r="6774" spans="1:14">
      <c r="A6774" s="537" t="s">
        <v>4214</v>
      </c>
      <c r="B6774" s="538"/>
      <c r="C6774" s="538"/>
      <c r="D6774" s="538"/>
      <c r="E6774" s="538"/>
      <c r="F6774" s="538"/>
      <c r="G6774" s="538"/>
      <c r="H6774" s="539"/>
    </row>
    <row r="6775" spans="1:14">
      <c r="A6775" s="81"/>
      <c r="B6775" s="82"/>
      <c r="C6775" s="82"/>
      <c r="D6775" s="82"/>
      <c r="E6775" s="82"/>
      <c r="F6775" s="83"/>
      <c r="G6775" s="84"/>
      <c r="H6775" s="352">
        <f>ROUND((4/60)/8,4)</f>
        <v>8.3000000000000001E-3</v>
      </c>
      <c r="I6775" s="105"/>
    </row>
    <row r="6776" spans="1:14">
      <c r="A6776" s="540" t="s">
        <v>4209</v>
      </c>
      <c r="B6776" s="542" t="str">
        <f>COSTOS!$C$14</f>
        <v>MODERNIZACION A TECNOLOGIA LED</v>
      </c>
      <c r="C6776" s="542"/>
      <c r="D6776" s="542"/>
      <c r="E6776" s="542"/>
      <c r="F6776" s="542"/>
      <c r="G6776" s="542"/>
      <c r="H6776" s="543" t="s">
        <v>4210</v>
      </c>
    </row>
    <row r="6777" spans="1:14">
      <c r="A6777" s="541"/>
      <c r="B6777" s="542"/>
      <c r="C6777" s="542"/>
      <c r="D6777" s="542"/>
      <c r="E6777" s="542"/>
      <c r="F6777" s="542"/>
      <c r="G6777" s="542"/>
      <c r="H6777" s="543"/>
    </row>
    <row r="6778" spans="1:14">
      <c r="A6778" s="541"/>
      <c r="B6778" s="542"/>
      <c r="C6778" s="542"/>
      <c r="D6778" s="542"/>
      <c r="E6778" s="542"/>
      <c r="F6778" s="542"/>
      <c r="G6778" s="542"/>
      <c r="H6778" s="543"/>
    </row>
    <row r="6779" spans="1:14" ht="15" customHeight="1">
      <c r="A6779" s="541"/>
      <c r="B6779" s="542"/>
      <c r="C6779" s="542"/>
      <c r="D6779" s="542"/>
      <c r="E6779" s="542"/>
      <c r="F6779" s="542"/>
      <c r="G6779" s="542"/>
      <c r="H6779" s="197">
        <f ca="1">TODAY()</f>
        <v>44889</v>
      </c>
      <c r="K6779" t="s">
        <v>4380</v>
      </c>
      <c r="L6779" t="s">
        <v>4381</v>
      </c>
      <c r="M6779" t="s">
        <v>4382</v>
      </c>
      <c r="N6779" t="s">
        <v>4383</v>
      </c>
    </row>
    <row r="6780" spans="1:14" ht="60.75" customHeight="1">
      <c r="A6780" s="209" t="s">
        <v>4211</v>
      </c>
      <c r="B6780" s="544" t="str">
        <f>COSTOS!$D$16</f>
        <v>Luminarias</v>
      </c>
      <c r="C6780" s="544"/>
      <c r="D6780" s="544"/>
      <c r="E6780" s="544"/>
      <c r="F6780" s="544"/>
      <c r="G6780" s="60" t="s">
        <v>4212</v>
      </c>
      <c r="H6780" s="363">
        <v>3.24</v>
      </c>
      <c r="K6780" s="55" t="e">
        <f>H6806</f>
        <v>#VALUE!</v>
      </c>
      <c r="L6780" s="55">
        <f>H6816</f>
        <v>2742.0544</v>
      </c>
      <c r="M6780" s="55" t="e">
        <f>H6789</f>
        <v>#VALUE!</v>
      </c>
      <c r="N6780" s="55" t="e">
        <f>H6810</f>
        <v>#VALUE!</v>
      </c>
    </row>
    <row r="6781" spans="1:14" ht="43.2" customHeight="1">
      <c r="A6781" s="210" t="s">
        <v>4213</v>
      </c>
      <c r="B6781" s="545" t="str">
        <f>VLOOKUP(H6780,COSTOS!C:M,2,0)</f>
        <v>Red canalizada en cable cobre # 12 x 500m</v>
      </c>
      <c r="C6781" s="546"/>
      <c r="D6781" s="546"/>
      <c r="E6781" s="547"/>
      <c r="F6781" s="61" t="s">
        <v>0</v>
      </c>
      <c r="G6781" s="328" t="str">
        <f>VLOOKUP(H6780,COSTOS!C:M,8,0)</f>
        <v>Und</v>
      </c>
      <c r="H6781" s="248"/>
      <c r="I6781" s="278"/>
      <c r="J6781" s="280"/>
      <c r="K6781" s="280"/>
      <c r="L6781" s="280"/>
    </row>
    <row r="6782" spans="1:14">
      <c r="A6782" s="211"/>
      <c r="B6782" s="102"/>
      <c r="C6782" s="102"/>
      <c r="D6782" s="102"/>
      <c r="E6782" s="103"/>
      <c r="F6782" s="104" t="s">
        <v>1</v>
      </c>
      <c r="G6782" s="328">
        <f>VLOOKUP(H6780,COSTOS!C:M,9,0)</f>
        <v>0</v>
      </c>
      <c r="H6782" s="329"/>
      <c r="I6782" s="279"/>
    </row>
    <row r="6783" spans="1:14">
      <c r="A6783" s="212" t="s">
        <v>4215</v>
      </c>
      <c r="B6783" s="65"/>
      <c r="C6783" s="65"/>
      <c r="D6783" s="66"/>
      <c r="E6783" s="190"/>
      <c r="F6783" s="191"/>
      <c r="G6783" s="192" t="s">
        <v>4216</v>
      </c>
      <c r="H6783" s="198" t="e">
        <f>H6789+H6806+H6810+H6816</f>
        <v>#VALUE!</v>
      </c>
    </row>
    <row r="6784" spans="1:14" ht="41.4">
      <c r="A6784" s="548" t="s">
        <v>4213</v>
      </c>
      <c r="B6784" s="548"/>
      <c r="C6784" s="548"/>
      <c r="D6784" s="67" t="s">
        <v>0</v>
      </c>
      <c r="E6784" s="188" t="s">
        <v>4217</v>
      </c>
      <c r="F6784" s="189" t="s">
        <v>4204</v>
      </c>
      <c r="G6784" s="64" t="s">
        <v>2</v>
      </c>
      <c r="H6784" s="199" t="s">
        <v>4218</v>
      </c>
      <c r="K6784" s="281"/>
    </row>
    <row r="6785" spans="1:15">
      <c r="A6785" s="517" t="s">
        <v>3946</v>
      </c>
      <c r="B6785" s="549">
        <f>VLOOKUP(A6785,'Equip, Herr y Transp'!$B$2:$E$738,2,0)</f>
        <v>2</v>
      </c>
      <c r="C6785" s="549"/>
      <c r="D6785" s="85">
        <f>VLOOKUP(A6785,'Equip, Herr y Transp'!$B$2:$E$217,2,0)</f>
        <v>2</v>
      </c>
      <c r="E6785" s="85" t="str">
        <f>VLOOKUP(A6785,'Equip, Herr y Transp'!$B$2:$E$217,3,0)</f>
        <v>EQU</v>
      </c>
      <c r="F6785" s="86">
        <f>H6775</f>
        <v>8.3000000000000001E-3</v>
      </c>
      <c r="G6785" s="112" t="e">
        <f>F6785*E6785</f>
        <v>#VALUE!</v>
      </c>
      <c r="H6785" s="108"/>
    </row>
    <row r="6786" spans="1:15">
      <c r="A6786" s="517" t="s">
        <v>3904</v>
      </c>
      <c r="B6786" s="549">
        <f>VLOOKUP(A6786,'Equip, Herr y Transp'!$B$2:$E$738,2,0)</f>
        <v>2</v>
      </c>
      <c r="C6786" s="549"/>
      <c r="D6786" s="85">
        <f>VLOOKUP(A6786,'Equip, Herr y Transp'!$B$2:$E$217,2,0)</f>
        <v>2</v>
      </c>
      <c r="E6786" s="85" t="str">
        <f>VLOOKUP(A6786,'Equip, Herr y Transp'!$B$2:$E$217,3,0)</f>
        <v>EQU</v>
      </c>
      <c r="F6786" s="86">
        <f>H6775</f>
        <v>8.3000000000000001E-3</v>
      </c>
      <c r="G6786" s="112" t="e">
        <f>F6786*E6786</f>
        <v>#VALUE!</v>
      </c>
      <c r="H6786" s="107"/>
    </row>
    <row r="6787" spans="1:15">
      <c r="A6787" s="517" t="s">
        <v>8</v>
      </c>
      <c r="B6787" s="549" t="e">
        <f>VLOOKUP(A6787,'Equip, Herr y Transp'!$B$2:$E$738,2,0)</f>
        <v>#N/A</v>
      </c>
      <c r="C6787" s="549"/>
      <c r="D6787" s="85" t="e">
        <f>VLOOKUP(A6787,'Equip, Herr y Transp'!$B$2:$E$217,2,0)</f>
        <v>#N/A</v>
      </c>
      <c r="E6787" s="85" t="e">
        <f>VLOOKUP(A6787,'Equip, Herr y Transp'!$B$2:$E$217,3,0)</f>
        <v>#N/A</v>
      </c>
      <c r="F6787" s="86">
        <f>H6775</f>
        <v>8.3000000000000001E-3</v>
      </c>
      <c r="G6787" s="112" t="e">
        <f>F6787*E6787</f>
        <v>#N/A</v>
      </c>
      <c r="H6787" s="107"/>
    </row>
    <row r="6788" spans="1:15">
      <c r="A6788" s="517" t="s">
        <v>8</v>
      </c>
      <c r="B6788" s="549" t="e">
        <f>VLOOKUP(A6788,'Equip, Herr y Transp'!$B$2:$E$738,2,0)</f>
        <v>#N/A</v>
      </c>
      <c r="C6788" s="549"/>
      <c r="D6788" s="85" t="e">
        <f>VLOOKUP(A6788,'Equip, Herr y Transp'!$B$2:$E$217,2,0)</f>
        <v>#N/A</v>
      </c>
      <c r="E6788" s="85" t="e">
        <f>VLOOKUP(A6788,'Equip, Herr y Transp'!$B$2:$E$217,3,0)</f>
        <v>#N/A</v>
      </c>
      <c r="F6788" s="86">
        <f>H6775</f>
        <v>8.3000000000000001E-3</v>
      </c>
      <c r="G6788" s="112" t="e">
        <f>F6788*E6788</f>
        <v>#N/A</v>
      </c>
      <c r="H6788" s="107"/>
    </row>
    <row r="6789" spans="1:15">
      <c r="A6789" s="520" t="s">
        <v>4099</v>
      </c>
      <c r="B6789" s="521"/>
      <c r="C6789" s="521"/>
      <c r="D6789" s="521"/>
      <c r="E6789" s="521"/>
      <c r="F6789" s="521"/>
      <c r="G6789" s="521"/>
      <c r="H6789" s="87" t="e">
        <f>SUM(G6785:G6788)</f>
        <v>#VALUE!</v>
      </c>
    </row>
    <row r="6790" spans="1:15">
      <c r="A6790" s="550" t="s">
        <v>4219</v>
      </c>
      <c r="B6790" s="551"/>
      <c r="C6790" s="551"/>
      <c r="D6790" s="551"/>
      <c r="E6790" s="551"/>
      <c r="F6790" s="551"/>
      <c r="G6790" s="551"/>
      <c r="H6790" s="552"/>
      <c r="K6790" s="50"/>
      <c r="L6790" s="50"/>
      <c r="M6790" s="50"/>
      <c r="N6790" s="50"/>
      <c r="O6790" s="50"/>
    </row>
    <row r="6791" spans="1:15" ht="30" customHeight="1">
      <c r="A6791" s="553" t="s">
        <v>7</v>
      </c>
      <c r="B6791" s="554"/>
      <c r="C6791" s="99" t="s">
        <v>0</v>
      </c>
      <c r="D6791" s="100" t="s">
        <v>4097</v>
      </c>
      <c r="E6791" s="101" t="s">
        <v>1</v>
      </c>
      <c r="F6791" s="555" t="s">
        <v>4207</v>
      </c>
      <c r="G6791" s="555"/>
      <c r="H6791" s="196"/>
      <c r="K6791" s="50"/>
      <c r="L6791" s="50"/>
      <c r="M6791" s="50"/>
      <c r="N6791" s="50"/>
      <c r="O6791" s="50"/>
    </row>
    <row r="6792" spans="1:15">
      <c r="A6792" s="535" t="s">
        <v>4638</v>
      </c>
      <c r="B6792" s="536"/>
      <c r="C6792" s="88">
        <f>VLOOKUP(A6792,'Materiales '!$C$2:$G$396,3,0)</f>
        <v>2</v>
      </c>
      <c r="D6792" s="89" t="str">
        <f>VLOOKUP(A6792,'Materiales '!$C$2:$G$396,4,0)</f>
        <v>Ml</v>
      </c>
      <c r="E6792" s="90">
        <v>1</v>
      </c>
      <c r="F6792" s="508" t="e">
        <f>E6792*D6792</f>
        <v>#VALUE!</v>
      </c>
      <c r="G6792" s="519"/>
      <c r="H6792" s="111"/>
      <c r="I6792">
        <f>E6792*G6782</f>
        <v>0</v>
      </c>
      <c r="J6792" s="57"/>
      <c r="K6792" s="50"/>
      <c r="L6792" s="50"/>
      <c r="M6792" s="50"/>
      <c r="N6792" s="50"/>
      <c r="O6792" s="50"/>
    </row>
    <row r="6793" spans="1:15">
      <c r="A6793" s="535" t="s">
        <v>8</v>
      </c>
      <c r="B6793" s="536"/>
      <c r="C6793" s="88">
        <f>VLOOKUP(A6793,'Materiales '!$C$2:$G$396,3,0)</f>
        <v>0</v>
      </c>
      <c r="D6793" s="89" t="str">
        <f>VLOOKUP(A6793,'Materiales '!$C$2:$G$396,4,0)</f>
        <v>-</v>
      </c>
      <c r="E6793" s="90">
        <f>3/25</f>
        <v>0.12</v>
      </c>
      <c r="F6793" s="508" t="e">
        <f t="shared" ref="F6793:F6799" si="397">E6793*D6793</f>
        <v>#VALUE!</v>
      </c>
      <c r="G6793" s="519"/>
      <c r="H6793" s="111"/>
      <c r="I6793">
        <f>E6793*G6782</f>
        <v>0</v>
      </c>
      <c r="J6793" s="57"/>
      <c r="K6793" s="50"/>
      <c r="L6793" s="50"/>
      <c r="M6793" s="50"/>
      <c r="N6793" s="50"/>
      <c r="O6793" s="50"/>
    </row>
    <row r="6794" spans="1:15">
      <c r="A6794" s="517" t="s">
        <v>8</v>
      </c>
      <c r="B6794" s="518">
        <f>VLOOKUP(A6794,'Materiales '!$C$2:$G$396,3,0)</f>
        <v>0</v>
      </c>
      <c r="C6794" s="88">
        <f>VLOOKUP(A6794,'Materiales '!$C$2:$G$396,3,0)</f>
        <v>0</v>
      </c>
      <c r="D6794" s="89" t="str">
        <f>VLOOKUP(A6794,'Materiales '!$C$2:$G$396,4,0)</f>
        <v>-</v>
      </c>
      <c r="E6794" s="90">
        <f>3/25</f>
        <v>0.12</v>
      </c>
      <c r="F6794" s="508" t="e">
        <f t="shared" si="397"/>
        <v>#VALUE!</v>
      </c>
      <c r="G6794" s="519"/>
      <c r="H6794" s="111"/>
      <c r="I6794">
        <f>E6794*G6782</f>
        <v>0</v>
      </c>
      <c r="J6794" s="58"/>
      <c r="K6794" s="50"/>
      <c r="L6794" s="50"/>
      <c r="M6794" s="50"/>
      <c r="N6794" s="50"/>
      <c r="O6794" s="50"/>
    </row>
    <row r="6795" spans="1:15">
      <c r="A6795" s="517" t="s">
        <v>8</v>
      </c>
      <c r="B6795" s="518">
        <f>VLOOKUP(A6795,'Materiales '!$C$2:$G$396,3,0)</f>
        <v>0</v>
      </c>
      <c r="C6795" s="88">
        <f>VLOOKUP(A6795,'Materiales '!$C$2:$G$396,3,0)</f>
        <v>0</v>
      </c>
      <c r="D6795" s="89" t="str">
        <f>VLOOKUP(A6795,'Materiales '!$C$2:$G$396,4,0)</f>
        <v>-</v>
      </c>
      <c r="E6795" s="90"/>
      <c r="F6795" s="508" t="e">
        <f t="shared" si="397"/>
        <v>#VALUE!</v>
      </c>
      <c r="G6795" s="519"/>
      <c r="H6795" s="111"/>
      <c r="I6795">
        <f>E6795*G6782</f>
        <v>0</v>
      </c>
      <c r="J6795" s="58"/>
      <c r="K6795" s="50"/>
      <c r="L6795" s="50"/>
      <c r="M6795" s="50"/>
      <c r="N6795" s="50"/>
      <c r="O6795" s="50"/>
    </row>
    <row r="6796" spans="1:15">
      <c r="A6796" s="517" t="s">
        <v>8</v>
      </c>
      <c r="B6796" s="518">
        <f>VLOOKUP(A6796,'Materiales '!$C$2:$G$396,3,0)</f>
        <v>0</v>
      </c>
      <c r="C6796" s="88">
        <f>VLOOKUP(A6796,'Materiales '!$C$2:$G$396,3,0)</f>
        <v>0</v>
      </c>
      <c r="D6796" s="89" t="str">
        <f>VLOOKUP(A6796,'Materiales '!$C$2:$G$396,4,0)</f>
        <v>-</v>
      </c>
      <c r="E6796" s="90"/>
      <c r="F6796" s="508" t="e">
        <f t="shared" si="397"/>
        <v>#VALUE!</v>
      </c>
      <c r="G6796" s="519"/>
      <c r="H6796" s="111"/>
      <c r="I6796">
        <f>E6796*G6782</f>
        <v>0</v>
      </c>
      <c r="J6796" s="58"/>
      <c r="K6796" s="50"/>
      <c r="L6796" s="50"/>
      <c r="M6796" s="50"/>
      <c r="N6796" s="50"/>
      <c r="O6796" s="50"/>
    </row>
    <row r="6797" spans="1:15">
      <c r="A6797" s="517" t="s">
        <v>8</v>
      </c>
      <c r="B6797" s="518">
        <f>VLOOKUP(A6797,'Materiales '!$C$2:$G$396,3,0)</f>
        <v>0</v>
      </c>
      <c r="C6797" s="88">
        <f>VLOOKUP(A6797,'Materiales '!$C$2:$G$396,3,0)</f>
        <v>0</v>
      </c>
      <c r="D6797" s="89" t="str">
        <f>VLOOKUP(A6797,'Materiales '!$C$2:$G$396,4,0)</f>
        <v>-</v>
      </c>
      <c r="E6797" s="90"/>
      <c r="F6797" s="508" t="e">
        <f t="shared" si="397"/>
        <v>#VALUE!</v>
      </c>
      <c r="G6797" s="519"/>
      <c r="H6797" s="111"/>
      <c r="I6797">
        <f>E6797*G6782</f>
        <v>0</v>
      </c>
      <c r="J6797" s="58"/>
      <c r="K6797" s="50"/>
      <c r="L6797" s="50"/>
      <c r="M6797" s="50"/>
      <c r="N6797" s="50"/>
      <c r="O6797" s="50"/>
    </row>
    <row r="6798" spans="1:15">
      <c r="A6798" s="517" t="s">
        <v>8</v>
      </c>
      <c r="B6798" s="518">
        <f>VLOOKUP(A6798,'Materiales '!$C$2:$G$396,3,0)</f>
        <v>0</v>
      </c>
      <c r="C6798" s="88">
        <f>VLOOKUP(A6798,'Materiales '!$C$2:$G$396,3,0)</f>
        <v>0</v>
      </c>
      <c r="D6798" s="89" t="str">
        <f>VLOOKUP(A6798,'Materiales '!$C$2:$G$396,4,0)</f>
        <v>-</v>
      </c>
      <c r="E6798" s="90"/>
      <c r="F6798" s="508" t="e">
        <f t="shared" si="397"/>
        <v>#VALUE!</v>
      </c>
      <c r="G6798" s="519"/>
      <c r="H6798" s="111"/>
      <c r="I6798">
        <f>E6798*G6782</f>
        <v>0</v>
      </c>
      <c r="J6798" s="58"/>
      <c r="K6798" s="50"/>
      <c r="L6798" s="50"/>
      <c r="M6798" s="50"/>
      <c r="N6798" s="50"/>
      <c r="O6798" s="50"/>
    </row>
    <row r="6799" spans="1:15" ht="21.75" customHeight="1">
      <c r="A6799" s="517" t="s">
        <v>8</v>
      </c>
      <c r="B6799" s="518">
        <f>VLOOKUP(A6799,'Materiales '!$C$2:$G$396,3,0)</f>
        <v>0</v>
      </c>
      <c r="C6799" s="88">
        <f>VLOOKUP(A6799,'Materiales '!$C$2:$G$396,3,0)</f>
        <v>0</v>
      </c>
      <c r="D6799" s="89" t="str">
        <f>VLOOKUP(A6799,'Materiales '!$C$2:$G$396,4,0)</f>
        <v>-</v>
      </c>
      <c r="E6799" s="90"/>
      <c r="F6799" s="508" t="e">
        <f t="shared" si="397"/>
        <v>#VALUE!</v>
      </c>
      <c r="G6799" s="519"/>
      <c r="H6799" s="111"/>
      <c r="I6799">
        <f>E6799*G6782</f>
        <v>0</v>
      </c>
      <c r="J6799" s="58"/>
      <c r="K6799" s="50"/>
      <c r="L6799" s="50"/>
      <c r="M6799" s="50"/>
      <c r="N6799" s="50"/>
      <c r="O6799" s="50"/>
    </row>
    <row r="6800" spans="1:15">
      <c r="A6800" s="517" t="s">
        <v>8</v>
      </c>
      <c r="B6800" s="518">
        <f>VLOOKUP(A6800,'Materiales '!$C$2:$G$396,3,0)</f>
        <v>0</v>
      </c>
      <c r="C6800" s="88">
        <f>VLOOKUP(A6800,'Materiales '!$C$2:$G$396,3,0)</f>
        <v>0</v>
      </c>
      <c r="D6800" s="89" t="str">
        <f>VLOOKUP(A6800,'Materiales '!$C$2:$G$396,4,0)</f>
        <v>-</v>
      </c>
      <c r="E6800" s="90"/>
      <c r="F6800" s="508" t="e">
        <f>E6800*D6800</f>
        <v>#VALUE!</v>
      </c>
      <c r="G6800" s="519"/>
      <c r="H6800" s="110"/>
      <c r="I6800">
        <f>E6800*G6782</f>
        <v>0</v>
      </c>
      <c r="J6800" s="58"/>
      <c r="K6800" s="50"/>
      <c r="L6800" s="50"/>
      <c r="M6800" s="50"/>
      <c r="N6800" s="50"/>
      <c r="O6800" s="50"/>
    </row>
    <row r="6801" spans="1:15">
      <c r="A6801" s="517" t="s">
        <v>8</v>
      </c>
      <c r="B6801" s="518">
        <f>VLOOKUP(A6801,'Materiales '!$C$2:$G$396,3,0)</f>
        <v>0</v>
      </c>
      <c r="C6801" s="88">
        <f>VLOOKUP(A6801,'Materiales '!$C$2:$G$396,3,0)</f>
        <v>0</v>
      </c>
      <c r="D6801" s="89" t="str">
        <f>VLOOKUP(A6801,'Materiales '!$C$2:$G$396,4,0)</f>
        <v>-</v>
      </c>
      <c r="E6801" s="90"/>
      <c r="F6801" s="508" t="e">
        <f t="shared" ref="F6801:F6804" si="398">E6801*D6801</f>
        <v>#VALUE!</v>
      </c>
      <c r="G6801" s="519"/>
      <c r="H6801" s="111"/>
      <c r="I6801">
        <f>E6801*G6782</f>
        <v>0</v>
      </c>
      <c r="J6801" s="58"/>
      <c r="K6801" s="50"/>
      <c r="L6801" s="50"/>
      <c r="M6801" s="50"/>
      <c r="N6801" s="50"/>
      <c r="O6801" s="50"/>
    </row>
    <row r="6802" spans="1:15">
      <c r="A6802" s="517" t="s">
        <v>8</v>
      </c>
      <c r="B6802" s="518">
        <f>VLOOKUP(A6802,'Materiales '!$C$2:$G$396,3,0)</f>
        <v>0</v>
      </c>
      <c r="C6802" s="88">
        <f>VLOOKUP(A6802,'Materiales '!$C$2:$G$396,3,0)</f>
        <v>0</v>
      </c>
      <c r="D6802" s="89" t="str">
        <f>VLOOKUP(A6802,'Materiales '!$C$2:$G$396,4,0)</f>
        <v>-</v>
      </c>
      <c r="E6802" s="90"/>
      <c r="F6802" s="508" t="e">
        <f t="shared" si="398"/>
        <v>#VALUE!</v>
      </c>
      <c r="G6802" s="519"/>
      <c r="H6802" s="111"/>
      <c r="I6802">
        <f>E6802*G6782</f>
        <v>0</v>
      </c>
      <c r="J6802" s="58"/>
      <c r="K6802" s="50"/>
      <c r="L6802" s="50"/>
      <c r="M6802" s="50"/>
      <c r="N6802" s="50"/>
      <c r="O6802" s="50"/>
    </row>
    <row r="6803" spans="1:15">
      <c r="A6803" s="517" t="s">
        <v>8</v>
      </c>
      <c r="B6803" s="518">
        <f>VLOOKUP(A6803,'Materiales '!$C$2:$G$396,3,0)</f>
        <v>0</v>
      </c>
      <c r="C6803" s="88">
        <f>VLOOKUP(A6803,'Materiales '!$C$2:$G$396,3,0)</f>
        <v>0</v>
      </c>
      <c r="D6803" s="89" t="str">
        <f>VLOOKUP(A6803,'Materiales '!$C$2:$G$396,4,0)</f>
        <v>-</v>
      </c>
      <c r="E6803" s="90"/>
      <c r="F6803" s="508" t="e">
        <f t="shared" si="398"/>
        <v>#VALUE!</v>
      </c>
      <c r="G6803" s="519"/>
      <c r="H6803" s="111"/>
      <c r="I6803">
        <f>E6803*G6782</f>
        <v>0</v>
      </c>
      <c r="J6803" s="58"/>
      <c r="K6803" s="50"/>
      <c r="L6803" s="50"/>
      <c r="M6803" s="50"/>
      <c r="N6803" s="50"/>
      <c r="O6803" s="50"/>
    </row>
    <row r="6804" spans="1:15">
      <c r="A6804" s="517" t="s">
        <v>8</v>
      </c>
      <c r="B6804" s="518">
        <f>VLOOKUP(A6804,'Materiales '!$C$2:$G$396,3,0)</f>
        <v>0</v>
      </c>
      <c r="C6804" s="88">
        <f>VLOOKUP(A6804,'Materiales '!$C$2:$G$396,3,0)</f>
        <v>0</v>
      </c>
      <c r="D6804" s="89" t="str">
        <f>VLOOKUP(A6804,'Materiales '!$C$2:$G$396,4,0)</f>
        <v>-</v>
      </c>
      <c r="E6804" s="90"/>
      <c r="F6804" s="508" t="e">
        <f t="shared" si="398"/>
        <v>#VALUE!</v>
      </c>
      <c r="G6804" s="519"/>
      <c r="H6804" s="111"/>
      <c r="I6804">
        <f>E6804*G6782</f>
        <v>0</v>
      </c>
      <c r="J6804" s="58"/>
      <c r="K6804" s="50"/>
      <c r="L6804" s="50"/>
      <c r="M6804" s="50"/>
      <c r="N6804" s="50"/>
      <c r="O6804" s="50"/>
    </row>
    <row r="6805" spans="1:15">
      <c r="A6805" s="517" t="s">
        <v>8</v>
      </c>
      <c r="B6805" s="518">
        <f>VLOOKUP(A6805,'Materiales '!$C$2:$G$396,3,0)</f>
        <v>0</v>
      </c>
      <c r="C6805" s="88">
        <f>VLOOKUP(A6805,'Materiales '!$C$2:$G$396,3,0)</f>
        <v>0</v>
      </c>
      <c r="D6805" s="89" t="str">
        <f>VLOOKUP(A6805,'Materiales '!$C$2:$G$396,4,0)</f>
        <v>-</v>
      </c>
      <c r="E6805" s="90"/>
      <c r="F6805" s="508" t="e">
        <f>E6805*D6805</f>
        <v>#VALUE!</v>
      </c>
      <c r="G6805" s="519"/>
      <c r="H6805" s="110"/>
      <c r="I6805">
        <f>E6805*G6782</f>
        <v>0</v>
      </c>
      <c r="J6805" s="58"/>
      <c r="K6805" s="50"/>
      <c r="L6805" s="50"/>
      <c r="M6805" s="50"/>
      <c r="N6805" s="50"/>
      <c r="O6805" s="50"/>
    </row>
    <row r="6806" spans="1:15">
      <c r="A6806" s="520" t="s">
        <v>4098</v>
      </c>
      <c r="B6806" s="521"/>
      <c r="C6806" s="521"/>
      <c r="D6806" s="521"/>
      <c r="E6806" s="521"/>
      <c r="F6806" s="521"/>
      <c r="G6806" s="522"/>
      <c r="H6806" s="106" t="e">
        <f>SUM(F6792:F6805)</f>
        <v>#VALUE!</v>
      </c>
      <c r="J6806" s="58"/>
      <c r="K6806" s="50"/>
      <c r="L6806" s="50"/>
      <c r="M6806" s="50"/>
      <c r="N6806" s="50"/>
      <c r="O6806" s="50"/>
    </row>
    <row r="6807" spans="1:15">
      <c r="A6807" s="523" t="s">
        <v>4220</v>
      </c>
      <c r="B6807" s="524"/>
      <c r="C6807" s="524"/>
      <c r="D6807" s="524"/>
      <c r="E6807" s="525"/>
      <c r="F6807" s="524"/>
      <c r="G6807" s="524"/>
      <c r="H6807" s="526"/>
      <c r="J6807" s="58"/>
      <c r="K6807" s="50"/>
      <c r="L6807" s="50"/>
      <c r="M6807" s="50"/>
      <c r="N6807" s="50"/>
      <c r="O6807" s="50"/>
    </row>
    <row r="6808" spans="1:15">
      <c r="A6808" s="527" t="s">
        <v>7</v>
      </c>
      <c r="B6808" s="528"/>
      <c r="C6808" s="98" t="s">
        <v>4221</v>
      </c>
      <c r="D6808" s="97" t="s">
        <v>4222</v>
      </c>
      <c r="E6808" s="187" t="s">
        <v>4223</v>
      </c>
      <c r="F6808" s="529" t="s">
        <v>4207</v>
      </c>
      <c r="G6808" s="529"/>
      <c r="H6808" s="109"/>
      <c r="K6808" s="50"/>
      <c r="L6808" s="50"/>
      <c r="M6808" s="50"/>
      <c r="N6808" s="50"/>
      <c r="O6808" s="50"/>
    </row>
    <row r="6809" spans="1:15">
      <c r="A6809" s="506" t="s">
        <v>3928</v>
      </c>
      <c r="B6809" s="507"/>
      <c r="C6809" s="213">
        <v>1</v>
      </c>
      <c r="D6809" s="92">
        <v>5.0000000000000001E-3</v>
      </c>
      <c r="E6809" s="93" t="str">
        <f>VLOOKUP(A6809,'Equip, Herr y Transp'!$B$2:$E$217,3,0)</f>
        <v>TR</v>
      </c>
      <c r="F6809" s="530" t="e">
        <f>E6809*D6809*C6809</f>
        <v>#VALUE!</v>
      </c>
      <c r="G6809" s="531"/>
      <c r="H6809" s="107"/>
      <c r="M6809" s="50"/>
    </row>
    <row r="6810" spans="1:15">
      <c r="A6810" s="532" t="s">
        <v>4205</v>
      </c>
      <c r="B6810" s="533"/>
      <c r="C6810" s="533"/>
      <c r="D6810" s="533"/>
      <c r="E6810" s="533"/>
      <c r="F6810" s="533"/>
      <c r="G6810" s="533"/>
      <c r="H6810" s="95" t="e">
        <f>F6809</f>
        <v>#VALUE!</v>
      </c>
    </row>
    <row r="6811" spans="1:15">
      <c r="A6811" s="523" t="s">
        <v>4224</v>
      </c>
      <c r="B6811" s="524"/>
      <c r="C6811" s="524"/>
      <c r="D6811" s="524"/>
      <c r="E6811" s="524"/>
      <c r="F6811" s="524"/>
      <c r="G6811" s="524"/>
      <c r="H6811" s="526"/>
    </row>
    <row r="6812" spans="1:15">
      <c r="A6812" s="527" t="s">
        <v>7</v>
      </c>
      <c r="B6812" s="528"/>
      <c r="C6812" s="96" t="s">
        <v>1</v>
      </c>
      <c r="D6812" s="97" t="s">
        <v>4225</v>
      </c>
      <c r="E6812" s="98" t="s">
        <v>4204</v>
      </c>
      <c r="F6812" s="527" t="s">
        <v>5</v>
      </c>
      <c r="G6812" s="534"/>
      <c r="H6812" s="109"/>
    </row>
    <row r="6813" spans="1:15">
      <c r="A6813" s="506" t="s">
        <v>4191</v>
      </c>
      <c r="B6813" s="507"/>
      <c r="C6813" s="91">
        <v>1</v>
      </c>
      <c r="D6813" s="94">
        <f>VLOOKUP(A6813,'Mano Obra'!$B$2:$T$117,19,0)</f>
        <v>152456</v>
      </c>
      <c r="E6813" s="218">
        <f>H6775</f>
        <v>8.3000000000000001E-3</v>
      </c>
      <c r="F6813" s="508">
        <f>E6813*D6813*C6813</f>
        <v>1265.3848</v>
      </c>
      <c r="G6813" s="509"/>
      <c r="H6813" s="111"/>
      <c r="I6813" s="59"/>
      <c r="J6813" s="117">
        <f>((('Mano Obra'!$M$4/30)*F6813)/D6813)*G6782</f>
        <v>0</v>
      </c>
    </row>
    <row r="6814" spans="1:15">
      <c r="A6814" s="510" t="s">
        <v>4192</v>
      </c>
      <c r="B6814" s="511">
        <f>VLOOKUP(A6814,'Mano Obra'!$B$3:$D$290,2,0)</f>
        <v>1900000</v>
      </c>
      <c r="C6814" s="91">
        <v>1</v>
      </c>
      <c r="D6814" s="94">
        <f>VLOOKUP(A6814,'Mano Obra'!$B$2:$T$117,19,0)</f>
        <v>110488</v>
      </c>
      <c r="E6814" s="218">
        <f>H6775</f>
        <v>8.3000000000000001E-3</v>
      </c>
      <c r="F6814" s="508">
        <f t="shared" ref="F6814:F6815" si="399">E6814*D6814*C6814</f>
        <v>917.05039999999997</v>
      </c>
      <c r="G6814" s="509"/>
      <c r="H6814" s="111"/>
      <c r="J6814" s="117">
        <f>((('Mano Obra'!$M$5/30)*F6814)/D6814)*G6782</f>
        <v>0</v>
      </c>
    </row>
    <row r="6815" spans="1:15">
      <c r="A6815" s="510" t="s">
        <v>4181</v>
      </c>
      <c r="B6815" s="511">
        <f>VLOOKUP(A6815,'Mano Obra'!$B$3:$D$290,2,0)</f>
        <v>1000000</v>
      </c>
      <c r="C6815" s="91">
        <v>1</v>
      </c>
      <c r="D6815" s="94">
        <f>VLOOKUP(A6815,'Mano Obra'!$B$2:$T$117,19,0)</f>
        <v>67424</v>
      </c>
      <c r="E6815" s="218">
        <f>H6775</f>
        <v>8.3000000000000001E-3</v>
      </c>
      <c r="F6815" s="508">
        <f t="shared" si="399"/>
        <v>559.61919999999998</v>
      </c>
      <c r="G6815" s="509"/>
      <c r="H6815" s="110"/>
      <c r="J6815" s="117">
        <f>((('Mano Obra'!$M$6/30)*F6815)/D6815)*G6782</f>
        <v>0</v>
      </c>
    </row>
    <row r="6816" spans="1:15">
      <c r="A6816" s="512" t="s">
        <v>4100</v>
      </c>
      <c r="B6816" s="512"/>
      <c r="C6816" s="512"/>
      <c r="D6816" s="512"/>
      <c r="E6816" s="512"/>
      <c r="F6816" s="512"/>
      <c r="G6816" s="512"/>
      <c r="H6816" s="95">
        <f>SUM(F6813:F6815)</f>
        <v>2742.0544</v>
      </c>
      <c r="J6816" s="117"/>
    </row>
    <row r="6817" spans="1:14">
      <c r="A6817" s="208" t="s">
        <v>4226</v>
      </c>
      <c r="B6817" s="186"/>
      <c r="C6817" s="186"/>
      <c r="D6817" s="183"/>
      <c r="E6817" s="184"/>
      <c r="F6817" s="185"/>
      <c r="G6817" s="184"/>
      <c r="H6817" s="193"/>
    </row>
    <row r="6818" spans="1:14">
      <c r="A6818" s="513" t="s">
        <v>4213</v>
      </c>
      <c r="B6818" s="514"/>
      <c r="C6818" s="514"/>
      <c r="D6818" s="514"/>
      <c r="E6818" s="181"/>
      <c r="F6818" s="182" t="s">
        <v>4227</v>
      </c>
      <c r="G6818" s="181" t="s">
        <v>4228</v>
      </c>
      <c r="H6818" s="194"/>
    </row>
    <row r="6819" spans="1:14">
      <c r="A6819" s="204" t="s">
        <v>4096</v>
      </c>
      <c r="B6819" s="62"/>
      <c r="C6819" s="62"/>
      <c r="D6819" s="63"/>
      <c r="E6819" s="68"/>
      <c r="F6819" s="69">
        <v>0</v>
      </c>
      <c r="G6819" s="70" t="e">
        <f>F6819*H6783</f>
        <v>#VALUE!</v>
      </c>
      <c r="H6819" s="193"/>
    </row>
    <row r="6820" spans="1:14">
      <c r="A6820" s="205" t="s">
        <v>4229</v>
      </c>
      <c r="B6820" s="71"/>
      <c r="C6820" s="71"/>
      <c r="D6820" s="72"/>
      <c r="E6820" s="68"/>
      <c r="F6820" s="69">
        <v>0</v>
      </c>
      <c r="G6820" s="70" t="e">
        <f>F6820*H6783</f>
        <v>#VALUE!</v>
      </c>
      <c r="H6820" s="193"/>
    </row>
    <row r="6821" spans="1:14">
      <c r="A6821" s="205" t="s">
        <v>4</v>
      </c>
      <c r="B6821" s="71"/>
      <c r="C6821" s="71"/>
      <c r="D6821" s="72"/>
      <c r="E6821" s="68"/>
      <c r="F6821" s="69">
        <v>0</v>
      </c>
      <c r="G6821" s="70" t="e">
        <f>F6821*H6783</f>
        <v>#VALUE!</v>
      </c>
      <c r="H6821" s="193"/>
    </row>
    <row r="6822" spans="1:14">
      <c r="A6822" s="206"/>
      <c r="B6822" s="73"/>
      <c r="C6822" s="65"/>
      <c r="D6822" s="74"/>
      <c r="E6822" s="75"/>
      <c r="F6822" s="76"/>
      <c r="G6822" s="77"/>
      <c r="H6822" s="195"/>
    </row>
    <row r="6823" spans="1:14">
      <c r="A6823" s="207"/>
      <c r="B6823" s="73"/>
      <c r="C6823" s="73"/>
      <c r="D6823" s="74"/>
      <c r="E6823" s="78"/>
      <c r="F6823" s="515" t="s">
        <v>4230</v>
      </c>
      <c r="G6823" s="516"/>
      <c r="H6823" s="214" t="e">
        <f>H6783+G6819+G6820+G6821</f>
        <v>#VALUE!</v>
      </c>
    </row>
    <row r="6825" spans="1:14">
      <c r="A6825" s="80"/>
      <c r="B6825" s="80"/>
      <c r="C6825" s="80"/>
      <c r="D6825" s="80"/>
      <c r="E6825" s="80"/>
      <c r="F6825" s="80"/>
      <c r="G6825" s="80"/>
      <c r="H6825" s="353"/>
    </row>
    <row r="6826" spans="1:14">
      <c r="A6826" s="537" t="s">
        <v>4214</v>
      </c>
      <c r="B6826" s="538"/>
      <c r="C6826" s="538"/>
      <c r="D6826" s="538"/>
      <c r="E6826" s="538"/>
      <c r="F6826" s="538"/>
      <c r="G6826" s="538"/>
      <c r="H6826" s="539"/>
    </row>
    <row r="6827" spans="1:14">
      <c r="A6827" s="81"/>
      <c r="B6827" s="82"/>
      <c r="C6827" s="82"/>
      <c r="D6827" s="82"/>
      <c r="E6827" s="82"/>
      <c r="F6827" s="83"/>
      <c r="G6827" s="84"/>
      <c r="H6827" s="352">
        <f>ROUND((4/60)/8,4)</f>
        <v>8.3000000000000001E-3</v>
      </c>
      <c r="I6827" s="105"/>
    </row>
    <row r="6828" spans="1:14">
      <c r="A6828" s="540" t="s">
        <v>4209</v>
      </c>
      <c r="B6828" s="542" t="str">
        <f>COSTOS!$C$14</f>
        <v>MODERNIZACION A TECNOLOGIA LED</v>
      </c>
      <c r="C6828" s="542"/>
      <c r="D6828" s="542"/>
      <c r="E6828" s="542"/>
      <c r="F6828" s="542"/>
      <c r="G6828" s="542"/>
      <c r="H6828" s="543" t="s">
        <v>4210</v>
      </c>
    </row>
    <row r="6829" spans="1:14">
      <c r="A6829" s="541"/>
      <c r="B6829" s="542"/>
      <c r="C6829" s="542"/>
      <c r="D6829" s="542"/>
      <c r="E6829" s="542"/>
      <c r="F6829" s="542"/>
      <c r="G6829" s="542"/>
      <c r="H6829" s="543"/>
    </row>
    <row r="6830" spans="1:14">
      <c r="A6830" s="541"/>
      <c r="B6830" s="542"/>
      <c r="C6830" s="542"/>
      <c r="D6830" s="542"/>
      <c r="E6830" s="542"/>
      <c r="F6830" s="542"/>
      <c r="G6830" s="542"/>
      <c r="H6830" s="543"/>
    </row>
    <row r="6831" spans="1:14" ht="15" customHeight="1">
      <c r="A6831" s="541"/>
      <c r="B6831" s="542"/>
      <c r="C6831" s="542"/>
      <c r="D6831" s="542"/>
      <c r="E6831" s="542"/>
      <c r="F6831" s="542"/>
      <c r="G6831" s="542"/>
      <c r="H6831" s="197">
        <f ca="1">TODAY()</f>
        <v>44889</v>
      </c>
      <c r="K6831" t="s">
        <v>4380</v>
      </c>
      <c r="L6831" t="s">
        <v>4381</v>
      </c>
      <c r="M6831" t="s">
        <v>4382</v>
      </c>
      <c r="N6831" t="s">
        <v>4383</v>
      </c>
    </row>
    <row r="6832" spans="1:14" ht="60.75" customHeight="1">
      <c r="A6832" s="209" t="s">
        <v>4211</v>
      </c>
      <c r="B6832" s="544" t="str">
        <f>COSTOS!$D$16</f>
        <v>Luminarias</v>
      </c>
      <c r="C6832" s="544"/>
      <c r="D6832" s="544"/>
      <c r="E6832" s="544"/>
      <c r="F6832" s="544"/>
      <c r="G6832" s="60" t="s">
        <v>4212</v>
      </c>
      <c r="H6832" s="363">
        <v>3.25</v>
      </c>
      <c r="K6832" s="55" t="e">
        <f>H6858</f>
        <v>#VALUE!</v>
      </c>
      <c r="L6832" s="55">
        <f>H6868</f>
        <v>2742.0544</v>
      </c>
      <c r="M6832" s="55" t="e">
        <f>H6841</f>
        <v>#VALUE!</v>
      </c>
      <c r="N6832" s="55" t="e">
        <f>H6862</f>
        <v>#VALUE!</v>
      </c>
    </row>
    <row r="6833" spans="1:15" ht="43.2" customHeight="1">
      <c r="A6833" s="210" t="s">
        <v>4213</v>
      </c>
      <c r="B6833" s="545" t="str">
        <f>VLOOKUP(H6832,COSTOS!C:M,2,0)</f>
        <v>Red canalizada en cable cobre # 10 x 500m</v>
      </c>
      <c r="C6833" s="546"/>
      <c r="D6833" s="546"/>
      <c r="E6833" s="547"/>
      <c r="F6833" s="61" t="s">
        <v>0</v>
      </c>
      <c r="G6833" s="328" t="str">
        <f>VLOOKUP(H6832,COSTOS!C:M,8,0)</f>
        <v>Und</v>
      </c>
      <c r="H6833" s="248"/>
      <c r="I6833" s="278"/>
      <c r="J6833" s="280"/>
      <c r="K6833" s="280"/>
      <c r="L6833" s="280"/>
    </row>
    <row r="6834" spans="1:15">
      <c r="A6834" s="211"/>
      <c r="B6834" s="102"/>
      <c r="C6834" s="102"/>
      <c r="D6834" s="102"/>
      <c r="E6834" s="103"/>
      <c r="F6834" s="104" t="s">
        <v>1</v>
      </c>
      <c r="G6834" s="328">
        <f>VLOOKUP(H6832,COSTOS!C:M,9,0)</f>
        <v>0</v>
      </c>
      <c r="H6834" s="329"/>
      <c r="I6834" s="279"/>
    </row>
    <row r="6835" spans="1:15">
      <c r="A6835" s="212" t="s">
        <v>4215</v>
      </c>
      <c r="B6835" s="65"/>
      <c r="C6835" s="65"/>
      <c r="D6835" s="66"/>
      <c r="E6835" s="190"/>
      <c r="F6835" s="191"/>
      <c r="G6835" s="192" t="s">
        <v>4216</v>
      </c>
      <c r="H6835" s="198" t="e">
        <f>H6841+H6858+H6862+H6868</f>
        <v>#VALUE!</v>
      </c>
    </row>
    <row r="6836" spans="1:15" ht="41.4">
      <c r="A6836" s="548" t="s">
        <v>4213</v>
      </c>
      <c r="B6836" s="548"/>
      <c r="C6836" s="548"/>
      <c r="D6836" s="67" t="s">
        <v>0</v>
      </c>
      <c r="E6836" s="188" t="s">
        <v>4217</v>
      </c>
      <c r="F6836" s="189" t="s">
        <v>4204</v>
      </c>
      <c r="G6836" s="64" t="s">
        <v>2</v>
      </c>
      <c r="H6836" s="199" t="s">
        <v>4218</v>
      </c>
      <c r="K6836" s="281"/>
    </row>
    <row r="6837" spans="1:15">
      <c r="A6837" s="517" t="s">
        <v>3946</v>
      </c>
      <c r="B6837" s="549">
        <f>VLOOKUP(A6837,'Equip, Herr y Transp'!$B$2:$E$738,2,0)</f>
        <v>2</v>
      </c>
      <c r="C6837" s="549"/>
      <c r="D6837" s="85">
        <f>VLOOKUP(A6837,'Equip, Herr y Transp'!$B$2:$E$217,2,0)</f>
        <v>2</v>
      </c>
      <c r="E6837" s="85" t="str">
        <f>VLOOKUP(A6837,'Equip, Herr y Transp'!$B$2:$E$217,3,0)</f>
        <v>EQU</v>
      </c>
      <c r="F6837" s="86">
        <f>H6827</f>
        <v>8.3000000000000001E-3</v>
      </c>
      <c r="G6837" s="112" t="e">
        <f>F6837*E6837</f>
        <v>#VALUE!</v>
      </c>
      <c r="H6837" s="108"/>
    </row>
    <row r="6838" spans="1:15">
      <c r="A6838" s="517" t="s">
        <v>3904</v>
      </c>
      <c r="B6838" s="549">
        <f>VLOOKUP(A6838,'Equip, Herr y Transp'!$B$2:$E$738,2,0)</f>
        <v>2</v>
      </c>
      <c r="C6838" s="549"/>
      <c r="D6838" s="85">
        <f>VLOOKUP(A6838,'Equip, Herr y Transp'!$B$2:$E$217,2,0)</f>
        <v>2</v>
      </c>
      <c r="E6838" s="85" t="str">
        <f>VLOOKUP(A6838,'Equip, Herr y Transp'!$B$2:$E$217,3,0)</f>
        <v>EQU</v>
      </c>
      <c r="F6838" s="86">
        <f>H6827</f>
        <v>8.3000000000000001E-3</v>
      </c>
      <c r="G6838" s="112" t="e">
        <f>F6838*E6838</f>
        <v>#VALUE!</v>
      </c>
      <c r="H6838" s="107"/>
    </row>
    <row r="6839" spans="1:15">
      <c r="A6839" s="517" t="s">
        <v>8</v>
      </c>
      <c r="B6839" s="549" t="e">
        <f>VLOOKUP(A6839,'Equip, Herr y Transp'!$B$2:$E$738,2,0)</f>
        <v>#N/A</v>
      </c>
      <c r="C6839" s="549"/>
      <c r="D6839" s="85" t="e">
        <f>VLOOKUP(A6839,'Equip, Herr y Transp'!$B$2:$E$217,2,0)</f>
        <v>#N/A</v>
      </c>
      <c r="E6839" s="85" t="e">
        <f>VLOOKUP(A6839,'Equip, Herr y Transp'!$B$2:$E$217,3,0)</f>
        <v>#N/A</v>
      </c>
      <c r="F6839" s="86">
        <f>H6827</f>
        <v>8.3000000000000001E-3</v>
      </c>
      <c r="G6839" s="112" t="e">
        <f>F6839*E6839</f>
        <v>#N/A</v>
      </c>
      <c r="H6839" s="107"/>
    </row>
    <row r="6840" spans="1:15">
      <c r="A6840" s="517" t="s">
        <v>8</v>
      </c>
      <c r="B6840" s="549" t="e">
        <f>VLOOKUP(A6840,'Equip, Herr y Transp'!$B$2:$E$738,2,0)</f>
        <v>#N/A</v>
      </c>
      <c r="C6840" s="549"/>
      <c r="D6840" s="85" t="e">
        <f>VLOOKUP(A6840,'Equip, Herr y Transp'!$B$2:$E$217,2,0)</f>
        <v>#N/A</v>
      </c>
      <c r="E6840" s="85" t="e">
        <f>VLOOKUP(A6840,'Equip, Herr y Transp'!$B$2:$E$217,3,0)</f>
        <v>#N/A</v>
      </c>
      <c r="F6840" s="86">
        <f>H6827</f>
        <v>8.3000000000000001E-3</v>
      </c>
      <c r="G6840" s="112" t="e">
        <f>F6840*E6840</f>
        <v>#N/A</v>
      </c>
      <c r="H6840" s="107"/>
    </row>
    <row r="6841" spans="1:15">
      <c r="A6841" s="520" t="s">
        <v>4099</v>
      </c>
      <c r="B6841" s="521"/>
      <c r="C6841" s="521"/>
      <c r="D6841" s="521"/>
      <c r="E6841" s="521"/>
      <c r="F6841" s="521"/>
      <c r="G6841" s="521"/>
      <c r="H6841" s="87" t="e">
        <f>SUM(G6837:G6840)</f>
        <v>#VALUE!</v>
      </c>
    </row>
    <row r="6842" spans="1:15">
      <c r="A6842" s="550" t="s">
        <v>4219</v>
      </c>
      <c r="B6842" s="551"/>
      <c r="C6842" s="551"/>
      <c r="D6842" s="551"/>
      <c r="E6842" s="551"/>
      <c r="F6842" s="551"/>
      <c r="G6842" s="551"/>
      <c r="H6842" s="552"/>
      <c r="K6842" s="50"/>
      <c r="L6842" s="50"/>
      <c r="M6842" s="50"/>
      <c r="N6842" s="50"/>
      <c r="O6842" s="50"/>
    </row>
    <row r="6843" spans="1:15" ht="30" customHeight="1">
      <c r="A6843" s="553" t="s">
        <v>7</v>
      </c>
      <c r="B6843" s="554"/>
      <c r="C6843" s="99" t="s">
        <v>0</v>
      </c>
      <c r="D6843" s="100" t="s">
        <v>4097</v>
      </c>
      <c r="E6843" s="101" t="s">
        <v>1</v>
      </c>
      <c r="F6843" s="555" t="s">
        <v>4207</v>
      </c>
      <c r="G6843" s="555"/>
      <c r="H6843" s="196"/>
      <c r="K6843" s="50"/>
      <c r="L6843" s="50"/>
      <c r="M6843" s="50"/>
      <c r="N6843" s="50"/>
      <c r="O6843" s="50"/>
    </row>
    <row r="6844" spans="1:15">
      <c r="A6844" s="535" t="s">
        <v>4795</v>
      </c>
      <c r="B6844" s="536"/>
      <c r="C6844" s="88">
        <f>VLOOKUP(A6844,'Materiales '!$C$2:$G$396,3,0)</f>
        <v>2</v>
      </c>
      <c r="D6844" s="89" t="str">
        <f>VLOOKUP(A6844,'Materiales '!$C$2:$G$396,4,0)</f>
        <v>Ml</v>
      </c>
      <c r="E6844" s="90">
        <v>1</v>
      </c>
      <c r="F6844" s="508" t="e">
        <f>E6844*D6844</f>
        <v>#VALUE!</v>
      </c>
      <c r="G6844" s="519"/>
      <c r="H6844" s="111"/>
      <c r="I6844">
        <f>E6844*G6834</f>
        <v>0</v>
      </c>
      <c r="J6844" s="57"/>
      <c r="K6844" s="50"/>
      <c r="L6844" s="50"/>
      <c r="M6844" s="50"/>
      <c r="N6844" s="50"/>
      <c r="O6844" s="50"/>
    </row>
    <row r="6845" spans="1:15">
      <c r="A6845" s="535" t="s">
        <v>8</v>
      </c>
      <c r="B6845" s="536"/>
      <c r="C6845" s="88">
        <f>VLOOKUP(A6845,'Materiales '!$C$2:$G$396,3,0)</f>
        <v>0</v>
      </c>
      <c r="D6845" s="89" t="str">
        <f>VLOOKUP(A6845,'Materiales '!$C$2:$G$396,4,0)</f>
        <v>-</v>
      </c>
      <c r="E6845" s="90">
        <f>3/25</f>
        <v>0.12</v>
      </c>
      <c r="F6845" s="508" t="e">
        <f t="shared" ref="F6845:F6851" si="400">E6845*D6845</f>
        <v>#VALUE!</v>
      </c>
      <c r="G6845" s="519"/>
      <c r="H6845" s="111"/>
      <c r="I6845">
        <f>E6845*G6834</f>
        <v>0</v>
      </c>
      <c r="J6845" s="57"/>
      <c r="K6845" s="50"/>
      <c r="L6845" s="50"/>
      <c r="M6845" s="50"/>
      <c r="N6845" s="50"/>
      <c r="O6845" s="50"/>
    </row>
    <row r="6846" spans="1:15">
      <c r="A6846" s="517" t="s">
        <v>8</v>
      </c>
      <c r="B6846" s="518">
        <f>VLOOKUP(A6846,'Materiales '!$C$2:$G$396,3,0)</f>
        <v>0</v>
      </c>
      <c r="C6846" s="88">
        <f>VLOOKUP(A6846,'Materiales '!$C$2:$G$396,3,0)</f>
        <v>0</v>
      </c>
      <c r="D6846" s="89" t="str">
        <f>VLOOKUP(A6846,'Materiales '!$C$2:$G$396,4,0)</f>
        <v>-</v>
      </c>
      <c r="E6846" s="90">
        <f>3/25</f>
        <v>0.12</v>
      </c>
      <c r="F6846" s="508" t="e">
        <f t="shared" si="400"/>
        <v>#VALUE!</v>
      </c>
      <c r="G6846" s="519"/>
      <c r="H6846" s="111"/>
      <c r="I6846">
        <f>E6846*G6834</f>
        <v>0</v>
      </c>
      <c r="J6846" s="58"/>
      <c r="K6846" s="50"/>
      <c r="L6846" s="50"/>
      <c r="M6846" s="50"/>
      <c r="N6846" s="50"/>
      <c r="O6846" s="50"/>
    </row>
    <row r="6847" spans="1:15">
      <c r="A6847" s="517" t="s">
        <v>8</v>
      </c>
      <c r="B6847" s="518">
        <f>VLOOKUP(A6847,'Materiales '!$C$2:$G$396,3,0)</f>
        <v>0</v>
      </c>
      <c r="C6847" s="88">
        <f>VLOOKUP(A6847,'Materiales '!$C$2:$G$396,3,0)</f>
        <v>0</v>
      </c>
      <c r="D6847" s="89" t="str">
        <f>VLOOKUP(A6847,'Materiales '!$C$2:$G$396,4,0)</f>
        <v>-</v>
      </c>
      <c r="E6847" s="90"/>
      <c r="F6847" s="508" t="e">
        <f t="shared" si="400"/>
        <v>#VALUE!</v>
      </c>
      <c r="G6847" s="519"/>
      <c r="H6847" s="111"/>
      <c r="I6847">
        <f>E6847*G6834</f>
        <v>0</v>
      </c>
      <c r="J6847" s="58"/>
      <c r="K6847" s="50"/>
      <c r="L6847" s="50"/>
      <c r="M6847" s="50"/>
      <c r="N6847" s="50"/>
      <c r="O6847" s="50"/>
    </row>
    <row r="6848" spans="1:15">
      <c r="A6848" s="517" t="s">
        <v>8</v>
      </c>
      <c r="B6848" s="518">
        <f>VLOOKUP(A6848,'Materiales '!$C$2:$G$396,3,0)</f>
        <v>0</v>
      </c>
      <c r="C6848" s="88">
        <f>VLOOKUP(A6848,'Materiales '!$C$2:$G$396,3,0)</f>
        <v>0</v>
      </c>
      <c r="D6848" s="89" t="str">
        <f>VLOOKUP(A6848,'Materiales '!$C$2:$G$396,4,0)</f>
        <v>-</v>
      </c>
      <c r="E6848" s="90"/>
      <c r="F6848" s="508" t="e">
        <f t="shared" si="400"/>
        <v>#VALUE!</v>
      </c>
      <c r="G6848" s="519"/>
      <c r="H6848" s="111"/>
      <c r="I6848">
        <f>E6848*G6834</f>
        <v>0</v>
      </c>
      <c r="J6848" s="58"/>
      <c r="K6848" s="50"/>
      <c r="L6848" s="50"/>
      <c r="M6848" s="50"/>
      <c r="N6848" s="50"/>
      <c r="O6848" s="50"/>
    </row>
    <row r="6849" spans="1:15">
      <c r="A6849" s="517" t="s">
        <v>8</v>
      </c>
      <c r="B6849" s="518">
        <f>VLOOKUP(A6849,'Materiales '!$C$2:$G$396,3,0)</f>
        <v>0</v>
      </c>
      <c r="C6849" s="88">
        <f>VLOOKUP(A6849,'Materiales '!$C$2:$G$396,3,0)</f>
        <v>0</v>
      </c>
      <c r="D6849" s="89" t="str">
        <f>VLOOKUP(A6849,'Materiales '!$C$2:$G$396,4,0)</f>
        <v>-</v>
      </c>
      <c r="E6849" s="90"/>
      <c r="F6849" s="508" t="e">
        <f t="shared" si="400"/>
        <v>#VALUE!</v>
      </c>
      <c r="G6849" s="519"/>
      <c r="H6849" s="111"/>
      <c r="I6849">
        <f>E6849*G6834</f>
        <v>0</v>
      </c>
      <c r="J6849" s="58"/>
      <c r="K6849" s="50"/>
      <c r="L6849" s="50"/>
      <c r="M6849" s="50"/>
      <c r="N6849" s="50"/>
      <c r="O6849" s="50"/>
    </row>
    <row r="6850" spans="1:15">
      <c r="A6850" s="517" t="s">
        <v>8</v>
      </c>
      <c r="B6850" s="518">
        <f>VLOOKUP(A6850,'Materiales '!$C$2:$G$396,3,0)</f>
        <v>0</v>
      </c>
      <c r="C6850" s="88">
        <f>VLOOKUP(A6850,'Materiales '!$C$2:$G$396,3,0)</f>
        <v>0</v>
      </c>
      <c r="D6850" s="89" t="str">
        <f>VLOOKUP(A6850,'Materiales '!$C$2:$G$396,4,0)</f>
        <v>-</v>
      </c>
      <c r="E6850" s="90"/>
      <c r="F6850" s="508" t="e">
        <f t="shared" si="400"/>
        <v>#VALUE!</v>
      </c>
      <c r="G6850" s="519"/>
      <c r="H6850" s="111"/>
      <c r="I6850">
        <f>E6850*G6834</f>
        <v>0</v>
      </c>
      <c r="J6850" s="58"/>
      <c r="K6850" s="50"/>
      <c r="L6850" s="50"/>
      <c r="M6850" s="50"/>
      <c r="N6850" s="50"/>
      <c r="O6850" s="50"/>
    </row>
    <row r="6851" spans="1:15" ht="21.75" customHeight="1">
      <c r="A6851" s="517" t="s">
        <v>8</v>
      </c>
      <c r="B6851" s="518">
        <f>VLOOKUP(A6851,'Materiales '!$C$2:$G$396,3,0)</f>
        <v>0</v>
      </c>
      <c r="C6851" s="88">
        <f>VLOOKUP(A6851,'Materiales '!$C$2:$G$396,3,0)</f>
        <v>0</v>
      </c>
      <c r="D6851" s="89" t="str">
        <f>VLOOKUP(A6851,'Materiales '!$C$2:$G$396,4,0)</f>
        <v>-</v>
      </c>
      <c r="E6851" s="90"/>
      <c r="F6851" s="508" t="e">
        <f t="shared" si="400"/>
        <v>#VALUE!</v>
      </c>
      <c r="G6851" s="519"/>
      <c r="H6851" s="111"/>
      <c r="I6851">
        <f>E6851*G6834</f>
        <v>0</v>
      </c>
      <c r="J6851" s="58"/>
      <c r="K6851" s="50"/>
      <c r="L6851" s="50"/>
      <c r="M6851" s="50"/>
      <c r="N6851" s="50"/>
      <c r="O6851" s="50"/>
    </row>
    <row r="6852" spans="1:15">
      <c r="A6852" s="517" t="s">
        <v>8</v>
      </c>
      <c r="B6852" s="518">
        <f>VLOOKUP(A6852,'Materiales '!$C$2:$G$396,3,0)</f>
        <v>0</v>
      </c>
      <c r="C6852" s="88">
        <f>VLOOKUP(A6852,'Materiales '!$C$2:$G$396,3,0)</f>
        <v>0</v>
      </c>
      <c r="D6852" s="89" t="str">
        <f>VLOOKUP(A6852,'Materiales '!$C$2:$G$396,4,0)</f>
        <v>-</v>
      </c>
      <c r="E6852" s="90"/>
      <c r="F6852" s="508" t="e">
        <f>E6852*D6852</f>
        <v>#VALUE!</v>
      </c>
      <c r="G6852" s="519"/>
      <c r="H6852" s="110"/>
      <c r="I6852">
        <f>E6852*G6834</f>
        <v>0</v>
      </c>
      <c r="J6852" s="58"/>
      <c r="K6852" s="50"/>
      <c r="L6852" s="50"/>
      <c r="M6852" s="50"/>
      <c r="N6852" s="50"/>
      <c r="O6852" s="50"/>
    </row>
    <row r="6853" spans="1:15">
      <c r="A6853" s="517" t="s">
        <v>8</v>
      </c>
      <c r="B6853" s="518">
        <f>VLOOKUP(A6853,'Materiales '!$C$2:$G$396,3,0)</f>
        <v>0</v>
      </c>
      <c r="C6853" s="88">
        <f>VLOOKUP(A6853,'Materiales '!$C$2:$G$396,3,0)</f>
        <v>0</v>
      </c>
      <c r="D6853" s="89" t="str">
        <f>VLOOKUP(A6853,'Materiales '!$C$2:$G$396,4,0)</f>
        <v>-</v>
      </c>
      <c r="E6853" s="90"/>
      <c r="F6853" s="508" t="e">
        <f t="shared" ref="F6853:F6856" si="401">E6853*D6853</f>
        <v>#VALUE!</v>
      </c>
      <c r="G6853" s="519"/>
      <c r="H6853" s="111"/>
      <c r="I6853">
        <f>E6853*G6834</f>
        <v>0</v>
      </c>
      <c r="J6853" s="58"/>
      <c r="K6853" s="50"/>
      <c r="L6853" s="50"/>
      <c r="M6853" s="50"/>
      <c r="N6853" s="50"/>
      <c r="O6853" s="50"/>
    </row>
    <row r="6854" spans="1:15">
      <c r="A6854" s="517" t="s">
        <v>8</v>
      </c>
      <c r="B6854" s="518">
        <f>VLOOKUP(A6854,'Materiales '!$C$2:$G$396,3,0)</f>
        <v>0</v>
      </c>
      <c r="C6854" s="88">
        <f>VLOOKUP(A6854,'Materiales '!$C$2:$G$396,3,0)</f>
        <v>0</v>
      </c>
      <c r="D6854" s="89" t="str">
        <f>VLOOKUP(A6854,'Materiales '!$C$2:$G$396,4,0)</f>
        <v>-</v>
      </c>
      <c r="E6854" s="90"/>
      <c r="F6854" s="508" t="e">
        <f t="shared" si="401"/>
        <v>#VALUE!</v>
      </c>
      <c r="G6854" s="519"/>
      <c r="H6854" s="111"/>
      <c r="I6854">
        <f>E6854*G6834</f>
        <v>0</v>
      </c>
      <c r="J6854" s="58"/>
      <c r="K6854" s="50"/>
      <c r="L6854" s="50"/>
      <c r="M6854" s="50"/>
      <c r="N6854" s="50"/>
      <c r="O6854" s="50"/>
    </row>
    <row r="6855" spans="1:15">
      <c r="A6855" s="517" t="s">
        <v>8</v>
      </c>
      <c r="B6855" s="518">
        <f>VLOOKUP(A6855,'Materiales '!$C$2:$G$396,3,0)</f>
        <v>0</v>
      </c>
      <c r="C6855" s="88">
        <f>VLOOKUP(A6855,'Materiales '!$C$2:$G$396,3,0)</f>
        <v>0</v>
      </c>
      <c r="D6855" s="89" t="str">
        <f>VLOOKUP(A6855,'Materiales '!$C$2:$G$396,4,0)</f>
        <v>-</v>
      </c>
      <c r="E6855" s="90"/>
      <c r="F6855" s="508" t="e">
        <f t="shared" si="401"/>
        <v>#VALUE!</v>
      </c>
      <c r="G6855" s="519"/>
      <c r="H6855" s="111"/>
      <c r="I6855">
        <f>E6855*G6834</f>
        <v>0</v>
      </c>
      <c r="J6855" s="58"/>
      <c r="K6855" s="50"/>
      <c r="L6855" s="50"/>
      <c r="M6855" s="50"/>
      <c r="N6855" s="50"/>
      <c r="O6855" s="50"/>
    </row>
    <row r="6856" spans="1:15">
      <c r="A6856" s="517" t="s">
        <v>8</v>
      </c>
      <c r="B6856" s="518">
        <f>VLOOKUP(A6856,'Materiales '!$C$2:$G$396,3,0)</f>
        <v>0</v>
      </c>
      <c r="C6856" s="88">
        <f>VLOOKUP(A6856,'Materiales '!$C$2:$G$396,3,0)</f>
        <v>0</v>
      </c>
      <c r="D6856" s="89" t="str">
        <f>VLOOKUP(A6856,'Materiales '!$C$2:$G$396,4,0)</f>
        <v>-</v>
      </c>
      <c r="E6856" s="90"/>
      <c r="F6856" s="508" t="e">
        <f t="shared" si="401"/>
        <v>#VALUE!</v>
      </c>
      <c r="G6856" s="519"/>
      <c r="H6856" s="111"/>
      <c r="I6856">
        <f>E6856*G6834</f>
        <v>0</v>
      </c>
      <c r="J6856" s="58"/>
      <c r="K6856" s="50"/>
      <c r="L6856" s="50"/>
      <c r="M6856" s="50"/>
      <c r="N6856" s="50"/>
      <c r="O6856" s="50"/>
    </row>
    <row r="6857" spans="1:15">
      <c r="A6857" s="517" t="s">
        <v>8</v>
      </c>
      <c r="B6857" s="518">
        <f>VLOOKUP(A6857,'Materiales '!$C$2:$G$396,3,0)</f>
        <v>0</v>
      </c>
      <c r="C6857" s="88">
        <f>VLOOKUP(A6857,'Materiales '!$C$2:$G$396,3,0)</f>
        <v>0</v>
      </c>
      <c r="D6857" s="89" t="str">
        <f>VLOOKUP(A6857,'Materiales '!$C$2:$G$396,4,0)</f>
        <v>-</v>
      </c>
      <c r="E6857" s="90"/>
      <c r="F6857" s="508" t="e">
        <f>E6857*D6857</f>
        <v>#VALUE!</v>
      </c>
      <c r="G6857" s="519"/>
      <c r="H6857" s="110"/>
      <c r="I6857">
        <f>E6857*G6834</f>
        <v>0</v>
      </c>
      <c r="J6857" s="58"/>
      <c r="K6857" s="50"/>
      <c r="L6857" s="50"/>
      <c r="M6857" s="50"/>
      <c r="N6857" s="50"/>
      <c r="O6857" s="50"/>
    </row>
    <row r="6858" spans="1:15">
      <c r="A6858" s="520" t="s">
        <v>4098</v>
      </c>
      <c r="B6858" s="521"/>
      <c r="C6858" s="521"/>
      <c r="D6858" s="521"/>
      <c r="E6858" s="521"/>
      <c r="F6858" s="521"/>
      <c r="G6858" s="522"/>
      <c r="H6858" s="106" t="e">
        <f>SUM(F6844:F6857)</f>
        <v>#VALUE!</v>
      </c>
      <c r="J6858" s="58"/>
      <c r="K6858" s="50"/>
      <c r="L6858" s="50"/>
      <c r="M6858" s="50"/>
      <c r="N6858" s="50"/>
      <c r="O6858" s="50"/>
    </row>
    <row r="6859" spans="1:15">
      <c r="A6859" s="523" t="s">
        <v>4220</v>
      </c>
      <c r="B6859" s="524"/>
      <c r="C6859" s="524"/>
      <c r="D6859" s="524"/>
      <c r="E6859" s="525"/>
      <c r="F6859" s="524"/>
      <c r="G6859" s="524"/>
      <c r="H6859" s="526"/>
      <c r="J6859" s="58"/>
      <c r="K6859" s="50"/>
      <c r="L6859" s="50"/>
      <c r="M6859" s="50"/>
      <c r="N6859" s="50"/>
      <c r="O6859" s="50"/>
    </row>
    <row r="6860" spans="1:15">
      <c r="A6860" s="527" t="s">
        <v>7</v>
      </c>
      <c r="B6860" s="528"/>
      <c r="C6860" s="98" t="s">
        <v>4221</v>
      </c>
      <c r="D6860" s="97" t="s">
        <v>4222</v>
      </c>
      <c r="E6860" s="187" t="s">
        <v>4223</v>
      </c>
      <c r="F6860" s="529" t="s">
        <v>4207</v>
      </c>
      <c r="G6860" s="529"/>
      <c r="H6860" s="109"/>
      <c r="K6860" s="50"/>
      <c r="L6860" s="50"/>
      <c r="M6860" s="50"/>
      <c r="N6860" s="50"/>
      <c r="O6860" s="50"/>
    </row>
    <row r="6861" spans="1:15">
      <c r="A6861" s="506" t="s">
        <v>3928</v>
      </c>
      <c r="B6861" s="507"/>
      <c r="C6861" s="213">
        <v>1</v>
      </c>
      <c r="D6861" s="92">
        <v>5.0000000000000001E-3</v>
      </c>
      <c r="E6861" s="93" t="str">
        <f>VLOOKUP(A6861,'Equip, Herr y Transp'!$B$2:$E$217,3,0)</f>
        <v>TR</v>
      </c>
      <c r="F6861" s="530" t="e">
        <f>E6861*D6861*C6861</f>
        <v>#VALUE!</v>
      </c>
      <c r="G6861" s="531"/>
      <c r="H6861" s="107"/>
      <c r="M6861" s="50"/>
    </row>
    <row r="6862" spans="1:15">
      <c r="A6862" s="532" t="s">
        <v>4205</v>
      </c>
      <c r="B6862" s="533"/>
      <c r="C6862" s="533"/>
      <c r="D6862" s="533"/>
      <c r="E6862" s="533"/>
      <c r="F6862" s="533"/>
      <c r="G6862" s="533"/>
      <c r="H6862" s="95" t="e">
        <f>F6861</f>
        <v>#VALUE!</v>
      </c>
    </row>
    <row r="6863" spans="1:15">
      <c r="A6863" s="523" t="s">
        <v>4224</v>
      </c>
      <c r="B6863" s="524"/>
      <c r="C6863" s="524"/>
      <c r="D6863" s="524"/>
      <c r="E6863" s="524"/>
      <c r="F6863" s="524"/>
      <c r="G6863" s="524"/>
      <c r="H6863" s="526"/>
    </row>
    <row r="6864" spans="1:15">
      <c r="A6864" s="527" t="s">
        <v>7</v>
      </c>
      <c r="B6864" s="528"/>
      <c r="C6864" s="96" t="s">
        <v>1</v>
      </c>
      <c r="D6864" s="97" t="s">
        <v>4225</v>
      </c>
      <c r="E6864" s="98" t="s">
        <v>4204</v>
      </c>
      <c r="F6864" s="527" t="s">
        <v>5</v>
      </c>
      <c r="G6864" s="534"/>
      <c r="H6864" s="109"/>
    </row>
    <row r="6865" spans="1:10">
      <c r="A6865" s="506" t="s">
        <v>4191</v>
      </c>
      <c r="B6865" s="507"/>
      <c r="C6865" s="91">
        <v>1</v>
      </c>
      <c r="D6865" s="94">
        <f>VLOOKUP(A6865,'Mano Obra'!$B$2:$T$117,19,0)</f>
        <v>152456</v>
      </c>
      <c r="E6865" s="218">
        <f>H6827</f>
        <v>8.3000000000000001E-3</v>
      </c>
      <c r="F6865" s="508">
        <f>E6865*D6865*C6865</f>
        <v>1265.3848</v>
      </c>
      <c r="G6865" s="509"/>
      <c r="H6865" s="111"/>
      <c r="I6865" s="59"/>
      <c r="J6865" s="117">
        <f>((('Mano Obra'!$M$4/30)*F6865)/D6865)*G6834</f>
        <v>0</v>
      </c>
    </row>
    <row r="6866" spans="1:10">
      <c r="A6866" s="510" t="s">
        <v>4192</v>
      </c>
      <c r="B6866" s="511">
        <f>VLOOKUP(A6866,'Mano Obra'!$B$3:$D$290,2,0)</f>
        <v>1900000</v>
      </c>
      <c r="C6866" s="91">
        <v>1</v>
      </c>
      <c r="D6866" s="94">
        <f>VLOOKUP(A6866,'Mano Obra'!$B$2:$T$117,19,0)</f>
        <v>110488</v>
      </c>
      <c r="E6866" s="218">
        <f>H6827</f>
        <v>8.3000000000000001E-3</v>
      </c>
      <c r="F6866" s="508">
        <f t="shared" ref="F6866:F6867" si="402">E6866*D6866*C6866</f>
        <v>917.05039999999997</v>
      </c>
      <c r="G6866" s="509"/>
      <c r="H6866" s="111"/>
      <c r="J6866" s="117">
        <f>((('Mano Obra'!$M$5/30)*F6866)/D6866)*G6834</f>
        <v>0</v>
      </c>
    </row>
    <row r="6867" spans="1:10">
      <c r="A6867" s="510" t="s">
        <v>4181</v>
      </c>
      <c r="B6867" s="511">
        <f>VLOOKUP(A6867,'Mano Obra'!$B$3:$D$290,2,0)</f>
        <v>1000000</v>
      </c>
      <c r="C6867" s="91">
        <v>1</v>
      </c>
      <c r="D6867" s="94">
        <f>VLOOKUP(A6867,'Mano Obra'!$B$2:$T$117,19,0)</f>
        <v>67424</v>
      </c>
      <c r="E6867" s="218">
        <f>H6827</f>
        <v>8.3000000000000001E-3</v>
      </c>
      <c r="F6867" s="508">
        <f t="shared" si="402"/>
        <v>559.61919999999998</v>
      </c>
      <c r="G6867" s="509"/>
      <c r="H6867" s="110"/>
      <c r="J6867" s="117">
        <f>((('Mano Obra'!$M$6/30)*F6867)/D6867)*G6834</f>
        <v>0</v>
      </c>
    </row>
    <row r="6868" spans="1:10">
      <c r="A6868" s="512" t="s">
        <v>4100</v>
      </c>
      <c r="B6868" s="512"/>
      <c r="C6868" s="512"/>
      <c r="D6868" s="512"/>
      <c r="E6868" s="512"/>
      <c r="F6868" s="512"/>
      <c r="G6868" s="512"/>
      <c r="H6868" s="95">
        <f>SUM(F6865:F6867)</f>
        <v>2742.0544</v>
      </c>
      <c r="J6868" s="117"/>
    </row>
    <row r="6869" spans="1:10">
      <c r="A6869" s="208" t="s">
        <v>4226</v>
      </c>
      <c r="B6869" s="186"/>
      <c r="C6869" s="186"/>
      <c r="D6869" s="183"/>
      <c r="E6869" s="184"/>
      <c r="F6869" s="185"/>
      <c r="G6869" s="184"/>
      <c r="H6869" s="193"/>
    </row>
    <row r="6870" spans="1:10">
      <c r="A6870" s="513" t="s">
        <v>4213</v>
      </c>
      <c r="B6870" s="514"/>
      <c r="C6870" s="514"/>
      <c r="D6870" s="514"/>
      <c r="E6870" s="181"/>
      <c r="F6870" s="182" t="s">
        <v>4227</v>
      </c>
      <c r="G6870" s="181" t="s">
        <v>4228</v>
      </c>
      <c r="H6870" s="194"/>
    </row>
    <row r="6871" spans="1:10">
      <c r="A6871" s="204" t="s">
        <v>4096</v>
      </c>
      <c r="B6871" s="62"/>
      <c r="C6871" s="62"/>
      <c r="D6871" s="63"/>
      <c r="E6871" s="68"/>
      <c r="F6871" s="69">
        <v>0</v>
      </c>
      <c r="G6871" s="70" t="e">
        <f>F6871*H6835</f>
        <v>#VALUE!</v>
      </c>
      <c r="H6871" s="193"/>
    </row>
    <row r="6872" spans="1:10">
      <c r="A6872" s="205" t="s">
        <v>4229</v>
      </c>
      <c r="B6872" s="71"/>
      <c r="C6872" s="71"/>
      <c r="D6872" s="72"/>
      <c r="E6872" s="68"/>
      <c r="F6872" s="69">
        <v>0</v>
      </c>
      <c r="G6872" s="70" t="e">
        <f>F6872*H6835</f>
        <v>#VALUE!</v>
      </c>
      <c r="H6872" s="193"/>
    </row>
    <row r="6873" spans="1:10">
      <c r="A6873" s="205" t="s">
        <v>4</v>
      </c>
      <c r="B6873" s="71"/>
      <c r="C6873" s="71"/>
      <c r="D6873" s="72"/>
      <c r="E6873" s="68"/>
      <c r="F6873" s="69">
        <v>0</v>
      </c>
      <c r="G6873" s="70" t="e">
        <f>F6873*H6835</f>
        <v>#VALUE!</v>
      </c>
      <c r="H6873" s="193"/>
    </row>
    <row r="6874" spans="1:10">
      <c r="A6874" s="206"/>
      <c r="B6874" s="73"/>
      <c r="C6874" s="65"/>
      <c r="D6874" s="74"/>
      <c r="E6874" s="75"/>
      <c r="F6874" s="76"/>
      <c r="G6874" s="77"/>
      <c r="H6874" s="195"/>
    </row>
    <row r="6875" spans="1:10">
      <c r="A6875" s="207"/>
      <c r="B6875" s="73"/>
      <c r="C6875" s="73"/>
      <c r="D6875" s="74"/>
      <c r="E6875" s="78"/>
      <c r="F6875" s="515" t="s">
        <v>4230</v>
      </c>
      <c r="G6875" s="516"/>
      <c r="H6875" s="214" t="e">
        <f>H6835+G6871+G6872+G6873</f>
        <v>#VALUE!</v>
      </c>
    </row>
    <row r="6877" spans="1:10">
      <c r="A6877" s="80"/>
      <c r="B6877" s="80"/>
      <c r="C6877" s="80"/>
      <c r="D6877" s="80"/>
      <c r="E6877" s="80"/>
      <c r="F6877" s="80"/>
      <c r="G6877" s="80"/>
      <c r="H6877" s="353"/>
    </row>
    <row r="6878" spans="1:10">
      <c r="A6878" s="537" t="s">
        <v>4214</v>
      </c>
      <c r="B6878" s="538"/>
      <c r="C6878" s="538"/>
      <c r="D6878" s="538"/>
      <c r="E6878" s="538"/>
      <c r="F6878" s="538"/>
      <c r="G6878" s="538"/>
      <c r="H6878" s="539"/>
    </row>
    <row r="6879" spans="1:10">
      <c r="A6879" s="81"/>
      <c r="B6879" s="82"/>
      <c r="C6879" s="82"/>
      <c r="D6879" s="82"/>
      <c r="E6879" s="82"/>
      <c r="F6879" s="83"/>
      <c r="G6879" s="84"/>
      <c r="H6879" s="352">
        <f>ROUND((4/60)/8,4)</f>
        <v>8.3000000000000001E-3</v>
      </c>
      <c r="I6879" s="105"/>
    </row>
    <row r="6880" spans="1:10">
      <c r="A6880" s="540" t="s">
        <v>4209</v>
      </c>
      <c r="B6880" s="542" t="str">
        <f>COSTOS!$C$14</f>
        <v>MODERNIZACION A TECNOLOGIA LED</v>
      </c>
      <c r="C6880" s="542"/>
      <c r="D6880" s="542"/>
      <c r="E6880" s="542"/>
      <c r="F6880" s="542"/>
      <c r="G6880" s="542"/>
      <c r="H6880" s="543" t="s">
        <v>4210</v>
      </c>
    </row>
    <row r="6881" spans="1:15">
      <c r="A6881" s="541"/>
      <c r="B6881" s="542"/>
      <c r="C6881" s="542"/>
      <c r="D6881" s="542"/>
      <c r="E6881" s="542"/>
      <c r="F6881" s="542"/>
      <c r="G6881" s="542"/>
      <c r="H6881" s="543"/>
    </row>
    <row r="6882" spans="1:15">
      <c r="A6882" s="541"/>
      <c r="B6882" s="542"/>
      <c r="C6882" s="542"/>
      <c r="D6882" s="542"/>
      <c r="E6882" s="542"/>
      <c r="F6882" s="542"/>
      <c r="G6882" s="542"/>
      <c r="H6882" s="543"/>
    </row>
    <row r="6883" spans="1:15" ht="15" customHeight="1">
      <c r="A6883" s="541"/>
      <c r="B6883" s="542"/>
      <c r="C6883" s="542"/>
      <c r="D6883" s="542"/>
      <c r="E6883" s="542"/>
      <c r="F6883" s="542"/>
      <c r="G6883" s="542"/>
      <c r="H6883" s="197">
        <f ca="1">TODAY()</f>
        <v>44889</v>
      </c>
      <c r="K6883" t="s">
        <v>4380</v>
      </c>
      <c r="L6883" t="s">
        <v>4381</v>
      </c>
      <c r="M6883" t="s">
        <v>4382</v>
      </c>
      <c r="N6883" t="s">
        <v>4383</v>
      </c>
    </row>
    <row r="6884" spans="1:15" ht="60.75" customHeight="1">
      <c r="A6884" s="209" t="s">
        <v>4211</v>
      </c>
      <c r="B6884" s="544" t="str">
        <f>COSTOS!$D$16</f>
        <v>Luminarias</v>
      </c>
      <c r="C6884" s="544"/>
      <c r="D6884" s="544"/>
      <c r="E6884" s="544"/>
      <c r="F6884" s="544"/>
      <c r="G6884" s="60" t="s">
        <v>4212</v>
      </c>
      <c r="H6884" s="363">
        <v>3.26</v>
      </c>
      <c r="K6884" s="55" t="e">
        <f>H6910</f>
        <v>#VALUE!</v>
      </c>
      <c r="L6884" s="55">
        <f>H6920</f>
        <v>2742.0544</v>
      </c>
      <c r="M6884" s="55" t="e">
        <f>H6893</f>
        <v>#VALUE!</v>
      </c>
      <c r="N6884" s="55" t="e">
        <f>H6914</f>
        <v>#VALUE!</v>
      </c>
    </row>
    <row r="6885" spans="1:15" ht="43.2" customHeight="1">
      <c r="A6885" s="210" t="s">
        <v>4213</v>
      </c>
      <c r="B6885" s="545" t="str">
        <f>VLOOKUP(H6884,COSTOS!C:M,2,0)</f>
        <v>Red canalizada en cable cobre # 8 x 500m</v>
      </c>
      <c r="C6885" s="546"/>
      <c r="D6885" s="546"/>
      <c r="E6885" s="547"/>
      <c r="F6885" s="61" t="s">
        <v>0</v>
      </c>
      <c r="G6885" s="328" t="str">
        <f>VLOOKUP(H6884,COSTOS!C:M,8,0)</f>
        <v>Und</v>
      </c>
      <c r="H6885" s="248"/>
      <c r="I6885" s="278"/>
      <c r="J6885" s="280"/>
      <c r="K6885" s="280"/>
      <c r="L6885" s="280"/>
    </row>
    <row r="6886" spans="1:15">
      <c r="A6886" s="211"/>
      <c r="B6886" s="102"/>
      <c r="C6886" s="102"/>
      <c r="D6886" s="102"/>
      <c r="E6886" s="103"/>
      <c r="F6886" s="104" t="s">
        <v>1</v>
      </c>
      <c r="G6886" s="328">
        <f>VLOOKUP(H6884,COSTOS!C:M,9,0)</f>
        <v>0</v>
      </c>
      <c r="H6886" s="329"/>
      <c r="I6886" s="279"/>
    </row>
    <row r="6887" spans="1:15">
      <c r="A6887" s="212" t="s">
        <v>4215</v>
      </c>
      <c r="B6887" s="65"/>
      <c r="C6887" s="65"/>
      <c r="D6887" s="66"/>
      <c r="E6887" s="190"/>
      <c r="F6887" s="191"/>
      <c r="G6887" s="192" t="s">
        <v>4216</v>
      </c>
      <c r="H6887" s="198" t="e">
        <f>H6893+H6910+H6914+H6920</f>
        <v>#VALUE!</v>
      </c>
    </row>
    <row r="6888" spans="1:15" ht="41.4">
      <c r="A6888" s="548" t="s">
        <v>4213</v>
      </c>
      <c r="B6888" s="548"/>
      <c r="C6888" s="548"/>
      <c r="D6888" s="67" t="s">
        <v>0</v>
      </c>
      <c r="E6888" s="188" t="s">
        <v>4217</v>
      </c>
      <c r="F6888" s="189" t="s">
        <v>4204</v>
      </c>
      <c r="G6888" s="64" t="s">
        <v>2</v>
      </c>
      <c r="H6888" s="199" t="s">
        <v>4218</v>
      </c>
      <c r="K6888" s="281"/>
    </row>
    <row r="6889" spans="1:15">
      <c r="A6889" s="517" t="s">
        <v>3946</v>
      </c>
      <c r="B6889" s="549">
        <f>VLOOKUP(A6889,'Equip, Herr y Transp'!$B$2:$E$738,2,0)</f>
        <v>2</v>
      </c>
      <c r="C6889" s="549"/>
      <c r="D6889" s="85">
        <f>VLOOKUP(A6889,'Equip, Herr y Transp'!$B$2:$E$217,2,0)</f>
        <v>2</v>
      </c>
      <c r="E6889" s="85" t="str">
        <f>VLOOKUP(A6889,'Equip, Herr y Transp'!$B$2:$E$217,3,0)</f>
        <v>EQU</v>
      </c>
      <c r="F6889" s="86">
        <f>H6879</f>
        <v>8.3000000000000001E-3</v>
      </c>
      <c r="G6889" s="112" t="e">
        <f>F6889*E6889</f>
        <v>#VALUE!</v>
      </c>
      <c r="H6889" s="108"/>
    </row>
    <row r="6890" spans="1:15">
      <c r="A6890" s="517" t="s">
        <v>3904</v>
      </c>
      <c r="B6890" s="549">
        <f>VLOOKUP(A6890,'Equip, Herr y Transp'!$B$2:$E$738,2,0)</f>
        <v>2</v>
      </c>
      <c r="C6890" s="549"/>
      <c r="D6890" s="85">
        <f>VLOOKUP(A6890,'Equip, Herr y Transp'!$B$2:$E$217,2,0)</f>
        <v>2</v>
      </c>
      <c r="E6890" s="85" t="str">
        <f>VLOOKUP(A6890,'Equip, Herr y Transp'!$B$2:$E$217,3,0)</f>
        <v>EQU</v>
      </c>
      <c r="F6890" s="86">
        <f>H6879</f>
        <v>8.3000000000000001E-3</v>
      </c>
      <c r="G6890" s="112" t="e">
        <f>F6890*E6890</f>
        <v>#VALUE!</v>
      </c>
      <c r="H6890" s="107"/>
    </row>
    <row r="6891" spans="1:15">
      <c r="A6891" s="517" t="s">
        <v>8</v>
      </c>
      <c r="B6891" s="549" t="e">
        <f>VLOOKUP(A6891,'Equip, Herr y Transp'!$B$2:$E$738,2,0)</f>
        <v>#N/A</v>
      </c>
      <c r="C6891" s="549"/>
      <c r="D6891" s="85" t="e">
        <f>VLOOKUP(A6891,'Equip, Herr y Transp'!$B$2:$E$217,2,0)</f>
        <v>#N/A</v>
      </c>
      <c r="E6891" s="85" t="e">
        <f>VLOOKUP(A6891,'Equip, Herr y Transp'!$B$2:$E$217,3,0)</f>
        <v>#N/A</v>
      </c>
      <c r="F6891" s="86">
        <f>H6879</f>
        <v>8.3000000000000001E-3</v>
      </c>
      <c r="G6891" s="112" t="e">
        <f>F6891*E6891</f>
        <v>#N/A</v>
      </c>
      <c r="H6891" s="107"/>
    </row>
    <row r="6892" spans="1:15">
      <c r="A6892" s="517" t="s">
        <v>8</v>
      </c>
      <c r="B6892" s="549" t="e">
        <f>VLOOKUP(A6892,'Equip, Herr y Transp'!$B$2:$E$738,2,0)</f>
        <v>#N/A</v>
      </c>
      <c r="C6892" s="549"/>
      <c r="D6892" s="85" t="e">
        <f>VLOOKUP(A6892,'Equip, Herr y Transp'!$B$2:$E$217,2,0)</f>
        <v>#N/A</v>
      </c>
      <c r="E6892" s="85" t="e">
        <f>VLOOKUP(A6892,'Equip, Herr y Transp'!$B$2:$E$217,3,0)</f>
        <v>#N/A</v>
      </c>
      <c r="F6892" s="86">
        <f>H6879</f>
        <v>8.3000000000000001E-3</v>
      </c>
      <c r="G6892" s="112" t="e">
        <f>F6892*E6892</f>
        <v>#N/A</v>
      </c>
      <c r="H6892" s="107"/>
    </row>
    <row r="6893" spans="1:15">
      <c r="A6893" s="520" t="s">
        <v>4099</v>
      </c>
      <c r="B6893" s="521"/>
      <c r="C6893" s="521"/>
      <c r="D6893" s="521"/>
      <c r="E6893" s="521"/>
      <c r="F6893" s="521"/>
      <c r="G6893" s="521"/>
      <c r="H6893" s="87" t="e">
        <f>SUM(G6889:G6892)</f>
        <v>#VALUE!</v>
      </c>
    </row>
    <row r="6894" spans="1:15">
      <c r="A6894" s="550" t="s">
        <v>4219</v>
      </c>
      <c r="B6894" s="551"/>
      <c r="C6894" s="551"/>
      <c r="D6894" s="551"/>
      <c r="E6894" s="551"/>
      <c r="F6894" s="551"/>
      <c r="G6894" s="551"/>
      <c r="H6894" s="552"/>
      <c r="K6894" s="50"/>
      <c r="L6894" s="50"/>
      <c r="M6894" s="50"/>
      <c r="N6894" s="50"/>
      <c r="O6894" s="50"/>
    </row>
    <row r="6895" spans="1:15" ht="30" customHeight="1">
      <c r="A6895" s="553" t="s">
        <v>7</v>
      </c>
      <c r="B6895" s="554"/>
      <c r="C6895" s="99" t="s">
        <v>0</v>
      </c>
      <c r="D6895" s="100" t="s">
        <v>4097</v>
      </c>
      <c r="E6895" s="101" t="s">
        <v>1</v>
      </c>
      <c r="F6895" s="555" t="s">
        <v>4207</v>
      </c>
      <c r="G6895" s="555"/>
      <c r="H6895" s="196"/>
      <c r="K6895" s="50"/>
      <c r="L6895" s="50"/>
      <c r="M6895" s="50"/>
      <c r="N6895" s="50"/>
      <c r="O6895" s="50"/>
    </row>
    <row r="6896" spans="1:15">
      <c r="A6896" s="535" t="s">
        <v>4446</v>
      </c>
      <c r="B6896" s="536"/>
      <c r="C6896" s="88">
        <f>VLOOKUP(A6896,'Materiales '!$C$2:$G$396,3,0)</f>
        <v>2</v>
      </c>
      <c r="D6896" s="89" t="str">
        <f>VLOOKUP(A6896,'Materiales '!$C$2:$G$396,4,0)</f>
        <v>Ml</v>
      </c>
      <c r="E6896" s="90">
        <v>1</v>
      </c>
      <c r="F6896" s="508" t="e">
        <f>E6896*D6896</f>
        <v>#VALUE!</v>
      </c>
      <c r="G6896" s="519"/>
      <c r="H6896" s="111"/>
      <c r="I6896">
        <f>E6896*G6886</f>
        <v>0</v>
      </c>
      <c r="J6896" s="57"/>
      <c r="K6896" s="50"/>
      <c r="L6896" s="50"/>
      <c r="M6896" s="50"/>
      <c r="N6896" s="50"/>
      <c r="O6896" s="50"/>
    </row>
    <row r="6897" spans="1:15">
      <c r="A6897" s="535" t="s">
        <v>8</v>
      </c>
      <c r="B6897" s="536"/>
      <c r="C6897" s="88">
        <f>VLOOKUP(A6897,'Materiales '!$C$2:$G$396,3,0)</f>
        <v>0</v>
      </c>
      <c r="D6897" s="89" t="str">
        <f>VLOOKUP(A6897,'Materiales '!$C$2:$G$396,4,0)</f>
        <v>-</v>
      </c>
      <c r="E6897" s="90">
        <f>3/25</f>
        <v>0.12</v>
      </c>
      <c r="F6897" s="508" t="e">
        <f t="shared" ref="F6897:F6903" si="403">E6897*D6897</f>
        <v>#VALUE!</v>
      </c>
      <c r="G6897" s="519"/>
      <c r="H6897" s="111"/>
      <c r="I6897">
        <f>E6897*G6886</f>
        <v>0</v>
      </c>
      <c r="J6897" s="57"/>
      <c r="K6897" s="50"/>
      <c r="L6897" s="50"/>
      <c r="M6897" s="50"/>
      <c r="N6897" s="50"/>
      <c r="O6897" s="50"/>
    </row>
    <row r="6898" spans="1:15">
      <c r="A6898" s="517" t="s">
        <v>8</v>
      </c>
      <c r="B6898" s="518">
        <f>VLOOKUP(A6898,'Materiales '!$C$2:$G$396,3,0)</f>
        <v>0</v>
      </c>
      <c r="C6898" s="88">
        <f>VLOOKUP(A6898,'Materiales '!$C$2:$G$396,3,0)</f>
        <v>0</v>
      </c>
      <c r="D6898" s="89" t="str">
        <f>VLOOKUP(A6898,'Materiales '!$C$2:$G$396,4,0)</f>
        <v>-</v>
      </c>
      <c r="E6898" s="90">
        <f>3/25</f>
        <v>0.12</v>
      </c>
      <c r="F6898" s="508" t="e">
        <f t="shared" si="403"/>
        <v>#VALUE!</v>
      </c>
      <c r="G6898" s="519"/>
      <c r="H6898" s="111"/>
      <c r="I6898">
        <f>E6898*G6886</f>
        <v>0</v>
      </c>
      <c r="J6898" s="58"/>
      <c r="K6898" s="50"/>
      <c r="L6898" s="50"/>
      <c r="M6898" s="50"/>
      <c r="N6898" s="50"/>
      <c r="O6898" s="50"/>
    </row>
    <row r="6899" spans="1:15">
      <c r="A6899" s="517" t="s">
        <v>8</v>
      </c>
      <c r="B6899" s="518">
        <f>VLOOKUP(A6899,'Materiales '!$C$2:$G$396,3,0)</f>
        <v>0</v>
      </c>
      <c r="C6899" s="88">
        <f>VLOOKUP(A6899,'Materiales '!$C$2:$G$396,3,0)</f>
        <v>0</v>
      </c>
      <c r="D6899" s="89" t="str">
        <f>VLOOKUP(A6899,'Materiales '!$C$2:$G$396,4,0)</f>
        <v>-</v>
      </c>
      <c r="E6899" s="90"/>
      <c r="F6899" s="508" t="e">
        <f t="shared" si="403"/>
        <v>#VALUE!</v>
      </c>
      <c r="G6899" s="519"/>
      <c r="H6899" s="111"/>
      <c r="I6899">
        <f>E6899*G6886</f>
        <v>0</v>
      </c>
      <c r="J6899" s="58"/>
      <c r="K6899" s="50"/>
      <c r="L6899" s="50"/>
      <c r="M6899" s="50"/>
      <c r="N6899" s="50"/>
      <c r="O6899" s="50"/>
    </row>
    <row r="6900" spans="1:15">
      <c r="A6900" s="517" t="s">
        <v>8</v>
      </c>
      <c r="B6900" s="518">
        <f>VLOOKUP(A6900,'Materiales '!$C$2:$G$396,3,0)</f>
        <v>0</v>
      </c>
      <c r="C6900" s="88">
        <f>VLOOKUP(A6900,'Materiales '!$C$2:$G$396,3,0)</f>
        <v>0</v>
      </c>
      <c r="D6900" s="89" t="str">
        <f>VLOOKUP(A6900,'Materiales '!$C$2:$G$396,4,0)</f>
        <v>-</v>
      </c>
      <c r="E6900" s="90"/>
      <c r="F6900" s="508" t="e">
        <f t="shared" si="403"/>
        <v>#VALUE!</v>
      </c>
      <c r="G6900" s="519"/>
      <c r="H6900" s="111"/>
      <c r="I6900">
        <f>E6900*G6886</f>
        <v>0</v>
      </c>
      <c r="J6900" s="58"/>
      <c r="K6900" s="50"/>
      <c r="L6900" s="50"/>
      <c r="M6900" s="50"/>
      <c r="N6900" s="50"/>
      <c r="O6900" s="50"/>
    </row>
    <row r="6901" spans="1:15">
      <c r="A6901" s="517" t="s">
        <v>8</v>
      </c>
      <c r="B6901" s="518">
        <f>VLOOKUP(A6901,'Materiales '!$C$2:$G$396,3,0)</f>
        <v>0</v>
      </c>
      <c r="C6901" s="88">
        <f>VLOOKUP(A6901,'Materiales '!$C$2:$G$396,3,0)</f>
        <v>0</v>
      </c>
      <c r="D6901" s="89" t="str">
        <f>VLOOKUP(A6901,'Materiales '!$C$2:$G$396,4,0)</f>
        <v>-</v>
      </c>
      <c r="E6901" s="90"/>
      <c r="F6901" s="508" t="e">
        <f t="shared" si="403"/>
        <v>#VALUE!</v>
      </c>
      <c r="G6901" s="519"/>
      <c r="H6901" s="111"/>
      <c r="I6901">
        <f>E6901*G6886</f>
        <v>0</v>
      </c>
      <c r="J6901" s="58"/>
      <c r="K6901" s="50"/>
      <c r="L6901" s="50"/>
      <c r="M6901" s="50"/>
      <c r="N6901" s="50"/>
      <c r="O6901" s="50"/>
    </row>
    <row r="6902" spans="1:15">
      <c r="A6902" s="517" t="s">
        <v>8</v>
      </c>
      <c r="B6902" s="518">
        <f>VLOOKUP(A6902,'Materiales '!$C$2:$G$396,3,0)</f>
        <v>0</v>
      </c>
      <c r="C6902" s="88">
        <f>VLOOKUP(A6902,'Materiales '!$C$2:$G$396,3,0)</f>
        <v>0</v>
      </c>
      <c r="D6902" s="89" t="str">
        <f>VLOOKUP(A6902,'Materiales '!$C$2:$G$396,4,0)</f>
        <v>-</v>
      </c>
      <c r="E6902" s="90"/>
      <c r="F6902" s="508" t="e">
        <f t="shared" si="403"/>
        <v>#VALUE!</v>
      </c>
      <c r="G6902" s="519"/>
      <c r="H6902" s="111"/>
      <c r="I6902">
        <f>E6902*G6886</f>
        <v>0</v>
      </c>
      <c r="J6902" s="58"/>
      <c r="K6902" s="50"/>
      <c r="L6902" s="50"/>
      <c r="M6902" s="50"/>
      <c r="N6902" s="50"/>
      <c r="O6902" s="50"/>
    </row>
    <row r="6903" spans="1:15" ht="21.75" customHeight="1">
      <c r="A6903" s="517" t="s">
        <v>8</v>
      </c>
      <c r="B6903" s="518">
        <f>VLOOKUP(A6903,'Materiales '!$C$2:$G$396,3,0)</f>
        <v>0</v>
      </c>
      <c r="C6903" s="88">
        <f>VLOOKUP(A6903,'Materiales '!$C$2:$G$396,3,0)</f>
        <v>0</v>
      </c>
      <c r="D6903" s="89" t="str">
        <f>VLOOKUP(A6903,'Materiales '!$C$2:$G$396,4,0)</f>
        <v>-</v>
      </c>
      <c r="E6903" s="90"/>
      <c r="F6903" s="508" t="e">
        <f t="shared" si="403"/>
        <v>#VALUE!</v>
      </c>
      <c r="G6903" s="519"/>
      <c r="H6903" s="111"/>
      <c r="I6903">
        <f>E6903*G6886</f>
        <v>0</v>
      </c>
      <c r="J6903" s="58"/>
      <c r="K6903" s="50"/>
      <c r="L6903" s="50"/>
      <c r="M6903" s="50"/>
      <c r="N6903" s="50"/>
      <c r="O6903" s="50"/>
    </row>
    <row r="6904" spans="1:15">
      <c r="A6904" s="517" t="s">
        <v>8</v>
      </c>
      <c r="B6904" s="518">
        <f>VLOOKUP(A6904,'Materiales '!$C$2:$G$396,3,0)</f>
        <v>0</v>
      </c>
      <c r="C6904" s="88">
        <f>VLOOKUP(A6904,'Materiales '!$C$2:$G$396,3,0)</f>
        <v>0</v>
      </c>
      <c r="D6904" s="89" t="str">
        <f>VLOOKUP(A6904,'Materiales '!$C$2:$G$396,4,0)</f>
        <v>-</v>
      </c>
      <c r="E6904" s="90"/>
      <c r="F6904" s="508" t="e">
        <f>E6904*D6904</f>
        <v>#VALUE!</v>
      </c>
      <c r="G6904" s="519"/>
      <c r="H6904" s="110"/>
      <c r="I6904">
        <f>E6904*G6886</f>
        <v>0</v>
      </c>
      <c r="J6904" s="58"/>
      <c r="K6904" s="50"/>
      <c r="L6904" s="50"/>
      <c r="M6904" s="50"/>
      <c r="N6904" s="50"/>
      <c r="O6904" s="50"/>
    </row>
    <row r="6905" spans="1:15">
      <c r="A6905" s="517" t="s">
        <v>8</v>
      </c>
      <c r="B6905" s="518">
        <f>VLOOKUP(A6905,'Materiales '!$C$2:$G$396,3,0)</f>
        <v>0</v>
      </c>
      <c r="C6905" s="88">
        <f>VLOOKUP(A6905,'Materiales '!$C$2:$G$396,3,0)</f>
        <v>0</v>
      </c>
      <c r="D6905" s="89" t="str">
        <f>VLOOKUP(A6905,'Materiales '!$C$2:$G$396,4,0)</f>
        <v>-</v>
      </c>
      <c r="E6905" s="90"/>
      <c r="F6905" s="508" t="e">
        <f t="shared" ref="F6905:F6908" si="404">E6905*D6905</f>
        <v>#VALUE!</v>
      </c>
      <c r="G6905" s="519"/>
      <c r="H6905" s="111"/>
      <c r="I6905">
        <f>E6905*G6886</f>
        <v>0</v>
      </c>
      <c r="J6905" s="58"/>
      <c r="K6905" s="50"/>
      <c r="L6905" s="50"/>
      <c r="M6905" s="50"/>
      <c r="N6905" s="50"/>
      <c r="O6905" s="50"/>
    </row>
    <row r="6906" spans="1:15">
      <c r="A6906" s="517" t="s">
        <v>8</v>
      </c>
      <c r="B6906" s="518">
        <f>VLOOKUP(A6906,'Materiales '!$C$2:$G$396,3,0)</f>
        <v>0</v>
      </c>
      <c r="C6906" s="88">
        <f>VLOOKUP(A6906,'Materiales '!$C$2:$G$396,3,0)</f>
        <v>0</v>
      </c>
      <c r="D6906" s="89" t="str">
        <f>VLOOKUP(A6906,'Materiales '!$C$2:$G$396,4,0)</f>
        <v>-</v>
      </c>
      <c r="E6906" s="90"/>
      <c r="F6906" s="508" t="e">
        <f t="shared" si="404"/>
        <v>#VALUE!</v>
      </c>
      <c r="G6906" s="519"/>
      <c r="H6906" s="111"/>
      <c r="I6906">
        <f>E6906*G6886</f>
        <v>0</v>
      </c>
      <c r="J6906" s="58"/>
      <c r="K6906" s="50"/>
      <c r="L6906" s="50"/>
      <c r="M6906" s="50"/>
      <c r="N6906" s="50"/>
      <c r="O6906" s="50"/>
    </row>
    <row r="6907" spans="1:15">
      <c r="A6907" s="517" t="s">
        <v>8</v>
      </c>
      <c r="B6907" s="518">
        <f>VLOOKUP(A6907,'Materiales '!$C$2:$G$396,3,0)</f>
        <v>0</v>
      </c>
      <c r="C6907" s="88">
        <f>VLOOKUP(A6907,'Materiales '!$C$2:$G$396,3,0)</f>
        <v>0</v>
      </c>
      <c r="D6907" s="89" t="str">
        <f>VLOOKUP(A6907,'Materiales '!$C$2:$G$396,4,0)</f>
        <v>-</v>
      </c>
      <c r="E6907" s="90"/>
      <c r="F6907" s="508" t="e">
        <f t="shared" si="404"/>
        <v>#VALUE!</v>
      </c>
      <c r="G6907" s="519"/>
      <c r="H6907" s="111"/>
      <c r="I6907">
        <f>E6907*G6886</f>
        <v>0</v>
      </c>
      <c r="J6907" s="58"/>
      <c r="K6907" s="50"/>
      <c r="L6907" s="50"/>
      <c r="M6907" s="50"/>
      <c r="N6907" s="50"/>
      <c r="O6907" s="50"/>
    </row>
    <row r="6908" spans="1:15">
      <c r="A6908" s="517" t="s">
        <v>8</v>
      </c>
      <c r="B6908" s="518">
        <f>VLOOKUP(A6908,'Materiales '!$C$2:$G$396,3,0)</f>
        <v>0</v>
      </c>
      <c r="C6908" s="88">
        <f>VLOOKUP(A6908,'Materiales '!$C$2:$G$396,3,0)</f>
        <v>0</v>
      </c>
      <c r="D6908" s="89" t="str">
        <f>VLOOKUP(A6908,'Materiales '!$C$2:$G$396,4,0)</f>
        <v>-</v>
      </c>
      <c r="E6908" s="90"/>
      <c r="F6908" s="508" t="e">
        <f t="shared" si="404"/>
        <v>#VALUE!</v>
      </c>
      <c r="G6908" s="519"/>
      <c r="H6908" s="111"/>
      <c r="I6908">
        <f>E6908*G6886</f>
        <v>0</v>
      </c>
      <c r="J6908" s="58"/>
      <c r="K6908" s="50"/>
      <c r="L6908" s="50"/>
      <c r="M6908" s="50"/>
      <c r="N6908" s="50"/>
      <c r="O6908" s="50"/>
    </row>
    <row r="6909" spans="1:15">
      <c r="A6909" s="517" t="s">
        <v>8</v>
      </c>
      <c r="B6909" s="518">
        <f>VLOOKUP(A6909,'Materiales '!$C$2:$G$396,3,0)</f>
        <v>0</v>
      </c>
      <c r="C6909" s="88">
        <f>VLOOKUP(A6909,'Materiales '!$C$2:$G$396,3,0)</f>
        <v>0</v>
      </c>
      <c r="D6909" s="89" t="str">
        <f>VLOOKUP(A6909,'Materiales '!$C$2:$G$396,4,0)</f>
        <v>-</v>
      </c>
      <c r="E6909" s="90"/>
      <c r="F6909" s="508" t="e">
        <f>E6909*D6909</f>
        <v>#VALUE!</v>
      </c>
      <c r="G6909" s="519"/>
      <c r="H6909" s="110"/>
      <c r="I6909">
        <f>E6909*G6886</f>
        <v>0</v>
      </c>
      <c r="J6909" s="58"/>
      <c r="K6909" s="50"/>
      <c r="L6909" s="50"/>
      <c r="M6909" s="50"/>
      <c r="N6909" s="50"/>
      <c r="O6909" s="50"/>
    </row>
    <row r="6910" spans="1:15">
      <c r="A6910" s="520" t="s">
        <v>4098</v>
      </c>
      <c r="B6910" s="521"/>
      <c r="C6910" s="521"/>
      <c r="D6910" s="521"/>
      <c r="E6910" s="521"/>
      <c r="F6910" s="521"/>
      <c r="G6910" s="522"/>
      <c r="H6910" s="106" t="e">
        <f>SUM(F6896:F6909)</f>
        <v>#VALUE!</v>
      </c>
      <c r="J6910" s="58"/>
      <c r="K6910" s="50"/>
      <c r="L6910" s="50"/>
      <c r="M6910" s="50"/>
      <c r="N6910" s="50"/>
      <c r="O6910" s="50"/>
    </row>
    <row r="6911" spans="1:15">
      <c r="A6911" s="523" t="s">
        <v>4220</v>
      </c>
      <c r="B6911" s="524"/>
      <c r="C6911" s="524"/>
      <c r="D6911" s="524"/>
      <c r="E6911" s="525"/>
      <c r="F6911" s="524"/>
      <c r="G6911" s="524"/>
      <c r="H6911" s="526"/>
      <c r="J6911" s="58"/>
      <c r="K6911" s="50"/>
      <c r="L6911" s="50"/>
      <c r="M6911" s="50"/>
      <c r="N6911" s="50"/>
      <c r="O6911" s="50"/>
    </row>
    <row r="6912" spans="1:15">
      <c r="A6912" s="527" t="s">
        <v>7</v>
      </c>
      <c r="B6912" s="528"/>
      <c r="C6912" s="98" t="s">
        <v>4221</v>
      </c>
      <c r="D6912" s="97" t="s">
        <v>4222</v>
      </c>
      <c r="E6912" s="187" t="s">
        <v>4223</v>
      </c>
      <c r="F6912" s="529" t="s">
        <v>4207</v>
      </c>
      <c r="G6912" s="529"/>
      <c r="H6912" s="109"/>
      <c r="K6912" s="50"/>
      <c r="L6912" s="50"/>
      <c r="M6912" s="50"/>
      <c r="N6912" s="50"/>
      <c r="O6912" s="50"/>
    </row>
    <row r="6913" spans="1:13">
      <c r="A6913" s="506" t="s">
        <v>3928</v>
      </c>
      <c r="B6913" s="507"/>
      <c r="C6913" s="213">
        <v>1</v>
      </c>
      <c r="D6913" s="92">
        <v>5.0000000000000001E-3</v>
      </c>
      <c r="E6913" s="93" t="str">
        <f>VLOOKUP(A6913,'Equip, Herr y Transp'!$B$2:$E$217,3,0)</f>
        <v>TR</v>
      </c>
      <c r="F6913" s="530" t="e">
        <f>E6913*D6913*C6913</f>
        <v>#VALUE!</v>
      </c>
      <c r="G6913" s="531"/>
      <c r="H6913" s="107"/>
      <c r="M6913" s="50"/>
    </row>
    <row r="6914" spans="1:13">
      <c r="A6914" s="532" t="s">
        <v>4205</v>
      </c>
      <c r="B6914" s="533"/>
      <c r="C6914" s="533"/>
      <c r="D6914" s="533"/>
      <c r="E6914" s="533"/>
      <c r="F6914" s="533"/>
      <c r="G6914" s="533"/>
      <c r="H6914" s="95" t="e">
        <f>F6913</f>
        <v>#VALUE!</v>
      </c>
    </row>
    <row r="6915" spans="1:13">
      <c r="A6915" s="523" t="s">
        <v>4224</v>
      </c>
      <c r="B6915" s="524"/>
      <c r="C6915" s="524"/>
      <c r="D6915" s="524"/>
      <c r="E6915" s="524"/>
      <c r="F6915" s="524"/>
      <c r="G6915" s="524"/>
      <c r="H6915" s="526"/>
    </row>
    <row r="6916" spans="1:13">
      <c r="A6916" s="527" t="s">
        <v>7</v>
      </c>
      <c r="B6916" s="528"/>
      <c r="C6916" s="96" t="s">
        <v>1</v>
      </c>
      <c r="D6916" s="97" t="s">
        <v>4225</v>
      </c>
      <c r="E6916" s="98" t="s">
        <v>4204</v>
      </c>
      <c r="F6916" s="527" t="s">
        <v>5</v>
      </c>
      <c r="G6916" s="534"/>
      <c r="H6916" s="109"/>
    </row>
    <row r="6917" spans="1:13">
      <c r="A6917" s="506" t="s">
        <v>4191</v>
      </c>
      <c r="B6917" s="507"/>
      <c r="C6917" s="91">
        <v>1</v>
      </c>
      <c r="D6917" s="94">
        <f>VLOOKUP(A6917,'Mano Obra'!$B$2:$T$117,19,0)</f>
        <v>152456</v>
      </c>
      <c r="E6917" s="218">
        <f>H6879</f>
        <v>8.3000000000000001E-3</v>
      </c>
      <c r="F6917" s="508">
        <f>E6917*D6917*C6917</f>
        <v>1265.3848</v>
      </c>
      <c r="G6917" s="509"/>
      <c r="H6917" s="111"/>
      <c r="I6917" s="59"/>
      <c r="J6917" s="117">
        <f>((('Mano Obra'!$M$4/30)*F6917)/D6917)*G6886</f>
        <v>0</v>
      </c>
    </row>
    <row r="6918" spans="1:13">
      <c r="A6918" s="510" t="s">
        <v>4192</v>
      </c>
      <c r="B6918" s="511">
        <f>VLOOKUP(A6918,'Mano Obra'!$B$3:$D$290,2,0)</f>
        <v>1900000</v>
      </c>
      <c r="C6918" s="91">
        <v>1</v>
      </c>
      <c r="D6918" s="94">
        <f>VLOOKUP(A6918,'Mano Obra'!$B$2:$T$117,19,0)</f>
        <v>110488</v>
      </c>
      <c r="E6918" s="218">
        <f>H6879</f>
        <v>8.3000000000000001E-3</v>
      </c>
      <c r="F6918" s="508">
        <f t="shared" ref="F6918:F6919" si="405">E6918*D6918*C6918</f>
        <v>917.05039999999997</v>
      </c>
      <c r="G6918" s="509"/>
      <c r="H6918" s="111"/>
      <c r="J6918" s="117">
        <f>((('Mano Obra'!$M$5/30)*F6918)/D6918)*G6886</f>
        <v>0</v>
      </c>
    </row>
    <row r="6919" spans="1:13">
      <c r="A6919" s="510" t="s">
        <v>4181</v>
      </c>
      <c r="B6919" s="511">
        <f>VLOOKUP(A6919,'Mano Obra'!$B$3:$D$290,2,0)</f>
        <v>1000000</v>
      </c>
      <c r="C6919" s="91">
        <v>1</v>
      </c>
      <c r="D6919" s="94">
        <f>VLOOKUP(A6919,'Mano Obra'!$B$2:$T$117,19,0)</f>
        <v>67424</v>
      </c>
      <c r="E6919" s="218">
        <f>H6879</f>
        <v>8.3000000000000001E-3</v>
      </c>
      <c r="F6919" s="508">
        <f t="shared" si="405"/>
        <v>559.61919999999998</v>
      </c>
      <c r="G6919" s="509"/>
      <c r="H6919" s="110"/>
      <c r="J6919" s="117">
        <f>((('Mano Obra'!$M$6/30)*F6919)/D6919)*G6886</f>
        <v>0</v>
      </c>
    </row>
    <row r="6920" spans="1:13">
      <c r="A6920" s="512" t="s">
        <v>4100</v>
      </c>
      <c r="B6920" s="512"/>
      <c r="C6920" s="512"/>
      <c r="D6920" s="512"/>
      <c r="E6920" s="512"/>
      <c r="F6920" s="512"/>
      <c r="G6920" s="512"/>
      <c r="H6920" s="95">
        <f>SUM(F6917:F6919)</f>
        <v>2742.0544</v>
      </c>
      <c r="J6920" s="117"/>
    </row>
    <row r="6921" spans="1:13">
      <c r="A6921" s="208" t="s">
        <v>4226</v>
      </c>
      <c r="B6921" s="186"/>
      <c r="C6921" s="186"/>
      <c r="D6921" s="183"/>
      <c r="E6921" s="184"/>
      <c r="F6921" s="185"/>
      <c r="G6921" s="184"/>
      <c r="H6921" s="193"/>
    </row>
    <row r="6922" spans="1:13">
      <c r="A6922" s="513" t="s">
        <v>4213</v>
      </c>
      <c r="B6922" s="514"/>
      <c r="C6922" s="514"/>
      <c r="D6922" s="514"/>
      <c r="E6922" s="181"/>
      <c r="F6922" s="182" t="s">
        <v>4227</v>
      </c>
      <c r="G6922" s="181" t="s">
        <v>4228</v>
      </c>
      <c r="H6922" s="194"/>
    </row>
    <row r="6923" spans="1:13">
      <c r="A6923" s="204" t="s">
        <v>4096</v>
      </c>
      <c r="B6923" s="62"/>
      <c r="C6923" s="62"/>
      <c r="D6923" s="63"/>
      <c r="E6923" s="68"/>
      <c r="F6923" s="69">
        <v>0</v>
      </c>
      <c r="G6923" s="70" t="e">
        <f>F6923*H6887</f>
        <v>#VALUE!</v>
      </c>
      <c r="H6923" s="193"/>
    </row>
    <row r="6924" spans="1:13">
      <c r="A6924" s="205" t="s">
        <v>4229</v>
      </c>
      <c r="B6924" s="71"/>
      <c r="C6924" s="71"/>
      <c r="D6924" s="72"/>
      <c r="E6924" s="68"/>
      <c r="F6924" s="69">
        <v>0</v>
      </c>
      <c r="G6924" s="70" t="e">
        <f>F6924*H6887</f>
        <v>#VALUE!</v>
      </c>
      <c r="H6924" s="193"/>
    </row>
    <row r="6925" spans="1:13">
      <c r="A6925" s="205" t="s">
        <v>4</v>
      </c>
      <c r="B6925" s="71"/>
      <c r="C6925" s="71"/>
      <c r="D6925" s="72"/>
      <c r="E6925" s="68"/>
      <c r="F6925" s="69">
        <v>0</v>
      </c>
      <c r="G6925" s="70" t="e">
        <f>F6925*H6887</f>
        <v>#VALUE!</v>
      </c>
      <c r="H6925" s="193"/>
    </row>
    <row r="6926" spans="1:13">
      <c r="A6926" s="206"/>
      <c r="B6926" s="73"/>
      <c r="C6926" s="65"/>
      <c r="D6926" s="74"/>
      <c r="E6926" s="75"/>
      <c r="F6926" s="76"/>
      <c r="G6926" s="77"/>
      <c r="H6926" s="195"/>
    </row>
    <row r="6927" spans="1:13">
      <c r="A6927" s="207"/>
      <c r="B6927" s="73"/>
      <c r="C6927" s="73"/>
      <c r="D6927" s="74"/>
      <c r="E6927" s="78"/>
      <c r="F6927" s="515" t="s">
        <v>4230</v>
      </c>
      <c r="G6927" s="516"/>
      <c r="H6927" s="214" t="e">
        <f>H6887+G6923+G6924+G6925</f>
        <v>#VALUE!</v>
      </c>
    </row>
    <row r="6929" spans="1:14">
      <c r="A6929" s="80"/>
      <c r="B6929" s="80"/>
      <c r="C6929" s="80"/>
      <c r="D6929" s="80"/>
      <c r="E6929" s="80"/>
      <c r="F6929" s="80"/>
      <c r="G6929" s="80"/>
      <c r="H6929" s="353"/>
    </row>
    <row r="6930" spans="1:14">
      <c r="A6930" s="537" t="s">
        <v>4214</v>
      </c>
      <c r="B6930" s="538"/>
      <c r="C6930" s="538"/>
      <c r="D6930" s="538"/>
      <c r="E6930" s="538"/>
      <c r="F6930" s="538"/>
      <c r="G6930" s="538"/>
      <c r="H6930" s="539"/>
    </row>
    <row r="6931" spans="1:14">
      <c r="A6931" s="81"/>
      <c r="B6931" s="82"/>
      <c r="C6931" s="82"/>
      <c r="D6931" s="82"/>
      <c r="E6931" s="82"/>
      <c r="F6931" s="83"/>
      <c r="G6931" s="84"/>
      <c r="H6931" s="352">
        <f>ROUND((4/60)/8,4)</f>
        <v>8.3000000000000001E-3</v>
      </c>
      <c r="I6931" s="105"/>
    </row>
    <row r="6932" spans="1:14">
      <c r="A6932" s="540" t="s">
        <v>4209</v>
      </c>
      <c r="B6932" s="542" t="str">
        <f>COSTOS!$C$14</f>
        <v>MODERNIZACION A TECNOLOGIA LED</v>
      </c>
      <c r="C6932" s="542"/>
      <c r="D6932" s="542"/>
      <c r="E6932" s="542"/>
      <c r="F6932" s="542"/>
      <c r="G6932" s="542"/>
      <c r="H6932" s="543" t="s">
        <v>4210</v>
      </c>
    </row>
    <row r="6933" spans="1:14">
      <c r="A6933" s="541"/>
      <c r="B6933" s="542"/>
      <c r="C6933" s="542"/>
      <c r="D6933" s="542"/>
      <c r="E6933" s="542"/>
      <c r="F6933" s="542"/>
      <c r="G6933" s="542"/>
      <c r="H6933" s="543"/>
    </row>
    <row r="6934" spans="1:14">
      <c r="A6934" s="541"/>
      <c r="B6934" s="542"/>
      <c r="C6934" s="542"/>
      <c r="D6934" s="542"/>
      <c r="E6934" s="542"/>
      <c r="F6934" s="542"/>
      <c r="G6934" s="542"/>
      <c r="H6934" s="543"/>
    </row>
    <row r="6935" spans="1:14" ht="15" customHeight="1">
      <c r="A6935" s="541"/>
      <c r="B6935" s="542"/>
      <c r="C6935" s="542"/>
      <c r="D6935" s="542"/>
      <c r="E6935" s="542"/>
      <c r="F6935" s="542"/>
      <c r="G6935" s="542"/>
      <c r="H6935" s="197">
        <f ca="1">TODAY()</f>
        <v>44889</v>
      </c>
      <c r="K6935" t="s">
        <v>4380</v>
      </c>
      <c r="L6935" t="s">
        <v>4381</v>
      </c>
      <c r="M6935" t="s">
        <v>4382</v>
      </c>
      <c r="N6935" t="s">
        <v>4383</v>
      </c>
    </row>
    <row r="6936" spans="1:14" ht="60.75" customHeight="1">
      <c r="A6936" s="209" t="s">
        <v>4211</v>
      </c>
      <c r="B6936" s="544" t="str">
        <f>COSTOS!$D$16</f>
        <v>Luminarias</v>
      </c>
      <c r="C6936" s="544"/>
      <c r="D6936" s="544"/>
      <c r="E6936" s="544"/>
      <c r="F6936" s="544"/>
      <c r="G6936" s="60" t="s">
        <v>4212</v>
      </c>
      <c r="H6936" s="363">
        <v>3.27</v>
      </c>
      <c r="K6936" s="55" t="e">
        <f>H6962</f>
        <v>#VALUE!</v>
      </c>
      <c r="L6936" s="55">
        <f>H6972</f>
        <v>2742.0544</v>
      </c>
      <c r="M6936" s="55" t="e">
        <f>H6945</f>
        <v>#VALUE!</v>
      </c>
      <c r="N6936" s="55" t="e">
        <f>H6966</f>
        <v>#VALUE!</v>
      </c>
    </row>
    <row r="6937" spans="1:14" ht="43.2" customHeight="1">
      <c r="A6937" s="210" t="s">
        <v>4213</v>
      </c>
      <c r="B6937" s="545" t="str">
        <f>VLOOKUP(H6936,COSTOS!C:M,2,0)</f>
        <v>Red canalizada en cable cobre # 6 x 500 m</v>
      </c>
      <c r="C6937" s="546"/>
      <c r="D6937" s="546"/>
      <c r="E6937" s="547"/>
      <c r="F6937" s="61" t="s">
        <v>0</v>
      </c>
      <c r="G6937" s="328" t="str">
        <f>VLOOKUP(H6936,COSTOS!C:M,8,0)</f>
        <v>Und</v>
      </c>
      <c r="H6937" s="248"/>
      <c r="I6937" s="278"/>
      <c r="J6937" s="280"/>
      <c r="K6937" s="280"/>
      <c r="L6937" s="280"/>
    </row>
    <row r="6938" spans="1:14">
      <c r="A6938" s="211"/>
      <c r="B6938" s="102"/>
      <c r="C6938" s="102"/>
      <c r="D6938" s="102"/>
      <c r="E6938" s="103"/>
      <c r="F6938" s="104" t="s">
        <v>1</v>
      </c>
      <c r="G6938" s="328">
        <f>VLOOKUP(H6936,COSTOS!C:M,9,0)</f>
        <v>0</v>
      </c>
      <c r="H6938" s="329"/>
      <c r="I6938" s="279"/>
    </row>
    <row r="6939" spans="1:14">
      <c r="A6939" s="212" t="s">
        <v>4215</v>
      </c>
      <c r="B6939" s="65"/>
      <c r="C6939" s="65"/>
      <c r="D6939" s="66"/>
      <c r="E6939" s="190"/>
      <c r="F6939" s="191"/>
      <c r="G6939" s="192" t="s">
        <v>4216</v>
      </c>
      <c r="H6939" s="198" t="e">
        <f>H6945+H6962+H6966+H6972</f>
        <v>#VALUE!</v>
      </c>
    </row>
    <row r="6940" spans="1:14" ht="41.4">
      <c r="A6940" s="548" t="s">
        <v>4213</v>
      </c>
      <c r="B6940" s="548"/>
      <c r="C6940" s="548"/>
      <c r="D6940" s="67" t="s">
        <v>0</v>
      </c>
      <c r="E6940" s="188" t="s">
        <v>4217</v>
      </c>
      <c r="F6940" s="189" t="s">
        <v>4204</v>
      </c>
      <c r="G6940" s="64" t="s">
        <v>2</v>
      </c>
      <c r="H6940" s="199" t="s">
        <v>4218</v>
      </c>
      <c r="K6940" s="281"/>
    </row>
    <row r="6941" spans="1:14">
      <c r="A6941" s="517" t="s">
        <v>3946</v>
      </c>
      <c r="B6941" s="549">
        <f>VLOOKUP(A6941,'Equip, Herr y Transp'!$B$2:$E$738,2,0)</f>
        <v>2</v>
      </c>
      <c r="C6941" s="549"/>
      <c r="D6941" s="85">
        <f>VLOOKUP(A6941,'Equip, Herr y Transp'!$B$2:$E$217,2,0)</f>
        <v>2</v>
      </c>
      <c r="E6941" s="85" t="str">
        <f>VLOOKUP(A6941,'Equip, Herr y Transp'!$B$2:$E$217,3,0)</f>
        <v>EQU</v>
      </c>
      <c r="F6941" s="86">
        <f>H6931</f>
        <v>8.3000000000000001E-3</v>
      </c>
      <c r="G6941" s="112" t="e">
        <f>F6941*E6941</f>
        <v>#VALUE!</v>
      </c>
      <c r="H6941" s="108"/>
    </row>
    <row r="6942" spans="1:14">
      <c r="A6942" s="517" t="s">
        <v>3904</v>
      </c>
      <c r="B6942" s="549">
        <f>VLOOKUP(A6942,'Equip, Herr y Transp'!$B$2:$E$738,2,0)</f>
        <v>2</v>
      </c>
      <c r="C6942" s="549"/>
      <c r="D6942" s="85">
        <f>VLOOKUP(A6942,'Equip, Herr y Transp'!$B$2:$E$217,2,0)</f>
        <v>2</v>
      </c>
      <c r="E6942" s="85" t="str">
        <f>VLOOKUP(A6942,'Equip, Herr y Transp'!$B$2:$E$217,3,0)</f>
        <v>EQU</v>
      </c>
      <c r="F6942" s="86">
        <f>H6931</f>
        <v>8.3000000000000001E-3</v>
      </c>
      <c r="G6942" s="112" t="e">
        <f>F6942*E6942</f>
        <v>#VALUE!</v>
      </c>
      <c r="H6942" s="107"/>
    </row>
    <row r="6943" spans="1:14">
      <c r="A6943" s="517" t="s">
        <v>8</v>
      </c>
      <c r="B6943" s="549" t="e">
        <f>VLOOKUP(A6943,'Equip, Herr y Transp'!$B$2:$E$738,2,0)</f>
        <v>#N/A</v>
      </c>
      <c r="C6943" s="549"/>
      <c r="D6943" s="85" t="e">
        <f>VLOOKUP(A6943,'Equip, Herr y Transp'!$B$2:$E$217,2,0)</f>
        <v>#N/A</v>
      </c>
      <c r="E6943" s="85" t="e">
        <f>VLOOKUP(A6943,'Equip, Herr y Transp'!$B$2:$E$217,3,0)</f>
        <v>#N/A</v>
      </c>
      <c r="F6943" s="86">
        <f>H6931</f>
        <v>8.3000000000000001E-3</v>
      </c>
      <c r="G6943" s="112" t="e">
        <f>F6943*E6943</f>
        <v>#N/A</v>
      </c>
      <c r="H6943" s="107"/>
    </row>
    <row r="6944" spans="1:14">
      <c r="A6944" s="517" t="s">
        <v>8</v>
      </c>
      <c r="B6944" s="549" t="e">
        <f>VLOOKUP(A6944,'Equip, Herr y Transp'!$B$2:$E$738,2,0)</f>
        <v>#N/A</v>
      </c>
      <c r="C6944" s="549"/>
      <c r="D6944" s="85" t="e">
        <f>VLOOKUP(A6944,'Equip, Herr y Transp'!$B$2:$E$217,2,0)</f>
        <v>#N/A</v>
      </c>
      <c r="E6944" s="85" t="e">
        <f>VLOOKUP(A6944,'Equip, Herr y Transp'!$B$2:$E$217,3,0)</f>
        <v>#N/A</v>
      </c>
      <c r="F6944" s="86">
        <f>H6931</f>
        <v>8.3000000000000001E-3</v>
      </c>
      <c r="G6944" s="112" t="e">
        <f>F6944*E6944</f>
        <v>#N/A</v>
      </c>
      <c r="H6944" s="107"/>
    </row>
    <row r="6945" spans="1:15">
      <c r="A6945" s="520" t="s">
        <v>4099</v>
      </c>
      <c r="B6945" s="521"/>
      <c r="C6945" s="521"/>
      <c r="D6945" s="521"/>
      <c r="E6945" s="521"/>
      <c r="F6945" s="521"/>
      <c r="G6945" s="521"/>
      <c r="H6945" s="87" t="e">
        <f>SUM(G6941:G6944)</f>
        <v>#VALUE!</v>
      </c>
    </row>
    <row r="6946" spans="1:15">
      <c r="A6946" s="550" t="s">
        <v>4219</v>
      </c>
      <c r="B6946" s="551"/>
      <c r="C6946" s="551"/>
      <c r="D6946" s="551"/>
      <c r="E6946" s="551"/>
      <c r="F6946" s="551"/>
      <c r="G6946" s="551"/>
      <c r="H6946" s="552"/>
      <c r="K6946" s="50"/>
      <c r="L6946" s="50"/>
      <c r="M6946" s="50"/>
      <c r="N6946" s="50"/>
      <c r="O6946" s="50"/>
    </row>
    <row r="6947" spans="1:15" ht="30" customHeight="1">
      <c r="A6947" s="553" t="s">
        <v>7</v>
      </c>
      <c r="B6947" s="554"/>
      <c r="C6947" s="99" t="s">
        <v>0</v>
      </c>
      <c r="D6947" s="100" t="s">
        <v>4097</v>
      </c>
      <c r="E6947" s="101" t="s">
        <v>1</v>
      </c>
      <c r="F6947" s="555" t="s">
        <v>4207</v>
      </c>
      <c r="G6947" s="555"/>
      <c r="H6947" s="196"/>
      <c r="K6947" s="50"/>
      <c r="L6947" s="50"/>
      <c r="M6947" s="50"/>
      <c r="N6947" s="50"/>
      <c r="O6947" s="50"/>
    </row>
    <row r="6948" spans="1:15">
      <c r="A6948" s="535" t="s">
        <v>4445</v>
      </c>
      <c r="B6948" s="536"/>
      <c r="C6948" s="88">
        <f>VLOOKUP(A6948,'Materiales '!$C$2:$G$396,3,0)</f>
        <v>2</v>
      </c>
      <c r="D6948" s="89" t="str">
        <f>VLOOKUP(A6948,'Materiales '!$C$2:$G$396,4,0)</f>
        <v>Ml</v>
      </c>
      <c r="E6948" s="90">
        <v>1</v>
      </c>
      <c r="F6948" s="508" t="e">
        <f>E6948*D6948</f>
        <v>#VALUE!</v>
      </c>
      <c r="G6948" s="519"/>
      <c r="H6948" s="111"/>
      <c r="I6948">
        <f>E6948*G6938</f>
        <v>0</v>
      </c>
      <c r="J6948" s="57"/>
      <c r="K6948" s="50"/>
      <c r="L6948" s="50"/>
      <c r="M6948" s="50"/>
      <c r="N6948" s="50"/>
      <c r="O6948" s="50"/>
    </row>
    <row r="6949" spans="1:15">
      <c r="A6949" s="535" t="s">
        <v>8</v>
      </c>
      <c r="B6949" s="536"/>
      <c r="C6949" s="88">
        <f>VLOOKUP(A6949,'Materiales '!$C$2:$G$396,3,0)</f>
        <v>0</v>
      </c>
      <c r="D6949" s="89" t="str">
        <f>VLOOKUP(A6949,'Materiales '!$C$2:$G$396,4,0)</f>
        <v>-</v>
      </c>
      <c r="E6949" s="90">
        <f>3/25</f>
        <v>0.12</v>
      </c>
      <c r="F6949" s="508" t="e">
        <f t="shared" ref="F6949:F6955" si="406">E6949*D6949</f>
        <v>#VALUE!</v>
      </c>
      <c r="G6949" s="519"/>
      <c r="H6949" s="111"/>
      <c r="I6949">
        <f>E6949*G6938</f>
        <v>0</v>
      </c>
      <c r="J6949" s="57"/>
      <c r="K6949" s="50"/>
      <c r="L6949" s="50"/>
      <c r="M6949" s="50"/>
      <c r="N6949" s="50"/>
      <c r="O6949" s="50"/>
    </row>
    <row r="6950" spans="1:15">
      <c r="A6950" s="517" t="s">
        <v>8</v>
      </c>
      <c r="B6950" s="518">
        <f>VLOOKUP(A6950,'Materiales '!$C$2:$G$396,3,0)</f>
        <v>0</v>
      </c>
      <c r="C6950" s="88">
        <f>VLOOKUP(A6950,'Materiales '!$C$2:$G$396,3,0)</f>
        <v>0</v>
      </c>
      <c r="D6950" s="89" t="str">
        <f>VLOOKUP(A6950,'Materiales '!$C$2:$G$396,4,0)</f>
        <v>-</v>
      </c>
      <c r="E6950" s="90">
        <f>3/25</f>
        <v>0.12</v>
      </c>
      <c r="F6950" s="508" t="e">
        <f t="shared" si="406"/>
        <v>#VALUE!</v>
      </c>
      <c r="G6950" s="519"/>
      <c r="H6950" s="111"/>
      <c r="I6950">
        <f>E6950*G6938</f>
        <v>0</v>
      </c>
      <c r="J6950" s="58"/>
      <c r="K6950" s="50"/>
      <c r="L6950" s="50"/>
      <c r="M6950" s="50"/>
      <c r="N6950" s="50"/>
      <c r="O6950" s="50"/>
    </row>
    <row r="6951" spans="1:15">
      <c r="A6951" s="517" t="s">
        <v>8</v>
      </c>
      <c r="B6951" s="518">
        <f>VLOOKUP(A6951,'Materiales '!$C$2:$G$396,3,0)</f>
        <v>0</v>
      </c>
      <c r="C6951" s="88">
        <f>VLOOKUP(A6951,'Materiales '!$C$2:$G$396,3,0)</f>
        <v>0</v>
      </c>
      <c r="D6951" s="89" t="str">
        <f>VLOOKUP(A6951,'Materiales '!$C$2:$G$396,4,0)</f>
        <v>-</v>
      </c>
      <c r="E6951" s="90"/>
      <c r="F6951" s="508" t="e">
        <f t="shared" si="406"/>
        <v>#VALUE!</v>
      </c>
      <c r="G6951" s="519"/>
      <c r="H6951" s="111"/>
      <c r="I6951">
        <f>E6951*G6938</f>
        <v>0</v>
      </c>
      <c r="J6951" s="58"/>
      <c r="K6951" s="50"/>
      <c r="L6951" s="50"/>
      <c r="M6951" s="50"/>
      <c r="N6951" s="50"/>
      <c r="O6951" s="50"/>
    </row>
    <row r="6952" spans="1:15">
      <c r="A6952" s="517" t="s">
        <v>8</v>
      </c>
      <c r="B6952" s="518">
        <f>VLOOKUP(A6952,'Materiales '!$C$2:$G$396,3,0)</f>
        <v>0</v>
      </c>
      <c r="C6952" s="88">
        <f>VLOOKUP(A6952,'Materiales '!$C$2:$G$396,3,0)</f>
        <v>0</v>
      </c>
      <c r="D6952" s="89" t="str">
        <f>VLOOKUP(A6952,'Materiales '!$C$2:$G$396,4,0)</f>
        <v>-</v>
      </c>
      <c r="E6952" s="90"/>
      <c r="F6952" s="508" t="e">
        <f t="shared" si="406"/>
        <v>#VALUE!</v>
      </c>
      <c r="G6952" s="519"/>
      <c r="H6952" s="111"/>
      <c r="I6952">
        <f>E6952*G6938</f>
        <v>0</v>
      </c>
      <c r="J6952" s="58"/>
      <c r="K6952" s="50"/>
      <c r="L6952" s="50"/>
      <c r="M6952" s="50"/>
      <c r="N6952" s="50"/>
      <c r="O6952" s="50"/>
    </row>
    <row r="6953" spans="1:15">
      <c r="A6953" s="517" t="s">
        <v>8</v>
      </c>
      <c r="B6953" s="518">
        <f>VLOOKUP(A6953,'Materiales '!$C$2:$G$396,3,0)</f>
        <v>0</v>
      </c>
      <c r="C6953" s="88">
        <f>VLOOKUP(A6953,'Materiales '!$C$2:$G$396,3,0)</f>
        <v>0</v>
      </c>
      <c r="D6953" s="89" t="str">
        <f>VLOOKUP(A6953,'Materiales '!$C$2:$G$396,4,0)</f>
        <v>-</v>
      </c>
      <c r="E6953" s="90"/>
      <c r="F6953" s="508" t="e">
        <f t="shared" si="406"/>
        <v>#VALUE!</v>
      </c>
      <c r="G6953" s="519"/>
      <c r="H6953" s="111"/>
      <c r="I6953">
        <f>E6953*G6938</f>
        <v>0</v>
      </c>
      <c r="J6953" s="58"/>
      <c r="K6953" s="50"/>
      <c r="L6953" s="50"/>
      <c r="M6953" s="50"/>
      <c r="N6953" s="50"/>
      <c r="O6953" s="50"/>
    </row>
    <row r="6954" spans="1:15">
      <c r="A6954" s="517" t="s">
        <v>8</v>
      </c>
      <c r="B6954" s="518">
        <f>VLOOKUP(A6954,'Materiales '!$C$2:$G$396,3,0)</f>
        <v>0</v>
      </c>
      <c r="C6954" s="88">
        <f>VLOOKUP(A6954,'Materiales '!$C$2:$G$396,3,0)</f>
        <v>0</v>
      </c>
      <c r="D6954" s="89" t="str">
        <f>VLOOKUP(A6954,'Materiales '!$C$2:$G$396,4,0)</f>
        <v>-</v>
      </c>
      <c r="E6954" s="90"/>
      <c r="F6954" s="508" t="e">
        <f t="shared" si="406"/>
        <v>#VALUE!</v>
      </c>
      <c r="G6954" s="519"/>
      <c r="H6954" s="111"/>
      <c r="I6954">
        <f>E6954*G6938</f>
        <v>0</v>
      </c>
      <c r="J6954" s="58"/>
      <c r="K6954" s="50"/>
      <c r="L6954" s="50"/>
      <c r="M6954" s="50"/>
      <c r="N6954" s="50"/>
      <c r="O6954" s="50"/>
    </row>
    <row r="6955" spans="1:15" ht="21.75" customHeight="1">
      <c r="A6955" s="517" t="s">
        <v>8</v>
      </c>
      <c r="B6955" s="518">
        <f>VLOOKUP(A6955,'Materiales '!$C$2:$G$396,3,0)</f>
        <v>0</v>
      </c>
      <c r="C6955" s="88">
        <f>VLOOKUP(A6955,'Materiales '!$C$2:$G$396,3,0)</f>
        <v>0</v>
      </c>
      <c r="D6955" s="89" t="str">
        <f>VLOOKUP(A6955,'Materiales '!$C$2:$G$396,4,0)</f>
        <v>-</v>
      </c>
      <c r="E6955" s="90"/>
      <c r="F6955" s="508" t="e">
        <f t="shared" si="406"/>
        <v>#VALUE!</v>
      </c>
      <c r="G6955" s="519"/>
      <c r="H6955" s="111"/>
      <c r="I6955">
        <f>E6955*G6938</f>
        <v>0</v>
      </c>
      <c r="J6955" s="58"/>
      <c r="K6955" s="50"/>
      <c r="L6955" s="50"/>
      <c r="M6955" s="50"/>
      <c r="N6955" s="50"/>
      <c r="O6955" s="50"/>
    </row>
    <row r="6956" spans="1:15">
      <c r="A6956" s="517" t="s">
        <v>8</v>
      </c>
      <c r="B6956" s="518">
        <f>VLOOKUP(A6956,'Materiales '!$C$2:$G$396,3,0)</f>
        <v>0</v>
      </c>
      <c r="C6956" s="88">
        <f>VLOOKUP(A6956,'Materiales '!$C$2:$G$396,3,0)</f>
        <v>0</v>
      </c>
      <c r="D6956" s="89" t="str">
        <f>VLOOKUP(A6956,'Materiales '!$C$2:$G$396,4,0)</f>
        <v>-</v>
      </c>
      <c r="E6956" s="90"/>
      <c r="F6956" s="508" t="e">
        <f>E6956*D6956</f>
        <v>#VALUE!</v>
      </c>
      <c r="G6956" s="519"/>
      <c r="H6956" s="110"/>
      <c r="I6956">
        <f>E6956*G6938</f>
        <v>0</v>
      </c>
      <c r="J6956" s="58"/>
      <c r="K6956" s="50"/>
      <c r="L6956" s="50"/>
      <c r="M6956" s="50"/>
      <c r="N6956" s="50"/>
      <c r="O6956" s="50"/>
    </row>
    <row r="6957" spans="1:15">
      <c r="A6957" s="517" t="s">
        <v>8</v>
      </c>
      <c r="B6957" s="518">
        <f>VLOOKUP(A6957,'Materiales '!$C$2:$G$396,3,0)</f>
        <v>0</v>
      </c>
      <c r="C6957" s="88">
        <f>VLOOKUP(A6957,'Materiales '!$C$2:$G$396,3,0)</f>
        <v>0</v>
      </c>
      <c r="D6957" s="89" t="str">
        <f>VLOOKUP(A6957,'Materiales '!$C$2:$G$396,4,0)</f>
        <v>-</v>
      </c>
      <c r="E6957" s="90"/>
      <c r="F6957" s="508" t="e">
        <f t="shared" ref="F6957:F6960" si="407">E6957*D6957</f>
        <v>#VALUE!</v>
      </c>
      <c r="G6957" s="519"/>
      <c r="H6957" s="111"/>
      <c r="I6957">
        <f>E6957*G6938</f>
        <v>0</v>
      </c>
      <c r="J6957" s="58"/>
      <c r="K6957" s="50"/>
      <c r="L6957" s="50"/>
      <c r="M6957" s="50"/>
      <c r="N6957" s="50"/>
      <c r="O6957" s="50"/>
    </row>
    <row r="6958" spans="1:15">
      <c r="A6958" s="517" t="s">
        <v>8</v>
      </c>
      <c r="B6958" s="518">
        <f>VLOOKUP(A6958,'Materiales '!$C$2:$G$396,3,0)</f>
        <v>0</v>
      </c>
      <c r="C6958" s="88">
        <f>VLOOKUP(A6958,'Materiales '!$C$2:$G$396,3,0)</f>
        <v>0</v>
      </c>
      <c r="D6958" s="89" t="str">
        <f>VLOOKUP(A6958,'Materiales '!$C$2:$G$396,4,0)</f>
        <v>-</v>
      </c>
      <c r="E6958" s="90"/>
      <c r="F6958" s="508" t="e">
        <f t="shared" si="407"/>
        <v>#VALUE!</v>
      </c>
      <c r="G6958" s="519"/>
      <c r="H6958" s="111"/>
      <c r="I6958">
        <f>E6958*G6938</f>
        <v>0</v>
      </c>
      <c r="J6958" s="58"/>
      <c r="K6958" s="50"/>
      <c r="L6958" s="50"/>
      <c r="M6958" s="50"/>
      <c r="N6958" s="50"/>
      <c r="O6958" s="50"/>
    </row>
    <row r="6959" spans="1:15">
      <c r="A6959" s="517" t="s">
        <v>8</v>
      </c>
      <c r="B6959" s="518">
        <f>VLOOKUP(A6959,'Materiales '!$C$2:$G$396,3,0)</f>
        <v>0</v>
      </c>
      <c r="C6959" s="88">
        <f>VLOOKUP(A6959,'Materiales '!$C$2:$G$396,3,0)</f>
        <v>0</v>
      </c>
      <c r="D6959" s="89" t="str">
        <f>VLOOKUP(A6959,'Materiales '!$C$2:$G$396,4,0)</f>
        <v>-</v>
      </c>
      <c r="E6959" s="90"/>
      <c r="F6959" s="508" t="e">
        <f t="shared" si="407"/>
        <v>#VALUE!</v>
      </c>
      <c r="G6959" s="519"/>
      <c r="H6959" s="111"/>
      <c r="I6959">
        <f>E6959*G6938</f>
        <v>0</v>
      </c>
      <c r="J6959" s="58"/>
      <c r="K6959" s="50"/>
      <c r="L6959" s="50"/>
      <c r="M6959" s="50"/>
      <c r="N6959" s="50"/>
      <c r="O6959" s="50"/>
    </row>
    <row r="6960" spans="1:15">
      <c r="A6960" s="517" t="s">
        <v>8</v>
      </c>
      <c r="B6960" s="518">
        <f>VLOOKUP(A6960,'Materiales '!$C$2:$G$396,3,0)</f>
        <v>0</v>
      </c>
      <c r="C6960" s="88">
        <f>VLOOKUP(A6960,'Materiales '!$C$2:$G$396,3,0)</f>
        <v>0</v>
      </c>
      <c r="D6960" s="89" t="str">
        <f>VLOOKUP(A6960,'Materiales '!$C$2:$G$396,4,0)</f>
        <v>-</v>
      </c>
      <c r="E6960" s="90"/>
      <c r="F6960" s="508" t="e">
        <f t="shared" si="407"/>
        <v>#VALUE!</v>
      </c>
      <c r="G6960" s="519"/>
      <c r="H6960" s="111"/>
      <c r="I6960">
        <f>E6960*G6938</f>
        <v>0</v>
      </c>
      <c r="J6960" s="58"/>
      <c r="K6960" s="50"/>
      <c r="L6960" s="50"/>
      <c r="M6960" s="50"/>
      <c r="N6960" s="50"/>
      <c r="O6960" s="50"/>
    </row>
    <row r="6961" spans="1:15">
      <c r="A6961" s="517" t="s">
        <v>8</v>
      </c>
      <c r="B6961" s="518">
        <f>VLOOKUP(A6961,'Materiales '!$C$2:$G$396,3,0)</f>
        <v>0</v>
      </c>
      <c r="C6961" s="88">
        <f>VLOOKUP(A6961,'Materiales '!$C$2:$G$396,3,0)</f>
        <v>0</v>
      </c>
      <c r="D6961" s="89" t="str">
        <f>VLOOKUP(A6961,'Materiales '!$C$2:$G$396,4,0)</f>
        <v>-</v>
      </c>
      <c r="E6961" s="90"/>
      <c r="F6961" s="508" t="e">
        <f>E6961*D6961</f>
        <v>#VALUE!</v>
      </c>
      <c r="G6961" s="519"/>
      <c r="H6961" s="110"/>
      <c r="I6961">
        <f>E6961*G6938</f>
        <v>0</v>
      </c>
      <c r="J6961" s="58"/>
      <c r="K6961" s="50"/>
      <c r="L6961" s="50"/>
      <c r="M6961" s="50"/>
      <c r="N6961" s="50"/>
      <c r="O6961" s="50"/>
    </row>
    <row r="6962" spans="1:15">
      <c r="A6962" s="520" t="s">
        <v>4098</v>
      </c>
      <c r="B6962" s="521"/>
      <c r="C6962" s="521"/>
      <c r="D6962" s="521"/>
      <c r="E6962" s="521"/>
      <c r="F6962" s="521"/>
      <c r="G6962" s="522"/>
      <c r="H6962" s="106" t="e">
        <f>SUM(F6948:F6961)</f>
        <v>#VALUE!</v>
      </c>
      <c r="J6962" s="58"/>
      <c r="K6962" s="50"/>
      <c r="L6962" s="50"/>
      <c r="M6962" s="50"/>
      <c r="N6962" s="50"/>
      <c r="O6962" s="50"/>
    </row>
    <row r="6963" spans="1:15">
      <c r="A6963" s="523" t="s">
        <v>4220</v>
      </c>
      <c r="B6963" s="524"/>
      <c r="C6963" s="524"/>
      <c r="D6963" s="524"/>
      <c r="E6963" s="525"/>
      <c r="F6963" s="524"/>
      <c r="G6963" s="524"/>
      <c r="H6963" s="526"/>
      <c r="J6963" s="58"/>
      <c r="K6963" s="50"/>
      <c r="L6963" s="50"/>
      <c r="M6963" s="50"/>
      <c r="N6963" s="50"/>
      <c r="O6963" s="50"/>
    </row>
    <row r="6964" spans="1:15">
      <c r="A6964" s="527" t="s">
        <v>7</v>
      </c>
      <c r="B6964" s="528"/>
      <c r="C6964" s="98" t="s">
        <v>4221</v>
      </c>
      <c r="D6964" s="97" t="s">
        <v>4222</v>
      </c>
      <c r="E6964" s="187" t="s">
        <v>4223</v>
      </c>
      <c r="F6964" s="529" t="s">
        <v>4207</v>
      </c>
      <c r="G6964" s="529"/>
      <c r="H6964" s="109"/>
      <c r="K6964" s="50"/>
      <c r="L6964" s="50"/>
      <c r="M6964" s="50"/>
      <c r="N6964" s="50"/>
      <c r="O6964" s="50"/>
    </row>
    <row r="6965" spans="1:15">
      <c r="A6965" s="506" t="s">
        <v>3928</v>
      </c>
      <c r="B6965" s="507"/>
      <c r="C6965" s="213">
        <v>1</v>
      </c>
      <c r="D6965" s="92">
        <v>5.0000000000000001E-3</v>
      </c>
      <c r="E6965" s="93" t="str">
        <f>VLOOKUP(A6965,'Equip, Herr y Transp'!$B$2:$E$217,3,0)</f>
        <v>TR</v>
      </c>
      <c r="F6965" s="530" t="e">
        <f>E6965*D6965*C6965</f>
        <v>#VALUE!</v>
      </c>
      <c r="G6965" s="531"/>
      <c r="H6965" s="107"/>
      <c r="M6965" s="50"/>
    </row>
    <row r="6966" spans="1:15">
      <c r="A6966" s="532" t="s">
        <v>4205</v>
      </c>
      <c r="B6966" s="533"/>
      <c r="C6966" s="533"/>
      <c r="D6966" s="533"/>
      <c r="E6966" s="533"/>
      <c r="F6966" s="533"/>
      <c r="G6966" s="533"/>
      <c r="H6966" s="95" t="e">
        <f>F6965</f>
        <v>#VALUE!</v>
      </c>
    </row>
    <row r="6967" spans="1:15">
      <c r="A6967" s="523" t="s">
        <v>4224</v>
      </c>
      <c r="B6967" s="524"/>
      <c r="C6967" s="524"/>
      <c r="D6967" s="524"/>
      <c r="E6967" s="524"/>
      <c r="F6967" s="524"/>
      <c r="G6967" s="524"/>
      <c r="H6967" s="526"/>
    </row>
    <row r="6968" spans="1:15">
      <c r="A6968" s="527" t="s">
        <v>7</v>
      </c>
      <c r="B6968" s="528"/>
      <c r="C6968" s="96" t="s">
        <v>1</v>
      </c>
      <c r="D6968" s="97" t="s">
        <v>4225</v>
      </c>
      <c r="E6968" s="98" t="s">
        <v>4204</v>
      </c>
      <c r="F6968" s="527" t="s">
        <v>5</v>
      </c>
      <c r="G6968" s="534"/>
      <c r="H6968" s="109"/>
    </row>
    <row r="6969" spans="1:15">
      <c r="A6969" s="506" t="s">
        <v>4191</v>
      </c>
      <c r="B6969" s="507"/>
      <c r="C6969" s="91">
        <v>1</v>
      </c>
      <c r="D6969" s="94">
        <f>VLOOKUP(A6969,'Mano Obra'!$B$2:$T$117,19,0)</f>
        <v>152456</v>
      </c>
      <c r="E6969" s="218">
        <f>H6931</f>
        <v>8.3000000000000001E-3</v>
      </c>
      <c r="F6969" s="508">
        <f>E6969*D6969*C6969</f>
        <v>1265.3848</v>
      </c>
      <c r="G6969" s="509"/>
      <c r="H6969" s="111"/>
      <c r="I6969" s="59"/>
      <c r="J6969" s="117">
        <f>((('Mano Obra'!$M$4/30)*F6969)/D6969)*G6938</f>
        <v>0</v>
      </c>
    </row>
    <row r="6970" spans="1:15">
      <c r="A6970" s="510" t="s">
        <v>4192</v>
      </c>
      <c r="B6970" s="511">
        <f>VLOOKUP(A6970,'Mano Obra'!$B$3:$D$290,2,0)</f>
        <v>1900000</v>
      </c>
      <c r="C6970" s="91">
        <v>1</v>
      </c>
      <c r="D6970" s="94">
        <f>VLOOKUP(A6970,'Mano Obra'!$B$2:$T$117,19,0)</f>
        <v>110488</v>
      </c>
      <c r="E6970" s="218">
        <f>H6931</f>
        <v>8.3000000000000001E-3</v>
      </c>
      <c r="F6970" s="508">
        <f t="shared" ref="F6970:F6971" si="408">E6970*D6970*C6970</f>
        <v>917.05039999999997</v>
      </c>
      <c r="G6970" s="509"/>
      <c r="H6970" s="111"/>
      <c r="J6970" s="117">
        <f>((('Mano Obra'!$M$5/30)*F6970)/D6970)*G6938</f>
        <v>0</v>
      </c>
    </row>
    <row r="6971" spans="1:15">
      <c r="A6971" s="510" t="s">
        <v>4181</v>
      </c>
      <c r="B6971" s="511">
        <f>VLOOKUP(A6971,'Mano Obra'!$B$3:$D$290,2,0)</f>
        <v>1000000</v>
      </c>
      <c r="C6971" s="91">
        <v>1</v>
      </c>
      <c r="D6971" s="94">
        <f>VLOOKUP(A6971,'Mano Obra'!$B$2:$T$117,19,0)</f>
        <v>67424</v>
      </c>
      <c r="E6971" s="218">
        <f>H6931</f>
        <v>8.3000000000000001E-3</v>
      </c>
      <c r="F6971" s="508">
        <f t="shared" si="408"/>
        <v>559.61919999999998</v>
      </c>
      <c r="G6971" s="509"/>
      <c r="H6971" s="110"/>
      <c r="J6971" s="117">
        <f>((('Mano Obra'!$M$6/30)*F6971)/D6971)*G6938</f>
        <v>0</v>
      </c>
    </row>
    <row r="6972" spans="1:15">
      <c r="A6972" s="512" t="s">
        <v>4100</v>
      </c>
      <c r="B6972" s="512"/>
      <c r="C6972" s="512"/>
      <c r="D6972" s="512"/>
      <c r="E6972" s="512"/>
      <c r="F6972" s="512"/>
      <c r="G6972" s="512"/>
      <c r="H6972" s="95">
        <f>SUM(F6969:F6971)</f>
        <v>2742.0544</v>
      </c>
      <c r="J6972" s="117"/>
    </row>
    <row r="6973" spans="1:15">
      <c r="A6973" s="208" t="s">
        <v>4226</v>
      </c>
      <c r="B6973" s="186"/>
      <c r="C6973" s="186"/>
      <c r="D6973" s="183"/>
      <c r="E6973" s="184"/>
      <c r="F6973" s="185"/>
      <c r="G6973" s="184"/>
      <c r="H6973" s="193"/>
    </row>
    <row r="6974" spans="1:15">
      <c r="A6974" s="513" t="s">
        <v>4213</v>
      </c>
      <c r="B6974" s="514"/>
      <c r="C6974" s="514"/>
      <c r="D6974" s="514"/>
      <c r="E6974" s="181"/>
      <c r="F6974" s="182" t="s">
        <v>4227</v>
      </c>
      <c r="G6974" s="181" t="s">
        <v>4228</v>
      </c>
      <c r="H6974" s="194"/>
    </row>
    <row r="6975" spans="1:15">
      <c r="A6975" s="204" t="s">
        <v>4096</v>
      </c>
      <c r="B6975" s="62"/>
      <c r="C6975" s="62"/>
      <c r="D6975" s="63"/>
      <c r="E6975" s="68"/>
      <c r="F6975" s="69">
        <v>0</v>
      </c>
      <c r="G6975" s="70" t="e">
        <f>F6975*H6939</f>
        <v>#VALUE!</v>
      </c>
      <c r="H6975" s="193"/>
    </row>
    <row r="6976" spans="1:15">
      <c r="A6976" s="205" t="s">
        <v>4229</v>
      </c>
      <c r="B6976" s="71"/>
      <c r="C6976" s="71"/>
      <c r="D6976" s="72"/>
      <c r="E6976" s="68"/>
      <c r="F6976" s="69">
        <v>0</v>
      </c>
      <c r="G6976" s="70" t="e">
        <f>F6976*H6939</f>
        <v>#VALUE!</v>
      </c>
      <c r="H6976" s="193"/>
    </row>
    <row r="6977" spans="1:14">
      <c r="A6977" s="205" t="s">
        <v>4</v>
      </c>
      <c r="B6977" s="71"/>
      <c r="C6977" s="71"/>
      <c r="D6977" s="72"/>
      <c r="E6977" s="68"/>
      <c r="F6977" s="69">
        <v>0</v>
      </c>
      <c r="G6977" s="70" t="e">
        <f>F6977*H6939</f>
        <v>#VALUE!</v>
      </c>
      <c r="H6977" s="193"/>
    </row>
    <row r="6978" spans="1:14">
      <c r="A6978" s="206"/>
      <c r="B6978" s="73"/>
      <c r="C6978" s="65"/>
      <c r="D6978" s="74"/>
      <c r="E6978" s="75"/>
      <c r="F6978" s="76"/>
      <c r="G6978" s="77"/>
      <c r="H6978" s="195"/>
    </row>
    <row r="6979" spans="1:14">
      <c r="A6979" s="207"/>
      <c r="B6979" s="73"/>
      <c r="C6979" s="73"/>
      <c r="D6979" s="74"/>
      <c r="E6979" s="78"/>
      <c r="F6979" s="515" t="s">
        <v>4230</v>
      </c>
      <c r="G6979" s="516"/>
      <c r="H6979" s="214" t="e">
        <f>H6939+G6975+G6976+G6977</f>
        <v>#VALUE!</v>
      </c>
    </row>
    <row r="6981" spans="1:14">
      <c r="A6981" s="80"/>
      <c r="B6981" s="80"/>
      <c r="C6981" s="80"/>
      <c r="D6981" s="80"/>
      <c r="E6981" s="80"/>
      <c r="F6981" s="80"/>
      <c r="G6981" s="80"/>
      <c r="H6981" s="353"/>
    </row>
    <row r="6982" spans="1:14">
      <c r="A6982" s="537" t="s">
        <v>4214</v>
      </c>
      <c r="B6982" s="538"/>
      <c r="C6982" s="538"/>
      <c r="D6982" s="538"/>
      <c r="E6982" s="538"/>
      <c r="F6982" s="538"/>
      <c r="G6982" s="538"/>
      <c r="H6982" s="539"/>
    </row>
    <row r="6983" spans="1:14">
      <c r="A6983" s="81"/>
      <c r="B6983" s="82"/>
      <c r="C6983" s="82"/>
      <c r="D6983" s="82"/>
      <c r="E6983" s="82"/>
      <c r="F6983" s="83"/>
      <c r="G6983" s="84"/>
      <c r="H6983" s="352">
        <f>ROUND((4/60)/8,4)</f>
        <v>8.3000000000000001E-3</v>
      </c>
      <c r="I6983" s="105"/>
    </row>
    <row r="6984" spans="1:14">
      <c r="A6984" s="540" t="s">
        <v>4209</v>
      </c>
      <c r="B6984" s="542" t="str">
        <f>COSTOS!$C$14</f>
        <v>MODERNIZACION A TECNOLOGIA LED</v>
      </c>
      <c r="C6984" s="542"/>
      <c r="D6984" s="542"/>
      <c r="E6984" s="542"/>
      <c r="F6984" s="542"/>
      <c r="G6984" s="542"/>
      <c r="H6984" s="543" t="s">
        <v>4210</v>
      </c>
    </row>
    <row r="6985" spans="1:14">
      <c r="A6985" s="541"/>
      <c r="B6985" s="542"/>
      <c r="C6985" s="542"/>
      <c r="D6985" s="542"/>
      <c r="E6985" s="542"/>
      <c r="F6985" s="542"/>
      <c r="G6985" s="542"/>
      <c r="H6985" s="543"/>
    </row>
    <row r="6986" spans="1:14">
      <c r="A6986" s="541"/>
      <c r="B6986" s="542"/>
      <c r="C6986" s="542"/>
      <c r="D6986" s="542"/>
      <c r="E6986" s="542"/>
      <c r="F6986" s="542"/>
      <c r="G6986" s="542"/>
      <c r="H6986" s="543"/>
    </row>
    <row r="6987" spans="1:14" ht="15" customHeight="1">
      <c r="A6987" s="541"/>
      <c r="B6987" s="542"/>
      <c r="C6987" s="542"/>
      <c r="D6987" s="542"/>
      <c r="E6987" s="542"/>
      <c r="F6987" s="542"/>
      <c r="G6987" s="542"/>
      <c r="H6987" s="197">
        <f ca="1">TODAY()</f>
        <v>44889</v>
      </c>
      <c r="K6987" t="s">
        <v>4380</v>
      </c>
      <c r="L6987" t="s">
        <v>4381</v>
      </c>
      <c r="M6987" t="s">
        <v>4382</v>
      </c>
      <c r="N6987" t="s">
        <v>4383</v>
      </c>
    </row>
    <row r="6988" spans="1:14" ht="60.75" customHeight="1">
      <c r="A6988" s="209" t="s">
        <v>4211</v>
      </c>
      <c r="B6988" s="544" t="str">
        <f>COSTOS!$D$16</f>
        <v>Luminarias</v>
      </c>
      <c r="C6988" s="544"/>
      <c r="D6988" s="544"/>
      <c r="E6988" s="544"/>
      <c r="F6988" s="544"/>
      <c r="G6988" s="60" t="s">
        <v>4212</v>
      </c>
      <c r="H6988" s="363">
        <v>3.28</v>
      </c>
      <c r="K6988" s="55" t="e">
        <f>H7014</f>
        <v>#VALUE!</v>
      </c>
      <c r="L6988" s="55">
        <f>H7024</f>
        <v>2742.0544</v>
      </c>
      <c r="M6988" s="55" t="e">
        <f>H6997</f>
        <v>#VALUE!</v>
      </c>
      <c r="N6988" s="55" t="e">
        <f>H7018</f>
        <v>#VALUE!</v>
      </c>
    </row>
    <row r="6989" spans="1:14" ht="43.2" customHeight="1">
      <c r="A6989" s="210" t="s">
        <v>4213</v>
      </c>
      <c r="B6989" s="545" t="str">
        <f>VLOOKUP(H6988,COSTOS!C:M,2,0)</f>
        <v>Red canalizada en cable cobre # 2 x 500m</v>
      </c>
      <c r="C6989" s="546"/>
      <c r="D6989" s="546"/>
      <c r="E6989" s="547"/>
      <c r="F6989" s="61" t="s">
        <v>0</v>
      </c>
      <c r="G6989" s="328" t="str">
        <f>VLOOKUP(H6988,COSTOS!C:M,8,0)</f>
        <v>Und</v>
      </c>
      <c r="H6989" s="248"/>
      <c r="I6989" s="278"/>
      <c r="J6989" s="280"/>
      <c r="K6989" s="280"/>
      <c r="L6989" s="280"/>
    </row>
    <row r="6990" spans="1:14">
      <c r="A6990" s="211"/>
      <c r="B6990" s="102"/>
      <c r="C6990" s="102"/>
      <c r="D6990" s="102"/>
      <c r="E6990" s="103"/>
      <c r="F6990" s="104" t="s">
        <v>1</v>
      </c>
      <c r="G6990" s="328">
        <f>VLOOKUP(H6988,COSTOS!C:M,9,0)</f>
        <v>0</v>
      </c>
      <c r="H6990" s="329"/>
      <c r="I6990" s="279"/>
    </row>
    <row r="6991" spans="1:14">
      <c r="A6991" s="212" t="s">
        <v>4215</v>
      </c>
      <c r="B6991" s="65"/>
      <c r="C6991" s="65"/>
      <c r="D6991" s="66"/>
      <c r="E6991" s="190"/>
      <c r="F6991" s="191"/>
      <c r="G6991" s="192" t="s">
        <v>4216</v>
      </c>
      <c r="H6991" s="198" t="e">
        <f>H6997+H7014+H7018+H7024</f>
        <v>#VALUE!</v>
      </c>
    </row>
    <row r="6992" spans="1:14" ht="41.4">
      <c r="A6992" s="548" t="s">
        <v>4213</v>
      </c>
      <c r="B6992" s="548"/>
      <c r="C6992" s="548"/>
      <c r="D6992" s="67" t="s">
        <v>0</v>
      </c>
      <c r="E6992" s="188" t="s">
        <v>4217</v>
      </c>
      <c r="F6992" s="189" t="s">
        <v>4204</v>
      </c>
      <c r="G6992" s="64" t="s">
        <v>2</v>
      </c>
      <c r="H6992" s="199" t="s">
        <v>4218</v>
      </c>
      <c r="K6992" s="281"/>
    </row>
    <row r="6993" spans="1:15">
      <c r="A6993" s="517" t="s">
        <v>3946</v>
      </c>
      <c r="B6993" s="549">
        <f>VLOOKUP(A6993,'Equip, Herr y Transp'!$B$2:$E$738,2,0)</f>
        <v>2</v>
      </c>
      <c r="C6993" s="549"/>
      <c r="D6993" s="85">
        <f>VLOOKUP(A6993,'Equip, Herr y Transp'!$B$2:$E$217,2,0)</f>
        <v>2</v>
      </c>
      <c r="E6993" s="85" t="str">
        <f>VLOOKUP(A6993,'Equip, Herr y Transp'!$B$2:$E$217,3,0)</f>
        <v>EQU</v>
      </c>
      <c r="F6993" s="86">
        <f>H6983</f>
        <v>8.3000000000000001E-3</v>
      </c>
      <c r="G6993" s="112" t="e">
        <f>F6993*E6993</f>
        <v>#VALUE!</v>
      </c>
      <c r="H6993" s="108"/>
    </row>
    <row r="6994" spans="1:15">
      <c r="A6994" s="517" t="s">
        <v>3904</v>
      </c>
      <c r="B6994" s="549">
        <f>VLOOKUP(A6994,'Equip, Herr y Transp'!$B$2:$E$738,2,0)</f>
        <v>2</v>
      </c>
      <c r="C6994" s="549"/>
      <c r="D6994" s="85">
        <f>VLOOKUP(A6994,'Equip, Herr y Transp'!$B$2:$E$217,2,0)</f>
        <v>2</v>
      </c>
      <c r="E6994" s="85" t="str">
        <f>VLOOKUP(A6994,'Equip, Herr y Transp'!$B$2:$E$217,3,0)</f>
        <v>EQU</v>
      </c>
      <c r="F6994" s="86">
        <f>H6983</f>
        <v>8.3000000000000001E-3</v>
      </c>
      <c r="G6994" s="112" t="e">
        <f>F6994*E6994</f>
        <v>#VALUE!</v>
      </c>
      <c r="H6994" s="107"/>
    </row>
    <row r="6995" spans="1:15">
      <c r="A6995" s="517" t="s">
        <v>8</v>
      </c>
      <c r="B6995" s="549" t="e">
        <f>VLOOKUP(A6995,'Equip, Herr y Transp'!$B$2:$E$738,2,0)</f>
        <v>#N/A</v>
      </c>
      <c r="C6995" s="549"/>
      <c r="D6995" s="85" t="e">
        <f>VLOOKUP(A6995,'Equip, Herr y Transp'!$B$2:$E$217,2,0)</f>
        <v>#N/A</v>
      </c>
      <c r="E6995" s="85" t="e">
        <f>VLOOKUP(A6995,'Equip, Herr y Transp'!$B$2:$E$217,3,0)</f>
        <v>#N/A</v>
      </c>
      <c r="F6995" s="86">
        <f>H6983</f>
        <v>8.3000000000000001E-3</v>
      </c>
      <c r="G6995" s="112" t="e">
        <f>F6995*E6995</f>
        <v>#N/A</v>
      </c>
      <c r="H6995" s="107"/>
    </row>
    <row r="6996" spans="1:15">
      <c r="A6996" s="517" t="s">
        <v>8</v>
      </c>
      <c r="B6996" s="549" t="e">
        <f>VLOOKUP(A6996,'Equip, Herr y Transp'!$B$2:$E$738,2,0)</f>
        <v>#N/A</v>
      </c>
      <c r="C6996" s="549"/>
      <c r="D6996" s="85" t="e">
        <f>VLOOKUP(A6996,'Equip, Herr y Transp'!$B$2:$E$217,2,0)</f>
        <v>#N/A</v>
      </c>
      <c r="E6996" s="85" t="e">
        <f>VLOOKUP(A6996,'Equip, Herr y Transp'!$B$2:$E$217,3,0)</f>
        <v>#N/A</v>
      </c>
      <c r="F6996" s="86">
        <f>H6983</f>
        <v>8.3000000000000001E-3</v>
      </c>
      <c r="G6996" s="112" t="e">
        <f>F6996*E6996</f>
        <v>#N/A</v>
      </c>
      <c r="H6996" s="107"/>
    </row>
    <row r="6997" spans="1:15">
      <c r="A6997" s="520" t="s">
        <v>4099</v>
      </c>
      <c r="B6997" s="521"/>
      <c r="C6997" s="521"/>
      <c r="D6997" s="521"/>
      <c r="E6997" s="521"/>
      <c r="F6997" s="521"/>
      <c r="G6997" s="521"/>
      <c r="H6997" s="87" t="e">
        <f>SUM(G6993:G6996)</f>
        <v>#VALUE!</v>
      </c>
    </row>
    <row r="6998" spans="1:15">
      <c r="A6998" s="550" t="s">
        <v>4219</v>
      </c>
      <c r="B6998" s="551"/>
      <c r="C6998" s="551"/>
      <c r="D6998" s="551"/>
      <c r="E6998" s="551"/>
      <c r="F6998" s="551"/>
      <c r="G6998" s="551"/>
      <c r="H6998" s="552"/>
      <c r="K6998" s="50"/>
      <c r="L6998" s="50"/>
      <c r="M6998" s="50"/>
      <c r="N6998" s="50"/>
      <c r="O6998" s="50"/>
    </row>
    <row r="6999" spans="1:15" ht="30" customHeight="1">
      <c r="A6999" s="553" t="s">
        <v>7</v>
      </c>
      <c r="B6999" s="554"/>
      <c r="C6999" s="99" t="s">
        <v>0</v>
      </c>
      <c r="D6999" s="100" t="s">
        <v>4097</v>
      </c>
      <c r="E6999" s="101" t="s">
        <v>1</v>
      </c>
      <c r="F6999" s="555" t="s">
        <v>4207</v>
      </c>
      <c r="G6999" s="555"/>
      <c r="H6999" s="196"/>
      <c r="K6999" s="50"/>
      <c r="L6999" s="50"/>
      <c r="M6999" s="50"/>
      <c r="N6999" s="50"/>
      <c r="O6999" s="50"/>
    </row>
    <row r="7000" spans="1:15">
      <c r="A7000" s="535" t="s">
        <v>4796</v>
      </c>
      <c r="B7000" s="536"/>
      <c r="C7000" s="88">
        <f>VLOOKUP(A7000,'Materiales '!$C$2:$G$396,3,0)</f>
        <v>2</v>
      </c>
      <c r="D7000" s="89" t="str">
        <f>VLOOKUP(A7000,'Materiales '!$C$2:$G$396,4,0)</f>
        <v>Ml</v>
      </c>
      <c r="E7000" s="90">
        <v>1</v>
      </c>
      <c r="F7000" s="508" t="e">
        <f>E7000*D7000</f>
        <v>#VALUE!</v>
      </c>
      <c r="G7000" s="519"/>
      <c r="H7000" s="111"/>
      <c r="I7000">
        <f>E7000*G6990</f>
        <v>0</v>
      </c>
      <c r="J7000" s="57"/>
      <c r="K7000" s="50"/>
      <c r="L7000" s="50"/>
      <c r="M7000" s="50"/>
      <c r="N7000" s="50"/>
      <c r="O7000" s="50"/>
    </row>
    <row r="7001" spans="1:15">
      <c r="A7001" s="535" t="s">
        <v>8</v>
      </c>
      <c r="B7001" s="536"/>
      <c r="C7001" s="88">
        <f>VLOOKUP(A7001,'Materiales '!$C$2:$G$396,3,0)</f>
        <v>0</v>
      </c>
      <c r="D7001" s="89" t="str">
        <f>VLOOKUP(A7001,'Materiales '!$C$2:$G$396,4,0)</f>
        <v>-</v>
      </c>
      <c r="E7001" s="90">
        <f>3/25</f>
        <v>0.12</v>
      </c>
      <c r="F7001" s="508" t="e">
        <f t="shared" ref="F7001:F7007" si="409">E7001*D7001</f>
        <v>#VALUE!</v>
      </c>
      <c r="G7001" s="519"/>
      <c r="H7001" s="111"/>
      <c r="I7001">
        <f>E7001*G6990</f>
        <v>0</v>
      </c>
      <c r="J7001" s="57"/>
      <c r="K7001" s="50"/>
      <c r="L7001" s="50"/>
      <c r="M7001" s="50"/>
      <c r="N7001" s="50"/>
      <c r="O7001" s="50"/>
    </row>
    <row r="7002" spans="1:15">
      <c r="A7002" s="517" t="s">
        <v>8</v>
      </c>
      <c r="B7002" s="518">
        <f>VLOOKUP(A7002,'Materiales '!$C$2:$G$396,3,0)</f>
        <v>0</v>
      </c>
      <c r="C7002" s="88">
        <f>VLOOKUP(A7002,'Materiales '!$C$2:$G$396,3,0)</f>
        <v>0</v>
      </c>
      <c r="D7002" s="89" t="str">
        <f>VLOOKUP(A7002,'Materiales '!$C$2:$G$396,4,0)</f>
        <v>-</v>
      </c>
      <c r="E7002" s="90">
        <f>3/25</f>
        <v>0.12</v>
      </c>
      <c r="F7002" s="508" t="e">
        <f t="shared" si="409"/>
        <v>#VALUE!</v>
      </c>
      <c r="G7002" s="519"/>
      <c r="H7002" s="111"/>
      <c r="I7002">
        <f>E7002*G6990</f>
        <v>0</v>
      </c>
      <c r="J7002" s="58"/>
      <c r="K7002" s="50"/>
      <c r="L7002" s="50"/>
      <c r="M7002" s="50"/>
      <c r="N7002" s="50"/>
      <c r="O7002" s="50"/>
    </row>
    <row r="7003" spans="1:15">
      <c r="A7003" s="517" t="s">
        <v>8</v>
      </c>
      <c r="B7003" s="518">
        <f>VLOOKUP(A7003,'Materiales '!$C$2:$G$396,3,0)</f>
        <v>0</v>
      </c>
      <c r="C7003" s="88">
        <f>VLOOKUP(A7003,'Materiales '!$C$2:$G$396,3,0)</f>
        <v>0</v>
      </c>
      <c r="D7003" s="89" t="str">
        <f>VLOOKUP(A7003,'Materiales '!$C$2:$G$396,4,0)</f>
        <v>-</v>
      </c>
      <c r="E7003" s="90"/>
      <c r="F7003" s="508" t="e">
        <f t="shared" si="409"/>
        <v>#VALUE!</v>
      </c>
      <c r="G7003" s="519"/>
      <c r="H7003" s="111"/>
      <c r="I7003">
        <f>E7003*G6990</f>
        <v>0</v>
      </c>
      <c r="J7003" s="58"/>
      <c r="K7003" s="50"/>
      <c r="L7003" s="50"/>
      <c r="M7003" s="50"/>
      <c r="N7003" s="50"/>
      <c r="O7003" s="50"/>
    </row>
    <row r="7004" spans="1:15">
      <c r="A7004" s="517" t="s">
        <v>8</v>
      </c>
      <c r="B7004" s="518">
        <f>VLOOKUP(A7004,'Materiales '!$C$2:$G$396,3,0)</f>
        <v>0</v>
      </c>
      <c r="C7004" s="88">
        <f>VLOOKUP(A7004,'Materiales '!$C$2:$G$396,3,0)</f>
        <v>0</v>
      </c>
      <c r="D7004" s="89" t="str">
        <f>VLOOKUP(A7004,'Materiales '!$C$2:$G$396,4,0)</f>
        <v>-</v>
      </c>
      <c r="E7004" s="90"/>
      <c r="F7004" s="508" t="e">
        <f t="shared" si="409"/>
        <v>#VALUE!</v>
      </c>
      <c r="G7004" s="519"/>
      <c r="H7004" s="111"/>
      <c r="I7004">
        <f>E7004*G6990</f>
        <v>0</v>
      </c>
      <c r="J7004" s="58"/>
      <c r="K7004" s="50"/>
      <c r="L7004" s="50"/>
      <c r="M7004" s="50"/>
      <c r="N7004" s="50"/>
      <c r="O7004" s="50"/>
    </row>
    <row r="7005" spans="1:15">
      <c r="A7005" s="517" t="s">
        <v>8</v>
      </c>
      <c r="B7005" s="518">
        <f>VLOOKUP(A7005,'Materiales '!$C$2:$G$396,3,0)</f>
        <v>0</v>
      </c>
      <c r="C7005" s="88">
        <f>VLOOKUP(A7005,'Materiales '!$C$2:$G$396,3,0)</f>
        <v>0</v>
      </c>
      <c r="D7005" s="89" t="str">
        <f>VLOOKUP(A7005,'Materiales '!$C$2:$G$396,4,0)</f>
        <v>-</v>
      </c>
      <c r="E7005" s="90"/>
      <c r="F7005" s="508" t="e">
        <f t="shared" si="409"/>
        <v>#VALUE!</v>
      </c>
      <c r="G7005" s="519"/>
      <c r="H7005" s="111"/>
      <c r="I7005">
        <f>E7005*G6990</f>
        <v>0</v>
      </c>
      <c r="J7005" s="58"/>
      <c r="K7005" s="50"/>
      <c r="L7005" s="50"/>
      <c r="M7005" s="50"/>
      <c r="N7005" s="50"/>
      <c r="O7005" s="50"/>
    </row>
    <row r="7006" spans="1:15">
      <c r="A7006" s="517" t="s">
        <v>8</v>
      </c>
      <c r="B7006" s="518">
        <f>VLOOKUP(A7006,'Materiales '!$C$2:$G$396,3,0)</f>
        <v>0</v>
      </c>
      <c r="C7006" s="88">
        <f>VLOOKUP(A7006,'Materiales '!$C$2:$G$396,3,0)</f>
        <v>0</v>
      </c>
      <c r="D7006" s="89" t="str">
        <f>VLOOKUP(A7006,'Materiales '!$C$2:$G$396,4,0)</f>
        <v>-</v>
      </c>
      <c r="E7006" s="90"/>
      <c r="F7006" s="508" t="e">
        <f t="shared" si="409"/>
        <v>#VALUE!</v>
      </c>
      <c r="G7006" s="519"/>
      <c r="H7006" s="111"/>
      <c r="I7006">
        <f>E7006*G6990</f>
        <v>0</v>
      </c>
      <c r="J7006" s="58"/>
      <c r="K7006" s="50"/>
      <c r="L7006" s="50"/>
      <c r="M7006" s="50"/>
      <c r="N7006" s="50"/>
      <c r="O7006" s="50"/>
    </row>
    <row r="7007" spans="1:15" ht="21.75" customHeight="1">
      <c r="A7007" s="517" t="s">
        <v>8</v>
      </c>
      <c r="B7007" s="518">
        <f>VLOOKUP(A7007,'Materiales '!$C$2:$G$396,3,0)</f>
        <v>0</v>
      </c>
      <c r="C7007" s="88">
        <f>VLOOKUP(A7007,'Materiales '!$C$2:$G$396,3,0)</f>
        <v>0</v>
      </c>
      <c r="D7007" s="89" t="str">
        <f>VLOOKUP(A7007,'Materiales '!$C$2:$G$396,4,0)</f>
        <v>-</v>
      </c>
      <c r="E7007" s="90"/>
      <c r="F7007" s="508" t="e">
        <f t="shared" si="409"/>
        <v>#VALUE!</v>
      </c>
      <c r="G7007" s="519"/>
      <c r="H7007" s="111"/>
      <c r="I7007">
        <f>E7007*G6990</f>
        <v>0</v>
      </c>
      <c r="J7007" s="58"/>
      <c r="K7007" s="50"/>
      <c r="L7007" s="50"/>
      <c r="M7007" s="50"/>
      <c r="N7007" s="50"/>
      <c r="O7007" s="50"/>
    </row>
    <row r="7008" spans="1:15">
      <c r="A7008" s="517" t="s">
        <v>8</v>
      </c>
      <c r="B7008" s="518">
        <f>VLOOKUP(A7008,'Materiales '!$C$2:$G$396,3,0)</f>
        <v>0</v>
      </c>
      <c r="C7008" s="88">
        <f>VLOOKUP(A7008,'Materiales '!$C$2:$G$396,3,0)</f>
        <v>0</v>
      </c>
      <c r="D7008" s="89" t="str">
        <f>VLOOKUP(A7008,'Materiales '!$C$2:$G$396,4,0)</f>
        <v>-</v>
      </c>
      <c r="E7008" s="90"/>
      <c r="F7008" s="508" t="e">
        <f>E7008*D7008</f>
        <v>#VALUE!</v>
      </c>
      <c r="G7008" s="519"/>
      <c r="H7008" s="110"/>
      <c r="I7008">
        <f>E7008*G6990</f>
        <v>0</v>
      </c>
      <c r="J7008" s="58"/>
      <c r="K7008" s="50"/>
      <c r="L7008" s="50"/>
      <c r="M7008" s="50"/>
      <c r="N7008" s="50"/>
      <c r="O7008" s="50"/>
    </row>
    <row r="7009" spans="1:15">
      <c r="A7009" s="517" t="s">
        <v>8</v>
      </c>
      <c r="B7009" s="518">
        <f>VLOOKUP(A7009,'Materiales '!$C$2:$G$396,3,0)</f>
        <v>0</v>
      </c>
      <c r="C7009" s="88">
        <f>VLOOKUP(A7009,'Materiales '!$C$2:$G$396,3,0)</f>
        <v>0</v>
      </c>
      <c r="D7009" s="89" t="str">
        <f>VLOOKUP(A7009,'Materiales '!$C$2:$G$396,4,0)</f>
        <v>-</v>
      </c>
      <c r="E7009" s="90"/>
      <c r="F7009" s="508" t="e">
        <f t="shared" ref="F7009:F7012" si="410">E7009*D7009</f>
        <v>#VALUE!</v>
      </c>
      <c r="G7009" s="519"/>
      <c r="H7009" s="111"/>
      <c r="I7009">
        <f>E7009*G6990</f>
        <v>0</v>
      </c>
      <c r="J7009" s="58"/>
      <c r="K7009" s="50"/>
      <c r="L7009" s="50"/>
      <c r="M7009" s="50"/>
      <c r="N7009" s="50"/>
      <c r="O7009" s="50"/>
    </row>
    <row r="7010" spans="1:15">
      <c r="A7010" s="517" t="s">
        <v>8</v>
      </c>
      <c r="B7010" s="518">
        <f>VLOOKUP(A7010,'Materiales '!$C$2:$G$396,3,0)</f>
        <v>0</v>
      </c>
      <c r="C7010" s="88">
        <f>VLOOKUP(A7010,'Materiales '!$C$2:$G$396,3,0)</f>
        <v>0</v>
      </c>
      <c r="D7010" s="89" t="str">
        <f>VLOOKUP(A7010,'Materiales '!$C$2:$G$396,4,0)</f>
        <v>-</v>
      </c>
      <c r="E7010" s="90"/>
      <c r="F7010" s="508" t="e">
        <f t="shared" si="410"/>
        <v>#VALUE!</v>
      </c>
      <c r="G7010" s="519"/>
      <c r="H7010" s="111"/>
      <c r="I7010">
        <f>E7010*G6990</f>
        <v>0</v>
      </c>
      <c r="J7010" s="58"/>
      <c r="K7010" s="50"/>
      <c r="L7010" s="50"/>
      <c r="M7010" s="50"/>
      <c r="N7010" s="50"/>
      <c r="O7010" s="50"/>
    </row>
    <row r="7011" spans="1:15">
      <c r="A7011" s="517" t="s">
        <v>8</v>
      </c>
      <c r="B7011" s="518">
        <f>VLOOKUP(A7011,'Materiales '!$C$2:$G$396,3,0)</f>
        <v>0</v>
      </c>
      <c r="C7011" s="88">
        <f>VLOOKUP(A7011,'Materiales '!$C$2:$G$396,3,0)</f>
        <v>0</v>
      </c>
      <c r="D7011" s="89" t="str">
        <f>VLOOKUP(A7011,'Materiales '!$C$2:$G$396,4,0)</f>
        <v>-</v>
      </c>
      <c r="E7011" s="90"/>
      <c r="F7011" s="508" t="e">
        <f t="shared" si="410"/>
        <v>#VALUE!</v>
      </c>
      <c r="G7011" s="519"/>
      <c r="H7011" s="111"/>
      <c r="I7011">
        <f>E7011*G6990</f>
        <v>0</v>
      </c>
      <c r="J7011" s="58"/>
      <c r="K7011" s="50"/>
      <c r="L7011" s="50"/>
      <c r="M7011" s="50"/>
      <c r="N7011" s="50"/>
      <c r="O7011" s="50"/>
    </row>
    <row r="7012" spans="1:15">
      <c r="A7012" s="517" t="s">
        <v>8</v>
      </c>
      <c r="B7012" s="518">
        <f>VLOOKUP(A7012,'Materiales '!$C$2:$G$396,3,0)</f>
        <v>0</v>
      </c>
      <c r="C7012" s="88">
        <f>VLOOKUP(A7012,'Materiales '!$C$2:$G$396,3,0)</f>
        <v>0</v>
      </c>
      <c r="D7012" s="89" t="str">
        <f>VLOOKUP(A7012,'Materiales '!$C$2:$G$396,4,0)</f>
        <v>-</v>
      </c>
      <c r="E7012" s="90"/>
      <c r="F7012" s="508" t="e">
        <f t="shared" si="410"/>
        <v>#VALUE!</v>
      </c>
      <c r="G7012" s="519"/>
      <c r="H7012" s="111"/>
      <c r="I7012">
        <f>E7012*G6990</f>
        <v>0</v>
      </c>
      <c r="J7012" s="58"/>
      <c r="K7012" s="50"/>
      <c r="L7012" s="50"/>
      <c r="M7012" s="50"/>
      <c r="N7012" s="50"/>
      <c r="O7012" s="50"/>
    </row>
    <row r="7013" spans="1:15">
      <c r="A7013" s="517" t="s">
        <v>8</v>
      </c>
      <c r="B7013" s="518">
        <f>VLOOKUP(A7013,'Materiales '!$C$2:$G$396,3,0)</f>
        <v>0</v>
      </c>
      <c r="C7013" s="88">
        <f>VLOOKUP(A7013,'Materiales '!$C$2:$G$396,3,0)</f>
        <v>0</v>
      </c>
      <c r="D7013" s="89" t="str">
        <f>VLOOKUP(A7013,'Materiales '!$C$2:$G$396,4,0)</f>
        <v>-</v>
      </c>
      <c r="E7013" s="90"/>
      <c r="F7013" s="508" t="e">
        <f>E7013*D7013</f>
        <v>#VALUE!</v>
      </c>
      <c r="G7013" s="519"/>
      <c r="H7013" s="110"/>
      <c r="I7013">
        <f>E7013*G6990</f>
        <v>0</v>
      </c>
      <c r="J7013" s="58"/>
      <c r="K7013" s="50"/>
      <c r="L7013" s="50"/>
      <c r="M7013" s="50"/>
      <c r="N7013" s="50"/>
      <c r="O7013" s="50"/>
    </row>
    <row r="7014" spans="1:15">
      <c r="A7014" s="520" t="s">
        <v>4098</v>
      </c>
      <c r="B7014" s="521"/>
      <c r="C7014" s="521"/>
      <c r="D7014" s="521"/>
      <c r="E7014" s="521"/>
      <c r="F7014" s="521"/>
      <c r="G7014" s="522"/>
      <c r="H7014" s="106" t="e">
        <f>SUM(F7000:F7013)</f>
        <v>#VALUE!</v>
      </c>
      <c r="J7014" s="58"/>
      <c r="K7014" s="50"/>
      <c r="L7014" s="50"/>
      <c r="M7014" s="50"/>
      <c r="N7014" s="50"/>
      <c r="O7014" s="50"/>
    </row>
    <row r="7015" spans="1:15">
      <c r="A7015" s="523" t="s">
        <v>4220</v>
      </c>
      <c r="B7015" s="524"/>
      <c r="C7015" s="524"/>
      <c r="D7015" s="524"/>
      <c r="E7015" s="525"/>
      <c r="F7015" s="524"/>
      <c r="G7015" s="524"/>
      <c r="H7015" s="526"/>
      <c r="J7015" s="58"/>
      <c r="K7015" s="50"/>
      <c r="L7015" s="50"/>
      <c r="M7015" s="50"/>
      <c r="N7015" s="50"/>
      <c r="O7015" s="50"/>
    </row>
    <row r="7016" spans="1:15">
      <c r="A7016" s="527" t="s">
        <v>7</v>
      </c>
      <c r="B7016" s="528"/>
      <c r="C7016" s="98" t="s">
        <v>4221</v>
      </c>
      <c r="D7016" s="97" t="s">
        <v>4222</v>
      </c>
      <c r="E7016" s="187" t="s">
        <v>4223</v>
      </c>
      <c r="F7016" s="529" t="s">
        <v>4207</v>
      </c>
      <c r="G7016" s="529"/>
      <c r="H7016" s="109"/>
      <c r="K7016" s="50"/>
      <c r="L7016" s="50"/>
      <c r="M7016" s="50"/>
      <c r="N7016" s="50"/>
      <c r="O7016" s="50"/>
    </row>
    <row r="7017" spans="1:15">
      <c r="A7017" s="506" t="s">
        <v>3928</v>
      </c>
      <c r="B7017" s="507"/>
      <c r="C7017" s="213">
        <v>1</v>
      </c>
      <c r="D7017" s="92">
        <v>5.0000000000000001E-3</v>
      </c>
      <c r="E7017" s="93" t="str">
        <f>VLOOKUP(A7017,'Equip, Herr y Transp'!$B$2:$E$217,3,0)</f>
        <v>TR</v>
      </c>
      <c r="F7017" s="530" t="e">
        <f>E7017*D7017*C7017</f>
        <v>#VALUE!</v>
      </c>
      <c r="G7017" s="531"/>
      <c r="H7017" s="107"/>
      <c r="M7017" s="50"/>
    </row>
    <row r="7018" spans="1:15">
      <c r="A7018" s="532" t="s">
        <v>4205</v>
      </c>
      <c r="B7018" s="533"/>
      <c r="C7018" s="533"/>
      <c r="D7018" s="533"/>
      <c r="E7018" s="533"/>
      <c r="F7018" s="533"/>
      <c r="G7018" s="533"/>
      <c r="H7018" s="95" t="e">
        <f>F7017</f>
        <v>#VALUE!</v>
      </c>
    </row>
    <row r="7019" spans="1:15">
      <c r="A7019" s="523" t="s">
        <v>4224</v>
      </c>
      <c r="B7019" s="524"/>
      <c r="C7019" s="524"/>
      <c r="D7019" s="524"/>
      <c r="E7019" s="524"/>
      <c r="F7019" s="524"/>
      <c r="G7019" s="524"/>
      <c r="H7019" s="526"/>
    </row>
    <row r="7020" spans="1:15">
      <c r="A7020" s="527" t="s">
        <v>7</v>
      </c>
      <c r="B7020" s="528"/>
      <c r="C7020" s="96" t="s">
        <v>1</v>
      </c>
      <c r="D7020" s="97" t="s">
        <v>4225</v>
      </c>
      <c r="E7020" s="98" t="s">
        <v>4204</v>
      </c>
      <c r="F7020" s="527" t="s">
        <v>5</v>
      </c>
      <c r="G7020" s="534"/>
      <c r="H7020" s="109"/>
    </row>
    <row r="7021" spans="1:15">
      <c r="A7021" s="506" t="s">
        <v>4191</v>
      </c>
      <c r="B7021" s="507"/>
      <c r="C7021" s="91">
        <v>1</v>
      </c>
      <c r="D7021" s="94">
        <f>VLOOKUP(A7021,'Mano Obra'!$B$2:$T$117,19,0)</f>
        <v>152456</v>
      </c>
      <c r="E7021" s="218">
        <f>H6983</f>
        <v>8.3000000000000001E-3</v>
      </c>
      <c r="F7021" s="508">
        <f>E7021*D7021*C7021</f>
        <v>1265.3848</v>
      </c>
      <c r="G7021" s="509"/>
      <c r="H7021" s="111"/>
      <c r="I7021" s="59"/>
      <c r="J7021" s="117">
        <f>((('Mano Obra'!$M$4/30)*F7021)/D7021)*G6990</f>
        <v>0</v>
      </c>
    </row>
    <row r="7022" spans="1:15">
      <c r="A7022" s="510" t="s">
        <v>4192</v>
      </c>
      <c r="B7022" s="511">
        <f>VLOOKUP(A7022,'Mano Obra'!$B$3:$D$290,2,0)</f>
        <v>1900000</v>
      </c>
      <c r="C7022" s="91">
        <v>1</v>
      </c>
      <c r="D7022" s="94">
        <f>VLOOKUP(A7022,'Mano Obra'!$B$2:$T$117,19,0)</f>
        <v>110488</v>
      </c>
      <c r="E7022" s="218">
        <f>H6983</f>
        <v>8.3000000000000001E-3</v>
      </c>
      <c r="F7022" s="508">
        <f t="shared" ref="F7022:F7023" si="411">E7022*D7022*C7022</f>
        <v>917.05039999999997</v>
      </c>
      <c r="G7022" s="509"/>
      <c r="H7022" s="111"/>
      <c r="J7022" s="117">
        <f>((('Mano Obra'!$M$5/30)*F7022)/D7022)*G6990</f>
        <v>0</v>
      </c>
    </row>
    <row r="7023" spans="1:15">
      <c r="A7023" s="510" t="s">
        <v>4181</v>
      </c>
      <c r="B7023" s="511">
        <f>VLOOKUP(A7023,'Mano Obra'!$B$3:$D$290,2,0)</f>
        <v>1000000</v>
      </c>
      <c r="C7023" s="91">
        <v>1</v>
      </c>
      <c r="D7023" s="94">
        <f>VLOOKUP(A7023,'Mano Obra'!$B$2:$T$117,19,0)</f>
        <v>67424</v>
      </c>
      <c r="E7023" s="218">
        <f>H6983</f>
        <v>8.3000000000000001E-3</v>
      </c>
      <c r="F7023" s="508">
        <f t="shared" si="411"/>
        <v>559.61919999999998</v>
      </c>
      <c r="G7023" s="509"/>
      <c r="H7023" s="110"/>
      <c r="J7023" s="117">
        <f>((('Mano Obra'!$M$6/30)*F7023)/D7023)*G6990</f>
        <v>0</v>
      </c>
    </row>
    <row r="7024" spans="1:15">
      <c r="A7024" s="512" t="s">
        <v>4100</v>
      </c>
      <c r="B7024" s="512"/>
      <c r="C7024" s="512"/>
      <c r="D7024" s="512"/>
      <c r="E7024" s="512"/>
      <c r="F7024" s="512"/>
      <c r="G7024" s="512"/>
      <c r="H7024" s="95">
        <f>SUM(F7021:F7023)</f>
        <v>2742.0544</v>
      </c>
      <c r="J7024" s="117"/>
    </row>
    <row r="7025" spans="1:14">
      <c r="A7025" s="208" t="s">
        <v>4226</v>
      </c>
      <c r="B7025" s="186"/>
      <c r="C7025" s="186"/>
      <c r="D7025" s="183"/>
      <c r="E7025" s="184"/>
      <c r="F7025" s="185"/>
      <c r="G7025" s="184"/>
      <c r="H7025" s="193"/>
    </row>
    <row r="7026" spans="1:14">
      <c r="A7026" s="513" t="s">
        <v>4213</v>
      </c>
      <c r="B7026" s="514"/>
      <c r="C7026" s="514"/>
      <c r="D7026" s="514"/>
      <c r="E7026" s="181"/>
      <c r="F7026" s="182" t="s">
        <v>4227</v>
      </c>
      <c r="G7026" s="181" t="s">
        <v>4228</v>
      </c>
      <c r="H7026" s="194"/>
    </row>
    <row r="7027" spans="1:14">
      <c r="A7027" s="204" t="s">
        <v>4096</v>
      </c>
      <c r="B7027" s="62"/>
      <c r="C7027" s="62"/>
      <c r="D7027" s="63"/>
      <c r="E7027" s="68"/>
      <c r="F7027" s="69">
        <v>0</v>
      </c>
      <c r="G7027" s="70" t="e">
        <f>F7027*H6991</f>
        <v>#VALUE!</v>
      </c>
      <c r="H7027" s="193"/>
    </row>
    <row r="7028" spans="1:14">
      <c r="A7028" s="205" t="s">
        <v>4229</v>
      </c>
      <c r="B7028" s="71"/>
      <c r="C7028" s="71"/>
      <c r="D7028" s="72"/>
      <c r="E7028" s="68"/>
      <c r="F7028" s="69">
        <v>0</v>
      </c>
      <c r="G7028" s="70" t="e">
        <f>F7028*H6991</f>
        <v>#VALUE!</v>
      </c>
      <c r="H7028" s="193"/>
    </row>
    <row r="7029" spans="1:14">
      <c r="A7029" s="205" t="s">
        <v>4</v>
      </c>
      <c r="B7029" s="71"/>
      <c r="C7029" s="71"/>
      <c r="D7029" s="72"/>
      <c r="E7029" s="68"/>
      <c r="F7029" s="69">
        <v>0</v>
      </c>
      <c r="G7029" s="70" t="e">
        <f>F7029*H6991</f>
        <v>#VALUE!</v>
      </c>
      <c r="H7029" s="193"/>
    </row>
    <row r="7030" spans="1:14">
      <c r="A7030" s="206"/>
      <c r="B7030" s="73"/>
      <c r="C7030" s="65"/>
      <c r="D7030" s="74"/>
      <c r="E7030" s="75"/>
      <c r="F7030" s="76"/>
      <c r="G7030" s="77"/>
      <c r="H7030" s="195"/>
    </row>
    <row r="7031" spans="1:14">
      <c r="A7031" s="207"/>
      <c r="B7031" s="73"/>
      <c r="C7031" s="73"/>
      <c r="D7031" s="74"/>
      <c r="E7031" s="78"/>
      <c r="F7031" s="515" t="s">
        <v>4230</v>
      </c>
      <c r="G7031" s="516"/>
      <c r="H7031" s="214" t="e">
        <f>H6991+G7027+G7028+G7029</f>
        <v>#VALUE!</v>
      </c>
    </row>
    <row r="7033" spans="1:14">
      <c r="A7033" s="80"/>
      <c r="B7033" s="80"/>
      <c r="C7033" s="80"/>
      <c r="D7033" s="80"/>
      <c r="E7033" s="80"/>
      <c r="F7033" s="80"/>
      <c r="G7033" s="80"/>
      <c r="H7033" s="353"/>
    </row>
    <row r="7034" spans="1:14">
      <c r="A7034" s="537" t="s">
        <v>4214</v>
      </c>
      <c r="B7034" s="538"/>
      <c r="C7034" s="538"/>
      <c r="D7034" s="538"/>
      <c r="E7034" s="538"/>
      <c r="F7034" s="538"/>
      <c r="G7034" s="538"/>
      <c r="H7034" s="539"/>
    </row>
    <row r="7035" spans="1:14">
      <c r="A7035" s="81"/>
      <c r="B7035" s="82"/>
      <c r="C7035" s="82"/>
      <c r="D7035" s="82"/>
      <c r="E7035" s="82"/>
      <c r="F7035" s="83"/>
      <c r="G7035" s="84"/>
      <c r="H7035" s="352">
        <f>ROUND((4/60)/8,4)</f>
        <v>8.3000000000000001E-3</v>
      </c>
      <c r="I7035" s="105"/>
    </row>
    <row r="7036" spans="1:14">
      <c r="A7036" s="540" t="s">
        <v>4209</v>
      </c>
      <c r="B7036" s="542" t="str">
        <f>COSTOS!$C$14</f>
        <v>MODERNIZACION A TECNOLOGIA LED</v>
      </c>
      <c r="C7036" s="542"/>
      <c r="D7036" s="542"/>
      <c r="E7036" s="542"/>
      <c r="F7036" s="542"/>
      <c r="G7036" s="542"/>
      <c r="H7036" s="543" t="s">
        <v>4210</v>
      </c>
    </row>
    <row r="7037" spans="1:14">
      <c r="A7037" s="541"/>
      <c r="B7037" s="542"/>
      <c r="C7037" s="542"/>
      <c r="D7037" s="542"/>
      <c r="E7037" s="542"/>
      <c r="F7037" s="542"/>
      <c r="G7037" s="542"/>
      <c r="H7037" s="543"/>
    </row>
    <row r="7038" spans="1:14">
      <c r="A7038" s="541"/>
      <c r="B7038" s="542"/>
      <c r="C7038" s="542"/>
      <c r="D7038" s="542"/>
      <c r="E7038" s="542"/>
      <c r="F7038" s="542"/>
      <c r="G7038" s="542"/>
      <c r="H7038" s="543"/>
    </row>
    <row r="7039" spans="1:14" ht="15" customHeight="1">
      <c r="A7039" s="541"/>
      <c r="B7039" s="542"/>
      <c r="C7039" s="542"/>
      <c r="D7039" s="542"/>
      <c r="E7039" s="542"/>
      <c r="F7039" s="542"/>
      <c r="G7039" s="542"/>
      <c r="H7039" s="197">
        <f ca="1">TODAY()</f>
        <v>44889</v>
      </c>
      <c r="K7039" t="s">
        <v>4380</v>
      </c>
      <c r="L7039" t="s">
        <v>4381</v>
      </c>
      <c r="M7039" t="s">
        <v>4382</v>
      </c>
      <c r="N7039" t="s">
        <v>4383</v>
      </c>
    </row>
    <row r="7040" spans="1:14" ht="60.75" customHeight="1">
      <c r="A7040" s="209" t="s">
        <v>4211</v>
      </c>
      <c r="B7040" s="544" t="str">
        <f>COSTOS!$D$16</f>
        <v>Luminarias</v>
      </c>
      <c r="C7040" s="544"/>
      <c r="D7040" s="544"/>
      <c r="E7040" s="544"/>
      <c r="F7040" s="544"/>
      <c r="G7040" s="60" t="s">
        <v>4212</v>
      </c>
      <c r="H7040" s="363">
        <v>3.29</v>
      </c>
      <c r="K7040" s="55" t="e">
        <f>H7066</f>
        <v>#VALUE!</v>
      </c>
      <c r="L7040" s="55">
        <f>H7076</f>
        <v>2742.0544</v>
      </c>
      <c r="M7040" s="55" t="e">
        <f>H7049</f>
        <v>#VALUE!</v>
      </c>
      <c r="N7040" s="55" t="e">
        <f>H7070</f>
        <v>#VALUE!</v>
      </c>
    </row>
    <row r="7041" spans="1:15" ht="43.2" customHeight="1">
      <c r="A7041" s="210" t="s">
        <v>4213</v>
      </c>
      <c r="B7041" s="545" t="str">
        <f>VLOOKUP(H7040,COSTOS!C:M,2,0)</f>
        <v>Red canalizada en cable aluminio 2 x 500m</v>
      </c>
      <c r="C7041" s="546"/>
      <c r="D7041" s="546"/>
      <c r="E7041" s="547"/>
      <c r="F7041" s="61" t="s">
        <v>0</v>
      </c>
      <c r="G7041" s="328" t="str">
        <f>VLOOKUP(H7040,COSTOS!C:M,8,0)</f>
        <v>Und</v>
      </c>
      <c r="H7041" s="248"/>
      <c r="I7041" s="278"/>
      <c r="J7041" s="280"/>
      <c r="K7041" s="280"/>
      <c r="L7041" s="280"/>
    </row>
    <row r="7042" spans="1:15">
      <c r="A7042" s="211"/>
      <c r="B7042" s="102"/>
      <c r="C7042" s="102"/>
      <c r="D7042" s="102"/>
      <c r="E7042" s="103"/>
      <c r="F7042" s="104" t="s">
        <v>1</v>
      </c>
      <c r="G7042" s="328">
        <f>VLOOKUP(H7040,COSTOS!C:M,9,0)</f>
        <v>0</v>
      </c>
      <c r="H7042" s="329"/>
      <c r="I7042" s="279"/>
    </row>
    <row r="7043" spans="1:15">
      <c r="A7043" s="212" t="s">
        <v>4215</v>
      </c>
      <c r="B7043" s="65"/>
      <c r="C7043" s="65"/>
      <c r="D7043" s="66"/>
      <c r="E7043" s="190"/>
      <c r="F7043" s="191"/>
      <c r="G7043" s="192" t="s">
        <v>4216</v>
      </c>
      <c r="H7043" s="198" t="e">
        <f>H7049+H7066+H7070+H7076</f>
        <v>#VALUE!</v>
      </c>
    </row>
    <row r="7044" spans="1:15" ht="41.4">
      <c r="A7044" s="548" t="s">
        <v>4213</v>
      </c>
      <c r="B7044" s="548"/>
      <c r="C7044" s="548"/>
      <c r="D7044" s="67" t="s">
        <v>0</v>
      </c>
      <c r="E7044" s="188" t="s">
        <v>4217</v>
      </c>
      <c r="F7044" s="189" t="s">
        <v>4204</v>
      </c>
      <c r="G7044" s="64" t="s">
        <v>2</v>
      </c>
      <c r="H7044" s="199" t="s">
        <v>4218</v>
      </c>
      <c r="K7044" s="281"/>
    </row>
    <row r="7045" spans="1:15">
      <c r="A7045" s="517" t="s">
        <v>3946</v>
      </c>
      <c r="B7045" s="549">
        <f>VLOOKUP(A7045,'Equip, Herr y Transp'!$B$2:$E$738,2,0)</f>
        <v>2</v>
      </c>
      <c r="C7045" s="549"/>
      <c r="D7045" s="85">
        <f>VLOOKUP(A7045,'Equip, Herr y Transp'!$B$2:$E$217,2,0)</f>
        <v>2</v>
      </c>
      <c r="E7045" s="85" t="str">
        <f>VLOOKUP(A7045,'Equip, Herr y Transp'!$B$2:$E$217,3,0)</f>
        <v>EQU</v>
      </c>
      <c r="F7045" s="86">
        <f>H7035</f>
        <v>8.3000000000000001E-3</v>
      </c>
      <c r="G7045" s="112" t="e">
        <f>F7045*E7045</f>
        <v>#VALUE!</v>
      </c>
      <c r="H7045" s="108"/>
    </row>
    <row r="7046" spans="1:15">
      <c r="A7046" s="517" t="s">
        <v>3904</v>
      </c>
      <c r="B7046" s="549">
        <f>VLOOKUP(A7046,'Equip, Herr y Transp'!$B$2:$E$738,2,0)</f>
        <v>2</v>
      </c>
      <c r="C7046" s="549"/>
      <c r="D7046" s="85">
        <f>VLOOKUP(A7046,'Equip, Herr y Transp'!$B$2:$E$217,2,0)</f>
        <v>2</v>
      </c>
      <c r="E7046" s="85" t="str">
        <f>VLOOKUP(A7046,'Equip, Herr y Transp'!$B$2:$E$217,3,0)</f>
        <v>EQU</v>
      </c>
      <c r="F7046" s="86">
        <f>H7035</f>
        <v>8.3000000000000001E-3</v>
      </c>
      <c r="G7046" s="112" t="e">
        <f>F7046*E7046</f>
        <v>#VALUE!</v>
      </c>
      <c r="H7046" s="107"/>
    </row>
    <row r="7047" spans="1:15">
      <c r="A7047" s="517" t="s">
        <v>8</v>
      </c>
      <c r="B7047" s="549" t="e">
        <f>VLOOKUP(A7047,'Equip, Herr y Transp'!$B$2:$E$738,2,0)</f>
        <v>#N/A</v>
      </c>
      <c r="C7047" s="549"/>
      <c r="D7047" s="85" t="e">
        <f>VLOOKUP(A7047,'Equip, Herr y Transp'!$B$2:$E$217,2,0)</f>
        <v>#N/A</v>
      </c>
      <c r="E7047" s="85" t="e">
        <f>VLOOKUP(A7047,'Equip, Herr y Transp'!$B$2:$E$217,3,0)</f>
        <v>#N/A</v>
      </c>
      <c r="F7047" s="86">
        <f>H7035</f>
        <v>8.3000000000000001E-3</v>
      </c>
      <c r="G7047" s="112" t="e">
        <f>F7047*E7047</f>
        <v>#N/A</v>
      </c>
      <c r="H7047" s="107"/>
    </row>
    <row r="7048" spans="1:15">
      <c r="A7048" s="517" t="s">
        <v>8</v>
      </c>
      <c r="B7048" s="549" t="e">
        <f>VLOOKUP(A7048,'Equip, Herr y Transp'!$B$2:$E$738,2,0)</f>
        <v>#N/A</v>
      </c>
      <c r="C7048" s="549"/>
      <c r="D7048" s="85" t="e">
        <f>VLOOKUP(A7048,'Equip, Herr y Transp'!$B$2:$E$217,2,0)</f>
        <v>#N/A</v>
      </c>
      <c r="E7048" s="85" t="e">
        <f>VLOOKUP(A7048,'Equip, Herr y Transp'!$B$2:$E$217,3,0)</f>
        <v>#N/A</v>
      </c>
      <c r="F7048" s="86">
        <f>H7035</f>
        <v>8.3000000000000001E-3</v>
      </c>
      <c r="G7048" s="112" t="e">
        <f>F7048*E7048</f>
        <v>#N/A</v>
      </c>
      <c r="H7048" s="107"/>
    </row>
    <row r="7049" spans="1:15">
      <c r="A7049" s="520" t="s">
        <v>4099</v>
      </c>
      <c r="B7049" s="521"/>
      <c r="C7049" s="521"/>
      <c r="D7049" s="521"/>
      <c r="E7049" s="521"/>
      <c r="F7049" s="521"/>
      <c r="G7049" s="521"/>
      <c r="H7049" s="87" t="e">
        <f>SUM(G7045:G7048)</f>
        <v>#VALUE!</v>
      </c>
    </row>
    <row r="7050" spans="1:15">
      <c r="A7050" s="550" t="s">
        <v>4219</v>
      </c>
      <c r="B7050" s="551"/>
      <c r="C7050" s="551"/>
      <c r="D7050" s="551"/>
      <c r="E7050" s="551"/>
      <c r="F7050" s="551"/>
      <c r="G7050" s="551"/>
      <c r="H7050" s="552"/>
      <c r="K7050" s="50"/>
      <c r="L7050" s="50"/>
      <c r="M7050" s="50"/>
      <c r="N7050" s="50"/>
      <c r="O7050" s="50"/>
    </row>
    <row r="7051" spans="1:15" ht="30" customHeight="1">
      <c r="A7051" s="553" t="s">
        <v>7</v>
      </c>
      <c r="B7051" s="554"/>
      <c r="C7051" s="99" t="s">
        <v>0</v>
      </c>
      <c r="D7051" s="100" t="s">
        <v>4097</v>
      </c>
      <c r="E7051" s="101" t="s">
        <v>1</v>
      </c>
      <c r="F7051" s="555" t="s">
        <v>4207</v>
      </c>
      <c r="G7051" s="555"/>
      <c r="H7051" s="196"/>
      <c r="K7051" s="50"/>
      <c r="L7051" s="50"/>
      <c r="M7051" s="50"/>
      <c r="N7051" s="50"/>
      <c r="O7051" s="50"/>
    </row>
    <row r="7052" spans="1:15">
      <c r="A7052" s="535" t="s">
        <v>4434</v>
      </c>
      <c r="B7052" s="536"/>
      <c r="C7052" s="88">
        <f>VLOOKUP(A7052,'Materiales '!$C$2:$G$396,3,0)</f>
        <v>2</v>
      </c>
      <c r="D7052" s="89" t="str">
        <f>VLOOKUP(A7052,'Materiales '!$C$2:$G$396,4,0)</f>
        <v>Ml</v>
      </c>
      <c r="E7052" s="90">
        <v>1</v>
      </c>
      <c r="F7052" s="508" t="e">
        <f>E7052*D7052</f>
        <v>#VALUE!</v>
      </c>
      <c r="G7052" s="519"/>
      <c r="H7052" s="111"/>
      <c r="I7052">
        <f>E7052*G7042</f>
        <v>0</v>
      </c>
      <c r="J7052" s="57"/>
      <c r="K7052" s="50"/>
      <c r="L7052" s="50"/>
      <c r="M7052" s="50"/>
      <c r="N7052" s="50"/>
      <c r="O7052" s="50"/>
    </row>
    <row r="7053" spans="1:15">
      <c r="A7053" s="535" t="s">
        <v>8</v>
      </c>
      <c r="B7053" s="536"/>
      <c r="C7053" s="88">
        <f>VLOOKUP(A7053,'Materiales '!$C$2:$G$396,3,0)</f>
        <v>0</v>
      </c>
      <c r="D7053" s="89" t="str">
        <f>VLOOKUP(A7053,'Materiales '!$C$2:$G$396,4,0)</f>
        <v>-</v>
      </c>
      <c r="E7053" s="90">
        <f>3/25</f>
        <v>0.12</v>
      </c>
      <c r="F7053" s="508" t="e">
        <f t="shared" ref="F7053:F7059" si="412">E7053*D7053</f>
        <v>#VALUE!</v>
      </c>
      <c r="G7053" s="519"/>
      <c r="H7053" s="111"/>
      <c r="I7053">
        <f>E7053*G7042</f>
        <v>0</v>
      </c>
      <c r="J7053" s="57"/>
      <c r="K7053" s="50"/>
      <c r="L7053" s="50"/>
      <c r="M7053" s="50"/>
      <c r="N7053" s="50"/>
      <c r="O7053" s="50"/>
    </row>
    <row r="7054" spans="1:15">
      <c r="A7054" s="517" t="s">
        <v>8</v>
      </c>
      <c r="B7054" s="518">
        <f>VLOOKUP(A7054,'Materiales '!$C$2:$G$396,3,0)</f>
        <v>0</v>
      </c>
      <c r="C7054" s="88">
        <f>VLOOKUP(A7054,'Materiales '!$C$2:$G$396,3,0)</f>
        <v>0</v>
      </c>
      <c r="D7054" s="89" t="str">
        <f>VLOOKUP(A7054,'Materiales '!$C$2:$G$396,4,0)</f>
        <v>-</v>
      </c>
      <c r="E7054" s="90">
        <f>3/25</f>
        <v>0.12</v>
      </c>
      <c r="F7054" s="508" t="e">
        <f t="shared" si="412"/>
        <v>#VALUE!</v>
      </c>
      <c r="G7054" s="519"/>
      <c r="H7054" s="111"/>
      <c r="I7054">
        <f>E7054*G7042</f>
        <v>0</v>
      </c>
      <c r="J7054" s="58"/>
      <c r="K7054" s="50"/>
      <c r="L7054" s="50"/>
      <c r="M7054" s="50"/>
      <c r="N7054" s="50"/>
      <c r="O7054" s="50"/>
    </row>
    <row r="7055" spans="1:15">
      <c r="A7055" s="517" t="s">
        <v>8</v>
      </c>
      <c r="B7055" s="518">
        <f>VLOOKUP(A7055,'Materiales '!$C$2:$G$396,3,0)</f>
        <v>0</v>
      </c>
      <c r="C7055" s="88">
        <f>VLOOKUP(A7055,'Materiales '!$C$2:$G$396,3,0)</f>
        <v>0</v>
      </c>
      <c r="D7055" s="89" t="str">
        <f>VLOOKUP(A7055,'Materiales '!$C$2:$G$396,4,0)</f>
        <v>-</v>
      </c>
      <c r="E7055" s="90"/>
      <c r="F7055" s="508" t="e">
        <f t="shared" si="412"/>
        <v>#VALUE!</v>
      </c>
      <c r="G7055" s="519"/>
      <c r="H7055" s="111"/>
      <c r="I7055">
        <f>E7055*G7042</f>
        <v>0</v>
      </c>
      <c r="J7055" s="58"/>
      <c r="K7055" s="50"/>
      <c r="L7055" s="50"/>
      <c r="M7055" s="50"/>
      <c r="N7055" s="50"/>
      <c r="O7055" s="50"/>
    </row>
    <row r="7056" spans="1:15">
      <c r="A7056" s="517" t="s">
        <v>8</v>
      </c>
      <c r="B7056" s="518">
        <f>VLOOKUP(A7056,'Materiales '!$C$2:$G$396,3,0)</f>
        <v>0</v>
      </c>
      <c r="C7056" s="88">
        <f>VLOOKUP(A7056,'Materiales '!$C$2:$G$396,3,0)</f>
        <v>0</v>
      </c>
      <c r="D7056" s="89" t="str">
        <f>VLOOKUP(A7056,'Materiales '!$C$2:$G$396,4,0)</f>
        <v>-</v>
      </c>
      <c r="E7056" s="90"/>
      <c r="F7056" s="508" t="e">
        <f t="shared" si="412"/>
        <v>#VALUE!</v>
      </c>
      <c r="G7056" s="519"/>
      <c r="H7056" s="111"/>
      <c r="I7056">
        <f>E7056*G7042</f>
        <v>0</v>
      </c>
      <c r="J7056" s="58"/>
      <c r="K7056" s="50"/>
      <c r="L7056" s="50"/>
      <c r="M7056" s="50"/>
      <c r="N7056" s="50"/>
      <c r="O7056" s="50"/>
    </row>
    <row r="7057" spans="1:15">
      <c r="A7057" s="517" t="s">
        <v>8</v>
      </c>
      <c r="B7057" s="518">
        <f>VLOOKUP(A7057,'Materiales '!$C$2:$G$396,3,0)</f>
        <v>0</v>
      </c>
      <c r="C7057" s="88">
        <f>VLOOKUP(A7057,'Materiales '!$C$2:$G$396,3,0)</f>
        <v>0</v>
      </c>
      <c r="D7057" s="89" t="str">
        <f>VLOOKUP(A7057,'Materiales '!$C$2:$G$396,4,0)</f>
        <v>-</v>
      </c>
      <c r="E7057" s="90"/>
      <c r="F7057" s="508" t="e">
        <f t="shared" si="412"/>
        <v>#VALUE!</v>
      </c>
      <c r="G7057" s="519"/>
      <c r="H7057" s="111"/>
      <c r="I7057">
        <f>E7057*G7042</f>
        <v>0</v>
      </c>
      <c r="J7057" s="58"/>
      <c r="K7057" s="50"/>
      <c r="L7057" s="50"/>
      <c r="M7057" s="50"/>
      <c r="N7057" s="50"/>
      <c r="O7057" s="50"/>
    </row>
    <row r="7058" spans="1:15">
      <c r="A7058" s="517" t="s">
        <v>8</v>
      </c>
      <c r="B7058" s="518">
        <f>VLOOKUP(A7058,'Materiales '!$C$2:$G$396,3,0)</f>
        <v>0</v>
      </c>
      <c r="C7058" s="88">
        <f>VLOOKUP(A7058,'Materiales '!$C$2:$G$396,3,0)</f>
        <v>0</v>
      </c>
      <c r="D7058" s="89" t="str">
        <f>VLOOKUP(A7058,'Materiales '!$C$2:$G$396,4,0)</f>
        <v>-</v>
      </c>
      <c r="E7058" s="90"/>
      <c r="F7058" s="508" t="e">
        <f t="shared" si="412"/>
        <v>#VALUE!</v>
      </c>
      <c r="G7058" s="519"/>
      <c r="H7058" s="111"/>
      <c r="I7058">
        <f>E7058*G7042</f>
        <v>0</v>
      </c>
      <c r="J7058" s="58"/>
      <c r="K7058" s="50"/>
      <c r="L7058" s="50"/>
      <c r="M7058" s="50"/>
      <c r="N7058" s="50"/>
      <c r="O7058" s="50"/>
    </row>
    <row r="7059" spans="1:15" ht="21.75" customHeight="1">
      <c r="A7059" s="517" t="s">
        <v>8</v>
      </c>
      <c r="B7059" s="518">
        <f>VLOOKUP(A7059,'Materiales '!$C$2:$G$396,3,0)</f>
        <v>0</v>
      </c>
      <c r="C7059" s="88">
        <f>VLOOKUP(A7059,'Materiales '!$C$2:$G$396,3,0)</f>
        <v>0</v>
      </c>
      <c r="D7059" s="89" t="str">
        <f>VLOOKUP(A7059,'Materiales '!$C$2:$G$396,4,0)</f>
        <v>-</v>
      </c>
      <c r="E7059" s="90"/>
      <c r="F7059" s="508" t="e">
        <f t="shared" si="412"/>
        <v>#VALUE!</v>
      </c>
      <c r="G7059" s="519"/>
      <c r="H7059" s="111"/>
      <c r="I7059">
        <f>E7059*G7042</f>
        <v>0</v>
      </c>
      <c r="J7059" s="58"/>
      <c r="K7059" s="50"/>
      <c r="L7059" s="50"/>
      <c r="M7059" s="50"/>
      <c r="N7059" s="50"/>
      <c r="O7059" s="50"/>
    </row>
    <row r="7060" spans="1:15">
      <c r="A7060" s="517" t="s">
        <v>8</v>
      </c>
      <c r="B7060" s="518">
        <f>VLOOKUP(A7060,'Materiales '!$C$2:$G$396,3,0)</f>
        <v>0</v>
      </c>
      <c r="C7060" s="88">
        <f>VLOOKUP(A7060,'Materiales '!$C$2:$G$396,3,0)</f>
        <v>0</v>
      </c>
      <c r="D7060" s="89" t="str">
        <f>VLOOKUP(A7060,'Materiales '!$C$2:$G$396,4,0)</f>
        <v>-</v>
      </c>
      <c r="E7060" s="90"/>
      <c r="F7060" s="508" t="e">
        <f>E7060*D7060</f>
        <v>#VALUE!</v>
      </c>
      <c r="G7060" s="519"/>
      <c r="H7060" s="110"/>
      <c r="I7060">
        <f>E7060*G7042</f>
        <v>0</v>
      </c>
      <c r="J7060" s="58"/>
      <c r="K7060" s="50"/>
      <c r="L7060" s="50"/>
      <c r="M7060" s="50"/>
      <c r="N7060" s="50"/>
      <c r="O7060" s="50"/>
    </row>
    <row r="7061" spans="1:15">
      <c r="A7061" s="517" t="s">
        <v>8</v>
      </c>
      <c r="B7061" s="518">
        <f>VLOOKUP(A7061,'Materiales '!$C$2:$G$396,3,0)</f>
        <v>0</v>
      </c>
      <c r="C7061" s="88">
        <f>VLOOKUP(A7061,'Materiales '!$C$2:$G$396,3,0)</f>
        <v>0</v>
      </c>
      <c r="D7061" s="89" t="str">
        <f>VLOOKUP(A7061,'Materiales '!$C$2:$G$396,4,0)</f>
        <v>-</v>
      </c>
      <c r="E7061" s="90"/>
      <c r="F7061" s="508" t="e">
        <f t="shared" ref="F7061:F7064" si="413">E7061*D7061</f>
        <v>#VALUE!</v>
      </c>
      <c r="G7061" s="519"/>
      <c r="H7061" s="111"/>
      <c r="I7061">
        <f>E7061*G7042</f>
        <v>0</v>
      </c>
      <c r="J7061" s="58"/>
      <c r="K7061" s="50"/>
      <c r="L7061" s="50"/>
      <c r="M7061" s="50"/>
      <c r="N7061" s="50"/>
      <c r="O7061" s="50"/>
    </row>
    <row r="7062" spans="1:15">
      <c r="A7062" s="517" t="s">
        <v>8</v>
      </c>
      <c r="B7062" s="518">
        <f>VLOOKUP(A7062,'Materiales '!$C$2:$G$396,3,0)</f>
        <v>0</v>
      </c>
      <c r="C7062" s="88">
        <f>VLOOKUP(A7062,'Materiales '!$C$2:$G$396,3,0)</f>
        <v>0</v>
      </c>
      <c r="D7062" s="89" t="str">
        <f>VLOOKUP(A7062,'Materiales '!$C$2:$G$396,4,0)</f>
        <v>-</v>
      </c>
      <c r="E7062" s="90"/>
      <c r="F7062" s="508" t="e">
        <f t="shared" si="413"/>
        <v>#VALUE!</v>
      </c>
      <c r="G7062" s="519"/>
      <c r="H7062" s="111"/>
      <c r="I7062">
        <f>E7062*G7042</f>
        <v>0</v>
      </c>
      <c r="J7062" s="58"/>
      <c r="K7062" s="50"/>
      <c r="L7062" s="50"/>
      <c r="M7062" s="50"/>
      <c r="N7062" s="50"/>
      <c r="O7062" s="50"/>
    </row>
    <row r="7063" spans="1:15">
      <c r="A7063" s="517" t="s">
        <v>8</v>
      </c>
      <c r="B7063" s="518">
        <f>VLOOKUP(A7063,'Materiales '!$C$2:$G$396,3,0)</f>
        <v>0</v>
      </c>
      <c r="C7063" s="88">
        <f>VLOOKUP(A7063,'Materiales '!$C$2:$G$396,3,0)</f>
        <v>0</v>
      </c>
      <c r="D7063" s="89" t="str">
        <f>VLOOKUP(A7063,'Materiales '!$C$2:$G$396,4,0)</f>
        <v>-</v>
      </c>
      <c r="E7063" s="90"/>
      <c r="F7063" s="508" t="e">
        <f t="shared" si="413"/>
        <v>#VALUE!</v>
      </c>
      <c r="G7063" s="519"/>
      <c r="H7063" s="111"/>
      <c r="I7063">
        <f>E7063*G7042</f>
        <v>0</v>
      </c>
      <c r="J7063" s="58"/>
      <c r="K7063" s="50"/>
      <c r="L7063" s="50"/>
      <c r="M7063" s="50"/>
      <c r="N7063" s="50"/>
      <c r="O7063" s="50"/>
    </row>
    <row r="7064" spans="1:15">
      <c r="A7064" s="517" t="s">
        <v>8</v>
      </c>
      <c r="B7064" s="518">
        <f>VLOOKUP(A7064,'Materiales '!$C$2:$G$396,3,0)</f>
        <v>0</v>
      </c>
      <c r="C7064" s="88">
        <f>VLOOKUP(A7064,'Materiales '!$C$2:$G$396,3,0)</f>
        <v>0</v>
      </c>
      <c r="D7064" s="89" t="str">
        <f>VLOOKUP(A7064,'Materiales '!$C$2:$G$396,4,0)</f>
        <v>-</v>
      </c>
      <c r="E7064" s="90"/>
      <c r="F7064" s="508" t="e">
        <f t="shared" si="413"/>
        <v>#VALUE!</v>
      </c>
      <c r="G7064" s="519"/>
      <c r="H7064" s="111"/>
      <c r="I7064">
        <f>E7064*G7042</f>
        <v>0</v>
      </c>
      <c r="J7064" s="58"/>
      <c r="K7064" s="50"/>
      <c r="L7064" s="50"/>
      <c r="M7064" s="50"/>
      <c r="N7064" s="50"/>
      <c r="O7064" s="50"/>
    </row>
    <row r="7065" spans="1:15">
      <c r="A7065" s="517" t="s">
        <v>8</v>
      </c>
      <c r="B7065" s="518">
        <f>VLOOKUP(A7065,'Materiales '!$C$2:$G$396,3,0)</f>
        <v>0</v>
      </c>
      <c r="C7065" s="88">
        <f>VLOOKUP(A7065,'Materiales '!$C$2:$G$396,3,0)</f>
        <v>0</v>
      </c>
      <c r="D7065" s="89" t="str">
        <f>VLOOKUP(A7065,'Materiales '!$C$2:$G$396,4,0)</f>
        <v>-</v>
      </c>
      <c r="E7065" s="90"/>
      <c r="F7065" s="508" t="e">
        <f>E7065*D7065</f>
        <v>#VALUE!</v>
      </c>
      <c r="G7065" s="519"/>
      <c r="H7065" s="110"/>
      <c r="I7065">
        <f>E7065*G7042</f>
        <v>0</v>
      </c>
      <c r="J7065" s="58"/>
      <c r="K7065" s="50"/>
      <c r="L7065" s="50"/>
      <c r="M7065" s="50"/>
      <c r="N7065" s="50"/>
      <c r="O7065" s="50"/>
    </row>
    <row r="7066" spans="1:15">
      <c r="A7066" s="520" t="s">
        <v>4098</v>
      </c>
      <c r="B7066" s="521"/>
      <c r="C7066" s="521"/>
      <c r="D7066" s="521"/>
      <c r="E7066" s="521"/>
      <c r="F7066" s="521"/>
      <c r="G7066" s="522"/>
      <c r="H7066" s="106" t="e">
        <f>SUM(F7052:F7065)</f>
        <v>#VALUE!</v>
      </c>
      <c r="J7066" s="58"/>
      <c r="K7066" s="50"/>
      <c r="L7066" s="50"/>
      <c r="M7066" s="50"/>
      <c r="N7066" s="50"/>
      <c r="O7066" s="50"/>
    </row>
    <row r="7067" spans="1:15">
      <c r="A7067" s="523" t="s">
        <v>4220</v>
      </c>
      <c r="B7067" s="524"/>
      <c r="C7067" s="524"/>
      <c r="D7067" s="524"/>
      <c r="E7067" s="525"/>
      <c r="F7067" s="524"/>
      <c r="G7067" s="524"/>
      <c r="H7067" s="526"/>
      <c r="J7067" s="58"/>
      <c r="K7067" s="50"/>
      <c r="L7067" s="50"/>
      <c r="M7067" s="50"/>
      <c r="N7067" s="50"/>
      <c r="O7067" s="50"/>
    </row>
    <row r="7068" spans="1:15">
      <c r="A7068" s="527" t="s">
        <v>7</v>
      </c>
      <c r="B7068" s="528"/>
      <c r="C7068" s="98" t="s">
        <v>4221</v>
      </c>
      <c r="D7068" s="97" t="s">
        <v>4222</v>
      </c>
      <c r="E7068" s="187" t="s">
        <v>4223</v>
      </c>
      <c r="F7068" s="529" t="s">
        <v>4207</v>
      </c>
      <c r="G7068" s="529"/>
      <c r="H7068" s="109"/>
      <c r="K7068" s="50"/>
      <c r="L7068" s="50"/>
      <c r="M7068" s="50"/>
      <c r="N7068" s="50"/>
      <c r="O7068" s="50"/>
    </row>
    <row r="7069" spans="1:15">
      <c r="A7069" s="506" t="s">
        <v>3928</v>
      </c>
      <c r="B7069" s="507"/>
      <c r="C7069" s="213">
        <v>1</v>
      </c>
      <c r="D7069" s="92">
        <v>5.0000000000000001E-3</v>
      </c>
      <c r="E7069" s="93" t="str">
        <f>VLOOKUP(A7069,'Equip, Herr y Transp'!$B$2:$E$217,3,0)</f>
        <v>TR</v>
      </c>
      <c r="F7069" s="530" t="e">
        <f>E7069*D7069*C7069</f>
        <v>#VALUE!</v>
      </c>
      <c r="G7069" s="531"/>
      <c r="H7069" s="107"/>
      <c r="M7069" s="50"/>
    </row>
    <row r="7070" spans="1:15">
      <c r="A7070" s="532" t="s">
        <v>4205</v>
      </c>
      <c r="B7070" s="533"/>
      <c r="C7070" s="533"/>
      <c r="D7070" s="533"/>
      <c r="E7070" s="533"/>
      <c r="F7070" s="533"/>
      <c r="G7070" s="533"/>
      <c r="H7070" s="95" t="e">
        <f>F7069</f>
        <v>#VALUE!</v>
      </c>
    </row>
    <row r="7071" spans="1:15">
      <c r="A7071" s="523" t="s">
        <v>4224</v>
      </c>
      <c r="B7071" s="524"/>
      <c r="C7071" s="524"/>
      <c r="D7071" s="524"/>
      <c r="E7071" s="524"/>
      <c r="F7071" s="524"/>
      <c r="G7071" s="524"/>
      <c r="H7071" s="526"/>
    </row>
    <row r="7072" spans="1:15">
      <c r="A7072" s="527" t="s">
        <v>7</v>
      </c>
      <c r="B7072" s="528"/>
      <c r="C7072" s="96" t="s">
        <v>1</v>
      </c>
      <c r="D7072" s="97" t="s">
        <v>4225</v>
      </c>
      <c r="E7072" s="98" t="s">
        <v>4204</v>
      </c>
      <c r="F7072" s="527" t="s">
        <v>5</v>
      </c>
      <c r="G7072" s="534"/>
      <c r="H7072" s="109"/>
    </row>
    <row r="7073" spans="1:10">
      <c r="A7073" s="506" t="s">
        <v>4191</v>
      </c>
      <c r="B7073" s="507"/>
      <c r="C7073" s="91">
        <v>1</v>
      </c>
      <c r="D7073" s="94">
        <f>VLOOKUP(A7073,'Mano Obra'!$B$2:$T$117,19,0)</f>
        <v>152456</v>
      </c>
      <c r="E7073" s="218">
        <f>H7035</f>
        <v>8.3000000000000001E-3</v>
      </c>
      <c r="F7073" s="508">
        <f>E7073*D7073*C7073</f>
        <v>1265.3848</v>
      </c>
      <c r="G7073" s="509"/>
      <c r="H7073" s="111"/>
      <c r="I7073" s="59"/>
      <c r="J7073" s="117">
        <f>((('Mano Obra'!$M$4/30)*F7073)/D7073)*G7042</f>
        <v>0</v>
      </c>
    </row>
    <row r="7074" spans="1:10">
      <c r="A7074" s="510" t="s">
        <v>4192</v>
      </c>
      <c r="B7074" s="511">
        <f>VLOOKUP(A7074,'Mano Obra'!$B$3:$D$290,2,0)</f>
        <v>1900000</v>
      </c>
      <c r="C7074" s="91">
        <v>1</v>
      </c>
      <c r="D7074" s="94">
        <f>VLOOKUP(A7074,'Mano Obra'!$B$2:$T$117,19,0)</f>
        <v>110488</v>
      </c>
      <c r="E7074" s="218">
        <f>H7035</f>
        <v>8.3000000000000001E-3</v>
      </c>
      <c r="F7074" s="508">
        <f t="shared" ref="F7074:F7075" si="414">E7074*D7074*C7074</f>
        <v>917.05039999999997</v>
      </c>
      <c r="G7074" s="509"/>
      <c r="H7074" s="111"/>
      <c r="J7074" s="117">
        <f>((('Mano Obra'!$M$5/30)*F7074)/D7074)*G7042</f>
        <v>0</v>
      </c>
    </row>
    <row r="7075" spans="1:10">
      <c r="A7075" s="510" t="s">
        <v>4181</v>
      </c>
      <c r="B7075" s="511">
        <f>VLOOKUP(A7075,'Mano Obra'!$B$3:$D$290,2,0)</f>
        <v>1000000</v>
      </c>
      <c r="C7075" s="91">
        <v>1</v>
      </c>
      <c r="D7075" s="94">
        <f>VLOOKUP(A7075,'Mano Obra'!$B$2:$T$117,19,0)</f>
        <v>67424</v>
      </c>
      <c r="E7075" s="218">
        <f>H7035</f>
        <v>8.3000000000000001E-3</v>
      </c>
      <c r="F7075" s="508">
        <f t="shared" si="414"/>
        <v>559.61919999999998</v>
      </c>
      <c r="G7075" s="509"/>
      <c r="H7075" s="110"/>
      <c r="J7075" s="117">
        <f>((('Mano Obra'!$M$6/30)*F7075)/D7075)*G7042</f>
        <v>0</v>
      </c>
    </row>
    <row r="7076" spans="1:10">
      <c r="A7076" s="512" t="s">
        <v>4100</v>
      </c>
      <c r="B7076" s="512"/>
      <c r="C7076" s="512"/>
      <c r="D7076" s="512"/>
      <c r="E7076" s="512"/>
      <c r="F7076" s="512"/>
      <c r="G7076" s="512"/>
      <c r="H7076" s="95">
        <f>SUM(F7073:F7075)</f>
        <v>2742.0544</v>
      </c>
      <c r="J7076" s="117"/>
    </row>
    <row r="7077" spans="1:10">
      <c r="A7077" s="208" t="s">
        <v>4226</v>
      </c>
      <c r="B7077" s="186"/>
      <c r="C7077" s="186"/>
      <c r="D7077" s="183"/>
      <c r="E7077" s="184"/>
      <c r="F7077" s="185"/>
      <c r="G7077" s="184"/>
      <c r="H7077" s="193"/>
    </row>
    <row r="7078" spans="1:10">
      <c r="A7078" s="513" t="s">
        <v>4213</v>
      </c>
      <c r="B7078" s="514"/>
      <c r="C7078" s="514"/>
      <c r="D7078" s="514"/>
      <c r="E7078" s="181"/>
      <c r="F7078" s="182" t="s">
        <v>4227</v>
      </c>
      <c r="G7078" s="181" t="s">
        <v>4228</v>
      </c>
      <c r="H7078" s="194"/>
    </row>
    <row r="7079" spans="1:10">
      <c r="A7079" s="204" t="s">
        <v>4096</v>
      </c>
      <c r="B7079" s="62"/>
      <c r="C7079" s="62"/>
      <c r="D7079" s="63"/>
      <c r="E7079" s="68"/>
      <c r="F7079" s="69">
        <v>0</v>
      </c>
      <c r="G7079" s="70" t="e">
        <f>F7079*H7043</f>
        <v>#VALUE!</v>
      </c>
      <c r="H7079" s="193"/>
    </row>
    <row r="7080" spans="1:10">
      <c r="A7080" s="205" t="s">
        <v>4229</v>
      </c>
      <c r="B7080" s="71"/>
      <c r="C7080" s="71"/>
      <c r="D7080" s="72"/>
      <c r="E7080" s="68"/>
      <c r="F7080" s="69">
        <v>0</v>
      </c>
      <c r="G7080" s="70" t="e">
        <f>F7080*H7043</f>
        <v>#VALUE!</v>
      </c>
      <c r="H7080" s="193"/>
    </row>
    <row r="7081" spans="1:10">
      <c r="A7081" s="205" t="s">
        <v>4</v>
      </c>
      <c r="B7081" s="71"/>
      <c r="C7081" s="71"/>
      <c r="D7081" s="72"/>
      <c r="E7081" s="68"/>
      <c r="F7081" s="69">
        <v>0</v>
      </c>
      <c r="G7081" s="70" t="e">
        <f>F7081*H7043</f>
        <v>#VALUE!</v>
      </c>
      <c r="H7081" s="193"/>
    </row>
    <row r="7082" spans="1:10">
      <c r="A7082" s="206"/>
      <c r="B7082" s="73"/>
      <c r="C7082" s="65"/>
      <c r="D7082" s="74"/>
      <c r="E7082" s="75"/>
      <c r="F7082" s="76"/>
      <c r="G7082" s="77"/>
      <c r="H7082" s="195"/>
    </row>
    <row r="7083" spans="1:10">
      <c r="A7083" s="207"/>
      <c r="B7083" s="73"/>
      <c r="C7083" s="73"/>
      <c r="D7083" s="74"/>
      <c r="E7083" s="78"/>
      <c r="F7083" s="515" t="s">
        <v>4230</v>
      </c>
      <c r="G7083" s="516"/>
      <c r="H7083" s="214" t="e">
        <f>H7043+G7079+G7080+G7081</f>
        <v>#VALUE!</v>
      </c>
    </row>
    <row r="7085" spans="1:10">
      <c r="A7085" s="80"/>
      <c r="B7085" s="80"/>
      <c r="C7085" s="80"/>
      <c r="D7085" s="80"/>
      <c r="E7085" s="80"/>
      <c r="F7085" s="80"/>
      <c r="G7085" s="80"/>
      <c r="H7085" s="353"/>
    </row>
    <row r="7086" spans="1:10">
      <c r="A7086" s="537" t="s">
        <v>4214</v>
      </c>
      <c r="B7086" s="538"/>
      <c r="C7086" s="538"/>
      <c r="D7086" s="538"/>
      <c r="E7086" s="538"/>
      <c r="F7086" s="538"/>
      <c r="G7086" s="538"/>
      <c r="H7086" s="539"/>
    </row>
    <row r="7087" spans="1:10">
      <c r="A7087" s="81"/>
      <c r="B7087" s="82"/>
      <c r="C7087" s="82"/>
      <c r="D7087" s="82"/>
      <c r="E7087" s="82"/>
      <c r="F7087" s="83"/>
      <c r="G7087" s="84"/>
      <c r="H7087" s="352">
        <f>ROUND((5/60)/8,4)</f>
        <v>1.04E-2</v>
      </c>
      <c r="I7087" s="105"/>
    </row>
    <row r="7088" spans="1:10">
      <c r="A7088" s="540" t="s">
        <v>4209</v>
      </c>
      <c r="B7088" s="542" t="str">
        <f>COSTOS!$C$14</f>
        <v>MODERNIZACION A TECNOLOGIA LED</v>
      </c>
      <c r="C7088" s="542"/>
      <c r="D7088" s="542"/>
      <c r="E7088" s="542"/>
      <c r="F7088" s="542"/>
      <c r="G7088" s="542"/>
      <c r="H7088" s="543" t="s">
        <v>4210</v>
      </c>
    </row>
    <row r="7089" spans="1:15">
      <c r="A7089" s="541"/>
      <c r="B7089" s="542"/>
      <c r="C7089" s="542"/>
      <c r="D7089" s="542"/>
      <c r="E7089" s="542"/>
      <c r="F7089" s="542"/>
      <c r="G7089" s="542"/>
      <c r="H7089" s="543"/>
    </row>
    <row r="7090" spans="1:15">
      <c r="A7090" s="541"/>
      <c r="B7090" s="542"/>
      <c r="C7090" s="542"/>
      <c r="D7090" s="542"/>
      <c r="E7090" s="542"/>
      <c r="F7090" s="542"/>
      <c r="G7090" s="542"/>
      <c r="H7090" s="543"/>
    </row>
    <row r="7091" spans="1:15" ht="15" customHeight="1">
      <c r="A7091" s="541"/>
      <c r="B7091" s="542"/>
      <c r="C7091" s="542"/>
      <c r="D7091" s="542"/>
      <c r="E7091" s="542"/>
      <c r="F7091" s="542"/>
      <c r="G7091" s="542"/>
      <c r="H7091" s="197">
        <f ca="1">TODAY()</f>
        <v>44889</v>
      </c>
      <c r="K7091" t="s">
        <v>4380</v>
      </c>
      <c r="L7091" t="s">
        <v>4381</v>
      </c>
      <c r="M7091" t="s">
        <v>4382</v>
      </c>
      <c r="N7091" t="s">
        <v>4383</v>
      </c>
    </row>
    <row r="7092" spans="1:15" ht="60.75" customHeight="1">
      <c r="A7092" s="209" t="s">
        <v>4211</v>
      </c>
      <c r="B7092" s="544" t="str">
        <f>COSTOS!$D$16</f>
        <v>Luminarias</v>
      </c>
      <c r="C7092" s="544"/>
      <c r="D7092" s="544"/>
      <c r="E7092" s="544"/>
      <c r="F7092" s="544"/>
      <c r="G7092" s="60" t="s">
        <v>4212</v>
      </c>
      <c r="H7092" s="363" t="s">
        <v>4797</v>
      </c>
      <c r="K7092" s="55" t="e">
        <f>H7118</f>
        <v>#VALUE!</v>
      </c>
      <c r="L7092" s="55">
        <f>H7128</f>
        <v>3435.8271999999997</v>
      </c>
      <c r="M7092" s="55" t="e">
        <f>H7101</f>
        <v>#VALUE!</v>
      </c>
      <c r="N7092" s="55" t="e">
        <f>H7122</f>
        <v>#VALUE!</v>
      </c>
    </row>
    <row r="7093" spans="1:15" ht="43.2" customHeight="1">
      <c r="A7093" s="210" t="s">
        <v>4213</v>
      </c>
      <c r="B7093" s="545" t="str">
        <f>VLOOKUP(H7092,COSTOS!C:M,2,0)</f>
        <v>Red Aerea en cable cobre 12 x500m</v>
      </c>
      <c r="C7093" s="546"/>
      <c r="D7093" s="546"/>
      <c r="E7093" s="547"/>
      <c r="F7093" s="61" t="s">
        <v>0</v>
      </c>
      <c r="G7093" s="328" t="str">
        <f>VLOOKUP(H7092,COSTOS!C:M,8,0)</f>
        <v>Und</v>
      </c>
      <c r="H7093" s="248"/>
      <c r="I7093" s="278"/>
      <c r="J7093" s="280"/>
      <c r="K7093" s="280"/>
      <c r="L7093" s="280"/>
    </row>
    <row r="7094" spans="1:15">
      <c r="A7094" s="211"/>
      <c r="B7094" s="102"/>
      <c r="C7094" s="102"/>
      <c r="D7094" s="102"/>
      <c r="E7094" s="103"/>
      <c r="F7094" s="104" t="s">
        <v>1</v>
      </c>
      <c r="G7094" s="328">
        <f>VLOOKUP(H7092,COSTOS!C:M,9,0)</f>
        <v>0</v>
      </c>
      <c r="H7094" s="329"/>
      <c r="I7094" s="279"/>
    </row>
    <row r="7095" spans="1:15">
      <c r="A7095" s="212" t="s">
        <v>4215</v>
      </c>
      <c r="B7095" s="65"/>
      <c r="C7095" s="65"/>
      <c r="D7095" s="66"/>
      <c r="E7095" s="190"/>
      <c r="F7095" s="191"/>
      <c r="G7095" s="192" t="s">
        <v>4216</v>
      </c>
      <c r="H7095" s="198" t="e">
        <f>H7101+H7118+H7122+H7128</f>
        <v>#VALUE!</v>
      </c>
    </row>
    <row r="7096" spans="1:15" ht="41.4">
      <c r="A7096" s="548" t="s">
        <v>4213</v>
      </c>
      <c r="B7096" s="548"/>
      <c r="C7096" s="548"/>
      <c r="D7096" s="67" t="s">
        <v>0</v>
      </c>
      <c r="E7096" s="188" t="s">
        <v>4217</v>
      </c>
      <c r="F7096" s="189" t="s">
        <v>4204</v>
      </c>
      <c r="G7096" s="64" t="s">
        <v>2</v>
      </c>
      <c r="H7096" s="199" t="s">
        <v>4218</v>
      </c>
      <c r="K7096" s="281"/>
    </row>
    <row r="7097" spans="1:15">
      <c r="A7097" s="517" t="s">
        <v>3946</v>
      </c>
      <c r="B7097" s="549">
        <f>VLOOKUP(A7097,'Equip, Herr y Transp'!$B$2:$E$738,2,0)</f>
        <v>2</v>
      </c>
      <c r="C7097" s="549"/>
      <c r="D7097" s="85">
        <f>VLOOKUP(A7097,'Equip, Herr y Transp'!$B$2:$E$217,2,0)</f>
        <v>2</v>
      </c>
      <c r="E7097" s="85" t="str">
        <f>VLOOKUP(A7097,'Equip, Herr y Transp'!$B$2:$E$217,3,0)</f>
        <v>EQU</v>
      </c>
      <c r="F7097" s="86">
        <f>H7087</f>
        <v>1.04E-2</v>
      </c>
      <c r="G7097" s="112" t="e">
        <f>F7097*E7097</f>
        <v>#VALUE!</v>
      </c>
      <c r="H7097" s="108"/>
    </row>
    <row r="7098" spans="1:15">
      <c r="A7098" s="517" t="s">
        <v>3904</v>
      </c>
      <c r="B7098" s="549">
        <f>VLOOKUP(A7098,'Equip, Herr y Transp'!$B$2:$E$738,2,0)</f>
        <v>2</v>
      </c>
      <c r="C7098" s="549"/>
      <c r="D7098" s="85">
        <f>VLOOKUP(A7098,'Equip, Herr y Transp'!$B$2:$E$217,2,0)</f>
        <v>2</v>
      </c>
      <c r="E7098" s="85" t="str">
        <f>VLOOKUP(A7098,'Equip, Herr y Transp'!$B$2:$E$217,3,0)</f>
        <v>EQU</v>
      </c>
      <c r="F7098" s="86">
        <f>H7087</f>
        <v>1.04E-2</v>
      </c>
      <c r="G7098" s="112" t="e">
        <f>F7098*E7098</f>
        <v>#VALUE!</v>
      </c>
      <c r="H7098" s="107"/>
    </row>
    <row r="7099" spans="1:15">
      <c r="A7099" s="517" t="s">
        <v>8</v>
      </c>
      <c r="B7099" s="549" t="e">
        <f>VLOOKUP(A7099,'Equip, Herr y Transp'!$B$2:$E$738,2,0)</f>
        <v>#N/A</v>
      </c>
      <c r="C7099" s="549"/>
      <c r="D7099" s="85" t="e">
        <f>VLOOKUP(A7099,'Equip, Herr y Transp'!$B$2:$E$217,2,0)</f>
        <v>#N/A</v>
      </c>
      <c r="E7099" s="85" t="e">
        <f>VLOOKUP(A7099,'Equip, Herr y Transp'!$B$2:$E$217,3,0)</f>
        <v>#N/A</v>
      </c>
      <c r="F7099" s="86">
        <f>H7087</f>
        <v>1.04E-2</v>
      </c>
      <c r="G7099" s="112" t="e">
        <f>F7099*E7099</f>
        <v>#N/A</v>
      </c>
      <c r="H7099" s="107"/>
    </row>
    <row r="7100" spans="1:15">
      <c r="A7100" s="517" t="s">
        <v>8</v>
      </c>
      <c r="B7100" s="549" t="e">
        <f>VLOOKUP(A7100,'Equip, Herr y Transp'!$B$2:$E$738,2,0)</f>
        <v>#N/A</v>
      </c>
      <c r="C7100" s="549"/>
      <c r="D7100" s="85" t="e">
        <f>VLOOKUP(A7100,'Equip, Herr y Transp'!$B$2:$E$217,2,0)</f>
        <v>#N/A</v>
      </c>
      <c r="E7100" s="85" t="e">
        <f>VLOOKUP(A7100,'Equip, Herr y Transp'!$B$2:$E$217,3,0)</f>
        <v>#N/A</v>
      </c>
      <c r="F7100" s="86">
        <f>H7087</f>
        <v>1.04E-2</v>
      </c>
      <c r="G7100" s="112" t="e">
        <f>F7100*E7100</f>
        <v>#N/A</v>
      </c>
      <c r="H7100" s="107"/>
    </row>
    <row r="7101" spans="1:15">
      <c r="A7101" s="520" t="s">
        <v>4099</v>
      </c>
      <c r="B7101" s="521"/>
      <c r="C7101" s="521"/>
      <c r="D7101" s="521"/>
      <c r="E7101" s="521"/>
      <c r="F7101" s="521"/>
      <c r="G7101" s="521"/>
      <c r="H7101" s="87" t="e">
        <f>SUM(G7097:G7100)</f>
        <v>#VALUE!</v>
      </c>
    </row>
    <row r="7102" spans="1:15">
      <c r="A7102" s="550" t="s">
        <v>4219</v>
      </c>
      <c r="B7102" s="551"/>
      <c r="C7102" s="551"/>
      <c r="D7102" s="551"/>
      <c r="E7102" s="551"/>
      <c r="F7102" s="551"/>
      <c r="G7102" s="551"/>
      <c r="H7102" s="552"/>
      <c r="K7102" s="50"/>
      <c r="L7102" s="50"/>
      <c r="M7102" s="50"/>
      <c r="N7102" s="50"/>
      <c r="O7102" s="50"/>
    </row>
    <row r="7103" spans="1:15" ht="30" customHeight="1">
      <c r="A7103" s="553" t="s">
        <v>7</v>
      </c>
      <c r="B7103" s="554"/>
      <c r="C7103" s="99" t="s">
        <v>0</v>
      </c>
      <c r="D7103" s="100" t="s">
        <v>4097</v>
      </c>
      <c r="E7103" s="101" t="s">
        <v>1</v>
      </c>
      <c r="F7103" s="555" t="s">
        <v>4207</v>
      </c>
      <c r="G7103" s="555"/>
      <c r="H7103" s="196"/>
      <c r="K7103" s="50"/>
      <c r="L7103" s="50"/>
      <c r="M7103" s="50"/>
      <c r="N7103" s="50"/>
      <c r="O7103" s="50"/>
    </row>
    <row r="7104" spans="1:15">
      <c r="A7104" s="535" t="s">
        <v>4638</v>
      </c>
      <c r="B7104" s="536"/>
      <c r="C7104" s="88">
        <f>VLOOKUP(A7104,'Materiales '!$C$2:$G$396,3,0)</f>
        <v>2</v>
      </c>
      <c r="D7104" s="89" t="str">
        <f>VLOOKUP(A7104,'Materiales '!$C$2:$G$396,4,0)</f>
        <v>Ml</v>
      </c>
      <c r="E7104" s="90">
        <v>1</v>
      </c>
      <c r="F7104" s="508" t="e">
        <f>E7104*D7104</f>
        <v>#VALUE!</v>
      </c>
      <c r="G7104" s="519"/>
      <c r="H7104" s="111"/>
      <c r="I7104">
        <f>E7104*G7094</f>
        <v>0</v>
      </c>
      <c r="J7104" s="57"/>
      <c r="K7104" s="50"/>
      <c r="L7104" s="50"/>
      <c r="M7104" s="50"/>
      <c r="N7104" s="50"/>
      <c r="O7104" s="50"/>
    </row>
    <row r="7105" spans="1:15">
      <c r="A7105" s="535" t="s">
        <v>8</v>
      </c>
      <c r="B7105" s="536"/>
      <c r="C7105" s="88">
        <f>VLOOKUP(A7105,'Materiales '!$C$2:$G$396,3,0)</f>
        <v>0</v>
      </c>
      <c r="D7105" s="89" t="str">
        <f>VLOOKUP(A7105,'Materiales '!$C$2:$G$396,4,0)</f>
        <v>-</v>
      </c>
      <c r="E7105" s="90">
        <f>3/25</f>
        <v>0.12</v>
      </c>
      <c r="F7105" s="508" t="e">
        <f t="shared" ref="F7105:F7111" si="415">E7105*D7105</f>
        <v>#VALUE!</v>
      </c>
      <c r="G7105" s="519"/>
      <c r="H7105" s="111"/>
      <c r="I7105">
        <f>E7105*G7094</f>
        <v>0</v>
      </c>
      <c r="J7105" s="57"/>
      <c r="K7105" s="50"/>
      <c r="L7105" s="50"/>
      <c r="M7105" s="50"/>
      <c r="N7105" s="50"/>
      <c r="O7105" s="50"/>
    </row>
    <row r="7106" spans="1:15">
      <c r="A7106" s="517" t="s">
        <v>8</v>
      </c>
      <c r="B7106" s="518">
        <f>VLOOKUP(A7106,'Materiales '!$C$2:$G$396,3,0)</f>
        <v>0</v>
      </c>
      <c r="C7106" s="88">
        <f>VLOOKUP(A7106,'Materiales '!$C$2:$G$396,3,0)</f>
        <v>0</v>
      </c>
      <c r="D7106" s="89" t="str">
        <f>VLOOKUP(A7106,'Materiales '!$C$2:$G$396,4,0)</f>
        <v>-</v>
      </c>
      <c r="E7106" s="90">
        <f>3/25</f>
        <v>0.12</v>
      </c>
      <c r="F7106" s="508" t="e">
        <f t="shared" si="415"/>
        <v>#VALUE!</v>
      </c>
      <c r="G7106" s="519"/>
      <c r="H7106" s="111"/>
      <c r="I7106">
        <f>E7106*G7094</f>
        <v>0</v>
      </c>
      <c r="J7106" s="58"/>
      <c r="K7106" s="50"/>
      <c r="L7106" s="50"/>
      <c r="M7106" s="50"/>
      <c r="N7106" s="50"/>
      <c r="O7106" s="50"/>
    </row>
    <row r="7107" spans="1:15">
      <c r="A7107" s="517" t="s">
        <v>8</v>
      </c>
      <c r="B7107" s="518">
        <f>VLOOKUP(A7107,'Materiales '!$C$2:$G$396,3,0)</f>
        <v>0</v>
      </c>
      <c r="C7107" s="88">
        <f>VLOOKUP(A7107,'Materiales '!$C$2:$G$396,3,0)</f>
        <v>0</v>
      </c>
      <c r="D7107" s="89" t="str">
        <f>VLOOKUP(A7107,'Materiales '!$C$2:$G$396,4,0)</f>
        <v>-</v>
      </c>
      <c r="E7107" s="90"/>
      <c r="F7107" s="508" t="e">
        <f t="shared" si="415"/>
        <v>#VALUE!</v>
      </c>
      <c r="G7107" s="519"/>
      <c r="H7107" s="111"/>
      <c r="I7107">
        <f>E7107*G7094</f>
        <v>0</v>
      </c>
      <c r="J7107" s="58"/>
      <c r="K7107" s="50"/>
      <c r="L7107" s="50"/>
      <c r="M7107" s="50"/>
      <c r="N7107" s="50"/>
      <c r="O7107" s="50"/>
    </row>
    <row r="7108" spans="1:15">
      <c r="A7108" s="517" t="s">
        <v>8</v>
      </c>
      <c r="B7108" s="518">
        <f>VLOOKUP(A7108,'Materiales '!$C$2:$G$396,3,0)</f>
        <v>0</v>
      </c>
      <c r="C7108" s="88">
        <f>VLOOKUP(A7108,'Materiales '!$C$2:$G$396,3,0)</f>
        <v>0</v>
      </c>
      <c r="D7108" s="89" t="str">
        <f>VLOOKUP(A7108,'Materiales '!$C$2:$G$396,4,0)</f>
        <v>-</v>
      </c>
      <c r="E7108" s="90"/>
      <c r="F7108" s="508" t="e">
        <f t="shared" si="415"/>
        <v>#VALUE!</v>
      </c>
      <c r="G7108" s="519"/>
      <c r="H7108" s="111"/>
      <c r="I7108">
        <f>E7108*G7094</f>
        <v>0</v>
      </c>
      <c r="J7108" s="58"/>
      <c r="K7108" s="50"/>
      <c r="L7108" s="50"/>
      <c r="M7108" s="50"/>
      <c r="N7108" s="50"/>
      <c r="O7108" s="50"/>
    </row>
    <row r="7109" spans="1:15">
      <c r="A7109" s="517" t="s">
        <v>8</v>
      </c>
      <c r="B7109" s="518">
        <f>VLOOKUP(A7109,'Materiales '!$C$2:$G$396,3,0)</f>
        <v>0</v>
      </c>
      <c r="C7109" s="88">
        <f>VLOOKUP(A7109,'Materiales '!$C$2:$G$396,3,0)</f>
        <v>0</v>
      </c>
      <c r="D7109" s="89" t="str">
        <f>VLOOKUP(A7109,'Materiales '!$C$2:$G$396,4,0)</f>
        <v>-</v>
      </c>
      <c r="E7109" s="90"/>
      <c r="F7109" s="508" t="e">
        <f t="shared" si="415"/>
        <v>#VALUE!</v>
      </c>
      <c r="G7109" s="519"/>
      <c r="H7109" s="111"/>
      <c r="I7109">
        <f>E7109*G7094</f>
        <v>0</v>
      </c>
      <c r="J7109" s="58"/>
      <c r="K7109" s="50"/>
      <c r="L7109" s="50"/>
      <c r="M7109" s="50"/>
      <c r="N7109" s="50"/>
      <c r="O7109" s="50"/>
    </row>
    <row r="7110" spans="1:15">
      <c r="A7110" s="517" t="s">
        <v>8</v>
      </c>
      <c r="B7110" s="518">
        <f>VLOOKUP(A7110,'Materiales '!$C$2:$G$396,3,0)</f>
        <v>0</v>
      </c>
      <c r="C7110" s="88">
        <f>VLOOKUP(A7110,'Materiales '!$C$2:$G$396,3,0)</f>
        <v>0</v>
      </c>
      <c r="D7110" s="89" t="str">
        <f>VLOOKUP(A7110,'Materiales '!$C$2:$G$396,4,0)</f>
        <v>-</v>
      </c>
      <c r="E7110" s="90"/>
      <c r="F7110" s="508" t="e">
        <f t="shared" si="415"/>
        <v>#VALUE!</v>
      </c>
      <c r="G7110" s="519"/>
      <c r="H7110" s="111"/>
      <c r="I7110">
        <f>E7110*G7094</f>
        <v>0</v>
      </c>
      <c r="J7110" s="58"/>
      <c r="K7110" s="50"/>
      <c r="L7110" s="50"/>
      <c r="M7110" s="50"/>
      <c r="N7110" s="50"/>
      <c r="O7110" s="50"/>
    </row>
    <row r="7111" spans="1:15" ht="21.75" customHeight="1">
      <c r="A7111" s="517" t="s">
        <v>8</v>
      </c>
      <c r="B7111" s="518">
        <f>VLOOKUP(A7111,'Materiales '!$C$2:$G$396,3,0)</f>
        <v>0</v>
      </c>
      <c r="C7111" s="88">
        <f>VLOOKUP(A7111,'Materiales '!$C$2:$G$396,3,0)</f>
        <v>0</v>
      </c>
      <c r="D7111" s="89" t="str">
        <f>VLOOKUP(A7111,'Materiales '!$C$2:$G$396,4,0)</f>
        <v>-</v>
      </c>
      <c r="E7111" s="90"/>
      <c r="F7111" s="508" t="e">
        <f t="shared" si="415"/>
        <v>#VALUE!</v>
      </c>
      <c r="G7111" s="519"/>
      <c r="H7111" s="111"/>
      <c r="I7111">
        <f>E7111*G7094</f>
        <v>0</v>
      </c>
      <c r="J7111" s="58"/>
      <c r="K7111" s="50"/>
      <c r="L7111" s="50"/>
      <c r="M7111" s="50"/>
      <c r="N7111" s="50"/>
      <c r="O7111" s="50"/>
    </row>
    <row r="7112" spans="1:15">
      <c r="A7112" s="517" t="s">
        <v>8</v>
      </c>
      <c r="B7112" s="518">
        <f>VLOOKUP(A7112,'Materiales '!$C$2:$G$396,3,0)</f>
        <v>0</v>
      </c>
      <c r="C7112" s="88">
        <f>VLOOKUP(A7112,'Materiales '!$C$2:$G$396,3,0)</f>
        <v>0</v>
      </c>
      <c r="D7112" s="89" t="str">
        <f>VLOOKUP(A7112,'Materiales '!$C$2:$G$396,4,0)</f>
        <v>-</v>
      </c>
      <c r="E7112" s="90"/>
      <c r="F7112" s="508" t="e">
        <f>E7112*D7112</f>
        <v>#VALUE!</v>
      </c>
      <c r="G7112" s="519"/>
      <c r="H7112" s="110"/>
      <c r="I7112">
        <f>E7112*G7094</f>
        <v>0</v>
      </c>
      <c r="J7112" s="58"/>
      <c r="K7112" s="50"/>
      <c r="L7112" s="50"/>
      <c r="M7112" s="50"/>
      <c r="N7112" s="50"/>
      <c r="O7112" s="50"/>
    </row>
    <row r="7113" spans="1:15">
      <c r="A7113" s="517" t="s">
        <v>8</v>
      </c>
      <c r="B7113" s="518">
        <f>VLOOKUP(A7113,'Materiales '!$C$2:$G$396,3,0)</f>
        <v>0</v>
      </c>
      <c r="C7113" s="88">
        <f>VLOOKUP(A7113,'Materiales '!$C$2:$G$396,3,0)</f>
        <v>0</v>
      </c>
      <c r="D7113" s="89" t="str">
        <f>VLOOKUP(A7113,'Materiales '!$C$2:$G$396,4,0)</f>
        <v>-</v>
      </c>
      <c r="E7113" s="90"/>
      <c r="F7113" s="508" t="e">
        <f t="shared" ref="F7113:F7116" si="416">E7113*D7113</f>
        <v>#VALUE!</v>
      </c>
      <c r="G7113" s="519"/>
      <c r="H7113" s="111"/>
      <c r="I7113">
        <f>E7113*G7094</f>
        <v>0</v>
      </c>
      <c r="J7113" s="58"/>
      <c r="K7113" s="50"/>
      <c r="L7113" s="50"/>
      <c r="M7113" s="50"/>
      <c r="N7113" s="50"/>
      <c r="O7113" s="50"/>
    </row>
    <row r="7114" spans="1:15">
      <c r="A7114" s="517" t="s">
        <v>8</v>
      </c>
      <c r="B7114" s="518">
        <f>VLOOKUP(A7114,'Materiales '!$C$2:$G$396,3,0)</f>
        <v>0</v>
      </c>
      <c r="C7114" s="88">
        <f>VLOOKUP(A7114,'Materiales '!$C$2:$G$396,3,0)</f>
        <v>0</v>
      </c>
      <c r="D7114" s="89" t="str">
        <f>VLOOKUP(A7114,'Materiales '!$C$2:$G$396,4,0)</f>
        <v>-</v>
      </c>
      <c r="E7114" s="90"/>
      <c r="F7114" s="508" t="e">
        <f t="shared" si="416"/>
        <v>#VALUE!</v>
      </c>
      <c r="G7114" s="519"/>
      <c r="H7114" s="111"/>
      <c r="I7114">
        <f>E7114*G7094</f>
        <v>0</v>
      </c>
      <c r="J7114" s="58"/>
      <c r="K7114" s="50"/>
      <c r="L7114" s="50"/>
      <c r="M7114" s="50"/>
      <c r="N7114" s="50"/>
      <c r="O7114" s="50"/>
    </row>
    <row r="7115" spans="1:15">
      <c r="A7115" s="517" t="s">
        <v>8</v>
      </c>
      <c r="B7115" s="518">
        <f>VLOOKUP(A7115,'Materiales '!$C$2:$G$396,3,0)</f>
        <v>0</v>
      </c>
      <c r="C7115" s="88">
        <f>VLOOKUP(A7115,'Materiales '!$C$2:$G$396,3,0)</f>
        <v>0</v>
      </c>
      <c r="D7115" s="89" t="str">
        <f>VLOOKUP(A7115,'Materiales '!$C$2:$G$396,4,0)</f>
        <v>-</v>
      </c>
      <c r="E7115" s="90"/>
      <c r="F7115" s="508" t="e">
        <f t="shared" si="416"/>
        <v>#VALUE!</v>
      </c>
      <c r="G7115" s="519"/>
      <c r="H7115" s="111"/>
      <c r="I7115">
        <f>E7115*G7094</f>
        <v>0</v>
      </c>
      <c r="J7115" s="58"/>
      <c r="K7115" s="50"/>
      <c r="L7115" s="50"/>
      <c r="M7115" s="50"/>
      <c r="N7115" s="50"/>
      <c r="O7115" s="50"/>
    </row>
    <row r="7116" spans="1:15">
      <c r="A7116" s="517" t="s">
        <v>8</v>
      </c>
      <c r="B7116" s="518">
        <f>VLOOKUP(A7116,'Materiales '!$C$2:$G$396,3,0)</f>
        <v>0</v>
      </c>
      <c r="C7116" s="88">
        <f>VLOOKUP(A7116,'Materiales '!$C$2:$G$396,3,0)</f>
        <v>0</v>
      </c>
      <c r="D7116" s="89" t="str">
        <f>VLOOKUP(A7116,'Materiales '!$C$2:$G$396,4,0)</f>
        <v>-</v>
      </c>
      <c r="E7116" s="90"/>
      <c r="F7116" s="508" t="e">
        <f t="shared" si="416"/>
        <v>#VALUE!</v>
      </c>
      <c r="G7116" s="519"/>
      <c r="H7116" s="111"/>
      <c r="I7116">
        <f>E7116*G7094</f>
        <v>0</v>
      </c>
      <c r="J7116" s="58"/>
      <c r="K7116" s="50"/>
      <c r="L7116" s="50"/>
      <c r="M7116" s="50"/>
      <c r="N7116" s="50"/>
      <c r="O7116" s="50"/>
    </row>
    <row r="7117" spans="1:15">
      <c r="A7117" s="517" t="s">
        <v>8</v>
      </c>
      <c r="B7117" s="518">
        <f>VLOOKUP(A7117,'Materiales '!$C$2:$G$396,3,0)</f>
        <v>0</v>
      </c>
      <c r="C7117" s="88">
        <f>VLOOKUP(A7117,'Materiales '!$C$2:$G$396,3,0)</f>
        <v>0</v>
      </c>
      <c r="D7117" s="89" t="str">
        <f>VLOOKUP(A7117,'Materiales '!$C$2:$G$396,4,0)</f>
        <v>-</v>
      </c>
      <c r="E7117" s="90"/>
      <c r="F7117" s="508" t="e">
        <f>E7117*D7117</f>
        <v>#VALUE!</v>
      </c>
      <c r="G7117" s="519"/>
      <c r="H7117" s="110"/>
      <c r="I7117">
        <f>E7117*G7094</f>
        <v>0</v>
      </c>
      <c r="J7117" s="58"/>
      <c r="K7117" s="50"/>
      <c r="L7117" s="50"/>
      <c r="M7117" s="50"/>
      <c r="N7117" s="50"/>
      <c r="O7117" s="50"/>
    </row>
    <row r="7118" spans="1:15">
      <c r="A7118" s="520" t="s">
        <v>4098</v>
      </c>
      <c r="B7118" s="521"/>
      <c r="C7118" s="521"/>
      <c r="D7118" s="521"/>
      <c r="E7118" s="521"/>
      <c r="F7118" s="521"/>
      <c r="G7118" s="522"/>
      <c r="H7118" s="106" t="e">
        <f>SUM(F7104:F7117)</f>
        <v>#VALUE!</v>
      </c>
      <c r="J7118" s="58"/>
      <c r="K7118" s="50"/>
      <c r="L7118" s="50"/>
      <c r="M7118" s="50"/>
      <c r="N7118" s="50"/>
      <c r="O7118" s="50"/>
    </row>
    <row r="7119" spans="1:15">
      <c r="A7119" s="523" t="s">
        <v>4220</v>
      </c>
      <c r="B7119" s="524"/>
      <c r="C7119" s="524"/>
      <c r="D7119" s="524"/>
      <c r="E7119" s="525"/>
      <c r="F7119" s="524"/>
      <c r="G7119" s="524"/>
      <c r="H7119" s="526"/>
      <c r="J7119" s="58"/>
      <c r="K7119" s="50"/>
      <c r="L7119" s="50"/>
      <c r="M7119" s="50"/>
      <c r="N7119" s="50"/>
      <c r="O7119" s="50"/>
    </row>
    <row r="7120" spans="1:15">
      <c r="A7120" s="527" t="s">
        <v>7</v>
      </c>
      <c r="B7120" s="528"/>
      <c r="C7120" s="98" t="s">
        <v>4221</v>
      </c>
      <c r="D7120" s="97" t="s">
        <v>4222</v>
      </c>
      <c r="E7120" s="187" t="s">
        <v>4223</v>
      </c>
      <c r="F7120" s="529" t="s">
        <v>4207</v>
      </c>
      <c r="G7120" s="529"/>
      <c r="H7120" s="109"/>
      <c r="K7120" s="50"/>
      <c r="L7120" s="50"/>
      <c r="M7120" s="50"/>
      <c r="N7120" s="50"/>
      <c r="O7120" s="50"/>
    </row>
    <row r="7121" spans="1:13">
      <c r="A7121" s="506" t="s">
        <v>3928</v>
      </c>
      <c r="B7121" s="507"/>
      <c r="C7121" s="213">
        <v>1</v>
      </c>
      <c r="D7121" s="92">
        <v>5.0000000000000001E-3</v>
      </c>
      <c r="E7121" s="93" t="str">
        <f>VLOOKUP(A7121,'Equip, Herr y Transp'!$B$2:$E$217,3,0)</f>
        <v>TR</v>
      </c>
      <c r="F7121" s="530" t="e">
        <f>E7121*D7121*C7121</f>
        <v>#VALUE!</v>
      </c>
      <c r="G7121" s="531"/>
      <c r="H7121" s="107"/>
      <c r="M7121" s="50"/>
    </row>
    <row r="7122" spans="1:13">
      <c r="A7122" s="532" t="s">
        <v>4205</v>
      </c>
      <c r="B7122" s="533"/>
      <c r="C7122" s="533"/>
      <c r="D7122" s="533"/>
      <c r="E7122" s="533"/>
      <c r="F7122" s="533"/>
      <c r="G7122" s="533"/>
      <c r="H7122" s="95" t="e">
        <f>F7121</f>
        <v>#VALUE!</v>
      </c>
    </row>
    <row r="7123" spans="1:13">
      <c r="A7123" s="523" t="s">
        <v>4224</v>
      </c>
      <c r="B7123" s="524"/>
      <c r="C7123" s="524"/>
      <c r="D7123" s="524"/>
      <c r="E7123" s="524"/>
      <c r="F7123" s="524"/>
      <c r="G7123" s="524"/>
      <c r="H7123" s="526"/>
    </row>
    <row r="7124" spans="1:13">
      <c r="A7124" s="527" t="s">
        <v>7</v>
      </c>
      <c r="B7124" s="528"/>
      <c r="C7124" s="96" t="s">
        <v>1</v>
      </c>
      <c r="D7124" s="97" t="s">
        <v>4225</v>
      </c>
      <c r="E7124" s="98" t="s">
        <v>4204</v>
      </c>
      <c r="F7124" s="527" t="s">
        <v>5</v>
      </c>
      <c r="G7124" s="534"/>
      <c r="H7124" s="109"/>
    </row>
    <row r="7125" spans="1:13">
      <c r="A7125" s="506" t="s">
        <v>4191</v>
      </c>
      <c r="B7125" s="507"/>
      <c r="C7125" s="91">
        <v>1</v>
      </c>
      <c r="D7125" s="94">
        <f>VLOOKUP(A7125,'Mano Obra'!$B$2:$T$117,19,0)</f>
        <v>152456</v>
      </c>
      <c r="E7125" s="218">
        <f>H7087</f>
        <v>1.04E-2</v>
      </c>
      <c r="F7125" s="508">
        <f>E7125*D7125*C7125</f>
        <v>1585.5423999999998</v>
      </c>
      <c r="G7125" s="509"/>
      <c r="H7125" s="111"/>
      <c r="I7125" s="59"/>
      <c r="J7125" s="117">
        <f>((('Mano Obra'!$M$4/30)*F7125)/D7125)*G7094</f>
        <v>0</v>
      </c>
    </row>
    <row r="7126" spans="1:13">
      <c r="A7126" s="510" t="s">
        <v>4192</v>
      </c>
      <c r="B7126" s="511">
        <f>VLOOKUP(A7126,'Mano Obra'!$B$3:$D$290,2,0)</f>
        <v>1900000</v>
      </c>
      <c r="C7126" s="91">
        <v>1</v>
      </c>
      <c r="D7126" s="94">
        <f>VLOOKUP(A7126,'Mano Obra'!$B$2:$T$117,19,0)</f>
        <v>110488</v>
      </c>
      <c r="E7126" s="218">
        <f>H7087</f>
        <v>1.04E-2</v>
      </c>
      <c r="F7126" s="508">
        <f t="shared" ref="F7126:F7127" si="417">E7126*D7126*C7126</f>
        <v>1149.0752</v>
      </c>
      <c r="G7126" s="509"/>
      <c r="H7126" s="111"/>
      <c r="J7126" s="117">
        <f>((('Mano Obra'!$M$5/30)*F7126)/D7126)*G7094</f>
        <v>0</v>
      </c>
    </row>
    <row r="7127" spans="1:13">
      <c r="A7127" s="510" t="s">
        <v>4181</v>
      </c>
      <c r="B7127" s="511">
        <f>VLOOKUP(A7127,'Mano Obra'!$B$3:$D$290,2,0)</f>
        <v>1000000</v>
      </c>
      <c r="C7127" s="91">
        <v>1</v>
      </c>
      <c r="D7127" s="94">
        <f>VLOOKUP(A7127,'Mano Obra'!$B$2:$T$117,19,0)</f>
        <v>67424</v>
      </c>
      <c r="E7127" s="218">
        <f>H7087</f>
        <v>1.04E-2</v>
      </c>
      <c r="F7127" s="508">
        <f t="shared" si="417"/>
        <v>701.20960000000002</v>
      </c>
      <c r="G7127" s="509"/>
      <c r="H7127" s="110"/>
      <c r="J7127" s="117">
        <f>((('Mano Obra'!$M$6/30)*F7127)/D7127)*G7094</f>
        <v>0</v>
      </c>
    </row>
    <row r="7128" spans="1:13">
      <c r="A7128" s="512" t="s">
        <v>4100</v>
      </c>
      <c r="B7128" s="512"/>
      <c r="C7128" s="512"/>
      <c r="D7128" s="512"/>
      <c r="E7128" s="512"/>
      <c r="F7128" s="512"/>
      <c r="G7128" s="512"/>
      <c r="H7128" s="95">
        <f>SUM(F7125:F7127)</f>
        <v>3435.8271999999997</v>
      </c>
      <c r="J7128" s="117"/>
    </row>
    <row r="7129" spans="1:13">
      <c r="A7129" s="208" t="s">
        <v>4226</v>
      </c>
      <c r="B7129" s="186"/>
      <c r="C7129" s="186"/>
      <c r="D7129" s="183"/>
      <c r="E7129" s="184"/>
      <c r="F7129" s="185"/>
      <c r="G7129" s="184"/>
      <c r="H7129" s="193"/>
    </row>
    <row r="7130" spans="1:13">
      <c r="A7130" s="513" t="s">
        <v>4213</v>
      </c>
      <c r="B7130" s="514"/>
      <c r="C7130" s="514"/>
      <c r="D7130" s="514"/>
      <c r="E7130" s="181"/>
      <c r="F7130" s="182" t="s">
        <v>4227</v>
      </c>
      <c r="G7130" s="181" t="s">
        <v>4228</v>
      </c>
      <c r="H7130" s="194"/>
    </row>
    <row r="7131" spans="1:13">
      <c r="A7131" s="204" t="s">
        <v>4096</v>
      </c>
      <c r="B7131" s="62"/>
      <c r="C7131" s="62"/>
      <c r="D7131" s="63"/>
      <c r="E7131" s="68"/>
      <c r="F7131" s="69">
        <v>0</v>
      </c>
      <c r="G7131" s="70" t="e">
        <f>F7131*H7095</f>
        <v>#VALUE!</v>
      </c>
      <c r="H7131" s="193"/>
    </row>
    <row r="7132" spans="1:13">
      <c r="A7132" s="205" t="s">
        <v>4229</v>
      </c>
      <c r="B7132" s="71"/>
      <c r="C7132" s="71"/>
      <c r="D7132" s="72"/>
      <c r="E7132" s="68"/>
      <c r="F7132" s="69">
        <v>0</v>
      </c>
      <c r="G7132" s="70" t="e">
        <f>F7132*H7095</f>
        <v>#VALUE!</v>
      </c>
      <c r="H7132" s="193"/>
    </row>
    <row r="7133" spans="1:13">
      <c r="A7133" s="205" t="s">
        <v>4</v>
      </c>
      <c r="B7133" s="71"/>
      <c r="C7133" s="71"/>
      <c r="D7133" s="72"/>
      <c r="E7133" s="68"/>
      <c r="F7133" s="69">
        <v>0</v>
      </c>
      <c r="G7133" s="70" t="e">
        <f>F7133*H7095</f>
        <v>#VALUE!</v>
      </c>
      <c r="H7133" s="193"/>
    </row>
    <row r="7134" spans="1:13">
      <c r="A7134" s="206"/>
      <c r="B7134" s="73"/>
      <c r="C7134" s="65"/>
      <c r="D7134" s="74"/>
      <c r="E7134" s="75"/>
      <c r="F7134" s="76"/>
      <c r="G7134" s="77"/>
      <c r="H7134" s="195"/>
    </row>
    <row r="7135" spans="1:13">
      <c r="A7135" s="207"/>
      <c r="B7135" s="73"/>
      <c r="C7135" s="73"/>
      <c r="D7135" s="74"/>
      <c r="E7135" s="78"/>
      <c r="F7135" s="515" t="s">
        <v>4230</v>
      </c>
      <c r="G7135" s="516"/>
      <c r="H7135" s="214" t="e">
        <f>H7095+G7131+G7132+G7133</f>
        <v>#VALUE!</v>
      </c>
    </row>
    <row r="7137" spans="1:14">
      <c r="A7137" s="80"/>
      <c r="B7137" s="80"/>
      <c r="C7137" s="80"/>
      <c r="D7137" s="80"/>
      <c r="E7137" s="80"/>
      <c r="F7137" s="80"/>
      <c r="G7137" s="80"/>
      <c r="H7137" s="353"/>
    </row>
    <row r="7138" spans="1:14">
      <c r="A7138" s="537" t="s">
        <v>4214</v>
      </c>
      <c r="B7138" s="538"/>
      <c r="C7138" s="538"/>
      <c r="D7138" s="538"/>
      <c r="E7138" s="538"/>
      <c r="F7138" s="538"/>
      <c r="G7138" s="538"/>
      <c r="H7138" s="539"/>
    </row>
    <row r="7139" spans="1:14">
      <c r="A7139" s="81"/>
      <c r="B7139" s="82"/>
      <c r="C7139" s="82"/>
      <c r="D7139" s="82"/>
      <c r="E7139" s="82"/>
      <c r="F7139" s="83"/>
      <c r="G7139" s="84"/>
      <c r="H7139" s="352">
        <f>ROUND((5/60)/8,4)</f>
        <v>1.04E-2</v>
      </c>
      <c r="I7139" s="105"/>
    </row>
    <row r="7140" spans="1:14">
      <c r="A7140" s="540" t="s">
        <v>4209</v>
      </c>
      <c r="B7140" s="542" t="str">
        <f>COSTOS!$C$14</f>
        <v>MODERNIZACION A TECNOLOGIA LED</v>
      </c>
      <c r="C7140" s="542"/>
      <c r="D7140" s="542"/>
      <c r="E7140" s="542"/>
      <c r="F7140" s="542"/>
      <c r="G7140" s="542"/>
      <c r="H7140" s="543" t="s">
        <v>4210</v>
      </c>
    </row>
    <row r="7141" spans="1:14">
      <c r="A7141" s="541"/>
      <c r="B7141" s="542"/>
      <c r="C7141" s="542"/>
      <c r="D7141" s="542"/>
      <c r="E7141" s="542"/>
      <c r="F7141" s="542"/>
      <c r="G7141" s="542"/>
      <c r="H7141" s="543"/>
    </row>
    <row r="7142" spans="1:14">
      <c r="A7142" s="541"/>
      <c r="B7142" s="542"/>
      <c r="C7142" s="542"/>
      <c r="D7142" s="542"/>
      <c r="E7142" s="542"/>
      <c r="F7142" s="542"/>
      <c r="G7142" s="542"/>
      <c r="H7142" s="543"/>
    </row>
    <row r="7143" spans="1:14" ht="15" customHeight="1">
      <c r="A7143" s="541"/>
      <c r="B7143" s="542"/>
      <c r="C7143" s="542"/>
      <c r="D7143" s="542"/>
      <c r="E7143" s="542"/>
      <c r="F7143" s="542"/>
      <c r="G7143" s="542"/>
      <c r="H7143" s="197">
        <f ca="1">TODAY()</f>
        <v>44889</v>
      </c>
      <c r="K7143" t="s">
        <v>4380</v>
      </c>
      <c r="L7143" t="s">
        <v>4381</v>
      </c>
      <c r="M7143" t="s">
        <v>4382</v>
      </c>
      <c r="N7143" t="s">
        <v>4383</v>
      </c>
    </row>
    <row r="7144" spans="1:14" ht="60.75" customHeight="1">
      <c r="A7144" s="209" t="s">
        <v>4211</v>
      </c>
      <c r="B7144" s="544" t="str">
        <f>COSTOS!$D$16</f>
        <v>Luminarias</v>
      </c>
      <c r="C7144" s="544"/>
      <c r="D7144" s="544"/>
      <c r="E7144" s="544"/>
      <c r="F7144" s="544"/>
      <c r="G7144" s="60" t="s">
        <v>4212</v>
      </c>
      <c r="H7144" s="363">
        <v>3.31</v>
      </c>
      <c r="K7144" s="55" t="e">
        <f>H7170</f>
        <v>#VALUE!</v>
      </c>
      <c r="L7144" s="55">
        <f>H7180</f>
        <v>3435.8271999999997</v>
      </c>
      <c r="M7144" s="55" t="e">
        <f>H7153</f>
        <v>#VALUE!</v>
      </c>
      <c r="N7144" s="55" t="e">
        <f>H7174</f>
        <v>#VALUE!</v>
      </c>
    </row>
    <row r="7145" spans="1:14" ht="43.2" customHeight="1">
      <c r="A7145" s="210" t="s">
        <v>4213</v>
      </c>
      <c r="B7145" s="545" t="str">
        <f>VLOOKUP(H7144,COSTOS!C:M,2,0)</f>
        <v>Red Aerea en cable cobre 10 x 500m</v>
      </c>
      <c r="C7145" s="546"/>
      <c r="D7145" s="546"/>
      <c r="E7145" s="547"/>
      <c r="F7145" s="61" t="s">
        <v>0</v>
      </c>
      <c r="G7145" s="328" t="str">
        <f>VLOOKUP(H7144,COSTOS!C:M,8,0)</f>
        <v>Und</v>
      </c>
      <c r="H7145" s="248"/>
      <c r="I7145" s="278"/>
      <c r="J7145" s="280"/>
      <c r="K7145" s="280"/>
      <c r="L7145" s="280"/>
    </row>
    <row r="7146" spans="1:14">
      <c r="A7146" s="211"/>
      <c r="B7146" s="102"/>
      <c r="C7146" s="102"/>
      <c r="D7146" s="102"/>
      <c r="E7146" s="103"/>
      <c r="F7146" s="104" t="s">
        <v>1</v>
      </c>
      <c r="G7146" s="328">
        <f>VLOOKUP(H7144,COSTOS!C:M,9,0)</f>
        <v>0</v>
      </c>
      <c r="H7146" s="329"/>
      <c r="I7146" s="279"/>
    </row>
    <row r="7147" spans="1:14">
      <c r="A7147" s="212" t="s">
        <v>4215</v>
      </c>
      <c r="B7147" s="65"/>
      <c r="C7147" s="65"/>
      <c r="D7147" s="66"/>
      <c r="E7147" s="190"/>
      <c r="F7147" s="191"/>
      <c r="G7147" s="192" t="s">
        <v>4216</v>
      </c>
      <c r="H7147" s="198" t="e">
        <f>H7153+H7170+H7174+H7180</f>
        <v>#VALUE!</v>
      </c>
    </row>
    <row r="7148" spans="1:14" ht="41.4">
      <c r="A7148" s="548" t="s">
        <v>4213</v>
      </c>
      <c r="B7148" s="548"/>
      <c r="C7148" s="548"/>
      <c r="D7148" s="67" t="s">
        <v>0</v>
      </c>
      <c r="E7148" s="188" t="s">
        <v>4217</v>
      </c>
      <c r="F7148" s="189" t="s">
        <v>4204</v>
      </c>
      <c r="G7148" s="64" t="s">
        <v>2</v>
      </c>
      <c r="H7148" s="199" t="s">
        <v>4218</v>
      </c>
      <c r="K7148" s="281"/>
    </row>
    <row r="7149" spans="1:14">
      <c r="A7149" s="517" t="s">
        <v>3946</v>
      </c>
      <c r="B7149" s="549">
        <f>VLOOKUP(A7149,'Equip, Herr y Transp'!$B$2:$E$738,2,0)</f>
        <v>2</v>
      </c>
      <c r="C7149" s="549"/>
      <c r="D7149" s="85">
        <f>VLOOKUP(A7149,'Equip, Herr y Transp'!$B$2:$E$217,2,0)</f>
        <v>2</v>
      </c>
      <c r="E7149" s="85" t="str">
        <f>VLOOKUP(A7149,'Equip, Herr y Transp'!$B$2:$E$217,3,0)</f>
        <v>EQU</v>
      </c>
      <c r="F7149" s="86">
        <f>H7139</f>
        <v>1.04E-2</v>
      </c>
      <c r="G7149" s="112" t="e">
        <f>F7149*E7149</f>
        <v>#VALUE!</v>
      </c>
      <c r="H7149" s="108"/>
    </row>
    <row r="7150" spans="1:14">
      <c r="A7150" s="517" t="s">
        <v>3904</v>
      </c>
      <c r="B7150" s="549">
        <f>VLOOKUP(A7150,'Equip, Herr y Transp'!$B$2:$E$738,2,0)</f>
        <v>2</v>
      </c>
      <c r="C7150" s="549"/>
      <c r="D7150" s="85">
        <f>VLOOKUP(A7150,'Equip, Herr y Transp'!$B$2:$E$217,2,0)</f>
        <v>2</v>
      </c>
      <c r="E7150" s="85" t="str">
        <f>VLOOKUP(A7150,'Equip, Herr y Transp'!$B$2:$E$217,3,0)</f>
        <v>EQU</v>
      </c>
      <c r="F7150" s="86">
        <f>H7139</f>
        <v>1.04E-2</v>
      </c>
      <c r="G7150" s="112" t="e">
        <f>F7150*E7150</f>
        <v>#VALUE!</v>
      </c>
      <c r="H7150" s="107"/>
    </row>
    <row r="7151" spans="1:14">
      <c r="A7151" s="517" t="s">
        <v>8</v>
      </c>
      <c r="B7151" s="549" t="e">
        <f>VLOOKUP(A7151,'Equip, Herr y Transp'!$B$2:$E$738,2,0)</f>
        <v>#N/A</v>
      </c>
      <c r="C7151" s="549"/>
      <c r="D7151" s="85" t="e">
        <f>VLOOKUP(A7151,'Equip, Herr y Transp'!$B$2:$E$217,2,0)</f>
        <v>#N/A</v>
      </c>
      <c r="E7151" s="85" t="e">
        <f>VLOOKUP(A7151,'Equip, Herr y Transp'!$B$2:$E$217,3,0)</f>
        <v>#N/A</v>
      </c>
      <c r="F7151" s="86">
        <f>H7139</f>
        <v>1.04E-2</v>
      </c>
      <c r="G7151" s="112" t="e">
        <f>F7151*E7151</f>
        <v>#N/A</v>
      </c>
      <c r="H7151" s="107"/>
    </row>
    <row r="7152" spans="1:14">
      <c r="A7152" s="517" t="s">
        <v>8</v>
      </c>
      <c r="B7152" s="549" t="e">
        <f>VLOOKUP(A7152,'Equip, Herr y Transp'!$B$2:$E$738,2,0)</f>
        <v>#N/A</v>
      </c>
      <c r="C7152" s="549"/>
      <c r="D7152" s="85" t="e">
        <f>VLOOKUP(A7152,'Equip, Herr y Transp'!$B$2:$E$217,2,0)</f>
        <v>#N/A</v>
      </c>
      <c r="E7152" s="85" t="e">
        <f>VLOOKUP(A7152,'Equip, Herr y Transp'!$B$2:$E$217,3,0)</f>
        <v>#N/A</v>
      </c>
      <c r="F7152" s="86">
        <f>H7139</f>
        <v>1.04E-2</v>
      </c>
      <c r="G7152" s="112" t="e">
        <f>F7152*E7152</f>
        <v>#N/A</v>
      </c>
      <c r="H7152" s="107"/>
    </row>
    <row r="7153" spans="1:15">
      <c r="A7153" s="520" t="s">
        <v>4099</v>
      </c>
      <c r="B7153" s="521"/>
      <c r="C7153" s="521"/>
      <c r="D7153" s="521"/>
      <c r="E7153" s="521"/>
      <c r="F7153" s="521"/>
      <c r="G7153" s="521"/>
      <c r="H7153" s="87" t="e">
        <f>SUM(G7149:G7152)</f>
        <v>#VALUE!</v>
      </c>
    </row>
    <row r="7154" spans="1:15">
      <c r="A7154" s="550" t="s">
        <v>4219</v>
      </c>
      <c r="B7154" s="551"/>
      <c r="C7154" s="551"/>
      <c r="D7154" s="551"/>
      <c r="E7154" s="551"/>
      <c r="F7154" s="551"/>
      <c r="G7154" s="551"/>
      <c r="H7154" s="552"/>
      <c r="K7154" s="50"/>
      <c r="L7154" s="50"/>
      <c r="M7154" s="50"/>
      <c r="N7154" s="50"/>
      <c r="O7154" s="50"/>
    </row>
    <row r="7155" spans="1:15" ht="30" customHeight="1">
      <c r="A7155" s="553" t="s">
        <v>7</v>
      </c>
      <c r="B7155" s="554"/>
      <c r="C7155" s="99" t="s">
        <v>0</v>
      </c>
      <c r="D7155" s="100" t="s">
        <v>4097</v>
      </c>
      <c r="E7155" s="101" t="s">
        <v>1</v>
      </c>
      <c r="F7155" s="555" t="s">
        <v>4207</v>
      </c>
      <c r="G7155" s="555"/>
      <c r="H7155" s="196"/>
      <c r="K7155" s="50"/>
      <c r="L7155" s="50"/>
      <c r="M7155" s="50"/>
      <c r="N7155" s="50"/>
      <c r="O7155" s="50"/>
    </row>
    <row r="7156" spans="1:15">
      <c r="A7156" s="535" t="s">
        <v>4795</v>
      </c>
      <c r="B7156" s="536"/>
      <c r="C7156" s="88">
        <f>VLOOKUP(A7156,'Materiales '!$C$2:$G$396,3,0)</f>
        <v>2</v>
      </c>
      <c r="D7156" s="89" t="str">
        <f>VLOOKUP(A7156,'Materiales '!$C$2:$G$396,4,0)</f>
        <v>Ml</v>
      </c>
      <c r="E7156" s="90">
        <v>1</v>
      </c>
      <c r="F7156" s="508" t="e">
        <f>E7156*D7156</f>
        <v>#VALUE!</v>
      </c>
      <c r="G7156" s="519"/>
      <c r="H7156" s="111"/>
      <c r="I7156">
        <f>E7156*G7146</f>
        <v>0</v>
      </c>
      <c r="J7156" s="57"/>
      <c r="K7156" s="50"/>
      <c r="L7156" s="50"/>
      <c r="M7156" s="50"/>
      <c r="N7156" s="50"/>
      <c r="O7156" s="50"/>
    </row>
    <row r="7157" spans="1:15">
      <c r="A7157" s="535" t="s">
        <v>8</v>
      </c>
      <c r="B7157" s="536"/>
      <c r="C7157" s="88">
        <f>VLOOKUP(A7157,'Materiales '!$C$2:$G$396,3,0)</f>
        <v>0</v>
      </c>
      <c r="D7157" s="89" t="str">
        <f>VLOOKUP(A7157,'Materiales '!$C$2:$G$396,4,0)</f>
        <v>-</v>
      </c>
      <c r="E7157" s="90">
        <f>3/25</f>
        <v>0.12</v>
      </c>
      <c r="F7157" s="508" t="e">
        <f t="shared" ref="F7157:F7163" si="418">E7157*D7157</f>
        <v>#VALUE!</v>
      </c>
      <c r="G7157" s="519"/>
      <c r="H7157" s="111"/>
      <c r="I7157">
        <f>E7157*G7146</f>
        <v>0</v>
      </c>
      <c r="J7157" s="57"/>
      <c r="K7157" s="50"/>
      <c r="L7157" s="50"/>
      <c r="M7157" s="50"/>
      <c r="N7157" s="50"/>
      <c r="O7157" s="50"/>
    </row>
    <row r="7158" spans="1:15">
      <c r="A7158" s="517" t="s">
        <v>8</v>
      </c>
      <c r="B7158" s="518">
        <f>VLOOKUP(A7158,'Materiales '!$C$2:$G$396,3,0)</f>
        <v>0</v>
      </c>
      <c r="C7158" s="88">
        <f>VLOOKUP(A7158,'Materiales '!$C$2:$G$396,3,0)</f>
        <v>0</v>
      </c>
      <c r="D7158" s="89" t="str">
        <f>VLOOKUP(A7158,'Materiales '!$C$2:$G$396,4,0)</f>
        <v>-</v>
      </c>
      <c r="E7158" s="90">
        <f>3/25</f>
        <v>0.12</v>
      </c>
      <c r="F7158" s="508" t="e">
        <f t="shared" si="418"/>
        <v>#VALUE!</v>
      </c>
      <c r="G7158" s="519"/>
      <c r="H7158" s="111"/>
      <c r="I7158">
        <f>E7158*G7146</f>
        <v>0</v>
      </c>
      <c r="J7158" s="58"/>
      <c r="K7158" s="50"/>
      <c r="L7158" s="50"/>
      <c r="M7158" s="50"/>
      <c r="N7158" s="50"/>
      <c r="O7158" s="50"/>
    </row>
    <row r="7159" spans="1:15">
      <c r="A7159" s="517" t="s">
        <v>8</v>
      </c>
      <c r="B7159" s="518">
        <f>VLOOKUP(A7159,'Materiales '!$C$2:$G$396,3,0)</f>
        <v>0</v>
      </c>
      <c r="C7159" s="88">
        <f>VLOOKUP(A7159,'Materiales '!$C$2:$G$396,3,0)</f>
        <v>0</v>
      </c>
      <c r="D7159" s="89" t="str">
        <f>VLOOKUP(A7159,'Materiales '!$C$2:$G$396,4,0)</f>
        <v>-</v>
      </c>
      <c r="E7159" s="90"/>
      <c r="F7159" s="508" t="e">
        <f t="shared" si="418"/>
        <v>#VALUE!</v>
      </c>
      <c r="G7159" s="519"/>
      <c r="H7159" s="111"/>
      <c r="I7159">
        <f>E7159*G7146</f>
        <v>0</v>
      </c>
      <c r="J7159" s="58"/>
      <c r="K7159" s="50"/>
      <c r="L7159" s="50"/>
      <c r="M7159" s="50"/>
      <c r="N7159" s="50"/>
      <c r="O7159" s="50"/>
    </row>
    <row r="7160" spans="1:15">
      <c r="A7160" s="517" t="s">
        <v>8</v>
      </c>
      <c r="B7160" s="518">
        <f>VLOOKUP(A7160,'Materiales '!$C$2:$G$396,3,0)</f>
        <v>0</v>
      </c>
      <c r="C7160" s="88">
        <f>VLOOKUP(A7160,'Materiales '!$C$2:$G$396,3,0)</f>
        <v>0</v>
      </c>
      <c r="D7160" s="89" t="str">
        <f>VLOOKUP(A7160,'Materiales '!$C$2:$G$396,4,0)</f>
        <v>-</v>
      </c>
      <c r="E7160" s="90"/>
      <c r="F7160" s="508" t="e">
        <f t="shared" si="418"/>
        <v>#VALUE!</v>
      </c>
      <c r="G7160" s="519"/>
      <c r="H7160" s="111"/>
      <c r="I7160">
        <f>E7160*G7146</f>
        <v>0</v>
      </c>
      <c r="J7160" s="58"/>
      <c r="K7160" s="50"/>
      <c r="L7160" s="50"/>
      <c r="M7160" s="50"/>
      <c r="N7160" s="50"/>
      <c r="O7160" s="50"/>
    </row>
    <row r="7161" spans="1:15">
      <c r="A7161" s="517" t="s">
        <v>8</v>
      </c>
      <c r="B7161" s="518">
        <f>VLOOKUP(A7161,'Materiales '!$C$2:$G$396,3,0)</f>
        <v>0</v>
      </c>
      <c r="C7161" s="88">
        <f>VLOOKUP(A7161,'Materiales '!$C$2:$G$396,3,0)</f>
        <v>0</v>
      </c>
      <c r="D7161" s="89" t="str">
        <f>VLOOKUP(A7161,'Materiales '!$C$2:$G$396,4,0)</f>
        <v>-</v>
      </c>
      <c r="E7161" s="90"/>
      <c r="F7161" s="508" t="e">
        <f t="shared" si="418"/>
        <v>#VALUE!</v>
      </c>
      <c r="G7161" s="519"/>
      <c r="H7161" s="111"/>
      <c r="I7161">
        <f>E7161*G7146</f>
        <v>0</v>
      </c>
      <c r="J7161" s="58"/>
      <c r="K7161" s="50"/>
      <c r="L7161" s="50"/>
      <c r="M7161" s="50"/>
      <c r="N7161" s="50"/>
      <c r="O7161" s="50"/>
    </row>
    <row r="7162" spans="1:15">
      <c r="A7162" s="517" t="s">
        <v>8</v>
      </c>
      <c r="B7162" s="518">
        <f>VLOOKUP(A7162,'Materiales '!$C$2:$G$396,3,0)</f>
        <v>0</v>
      </c>
      <c r="C7162" s="88">
        <f>VLOOKUP(A7162,'Materiales '!$C$2:$G$396,3,0)</f>
        <v>0</v>
      </c>
      <c r="D7162" s="89" t="str">
        <f>VLOOKUP(A7162,'Materiales '!$C$2:$G$396,4,0)</f>
        <v>-</v>
      </c>
      <c r="E7162" s="90"/>
      <c r="F7162" s="508" t="e">
        <f t="shared" si="418"/>
        <v>#VALUE!</v>
      </c>
      <c r="G7162" s="519"/>
      <c r="H7162" s="111"/>
      <c r="I7162">
        <f>E7162*G7146</f>
        <v>0</v>
      </c>
      <c r="J7162" s="58"/>
      <c r="K7162" s="50"/>
      <c r="L7162" s="50"/>
      <c r="M7162" s="50"/>
      <c r="N7162" s="50"/>
      <c r="O7162" s="50"/>
    </row>
    <row r="7163" spans="1:15" ht="21.75" customHeight="1">
      <c r="A7163" s="517" t="s">
        <v>8</v>
      </c>
      <c r="B7163" s="518">
        <f>VLOOKUP(A7163,'Materiales '!$C$2:$G$396,3,0)</f>
        <v>0</v>
      </c>
      <c r="C7163" s="88">
        <f>VLOOKUP(A7163,'Materiales '!$C$2:$G$396,3,0)</f>
        <v>0</v>
      </c>
      <c r="D7163" s="89" t="str">
        <f>VLOOKUP(A7163,'Materiales '!$C$2:$G$396,4,0)</f>
        <v>-</v>
      </c>
      <c r="E7163" s="90"/>
      <c r="F7163" s="508" t="e">
        <f t="shared" si="418"/>
        <v>#VALUE!</v>
      </c>
      <c r="G7163" s="519"/>
      <c r="H7163" s="111"/>
      <c r="I7163">
        <f>E7163*G7146</f>
        <v>0</v>
      </c>
      <c r="J7163" s="58"/>
      <c r="K7163" s="50"/>
      <c r="L7163" s="50"/>
      <c r="M7163" s="50"/>
      <c r="N7163" s="50"/>
      <c r="O7163" s="50"/>
    </row>
    <row r="7164" spans="1:15">
      <c r="A7164" s="517" t="s">
        <v>8</v>
      </c>
      <c r="B7164" s="518">
        <f>VLOOKUP(A7164,'Materiales '!$C$2:$G$396,3,0)</f>
        <v>0</v>
      </c>
      <c r="C7164" s="88">
        <f>VLOOKUP(A7164,'Materiales '!$C$2:$G$396,3,0)</f>
        <v>0</v>
      </c>
      <c r="D7164" s="89" t="str">
        <f>VLOOKUP(A7164,'Materiales '!$C$2:$G$396,4,0)</f>
        <v>-</v>
      </c>
      <c r="E7164" s="90"/>
      <c r="F7164" s="508" t="e">
        <f>E7164*D7164</f>
        <v>#VALUE!</v>
      </c>
      <c r="G7164" s="519"/>
      <c r="H7164" s="110"/>
      <c r="I7164">
        <f>E7164*G7146</f>
        <v>0</v>
      </c>
      <c r="J7164" s="58"/>
      <c r="K7164" s="50"/>
      <c r="L7164" s="50"/>
      <c r="M7164" s="50"/>
      <c r="N7164" s="50"/>
      <c r="O7164" s="50"/>
    </row>
    <row r="7165" spans="1:15">
      <c r="A7165" s="517" t="s">
        <v>8</v>
      </c>
      <c r="B7165" s="518">
        <f>VLOOKUP(A7165,'Materiales '!$C$2:$G$396,3,0)</f>
        <v>0</v>
      </c>
      <c r="C7165" s="88">
        <f>VLOOKUP(A7165,'Materiales '!$C$2:$G$396,3,0)</f>
        <v>0</v>
      </c>
      <c r="D7165" s="89" t="str">
        <f>VLOOKUP(A7165,'Materiales '!$C$2:$G$396,4,0)</f>
        <v>-</v>
      </c>
      <c r="E7165" s="90"/>
      <c r="F7165" s="508" t="e">
        <f t="shared" ref="F7165:F7168" si="419">E7165*D7165</f>
        <v>#VALUE!</v>
      </c>
      <c r="G7165" s="519"/>
      <c r="H7165" s="111"/>
      <c r="I7165">
        <f>E7165*G7146</f>
        <v>0</v>
      </c>
      <c r="J7165" s="58"/>
      <c r="K7165" s="50"/>
      <c r="L7165" s="50"/>
      <c r="M7165" s="50"/>
      <c r="N7165" s="50"/>
      <c r="O7165" s="50"/>
    </row>
    <row r="7166" spans="1:15">
      <c r="A7166" s="517" t="s">
        <v>8</v>
      </c>
      <c r="B7166" s="518">
        <f>VLOOKUP(A7166,'Materiales '!$C$2:$G$396,3,0)</f>
        <v>0</v>
      </c>
      <c r="C7166" s="88">
        <f>VLOOKUP(A7166,'Materiales '!$C$2:$G$396,3,0)</f>
        <v>0</v>
      </c>
      <c r="D7166" s="89" t="str">
        <f>VLOOKUP(A7166,'Materiales '!$C$2:$G$396,4,0)</f>
        <v>-</v>
      </c>
      <c r="E7166" s="90"/>
      <c r="F7166" s="508" t="e">
        <f t="shared" si="419"/>
        <v>#VALUE!</v>
      </c>
      <c r="G7166" s="519"/>
      <c r="H7166" s="111"/>
      <c r="I7166">
        <f>E7166*G7146</f>
        <v>0</v>
      </c>
      <c r="J7166" s="58"/>
      <c r="K7166" s="50"/>
      <c r="L7166" s="50"/>
      <c r="M7166" s="50"/>
      <c r="N7166" s="50"/>
      <c r="O7166" s="50"/>
    </row>
    <row r="7167" spans="1:15">
      <c r="A7167" s="517" t="s">
        <v>8</v>
      </c>
      <c r="B7167" s="518">
        <f>VLOOKUP(A7167,'Materiales '!$C$2:$G$396,3,0)</f>
        <v>0</v>
      </c>
      <c r="C7167" s="88">
        <f>VLOOKUP(A7167,'Materiales '!$C$2:$G$396,3,0)</f>
        <v>0</v>
      </c>
      <c r="D7167" s="89" t="str">
        <f>VLOOKUP(A7167,'Materiales '!$C$2:$G$396,4,0)</f>
        <v>-</v>
      </c>
      <c r="E7167" s="90"/>
      <c r="F7167" s="508" t="e">
        <f t="shared" si="419"/>
        <v>#VALUE!</v>
      </c>
      <c r="G7167" s="519"/>
      <c r="H7167" s="111"/>
      <c r="I7167">
        <f>E7167*G7146</f>
        <v>0</v>
      </c>
      <c r="J7167" s="58"/>
      <c r="K7167" s="50"/>
      <c r="L7167" s="50"/>
      <c r="M7167" s="50"/>
      <c r="N7167" s="50"/>
      <c r="O7167" s="50"/>
    </row>
    <row r="7168" spans="1:15">
      <c r="A7168" s="517" t="s">
        <v>8</v>
      </c>
      <c r="B7168" s="518">
        <f>VLOOKUP(A7168,'Materiales '!$C$2:$G$396,3,0)</f>
        <v>0</v>
      </c>
      <c r="C7168" s="88">
        <f>VLOOKUP(A7168,'Materiales '!$C$2:$G$396,3,0)</f>
        <v>0</v>
      </c>
      <c r="D7168" s="89" t="str">
        <f>VLOOKUP(A7168,'Materiales '!$C$2:$G$396,4,0)</f>
        <v>-</v>
      </c>
      <c r="E7168" s="90"/>
      <c r="F7168" s="508" t="e">
        <f t="shared" si="419"/>
        <v>#VALUE!</v>
      </c>
      <c r="G7168" s="519"/>
      <c r="H7168" s="111"/>
      <c r="I7168">
        <f>E7168*G7146</f>
        <v>0</v>
      </c>
      <c r="J7168" s="58"/>
      <c r="K7168" s="50"/>
      <c r="L7168" s="50"/>
      <c r="M7168" s="50"/>
      <c r="N7168" s="50"/>
      <c r="O7168" s="50"/>
    </row>
    <row r="7169" spans="1:15">
      <c r="A7169" s="517" t="s">
        <v>8</v>
      </c>
      <c r="B7169" s="518">
        <f>VLOOKUP(A7169,'Materiales '!$C$2:$G$396,3,0)</f>
        <v>0</v>
      </c>
      <c r="C7169" s="88">
        <f>VLOOKUP(A7169,'Materiales '!$C$2:$G$396,3,0)</f>
        <v>0</v>
      </c>
      <c r="D7169" s="89" t="str">
        <f>VLOOKUP(A7169,'Materiales '!$C$2:$G$396,4,0)</f>
        <v>-</v>
      </c>
      <c r="E7169" s="90"/>
      <c r="F7169" s="508" t="e">
        <f>E7169*D7169</f>
        <v>#VALUE!</v>
      </c>
      <c r="G7169" s="519"/>
      <c r="H7169" s="110"/>
      <c r="I7169">
        <f>E7169*G7146</f>
        <v>0</v>
      </c>
      <c r="J7169" s="58"/>
      <c r="K7169" s="50"/>
      <c r="L7169" s="50"/>
      <c r="M7169" s="50"/>
      <c r="N7169" s="50"/>
      <c r="O7169" s="50"/>
    </row>
    <row r="7170" spans="1:15">
      <c r="A7170" s="520" t="s">
        <v>4098</v>
      </c>
      <c r="B7170" s="521"/>
      <c r="C7170" s="521"/>
      <c r="D7170" s="521"/>
      <c r="E7170" s="521"/>
      <c r="F7170" s="521"/>
      <c r="G7170" s="522"/>
      <c r="H7170" s="106" t="e">
        <f>SUM(F7156:F7169)</f>
        <v>#VALUE!</v>
      </c>
      <c r="J7170" s="58"/>
      <c r="K7170" s="50"/>
      <c r="L7170" s="50"/>
      <c r="M7170" s="50"/>
      <c r="N7170" s="50"/>
      <c r="O7170" s="50"/>
    </row>
    <row r="7171" spans="1:15">
      <c r="A7171" s="523" t="s">
        <v>4220</v>
      </c>
      <c r="B7171" s="524"/>
      <c r="C7171" s="524"/>
      <c r="D7171" s="524"/>
      <c r="E7171" s="525"/>
      <c r="F7171" s="524"/>
      <c r="G7171" s="524"/>
      <c r="H7171" s="526"/>
      <c r="J7171" s="58"/>
      <c r="K7171" s="50"/>
      <c r="L7171" s="50"/>
      <c r="M7171" s="50"/>
      <c r="N7171" s="50"/>
      <c r="O7171" s="50"/>
    </row>
    <row r="7172" spans="1:15">
      <c r="A7172" s="527" t="s">
        <v>7</v>
      </c>
      <c r="B7172" s="528"/>
      <c r="C7172" s="98" t="s">
        <v>4221</v>
      </c>
      <c r="D7172" s="97" t="s">
        <v>4222</v>
      </c>
      <c r="E7172" s="187" t="s">
        <v>4223</v>
      </c>
      <c r="F7172" s="529" t="s">
        <v>4207</v>
      </c>
      <c r="G7172" s="529"/>
      <c r="H7172" s="109"/>
      <c r="K7172" s="50"/>
      <c r="L7172" s="50"/>
      <c r="M7172" s="50"/>
      <c r="N7172" s="50"/>
      <c r="O7172" s="50"/>
    </row>
    <row r="7173" spans="1:15">
      <c r="A7173" s="506" t="s">
        <v>3928</v>
      </c>
      <c r="B7173" s="507"/>
      <c r="C7173" s="213">
        <v>1</v>
      </c>
      <c r="D7173" s="92">
        <v>5.0000000000000001E-3</v>
      </c>
      <c r="E7173" s="93" t="str">
        <f>VLOOKUP(A7173,'Equip, Herr y Transp'!$B$2:$E$217,3,0)</f>
        <v>TR</v>
      </c>
      <c r="F7173" s="530" t="e">
        <f>E7173*D7173*C7173</f>
        <v>#VALUE!</v>
      </c>
      <c r="G7173" s="531"/>
      <c r="H7173" s="107"/>
      <c r="M7173" s="50"/>
    </row>
    <row r="7174" spans="1:15">
      <c r="A7174" s="532" t="s">
        <v>4205</v>
      </c>
      <c r="B7174" s="533"/>
      <c r="C7174" s="533"/>
      <c r="D7174" s="533"/>
      <c r="E7174" s="533"/>
      <c r="F7174" s="533"/>
      <c r="G7174" s="533"/>
      <c r="H7174" s="95" t="e">
        <f>F7173</f>
        <v>#VALUE!</v>
      </c>
    </row>
    <row r="7175" spans="1:15">
      <c r="A7175" s="523" t="s">
        <v>4224</v>
      </c>
      <c r="B7175" s="524"/>
      <c r="C7175" s="524"/>
      <c r="D7175" s="524"/>
      <c r="E7175" s="524"/>
      <c r="F7175" s="524"/>
      <c r="G7175" s="524"/>
      <c r="H7175" s="526"/>
    </row>
    <row r="7176" spans="1:15">
      <c r="A7176" s="527" t="s">
        <v>7</v>
      </c>
      <c r="B7176" s="528"/>
      <c r="C7176" s="96" t="s">
        <v>1</v>
      </c>
      <c r="D7176" s="97" t="s">
        <v>4225</v>
      </c>
      <c r="E7176" s="98" t="s">
        <v>4204</v>
      </c>
      <c r="F7176" s="527" t="s">
        <v>5</v>
      </c>
      <c r="G7176" s="534"/>
      <c r="H7176" s="109"/>
    </row>
    <row r="7177" spans="1:15">
      <c r="A7177" s="506" t="s">
        <v>4191</v>
      </c>
      <c r="B7177" s="507"/>
      <c r="C7177" s="91">
        <v>1</v>
      </c>
      <c r="D7177" s="94">
        <f>VLOOKUP(A7177,'Mano Obra'!$B$2:$T$117,19,0)</f>
        <v>152456</v>
      </c>
      <c r="E7177" s="218">
        <f>H7139</f>
        <v>1.04E-2</v>
      </c>
      <c r="F7177" s="508">
        <f>E7177*D7177*C7177</f>
        <v>1585.5423999999998</v>
      </c>
      <c r="G7177" s="509"/>
      <c r="H7177" s="111"/>
      <c r="I7177" s="59"/>
      <c r="J7177" s="117">
        <f>((('Mano Obra'!$M$4/30)*F7177)/D7177)*G7146</f>
        <v>0</v>
      </c>
    </row>
    <row r="7178" spans="1:15">
      <c r="A7178" s="510" t="s">
        <v>4192</v>
      </c>
      <c r="B7178" s="511">
        <f>VLOOKUP(A7178,'Mano Obra'!$B$3:$D$290,2,0)</f>
        <v>1900000</v>
      </c>
      <c r="C7178" s="91">
        <v>1</v>
      </c>
      <c r="D7178" s="94">
        <f>VLOOKUP(A7178,'Mano Obra'!$B$2:$T$117,19,0)</f>
        <v>110488</v>
      </c>
      <c r="E7178" s="218">
        <f>H7139</f>
        <v>1.04E-2</v>
      </c>
      <c r="F7178" s="508">
        <f t="shared" ref="F7178:F7179" si="420">E7178*D7178*C7178</f>
        <v>1149.0752</v>
      </c>
      <c r="G7178" s="509"/>
      <c r="H7178" s="111"/>
      <c r="J7178" s="117">
        <f>((('Mano Obra'!$M$5/30)*F7178)/D7178)*G7146</f>
        <v>0</v>
      </c>
    </row>
    <row r="7179" spans="1:15">
      <c r="A7179" s="510" t="s">
        <v>4181</v>
      </c>
      <c r="B7179" s="511">
        <f>VLOOKUP(A7179,'Mano Obra'!$B$3:$D$290,2,0)</f>
        <v>1000000</v>
      </c>
      <c r="C7179" s="91">
        <v>1</v>
      </c>
      <c r="D7179" s="94">
        <f>VLOOKUP(A7179,'Mano Obra'!$B$2:$T$117,19,0)</f>
        <v>67424</v>
      </c>
      <c r="E7179" s="218">
        <f>H7139</f>
        <v>1.04E-2</v>
      </c>
      <c r="F7179" s="508">
        <f t="shared" si="420"/>
        <v>701.20960000000002</v>
      </c>
      <c r="G7179" s="509"/>
      <c r="H7179" s="110"/>
      <c r="J7179" s="117">
        <f>((('Mano Obra'!$M$6/30)*F7179)/D7179)*G7146</f>
        <v>0</v>
      </c>
    </row>
    <row r="7180" spans="1:15">
      <c r="A7180" s="512" t="s">
        <v>4100</v>
      </c>
      <c r="B7180" s="512"/>
      <c r="C7180" s="512"/>
      <c r="D7180" s="512"/>
      <c r="E7180" s="512"/>
      <c r="F7180" s="512"/>
      <c r="G7180" s="512"/>
      <c r="H7180" s="95">
        <f>SUM(F7177:F7179)</f>
        <v>3435.8271999999997</v>
      </c>
      <c r="J7180" s="117"/>
    </row>
    <row r="7181" spans="1:15">
      <c r="A7181" s="208" t="s">
        <v>4226</v>
      </c>
      <c r="B7181" s="186"/>
      <c r="C7181" s="186"/>
      <c r="D7181" s="183"/>
      <c r="E7181" s="184"/>
      <c r="F7181" s="185"/>
      <c r="G7181" s="184"/>
      <c r="H7181" s="193"/>
    </row>
    <row r="7182" spans="1:15">
      <c r="A7182" s="513" t="s">
        <v>4213</v>
      </c>
      <c r="B7182" s="514"/>
      <c r="C7182" s="514"/>
      <c r="D7182" s="514"/>
      <c r="E7182" s="181"/>
      <c r="F7182" s="182" t="s">
        <v>4227</v>
      </c>
      <c r="G7182" s="181" t="s">
        <v>4228</v>
      </c>
      <c r="H7182" s="194"/>
    </row>
    <row r="7183" spans="1:15">
      <c r="A7183" s="204" t="s">
        <v>4096</v>
      </c>
      <c r="B7183" s="62"/>
      <c r="C7183" s="62"/>
      <c r="D7183" s="63"/>
      <c r="E7183" s="68"/>
      <c r="F7183" s="69">
        <v>0</v>
      </c>
      <c r="G7183" s="70" t="e">
        <f>F7183*H7147</f>
        <v>#VALUE!</v>
      </c>
      <c r="H7183" s="193"/>
    </row>
    <row r="7184" spans="1:15">
      <c r="A7184" s="205" t="s">
        <v>4229</v>
      </c>
      <c r="B7184" s="71"/>
      <c r="C7184" s="71"/>
      <c r="D7184" s="72"/>
      <c r="E7184" s="68"/>
      <c r="F7184" s="69">
        <v>0</v>
      </c>
      <c r="G7184" s="70" t="e">
        <f>F7184*H7147</f>
        <v>#VALUE!</v>
      </c>
      <c r="H7184" s="193"/>
    </row>
    <row r="7185" spans="1:14">
      <c r="A7185" s="205" t="s">
        <v>4</v>
      </c>
      <c r="B7185" s="71"/>
      <c r="C7185" s="71"/>
      <c r="D7185" s="72"/>
      <c r="E7185" s="68"/>
      <c r="F7185" s="69">
        <v>0</v>
      </c>
      <c r="G7185" s="70" t="e">
        <f>F7185*H7147</f>
        <v>#VALUE!</v>
      </c>
      <c r="H7185" s="193"/>
    </row>
    <row r="7186" spans="1:14">
      <c r="A7186" s="206"/>
      <c r="B7186" s="73"/>
      <c r="C7186" s="65"/>
      <c r="D7186" s="74"/>
      <c r="E7186" s="75"/>
      <c r="F7186" s="76"/>
      <c r="G7186" s="77"/>
      <c r="H7186" s="195"/>
    </row>
    <row r="7187" spans="1:14">
      <c r="A7187" s="207"/>
      <c r="B7187" s="73"/>
      <c r="C7187" s="73"/>
      <c r="D7187" s="74"/>
      <c r="E7187" s="78"/>
      <c r="F7187" s="515" t="s">
        <v>4230</v>
      </c>
      <c r="G7187" s="516"/>
      <c r="H7187" s="214" t="e">
        <f>H7147+G7183+G7184+G7185</f>
        <v>#VALUE!</v>
      </c>
    </row>
    <row r="7189" spans="1:14">
      <c r="A7189" s="80"/>
      <c r="B7189" s="80"/>
      <c r="C7189" s="80"/>
      <c r="D7189" s="80"/>
      <c r="E7189" s="80"/>
      <c r="F7189" s="80"/>
      <c r="G7189" s="80"/>
      <c r="H7189" s="353"/>
    </row>
    <row r="7190" spans="1:14">
      <c r="A7190" s="537" t="s">
        <v>4214</v>
      </c>
      <c r="B7190" s="538"/>
      <c r="C7190" s="538"/>
      <c r="D7190" s="538"/>
      <c r="E7190" s="538"/>
      <c r="F7190" s="538"/>
      <c r="G7190" s="538"/>
      <c r="H7190" s="539"/>
    </row>
    <row r="7191" spans="1:14">
      <c r="A7191" s="81"/>
      <c r="B7191" s="82"/>
      <c r="C7191" s="82"/>
      <c r="D7191" s="82"/>
      <c r="E7191" s="82"/>
      <c r="F7191" s="83"/>
      <c r="G7191" s="84"/>
      <c r="H7191" s="352">
        <f>ROUND((5/60)/8,4)</f>
        <v>1.04E-2</v>
      </c>
      <c r="I7191" s="105"/>
    </row>
    <row r="7192" spans="1:14">
      <c r="A7192" s="540" t="s">
        <v>4209</v>
      </c>
      <c r="B7192" s="542" t="str">
        <f>COSTOS!$C$14</f>
        <v>MODERNIZACION A TECNOLOGIA LED</v>
      </c>
      <c r="C7192" s="542"/>
      <c r="D7192" s="542"/>
      <c r="E7192" s="542"/>
      <c r="F7192" s="542"/>
      <c r="G7192" s="542"/>
      <c r="H7192" s="543" t="s">
        <v>4210</v>
      </c>
    </row>
    <row r="7193" spans="1:14">
      <c r="A7193" s="541"/>
      <c r="B7193" s="542"/>
      <c r="C7193" s="542"/>
      <c r="D7193" s="542"/>
      <c r="E7193" s="542"/>
      <c r="F7193" s="542"/>
      <c r="G7193" s="542"/>
      <c r="H7193" s="543"/>
    </row>
    <row r="7194" spans="1:14">
      <c r="A7194" s="541"/>
      <c r="B7194" s="542"/>
      <c r="C7194" s="542"/>
      <c r="D7194" s="542"/>
      <c r="E7194" s="542"/>
      <c r="F7194" s="542"/>
      <c r="G7194" s="542"/>
      <c r="H7194" s="543"/>
    </row>
    <row r="7195" spans="1:14" ht="15" customHeight="1">
      <c r="A7195" s="541"/>
      <c r="B7195" s="542"/>
      <c r="C7195" s="542"/>
      <c r="D7195" s="542"/>
      <c r="E7195" s="542"/>
      <c r="F7195" s="542"/>
      <c r="G7195" s="542"/>
      <c r="H7195" s="197">
        <f ca="1">TODAY()</f>
        <v>44889</v>
      </c>
      <c r="K7195" t="s">
        <v>4380</v>
      </c>
      <c r="L7195" t="s">
        <v>4381</v>
      </c>
      <c r="M7195" t="s">
        <v>4382</v>
      </c>
      <c r="N7195" t="s">
        <v>4383</v>
      </c>
    </row>
    <row r="7196" spans="1:14" ht="60.75" customHeight="1">
      <c r="A7196" s="209" t="s">
        <v>4211</v>
      </c>
      <c r="B7196" s="544" t="str">
        <f>COSTOS!$D$16</f>
        <v>Luminarias</v>
      </c>
      <c r="C7196" s="544"/>
      <c r="D7196" s="544"/>
      <c r="E7196" s="544"/>
      <c r="F7196" s="544"/>
      <c r="G7196" s="60" t="s">
        <v>4212</v>
      </c>
      <c r="H7196" s="363">
        <v>3.32</v>
      </c>
      <c r="K7196" s="55" t="e">
        <f>H7222</f>
        <v>#VALUE!</v>
      </c>
      <c r="L7196" s="55">
        <f>H7232</f>
        <v>3435.8271999999997</v>
      </c>
      <c r="M7196" s="55" t="e">
        <f>H7205</f>
        <v>#VALUE!</v>
      </c>
      <c r="N7196" s="55" t="e">
        <f>H7226</f>
        <v>#VALUE!</v>
      </c>
    </row>
    <row r="7197" spans="1:14" ht="43.2" customHeight="1">
      <c r="A7197" s="210" t="s">
        <v>4213</v>
      </c>
      <c r="B7197" s="545" t="str">
        <f>VLOOKUP(H7196,COSTOS!C:M,2,0)</f>
        <v>Red Aerea en cable cobre 8 x 500m</v>
      </c>
      <c r="C7197" s="546"/>
      <c r="D7197" s="546"/>
      <c r="E7197" s="547"/>
      <c r="F7197" s="61" t="s">
        <v>0</v>
      </c>
      <c r="G7197" s="328" t="str">
        <f>VLOOKUP(H7196,COSTOS!C:M,8,0)</f>
        <v>Und</v>
      </c>
      <c r="H7197" s="248"/>
      <c r="I7197" s="278"/>
      <c r="J7197" s="280"/>
      <c r="K7197" s="280"/>
      <c r="L7197" s="280"/>
    </row>
    <row r="7198" spans="1:14">
      <c r="A7198" s="211"/>
      <c r="B7198" s="102"/>
      <c r="C7198" s="102"/>
      <c r="D7198" s="102"/>
      <c r="E7198" s="103"/>
      <c r="F7198" s="104" t="s">
        <v>1</v>
      </c>
      <c r="G7198" s="328">
        <f>VLOOKUP(H7196,COSTOS!C:M,9,0)</f>
        <v>0</v>
      </c>
      <c r="H7198" s="329"/>
      <c r="I7198" s="279"/>
    </row>
    <row r="7199" spans="1:14">
      <c r="A7199" s="212" t="s">
        <v>4215</v>
      </c>
      <c r="B7199" s="65"/>
      <c r="C7199" s="65"/>
      <c r="D7199" s="66"/>
      <c r="E7199" s="190"/>
      <c r="F7199" s="191"/>
      <c r="G7199" s="192" t="s">
        <v>4216</v>
      </c>
      <c r="H7199" s="198" t="e">
        <f>H7205+H7222+H7226+H7232</f>
        <v>#VALUE!</v>
      </c>
    </row>
    <row r="7200" spans="1:14" ht="41.4">
      <c r="A7200" s="548" t="s">
        <v>4213</v>
      </c>
      <c r="B7200" s="548"/>
      <c r="C7200" s="548"/>
      <c r="D7200" s="67" t="s">
        <v>0</v>
      </c>
      <c r="E7200" s="188" t="s">
        <v>4217</v>
      </c>
      <c r="F7200" s="189" t="s">
        <v>4204</v>
      </c>
      <c r="G7200" s="64" t="s">
        <v>2</v>
      </c>
      <c r="H7200" s="199" t="s">
        <v>4218</v>
      </c>
      <c r="K7200" s="281"/>
    </row>
    <row r="7201" spans="1:15">
      <c r="A7201" s="517" t="s">
        <v>3946</v>
      </c>
      <c r="B7201" s="549">
        <f>VLOOKUP(A7201,'Equip, Herr y Transp'!$B$2:$E$738,2,0)</f>
        <v>2</v>
      </c>
      <c r="C7201" s="549"/>
      <c r="D7201" s="85">
        <f>VLOOKUP(A7201,'Equip, Herr y Transp'!$B$2:$E$217,2,0)</f>
        <v>2</v>
      </c>
      <c r="E7201" s="85" t="str">
        <f>VLOOKUP(A7201,'Equip, Herr y Transp'!$B$2:$E$217,3,0)</f>
        <v>EQU</v>
      </c>
      <c r="F7201" s="86">
        <f>H7191</f>
        <v>1.04E-2</v>
      </c>
      <c r="G7201" s="112" t="e">
        <f>F7201*E7201</f>
        <v>#VALUE!</v>
      </c>
      <c r="H7201" s="108"/>
    </row>
    <row r="7202" spans="1:15">
      <c r="A7202" s="517" t="s">
        <v>3904</v>
      </c>
      <c r="B7202" s="549">
        <f>VLOOKUP(A7202,'Equip, Herr y Transp'!$B$2:$E$738,2,0)</f>
        <v>2</v>
      </c>
      <c r="C7202" s="549"/>
      <c r="D7202" s="85">
        <f>VLOOKUP(A7202,'Equip, Herr y Transp'!$B$2:$E$217,2,0)</f>
        <v>2</v>
      </c>
      <c r="E7202" s="85" t="str">
        <f>VLOOKUP(A7202,'Equip, Herr y Transp'!$B$2:$E$217,3,0)</f>
        <v>EQU</v>
      </c>
      <c r="F7202" s="86">
        <f>H7191</f>
        <v>1.04E-2</v>
      </c>
      <c r="G7202" s="112" t="e">
        <f>F7202*E7202</f>
        <v>#VALUE!</v>
      </c>
      <c r="H7202" s="107"/>
    </row>
    <row r="7203" spans="1:15">
      <c r="A7203" s="517" t="s">
        <v>8</v>
      </c>
      <c r="B7203" s="549" t="e">
        <f>VLOOKUP(A7203,'Equip, Herr y Transp'!$B$2:$E$738,2,0)</f>
        <v>#N/A</v>
      </c>
      <c r="C7203" s="549"/>
      <c r="D7203" s="85" t="e">
        <f>VLOOKUP(A7203,'Equip, Herr y Transp'!$B$2:$E$217,2,0)</f>
        <v>#N/A</v>
      </c>
      <c r="E7203" s="85" t="e">
        <f>VLOOKUP(A7203,'Equip, Herr y Transp'!$B$2:$E$217,3,0)</f>
        <v>#N/A</v>
      </c>
      <c r="F7203" s="86">
        <f>H7191</f>
        <v>1.04E-2</v>
      </c>
      <c r="G7203" s="112" t="e">
        <f>F7203*E7203</f>
        <v>#N/A</v>
      </c>
      <c r="H7203" s="107"/>
    </row>
    <row r="7204" spans="1:15">
      <c r="A7204" s="517" t="s">
        <v>8</v>
      </c>
      <c r="B7204" s="549" t="e">
        <f>VLOOKUP(A7204,'Equip, Herr y Transp'!$B$2:$E$738,2,0)</f>
        <v>#N/A</v>
      </c>
      <c r="C7204" s="549"/>
      <c r="D7204" s="85" t="e">
        <f>VLOOKUP(A7204,'Equip, Herr y Transp'!$B$2:$E$217,2,0)</f>
        <v>#N/A</v>
      </c>
      <c r="E7204" s="85" t="e">
        <f>VLOOKUP(A7204,'Equip, Herr y Transp'!$B$2:$E$217,3,0)</f>
        <v>#N/A</v>
      </c>
      <c r="F7204" s="86">
        <f>H7191</f>
        <v>1.04E-2</v>
      </c>
      <c r="G7204" s="112" t="e">
        <f>F7204*E7204</f>
        <v>#N/A</v>
      </c>
      <c r="H7204" s="107"/>
    </row>
    <row r="7205" spans="1:15">
      <c r="A7205" s="520" t="s">
        <v>4099</v>
      </c>
      <c r="B7205" s="521"/>
      <c r="C7205" s="521"/>
      <c r="D7205" s="521"/>
      <c r="E7205" s="521"/>
      <c r="F7205" s="521"/>
      <c r="G7205" s="521"/>
      <c r="H7205" s="87" t="e">
        <f>SUM(G7201:G7204)</f>
        <v>#VALUE!</v>
      </c>
    </row>
    <row r="7206" spans="1:15">
      <c r="A7206" s="550" t="s">
        <v>4219</v>
      </c>
      <c r="B7206" s="551"/>
      <c r="C7206" s="551"/>
      <c r="D7206" s="551"/>
      <c r="E7206" s="551"/>
      <c r="F7206" s="551"/>
      <c r="G7206" s="551"/>
      <c r="H7206" s="552"/>
      <c r="K7206" s="50"/>
      <c r="L7206" s="50"/>
      <c r="M7206" s="50"/>
      <c r="N7206" s="50"/>
      <c r="O7206" s="50"/>
    </row>
    <row r="7207" spans="1:15" ht="30" customHeight="1">
      <c r="A7207" s="553" t="s">
        <v>7</v>
      </c>
      <c r="B7207" s="554"/>
      <c r="C7207" s="99" t="s">
        <v>0</v>
      </c>
      <c r="D7207" s="100" t="s">
        <v>4097</v>
      </c>
      <c r="E7207" s="101" t="s">
        <v>1</v>
      </c>
      <c r="F7207" s="555" t="s">
        <v>4207</v>
      </c>
      <c r="G7207" s="555"/>
      <c r="H7207" s="196"/>
      <c r="K7207" s="50"/>
      <c r="L7207" s="50"/>
      <c r="M7207" s="50"/>
      <c r="N7207" s="50"/>
      <c r="O7207" s="50"/>
    </row>
    <row r="7208" spans="1:15">
      <c r="A7208" s="535" t="s">
        <v>4446</v>
      </c>
      <c r="B7208" s="536"/>
      <c r="C7208" s="88">
        <f>VLOOKUP(A7208,'Materiales '!$C$2:$G$396,3,0)</f>
        <v>2</v>
      </c>
      <c r="D7208" s="89" t="str">
        <f>VLOOKUP(A7208,'Materiales '!$C$2:$G$396,4,0)</f>
        <v>Ml</v>
      </c>
      <c r="E7208" s="90">
        <v>1</v>
      </c>
      <c r="F7208" s="508" t="e">
        <f>E7208*D7208</f>
        <v>#VALUE!</v>
      </c>
      <c r="G7208" s="519"/>
      <c r="H7208" s="111"/>
      <c r="I7208">
        <f>E7208*G7198</f>
        <v>0</v>
      </c>
      <c r="J7208" s="57"/>
      <c r="K7208" s="50"/>
      <c r="L7208" s="50"/>
      <c r="M7208" s="50"/>
      <c r="N7208" s="50"/>
      <c r="O7208" s="50"/>
    </row>
    <row r="7209" spans="1:15">
      <c r="A7209" s="535" t="s">
        <v>8</v>
      </c>
      <c r="B7209" s="536"/>
      <c r="C7209" s="88">
        <f>VLOOKUP(A7209,'Materiales '!$C$2:$G$396,3,0)</f>
        <v>0</v>
      </c>
      <c r="D7209" s="89" t="str">
        <f>VLOOKUP(A7209,'Materiales '!$C$2:$G$396,4,0)</f>
        <v>-</v>
      </c>
      <c r="E7209" s="90">
        <f>3/25</f>
        <v>0.12</v>
      </c>
      <c r="F7209" s="508" t="e">
        <f t="shared" ref="F7209:F7215" si="421">E7209*D7209</f>
        <v>#VALUE!</v>
      </c>
      <c r="G7209" s="519"/>
      <c r="H7209" s="111"/>
      <c r="I7209">
        <f>E7209*G7198</f>
        <v>0</v>
      </c>
      <c r="J7209" s="57"/>
      <c r="K7209" s="50"/>
      <c r="L7209" s="50"/>
      <c r="M7209" s="50"/>
      <c r="N7209" s="50"/>
      <c r="O7209" s="50"/>
    </row>
    <row r="7210" spans="1:15">
      <c r="A7210" s="517" t="s">
        <v>8</v>
      </c>
      <c r="B7210" s="518">
        <f>VLOOKUP(A7210,'Materiales '!$C$2:$G$396,3,0)</f>
        <v>0</v>
      </c>
      <c r="C7210" s="88">
        <f>VLOOKUP(A7210,'Materiales '!$C$2:$G$396,3,0)</f>
        <v>0</v>
      </c>
      <c r="D7210" s="89" t="str">
        <f>VLOOKUP(A7210,'Materiales '!$C$2:$G$396,4,0)</f>
        <v>-</v>
      </c>
      <c r="E7210" s="90">
        <f>3/25</f>
        <v>0.12</v>
      </c>
      <c r="F7210" s="508" t="e">
        <f t="shared" si="421"/>
        <v>#VALUE!</v>
      </c>
      <c r="G7210" s="519"/>
      <c r="H7210" s="111"/>
      <c r="I7210">
        <f>E7210*G7198</f>
        <v>0</v>
      </c>
      <c r="J7210" s="58"/>
      <c r="K7210" s="50"/>
      <c r="L7210" s="50"/>
      <c r="M7210" s="50"/>
      <c r="N7210" s="50"/>
      <c r="O7210" s="50"/>
    </row>
    <row r="7211" spans="1:15">
      <c r="A7211" s="517" t="s">
        <v>8</v>
      </c>
      <c r="B7211" s="518">
        <f>VLOOKUP(A7211,'Materiales '!$C$2:$G$396,3,0)</f>
        <v>0</v>
      </c>
      <c r="C7211" s="88">
        <f>VLOOKUP(A7211,'Materiales '!$C$2:$G$396,3,0)</f>
        <v>0</v>
      </c>
      <c r="D7211" s="89" t="str">
        <f>VLOOKUP(A7211,'Materiales '!$C$2:$G$396,4,0)</f>
        <v>-</v>
      </c>
      <c r="E7211" s="90"/>
      <c r="F7211" s="508" t="e">
        <f t="shared" si="421"/>
        <v>#VALUE!</v>
      </c>
      <c r="G7211" s="519"/>
      <c r="H7211" s="111"/>
      <c r="I7211">
        <f>E7211*G7198</f>
        <v>0</v>
      </c>
      <c r="J7211" s="58"/>
      <c r="K7211" s="50"/>
      <c r="L7211" s="50"/>
      <c r="M7211" s="50"/>
      <c r="N7211" s="50"/>
      <c r="O7211" s="50"/>
    </row>
    <row r="7212" spans="1:15">
      <c r="A7212" s="517" t="s">
        <v>8</v>
      </c>
      <c r="B7212" s="518">
        <f>VLOOKUP(A7212,'Materiales '!$C$2:$G$396,3,0)</f>
        <v>0</v>
      </c>
      <c r="C7212" s="88">
        <f>VLOOKUP(A7212,'Materiales '!$C$2:$G$396,3,0)</f>
        <v>0</v>
      </c>
      <c r="D7212" s="89" t="str">
        <f>VLOOKUP(A7212,'Materiales '!$C$2:$G$396,4,0)</f>
        <v>-</v>
      </c>
      <c r="E7212" s="90"/>
      <c r="F7212" s="508" t="e">
        <f t="shared" si="421"/>
        <v>#VALUE!</v>
      </c>
      <c r="G7212" s="519"/>
      <c r="H7212" s="111"/>
      <c r="I7212">
        <f>E7212*G7198</f>
        <v>0</v>
      </c>
      <c r="J7212" s="58"/>
      <c r="K7212" s="50"/>
      <c r="L7212" s="50"/>
      <c r="M7212" s="50"/>
      <c r="N7212" s="50"/>
      <c r="O7212" s="50"/>
    </row>
    <row r="7213" spans="1:15">
      <c r="A7213" s="517" t="s">
        <v>8</v>
      </c>
      <c r="B7213" s="518">
        <f>VLOOKUP(A7213,'Materiales '!$C$2:$G$396,3,0)</f>
        <v>0</v>
      </c>
      <c r="C7213" s="88">
        <f>VLOOKUP(A7213,'Materiales '!$C$2:$G$396,3,0)</f>
        <v>0</v>
      </c>
      <c r="D7213" s="89" t="str">
        <f>VLOOKUP(A7213,'Materiales '!$C$2:$G$396,4,0)</f>
        <v>-</v>
      </c>
      <c r="E7213" s="90"/>
      <c r="F7213" s="508" t="e">
        <f t="shared" si="421"/>
        <v>#VALUE!</v>
      </c>
      <c r="G7213" s="519"/>
      <c r="H7213" s="111"/>
      <c r="I7213">
        <f>E7213*G7198</f>
        <v>0</v>
      </c>
      <c r="J7213" s="58"/>
      <c r="K7213" s="50"/>
      <c r="L7213" s="50"/>
      <c r="M7213" s="50"/>
      <c r="N7213" s="50"/>
      <c r="O7213" s="50"/>
    </row>
    <row r="7214" spans="1:15">
      <c r="A7214" s="517" t="s">
        <v>8</v>
      </c>
      <c r="B7214" s="518">
        <f>VLOOKUP(A7214,'Materiales '!$C$2:$G$396,3,0)</f>
        <v>0</v>
      </c>
      <c r="C7214" s="88">
        <f>VLOOKUP(A7214,'Materiales '!$C$2:$G$396,3,0)</f>
        <v>0</v>
      </c>
      <c r="D7214" s="89" t="str">
        <f>VLOOKUP(A7214,'Materiales '!$C$2:$G$396,4,0)</f>
        <v>-</v>
      </c>
      <c r="E7214" s="90"/>
      <c r="F7214" s="508" t="e">
        <f t="shared" si="421"/>
        <v>#VALUE!</v>
      </c>
      <c r="G7214" s="519"/>
      <c r="H7214" s="111"/>
      <c r="I7214">
        <f>E7214*G7198</f>
        <v>0</v>
      </c>
      <c r="J7214" s="58"/>
      <c r="K7214" s="50"/>
      <c r="L7214" s="50"/>
      <c r="M7214" s="50"/>
      <c r="N7214" s="50"/>
      <c r="O7214" s="50"/>
    </row>
    <row r="7215" spans="1:15" ht="21.75" customHeight="1">
      <c r="A7215" s="517" t="s">
        <v>8</v>
      </c>
      <c r="B7215" s="518">
        <f>VLOOKUP(A7215,'Materiales '!$C$2:$G$396,3,0)</f>
        <v>0</v>
      </c>
      <c r="C7215" s="88">
        <f>VLOOKUP(A7215,'Materiales '!$C$2:$G$396,3,0)</f>
        <v>0</v>
      </c>
      <c r="D7215" s="89" t="str">
        <f>VLOOKUP(A7215,'Materiales '!$C$2:$G$396,4,0)</f>
        <v>-</v>
      </c>
      <c r="E7215" s="90"/>
      <c r="F7215" s="508" t="e">
        <f t="shared" si="421"/>
        <v>#VALUE!</v>
      </c>
      <c r="G7215" s="519"/>
      <c r="H7215" s="111"/>
      <c r="I7215">
        <f>E7215*G7198</f>
        <v>0</v>
      </c>
      <c r="J7215" s="58"/>
      <c r="K7215" s="50"/>
      <c r="L7215" s="50"/>
      <c r="M7215" s="50"/>
      <c r="N7215" s="50"/>
      <c r="O7215" s="50"/>
    </row>
    <row r="7216" spans="1:15">
      <c r="A7216" s="517" t="s">
        <v>8</v>
      </c>
      <c r="B7216" s="518">
        <f>VLOOKUP(A7216,'Materiales '!$C$2:$G$396,3,0)</f>
        <v>0</v>
      </c>
      <c r="C7216" s="88">
        <f>VLOOKUP(A7216,'Materiales '!$C$2:$G$396,3,0)</f>
        <v>0</v>
      </c>
      <c r="D7216" s="89" t="str">
        <f>VLOOKUP(A7216,'Materiales '!$C$2:$G$396,4,0)</f>
        <v>-</v>
      </c>
      <c r="E7216" s="90"/>
      <c r="F7216" s="508" t="e">
        <f>E7216*D7216</f>
        <v>#VALUE!</v>
      </c>
      <c r="G7216" s="519"/>
      <c r="H7216" s="110"/>
      <c r="I7216">
        <f>E7216*G7198</f>
        <v>0</v>
      </c>
      <c r="J7216" s="58"/>
      <c r="K7216" s="50"/>
      <c r="L7216" s="50"/>
      <c r="M7216" s="50"/>
      <c r="N7216" s="50"/>
      <c r="O7216" s="50"/>
    </row>
    <row r="7217" spans="1:15">
      <c r="A7217" s="517" t="s">
        <v>8</v>
      </c>
      <c r="B7217" s="518">
        <f>VLOOKUP(A7217,'Materiales '!$C$2:$G$396,3,0)</f>
        <v>0</v>
      </c>
      <c r="C7217" s="88">
        <f>VLOOKUP(A7217,'Materiales '!$C$2:$G$396,3,0)</f>
        <v>0</v>
      </c>
      <c r="D7217" s="89" t="str">
        <f>VLOOKUP(A7217,'Materiales '!$C$2:$G$396,4,0)</f>
        <v>-</v>
      </c>
      <c r="E7217" s="90"/>
      <c r="F7217" s="508" t="e">
        <f t="shared" ref="F7217:F7220" si="422">E7217*D7217</f>
        <v>#VALUE!</v>
      </c>
      <c r="G7217" s="519"/>
      <c r="H7217" s="111"/>
      <c r="I7217">
        <f>E7217*G7198</f>
        <v>0</v>
      </c>
      <c r="J7217" s="58"/>
      <c r="K7217" s="50"/>
      <c r="L7217" s="50"/>
      <c r="M7217" s="50"/>
      <c r="N7217" s="50"/>
      <c r="O7217" s="50"/>
    </row>
    <row r="7218" spans="1:15">
      <c r="A7218" s="517" t="s">
        <v>8</v>
      </c>
      <c r="B7218" s="518">
        <f>VLOOKUP(A7218,'Materiales '!$C$2:$G$396,3,0)</f>
        <v>0</v>
      </c>
      <c r="C7218" s="88">
        <f>VLOOKUP(A7218,'Materiales '!$C$2:$G$396,3,0)</f>
        <v>0</v>
      </c>
      <c r="D7218" s="89" t="str">
        <f>VLOOKUP(A7218,'Materiales '!$C$2:$G$396,4,0)</f>
        <v>-</v>
      </c>
      <c r="E7218" s="90"/>
      <c r="F7218" s="508" t="e">
        <f t="shared" si="422"/>
        <v>#VALUE!</v>
      </c>
      <c r="G7218" s="519"/>
      <c r="H7218" s="111"/>
      <c r="I7218">
        <f>E7218*G7198</f>
        <v>0</v>
      </c>
      <c r="J7218" s="58"/>
      <c r="K7218" s="50"/>
      <c r="L7218" s="50"/>
      <c r="M7218" s="50"/>
      <c r="N7218" s="50"/>
      <c r="O7218" s="50"/>
    </row>
    <row r="7219" spans="1:15">
      <c r="A7219" s="517" t="s">
        <v>8</v>
      </c>
      <c r="B7219" s="518">
        <f>VLOOKUP(A7219,'Materiales '!$C$2:$G$396,3,0)</f>
        <v>0</v>
      </c>
      <c r="C7219" s="88">
        <f>VLOOKUP(A7219,'Materiales '!$C$2:$G$396,3,0)</f>
        <v>0</v>
      </c>
      <c r="D7219" s="89" t="str">
        <f>VLOOKUP(A7219,'Materiales '!$C$2:$G$396,4,0)</f>
        <v>-</v>
      </c>
      <c r="E7219" s="90"/>
      <c r="F7219" s="508" t="e">
        <f t="shared" si="422"/>
        <v>#VALUE!</v>
      </c>
      <c r="G7219" s="519"/>
      <c r="H7219" s="111"/>
      <c r="I7219">
        <f>E7219*G7198</f>
        <v>0</v>
      </c>
      <c r="J7219" s="58"/>
      <c r="K7219" s="50"/>
      <c r="L7219" s="50"/>
      <c r="M7219" s="50"/>
      <c r="N7219" s="50"/>
      <c r="O7219" s="50"/>
    </row>
    <row r="7220" spans="1:15">
      <c r="A7220" s="517" t="s">
        <v>8</v>
      </c>
      <c r="B7220" s="518">
        <f>VLOOKUP(A7220,'Materiales '!$C$2:$G$396,3,0)</f>
        <v>0</v>
      </c>
      <c r="C7220" s="88">
        <f>VLOOKUP(A7220,'Materiales '!$C$2:$G$396,3,0)</f>
        <v>0</v>
      </c>
      <c r="D7220" s="89" t="str">
        <f>VLOOKUP(A7220,'Materiales '!$C$2:$G$396,4,0)</f>
        <v>-</v>
      </c>
      <c r="E7220" s="90"/>
      <c r="F7220" s="508" t="e">
        <f t="shared" si="422"/>
        <v>#VALUE!</v>
      </c>
      <c r="G7220" s="519"/>
      <c r="H7220" s="111"/>
      <c r="I7220">
        <f>E7220*G7198</f>
        <v>0</v>
      </c>
      <c r="J7220" s="58"/>
      <c r="K7220" s="50"/>
      <c r="L7220" s="50"/>
      <c r="M7220" s="50"/>
      <c r="N7220" s="50"/>
      <c r="O7220" s="50"/>
    </row>
    <row r="7221" spans="1:15">
      <c r="A7221" s="517" t="s">
        <v>8</v>
      </c>
      <c r="B7221" s="518">
        <f>VLOOKUP(A7221,'Materiales '!$C$2:$G$396,3,0)</f>
        <v>0</v>
      </c>
      <c r="C7221" s="88">
        <f>VLOOKUP(A7221,'Materiales '!$C$2:$G$396,3,0)</f>
        <v>0</v>
      </c>
      <c r="D7221" s="89" t="str">
        <f>VLOOKUP(A7221,'Materiales '!$C$2:$G$396,4,0)</f>
        <v>-</v>
      </c>
      <c r="E7221" s="90"/>
      <c r="F7221" s="508" t="e">
        <f>E7221*D7221</f>
        <v>#VALUE!</v>
      </c>
      <c r="G7221" s="519"/>
      <c r="H7221" s="110"/>
      <c r="I7221">
        <f>E7221*G7198</f>
        <v>0</v>
      </c>
      <c r="J7221" s="58"/>
      <c r="K7221" s="50"/>
      <c r="L7221" s="50"/>
      <c r="M7221" s="50"/>
      <c r="N7221" s="50"/>
      <c r="O7221" s="50"/>
    </row>
    <row r="7222" spans="1:15">
      <c r="A7222" s="520" t="s">
        <v>4098</v>
      </c>
      <c r="B7222" s="521"/>
      <c r="C7222" s="521"/>
      <c r="D7222" s="521"/>
      <c r="E7222" s="521"/>
      <c r="F7222" s="521"/>
      <c r="G7222" s="522"/>
      <c r="H7222" s="106" t="e">
        <f>SUM(F7208:F7221)</f>
        <v>#VALUE!</v>
      </c>
      <c r="J7222" s="58"/>
      <c r="K7222" s="50"/>
      <c r="L7222" s="50"/>
      <c r="M7222" s="50"/>
      <c r="N7222" s="50"/>
      <c r="O7222" s="50"/>
    </row>
    <row r="7223" spans="1:15">
      <c r="A7223" s="523" t="s">
        <v>4220</v>
      </c>
      <c r="B7223" s="524"/>
      <c r="C7223" s="524"/>
      <c r="D7223" s="524"/>
      <c r="E7223" s="525"/>
      <c r="F7223" s="524"/>
      <c r="G7223" s="524"/>
      <c r="H7223" s="526"/>
      <c r="J7223" s="58"/>
      <c r="K7223" s="50"/>
      <c r="L7223" s="50"/>
      <c r="M7223" s="50"/>
      <c r="N7223" s="50"/>
      <c r="O7223" s="50"/>
    </row>
    <row r="7224" spans="1:15">
      <c r="A7224" s="527" t="s">
        <v>7</v>
      </c>
      <c r="B7224" s="528"/>
      <c r="C7224" s="98" t="s">
        <v>4221</v>
      </c>
      <c r="D7224" s="97" t="s">
        <v>4222</v>
      </c>
      <c r="E7224" s="187" t="s">
        <v>4223</v>
      </c>
      <c r="F7224" s="529" t="s">
        <v>4207</v>
      </c>
      <c r="G7224" s="529"/>
      <c r="H7224" s="109"/>
      <c r="K7224" s="50"/>
      <c r="L7224" s="50"/>
      <c r="M7224" s="50"/>
      <c r="N7224" s="50"/>
      <c r="O7224" s="50"/>
    </row>
    <row r="7225" spans="1:15">
      <c r="A7225" s="506" t="s">
        <v>3928</v>
      </c>
      <c r="B7225" s="507"/>
      <c r="C7225" s="213">
        <v>1</v>
      </c>
      <c r="D7225" s="92">
        <v>5.0000000000000001E-3</v>
      </c>
      <c r="E7225" s="93" t="str">
        <f>VLOOKUP(A7225,'Equip, Herr y Transp'!$B$2:$E$217,3,0)</f>
        <v>TR</v>
      </c>
      <c r="F7225" s="530" t="e">
        <f>E7225*D7225*C7225</f>
        <v>#VALUE!</v>
      </c>
      <c r="G7225" s="531"/>
      <c r="H7225" s="107"/>
      <c r="M7225" s="50"/>
    </row>
    <row r="7226" spans="1:15">
      <c r="A7226" s="532" t="s">
        <v>4205</v>
      </c>
      <c r="B7226" s="533"/>
      <c r="C7226" s="533"/>
      <c r="D7226" s="533"/>
      <c r="E7226" s="533"/>
      <c r="F7226" s="533"/>
      <c r="G7226" s="533"/>
      <c r="H7226" s="95" t="e">
        <f>F7225</f>
        <v>#VALUE!</v>
      </c>
    </row>
    <row r="7227" spans="1:15">
      <c r="A7227" s="523" t="s">
        <v>4224</v>
      </c>
      <c r="B7227" s="524"/>
      <c r="C7227" s="524"/>
      <c r="D7227" s="524"/>
      <c r="E7227" s="524"/>
      <c r="F7227" s="524"/>
      <c r="G7227" s="524"/>
      <c r="H7227" s="526"/>
    </row>
    <row r="7228" spans="1:15">
      <c r="A7228" s="527" t="s">
        <v>7</v>
      </c>
      <c r="B7228" s="528"/>
      <c r="C7228" s="96" t="s">
        <v>1</v>
      </c>
      <c r="D7228" s="97" t="s">
        <v>4225</v>
      </c>
      <c r="E7228" s="98" t="s">
        <v>4204</v>
      </c>
      <c r="F7228" s="527" t="s">
        <v>5</v>
      </c>
      <c r="G7228" s="534"/>
      <c r="H7228" s="109"/>
    </row>
    <row r="7229" spans="1:15">
      <c r="A7229" s="506" t="s">
        <v>4191</v>
      </c>
      <c r="B7229" s="507"/>
      <c r="C7229" s="91">
        <v>1</v>
      </c>
      <c r="D7229" s="94">
        <f>VLOOKUP(A7229,'Mano Obra'!$B$2:$T$117,19,0)</f>
        <v>152456</v>
      </c>
      <c r="E7229" s="218">
        <f>H7191</f>
        <v>1.04E-2</v>
      </c>
      <c r="F7229" s="508">
        <f>E7229*D7229*C7229</f>
        <v>1585.5423999999998</v>
      </c>
      <c r="G7229" s="509"/>
      <c r="H7229" s="111"/>
      <c r="I7229" s="59"/>
      <c r="J7229" s="117">
        <f>((('Mano Obra'!$M$4/30)*F7229)/D7229)*G7198</f>
        <v>0</v>
      </c>
    </row>
    <row r="7230" spans="1:15">
      <c r="A7230" s="510" t="s">
        <v>4192</v>
      </c>
      <c r="B7230" s="511">
        <f>VLOOKUP(A7230,'Mano Obra'!$B$3:$D$290,2,0)</f>
        <v>1900000</v>
      </c>
      <c r="C7230" s="91">
        <v>1</v>
      </c>
      <c r="D7230" s="94">
        <f>VLOOKUP(A7230,'Mano Obra'!$B$2:$T$117,19,0)</f>
        <v>110488</v>
      </c>
      <c r="E7230" s="218">
        <f>H7191</f>
        <v>1.04E-2</v>
      </c>
      <c r="F7230" s="508">
        <f t="shared" ref="F7230:F7231" si="423">E7230*D7230*C7230</f>
        <v>1149.0752</v>
      </c>
      <c r="G7230" s="509"/>
      <c r="H7230" s="111"/>
      <c r="J7230" s="117">
        <f>((('Mano Obra'!$M$5/30)*F7230)/D7230)*G7198</f>
        <v>0</v>
      </c>
    </row>
    <row r="7231" spans="1:15">
      <c r="A7231" s="510" t="s">
        <v>4181</v>
      </c>
      <c r="B7231" s="511">
        <f>VLOOKUP(A7231,'Mano Obra'!$B$3:$D$290,2,0)</f>
        <v>1000000</v>
      </c>
      <c r="C7231" s="91">
        <v>1</v>
      </c>
      <c r="D7231" s="94">
        <f>VLOOKUP(A7231,'Mano Obra'!$B$2:$T$117,19,0)</f>
        <v>67424</v>
      </c>
      <c r="E7231" s="218">
        <f>H7191</f>
        <v>1.04E-2</v>
      </c>
      <c r="F7231" s="508">
        <f t="shared" si="423"/>
        <v>701.20960000000002</v>
      </c>
      <c r="G7231" s="509"/>
      <c r="H7231" s="110"/>
      <c r="J7231" s="117">
        <f>((('Mano Obra'!$M$6/30)*F7231)/D7231)*G7198</f>
        <v>0</v>
      </c>
    </row>
    <row r="7232" spans="1:15">
      <c r="A7232" s="512" t="s">
        <v>4100</v>
      </c>
      <c r="B7232" s="512"/>
      <c r="C7232" s="512"/>
      <c r="D7232" s="512"/>
      <c r="E7232" s="512"/>
      <c r="F7232" s="512"/>
      <c r="G7232" s="512"/>
      <c r="H7232" s="95">
        <f>SUM(F7229:F7231)</f>
        <v>3435.8271999999997</v>
      </c>
      <c r="J7232" s="117"/>
    </row>
    <row r="7233" spans="1:14">
      <c r="A7233" s="208" t="s">
        <v>4226</v>
      </c>
      <c r="B7233" s="186"/>
      <c r="C7233" s="186"/>
      <c r="D7233" s="183"/>
      <c r="E7233" s="184"/>
      <c r="F7233" s="185"/>
      <c r="G7233" s="184"/>
      <c r="H7233" s="193"/>
    </row>
    <row r="7234" spans="1:14">
      <c r="A7234" s="513" t="s">
        <v>4213</v>
      </c>
      <c r="B7234" s="514"/>
      <c r="C7234" s="514"/>
      <c r="D7234" s="514"/>
      <c r="E7234" s="181"/>
      <c r="F7234" s="182" t="s">
        <v>4227</v>
      </c>
      <c r="G7234" s="181" t="s">
        <v>4228</v>
      </c>
      <c r="H7234" s="194"/>
    </row>
    <row r="7235" spans="1:14">
      <c r="A7235" s="204" t="s">
        <v>4096</v>
      </c>
      <c r="B7235" s="62"/>
      <c r="C7235" s="62"/>
      <c r="D7235" s="63"/>
      <c r="E7235" s="68"/>
      <c r="F7235" s="69">
        <v>0</v>
      </c>
      <c r="G7235" s="70" t="e">
        <f>F7235*H7199</f>
        <v>#VALUE!</v>
      </c>
      <c r="H7235" s="193"/>
    </row>
    <row r="7236" spans="1:14">
      <c r="A7236" s="205" t="s">
        <v>4229</v>
      </c>
      <c r="B7236" s="71"/>
      <c r="C7236" s="71"/>
      <c r="D7236" s="72"/>
      <c r="E7236" s="68"/>
      <c r="F7236" s="69">
        <v>0</v>
      </c>
      <c r="G7236" s="70" t="e">
        <f>F7236*H7199</f>
        <v>#VALUE!</v>
      </c>
      <c r="H7236" s="193"/>
    </row>
    <row r="7237" spans="1:14">
      <c r="A7237" s="205" t="s">
        <v>4</v>
      </c>
      <c r="B7237" s="71"/>
      <c r="C7237" s="71"/>
      <c r="D7237" s="72"/>
      <c r="E7237" s="68"/>
      <c r="F7237" s="69">
        <v>0</v>
      </c>
      <c r="G7237" s="70" t="e">
        <f>F7237*H7199</f>
        <v>#VALUE!</v>
      </c>
      <c r="H7237" s="193"/>
    </row>
    <row r="7238" spans="1:14">
      <c r="A7238" s="206"/>
      <c r="B7238" s="73"/>
      <c r="C7238" s="65"/>
      <c r="D7238" s="74"/>
      <c r="E7238" s="75"/>
      <c r="F7238" s="76"/>
      <c r="G7238" s="77"/>
      <c r="H7238" s="195"/>
    </row>
    <row r="7239" spans="1:14">
      <c r="A7239" s="207"/>
      <c r="B7239" s="73"/>
      <c r="C7239" s="73"/>
      <c r="D7239" s="74"/>
      <c r="E7239" s="78"/>
      <c r="F7239" s="515" t="s">
        <v>4230</v>
      </c>
      <c r="G7239" s="516"/>
      <c r="H7239" s="214" t="e">
        <f>H7199+G7235+G7236+G7237</f>
        <v>#VALUE!</v>
      </c>
    </row>
    <row r="7240" spans="1:14" ht="17.25" customHeight="1"/>
    <row r="7241" spans="1:14">
      <c r="A7241" s="80"/>
      <c r="B7241" s="80"/>
      <c r="C7241" s="80"/>
      <c r="D7241" s="80"/>
      <c r="E7241" s="80"/>
      <c r="F7241" s="80"/>
      <c r="G7241" s="80"/>
      <c r="H7241" s="353"/>
    </row>
    <row r="7242" spans="1:14">
      <c r="A7242" s="537" t="s">
        <v>4214</v>
      </c>
      <c r="B7242" s="538"/>
      <c r="C7242" s="538"/>
      <c r="D7242" s="538"/>
      <c r="E7242" s="538"/>
      <c r="F7242" s="538"/>
      <c r="G7242" s="538"/>
      <c r="H7242" s="539"/>
    </row>
    <row r="7243" spans="1:14">
      <c r="A7243" s="81"/>
      <c r="B7243" s="82"/>
      <c r="C7243" s="82"/>
      <c r="D7243" s="82"/>
      <c r="E7243" s="82"/>
      <c r="F7243" s="83"/>
      <c r="G7243" s="84"/>
      <c r="H7243" s="352">
        <f>ROUND((4/60)/8,4)</f>
        <v>8.3000000000000001E-3</v>
      </c>
      <c r="I7243" s="105"/>
    </row>
    <row r="7244" spans="1:14">
      <c r="A7244" s="540" t="s">
        <v>4209</v>
      </c>
      <c r="B7244" s="542" t="str">
        <f>COSTOS!$C$14</f>
        <v>MODERNIZACION A TECNOLOGIA LED</v>
      </c>
      <c r="C7244" s="542"/>
      <c r="D7244" s="542"/>
      <c r="E7244" s="542"/>
      <c r="F7244" s="542"/>
      <c r="G7244" s="542"/>
      <c r="H7244" s="543" t="s">
        <v>4210</v>
      </c>
    </row>
    <row r="7245" spans="1:14">
      <c r="A7245" s="541"/>
      <c r="B7245" s="542"/>
      <c r="C7245" s="542"/>
      <c r="D7245" s="542"/>
      <c r="E7245" s="542"/>
      <c r="F7245" s="542"/>
      <c r="G7245" s="542"/>
      <c r="H7245" s="543"/>
    </row>
    <row r="7246" spans="1:14">
      <c r="A7246" s="541"/>
      <c r="B7246" s="542"/>
      <c r="C7246" s="542"/>
      <c r="D7246" s="542"/>
      <c r="E7246" s="542"/>
      <c r="F7246" s="542"/>
      <c r="G7246" s="542"/>
      <c r="H7246" s="543"/>
    </row>
    <row r="7247" spans="1:14" ht="15" customHeight="1">
      <c r="A7247" s="541"/>
      <c r="B7247" s="542"/>
      <c r="C7247" s="542"/>
      <c r="D7247" s="542"/>
      <c r="E7247" s="542"/>
      <c r="F7247" s="542"/>
      <c r="G7247" s="542"/>
      <c r="H7247" s="197">
        <f ca="1">TODAY()</f>
        <v>44889</v>
      </c>
      <c r="K7247" t="s">
        <v>4380</v>
      </c>
      <c r="L7247" t="s">
        <v>4381</v>
      </c>
      <c r="M7247" t="s">
        <v>4382</v>
      </c>
      <c r="N7247" t="s">
        <v>4383</v>
      </c>
    </row>
    <row r="7248" spans="1:14" ht="60.75" customHeight="1">
      <c r="A7248" s="209" t="s">
        <v>4211</v>
      </c>
      <c r="B7248" s="544" t="str">
        <f>COSTOS!$D$16</f>
        <v>Luminarias</v>
      </c>
      <c r="C7248" s="544"/>
      <c r="D7248" s="544"/>
      <c r="E7248" s="544"/>
      <c r="F7248" s="544"/>
      <c r="G7248" s="60" t="s">
        <v>4212</v>
      </c>
      <c r="H7248" s="363">
        <v>3.33</v>
      </c>
      <c r="K7248" s="55" t="e">
        <f>H7274</f>
        <v>#VALUE!</v>
      </c>
      <c r="L7248" s="55">
        <f>H7284</f>
        <v>2742.0544</v>
      </c>
      <c r="M7248" s="55" t="e">
        <f>H7257</f>
        <v>#VALUE!</v>
      </c>
      <c r="N7248" s="55" t="e">
        <f>H7278</f>
        <v>#VALUE!</v>
      </c>
    </row>
    <row r="7249" spans="1:15" ht="43.2" customHeight="1">
      <c r="A7249" s="210" t="s">
        <v>4213</v>
      </c>
      <c r="B7249" s="545" t="str">
        <f>VLOOKUP(H7248,COSTOS!C:M,2,0)</f>
        <v>Red en cable encauchetado 2x14 x 500m</v>
      </c>
      <c r="C7249" s="546"/>
      <c r="D7249" s="546"/>
      <c r="E7249" s="547"/>
      <c r="F7249" s="61" t="s">
        <v>0</v>
      </c>
      <c r="G7249" s="328" t="str">
        <f>VLOOKUP(H7248,COSTOS!C:M,8,0)</f>
        <v>Und</v>
      </c>
      <c r="H7249" s="248"/>
      <c r="I7249" s="278"/>
      <c r="J7249" s="280"/>
      <c r="K7249" s="280"/>
      <c r="L7249" s="280"/>
    </row>
    <row r="7250" spans="1:15">
      <c r="A7250" s="211"/>
      <c r="B7250" s="102"/>
      <c r="C7250" s="102"/>
      <c r="D7250" s="102"/>
      <c r="E7250" s="103"/>
      <c r="F7250" s="104" t="s">
        <v>1</v>
      </c>
      <c r="G7250" s="328">
        <f>VLOOKUP(H7248,COSTOS!C:M,9,0)</f>
        <v>0</v>
      </c>
      <c r="H7250" s="329"/>
      <c r="I7250" s="279"/>
    </row>
    <row r="7251" spans="1:15">
      <c r="A7251" s="212" t="s">
        <v>4215</v>
      </c>
      <c r="B7251" s="65"/>
      <c r="C7251" s="65"/>
      <c r="D7251" s="66"/>
      <c r="E7251" s="190"/>
      <c r="F7251" s="191"/>
      <c r="G7251" s="192" t="s">
        <v>4216</v>
      </c>
      <c r="H7251" s="198" t="e">
        <f>H7257+H7274+H7278+H7284</f>
        <v>#VALUE!</v>
      </c>
    </row>
    <row r="7252" spans="1:15" ht="41.4">
      <c r="A7252" s="548" t="s">
        <v>4213</v>
      </c>
      <c r="B7252" s="548"/>
      <c r="C7252" s="548"/>
      <c r="D7252" s="67" t="s">
        <v>0</v>
      </c>
      <c r="E7252" s="188" t="s">
        <v>4217</v>
      </c>
      <c r="F7252" s="189" t="s">
        <v>4204</v>
      </c>
      <c r="G7252" s="64" t="s">
        <v>2</v>
      </c>
      <c r="H7252" s="199" t="s">
        <v>4218</v>
      </c>
      <c r="K7252" s="281"/>
    </row>
    <row r="7253" spans="1:15">
      <c r="A7253" s="517" t="s">
        <v>3946</v>
      </c>
      <c r="B7253" s="549">
        <f>VLOOKUP(A7253,'Equip, Herr y Transp'!$B$2:$E$738,2,0)</f>
        <v>2</v>
      </c>
      <c r="C7253" s="549"/>
      <c r="D7253" s="85">
        <f>VLOOKUP(A7253,'Equip, Herr y Transp'!$B$2:$E$217,2,0)</f>
        <v>2</v>
      </c>
      <c r="E7253" s="85" t="str">
        <f>VLOOKUP(A7253,'Equip, Herr y Transp'!$B$2:$E$217,3,0)</f>
        <v>EQU</v>
      </c>
      <c r="F7253" s="86">
        <f>H7243</f>
        <v>8.3000000000000001E-3</v>
      </c>
      <c r="G7253" s="112" t="e">
        <f>F7253*E7253</f>
        <v>#VALUE!</v>
      </c>
      <c r="H7253" s="108"/>
    </row>
    <row r="7254" spans="1:15">
      <c r="A7254" s="517" t="s">
        <v>3904</v>
      </c>
      <c r="B7254" s="549">
        <f>VLOOKUP(A7254,'Equip, Herr y Transp'!$B$2:$E$738,2,0)</f>
        <v>2</v>
      </c>
      <c r="C7254" s="549"/>
      <c r="D7254" s="85">
        <f>VLOOKUP(A7254,'Equip, Herr y Transp'!$B$2:$E$217,2,0)</f>
        <v>2</v>
      </c>
      <c r="E7254" s="85" t="str">
        <f>VLOOKUP(A7254,'Equip, Herr y Transp'!$B$2:$E$217,3,0)</f>
        <v>EQU</v>
      </c>
      <c r="F7254" s="86">
        <f>H7243</f>
        <v>8.3000000000000001E-3</v>
      </c>
      <c r="G7254" s="112" t="e">
        <f>F7254*E7254</f>
        <v>#VALUE!</v>
      </c>
      <c r="H7254" s="107"/>
    </row>
    <row r="7255" spans="1:15">
      <c r="A7255" s="517" t="s">
        <v>8</v>
      </c>
      <c r="B7255" s="549" t="e">
        <f>VLOOKUP(A7255,'Equip, Herr y Transp'!$B$2:$E$738,2,0)</f>
        <v>#N/A</v>
      </c>
      <c r="C7255" s="549"/>
      <c r="D7255" s="85" t="e">
        <f>VLOOKUP(A7255,'Equip, Herr y Transp'!$B$2:$E$217,2,0)</f>
        <v>#N/A</v>
      </c>
      <c r="E7255" s="85" t="e">
        <f>VLOOKUP(A7255,'Equip, Herr y Transp'!$B$2:$E$217,3,0)</f>
        <v>#N/A</v>
      </c>
      <c r="F7255" s="86">
        <f>H7243</f>
        <v>8.3000000000000001E-3</v>
      </c>
      <c r="G7255" s="112" t="e">
        <f>F7255*E7255</f>
        <v>#N/A</v>
      </c>
      <c r="H7255" s="107"/>
    </row>
    <row r="7256" spans="1:15">
      <c r="A7256" s="517" t="s">
        <v>8</v>
      </c>
      <c r="B7256" s="549" t="e">
        <f>VLOOKUP(A7256,'Equip, Herr y Transp'!$B$2:$E$738,2,0)</f>
        <v>#N/A</v>
      </c>
      <c r="C7256" s="549"/>
      <c r="D7256" s="85" t="e">
        <f>VLOOKUP(A7256,'Equip, Herr y Transp'!$B$2:$E$217,2,0)</f>
        <v>#N/A</v>
      </c>
      <c r="E7256" s="85" t="e">
        <f>VLOOKUP(A7256,'Equip, Herr y Transp'!$B$2:$E$217,3,0)</f>
        <v>#N/A</v>
      </c>
      <c r="F7256" s="86">
        <f>H7243</f>
        <v>8.3000000000000001E-3</v>
      </c>
      <c r="G7256" s="112" t="e">
        <f>F7256*E7256</f>
        <v>#N/A</v>
      </c>
      <c r="H7256" s="107"/>
    </row>
    <row r="7257" spans="1:15">
      <c r="A7257" s="520" t="s">
        <v>4099</v>
      </c>
      <c r="B7257" s="521"/>
      <c r="C7257" s="521"/>
      <c r="D7257" s="521"/>
      <c r="E7257" s="521"/>
      <c r="F7257" s="521"/>
      <c r="G7257" s="521"/>
      <c r="H7257" s="87" t="e">
        <f>SUM(G7253:G7256)</f>
        <v>#VALUE!</v>
      </c>
    </row>
    <row r="7258" spans="1:15">
      <c r="A7258" s="550" t="s">
        <v>4219</v>
      </c>
      <c r="B7258" s="551"/>
      <c r="C7258" s="551"/>
      <c r="D7258" s="551"/>
      <c r="E7258" s="551"/>
      <c r="F7258" s="551"/>
      <c r="G7258" s="551"/>
      <c r="H7258" s="552"/>
      <c r="K7258" s="50"/>
      <c r="L7258" s="50"/>
      <c r="M7258" s="50"/>
      <c r="N7258" s="50"/>
      <c r="O7258" s="50"/>
    </row>
    <row r="7259" spans="1:15" ht="30" customHeight="1">
      <c r="A7259" s="553" t="s">
        <v>7</v>
      </c>
      <c r="B7259" s="554"/>
      <c r="C7259" s="99" t="s">
        <v>0</v>
      </c>
      <c r="D7259" s="100" t="s">
        <v>4097</v>
      </c>
      <c r="E7259" s="101" t="s">
        <v>1</v>
      </c>
      <c r="F7259" s="555" t="s">
        <v>4207</v>
      </c>
      <c r="G7259" s="555"/>
      <c r="H7259" s="196"/>
      <c r="K7259" s="50"/>
      <c r="L7259" s="50"/>
      <c r="M7259" s="50"/>
      <c r="N7259" s="50"/>
      <c r="O7259" s="50"/>
    </row>
    <row r="7260" spans="1:15">
      <c r="A7260" s="535" t="s">
        <v>4798</v>
      </c>
      <c r="B7260" s="536"/>
      <c r="C7260" s="88">
        <f>VLOOKUP(A7260,'Materiales '!$C$2:$G$396,3,0)</f>
        <v>2</v>
      </c>
      <c r="D7260" s="89" t="str">
        <f>VLOOKUP(A7260,'Materiales '!$C$2:$G$396,4,0)</f>
        <v>Ml</v>
      </c>
      <c r="E7260" s="90">
        <v>1</v>
      </c>
      <c r="F7260" s="508" t="e">
        <f>E7260*D7260</f>
        <v>#VALUE!</v>
      </c>
      <c r="G7260" s="519"/>
      <c r="H7260" s="111"/>
      <c r="I7260">
        <f>E7260*G7250</f>
        <v>0</v>
      </c>
      <c r="J7260" s="57"/>
      <c r="K7260" s="50"/>
      <c r="L7260" s="50"/>
      <c r="M7260" s="50"/>
      <c r="N7260" s="50"/>
      <c r="O7260" s="50"/>
    </row>
    <row r="7261" spans="1:15">
      <c r="A7261" s="535" t="s">
        <v>8</v>
      </c>
      <c r="B7261" s="536"/>
      <c r="C7261" s="88">
        <f>VLOOKUP(A7261,'Materiales '!$C$2:$G$396,3,0)</f>
        <v>0</v>
      </c>
      <c r="D7261" s="89" t="str">
        <f>VLOOKUP(A7261,'Materiales '!$C$2:$G$396,4,0)</f>
        <v>-</v>
      </c>
      <c r="E7261" s="90">
        <f>3/25</f>
        <v>0.12</v>
      </c>
      <c r="F7261" s="508" t="e">
        <f t="shared" ref="F7261:F7267" si="424">E7261*D7261</f>
        <v>#VALUE!</v>
      </c>
      <c r="G7261" s="519"/>
      <c r="H7261" s="111"/>
      <c r="I7261">
        <f>E7261*G7250</f>
        <v>0</v>
      </c>
      <c r="J7261" s="57"/>
      <c r="K7261" s="50"/>
      <c r="L7261" s="50"/>
      <c r="M7261" s="50"/>
      <c r="N7261" s="50"/>
      <c r="O7261" s="50"/>
    </row>
    <row r="7262" spans="1:15">
      <c r="A7262" s="517" t="s">
        <v>8</v>
      </c>
      <c r="B7262" s="518">
        <f>VLOOKUP(A7262,'Materiales '!$C$2:$G$396,3,0)</f>
        <v>0</v>
      </c>
      <c r="C7262" s="88">
        <f>VLOOKUP(A7262,'Materiales '!$C$2:$G$396,3,0)</f>
        <v>0</v>
      </c>
      <c r="D7262" s="89" t="str">
        <f>VLOOKUP(A7262,'Materiales '!$C$2:$G$396,4,0)</f>
        <v>-</v>
      </c>
      <c r="E7262" s="90">
        <f>3/25</f>
        <v>0.12</v>
      </c>
      <c r="F7262" s="508" t="e">
        <f t="shared" si="424"/>
        <v>#VALUE!</v>
      </c>
      <c r="G7262" s="519"/>
      <c r="H7262" s="111"/>
      <c r="I7262">
        <f>E7262*G7250</f>
        <v>0</v>
      </c>
      <c r="J7262" s="58"/>
      <c r="K7262" s="50"/>
      <c r="L7262" s="50"/>
      <c r="M7262" s="50"/>
      <c r="N7262" s="50"/>
      <c r="O7262" s="50"/>
    </row>
    <row r="7263" spans="1:15">
      <c r="A7263" s="517" t="s">
        <v>8</v>
      </c>
      <c r="B7263" s="518">
        <f>VLOOKUP(A7263,'Materiales '!$C$2:$G$396,3,0)</f>
        <v>0</v>
      </c>
      <c r="C7263" s="88">
        <f>VLOOKUP(A7263,'Materiales '!$C$2:$G$396,3,0)</f>
        <v>0</v>
      </c>
      <c r="D7263" s="89" t="str">
        <f>VLOOKUP(A7263,'Materiales '!$C$2:$G$396,4,0)</f>
        <v>-</v>
      </c>
      <c r="E7263" s="90"/>
      <c r="F7263" s="508" t="e">
        <f t="shared" si="424"/>
        <v>#VALUE!</v>
      </c>
      <c r="G7263" s="519"/>
      <c r="H7263" s="111"/>
      <c r="I7263">
        <f>E7263*G7250</f>
        <v>0</v>
      </c>
      <c r="J7263" s="58"/>
      <c r="K7263" s="50"/>
      <c r="L7263" s="50"/>
      <c r="M7263" s="50"/>
      <c r="N7263" s="50"/>
      <c r="O7263" s="50"/>
    </row>
    <row r="7264" spans="1:15">
      <c r="A7264" s="517" t="s">
        <v>8</v>
      </c>
      <c r="B7264" s="518">
        <f>VLOOKUP(A7264,'Materiales '!$C$2:$G$396,3,0)</f>
        <v>0</v>
      </c>
      <c r="C7264" s="88">
        <f>VLOOKUP(A7264,'Materiales '!$C$2:$G$396,3,0)</f>
        <v>0</v>
      </c>
      <c r="D7264" s="89" t="str">
        <f>VLOOKUP(A7264,'Materiales '!$C$2:$G$396,4,0)</f>
        <v>-</v>
      </c>
      <c r="E7264" s="90"/>
      <c r="F7264" s="508" t="e">
        <f t="shared" si="424"/>
        <v>#VALUE!</v>
      </c>
      <c r="G7264" s="519"/>
      <c r="H7264" s="111"/>
      <c r="I7264">
        <f>E7264*G7250</f>
        <v>0</v>
      </c>
      <c r="J7264" s="58"/>
      <c r="K7264" s="50"/>
      <c r="L7264" s="50"/>
      <c r="M7264" s="50"/>
      <c r="N7264" s="50"/>
      <c r="O7264" s="50"/>
    </row>
    <row r="7265" spans="1:15">
      <c r="A7265" s="517" t="s">
        <v>8</v>
      </c>
      <c r="B7265" s="518">
        <f>VLOOKUP(A7265,'Materiales '!$C$2:$G$396,3,0)</f>
        <v>0</v>
      </c>
      <c r="C7265" s="88">
        <f>VLOOKUP(A7265,'Materiales '!$C$2:$G$396,3,0)</f>
        <v>0</v>
      </c>
      <c r="D7265" s="89" t="str">
        <f>VLOOKUP(A7265,'Materiales '!$C$2:$G$396,4,0)</f>
        <v>-</v>
      </c>
      <c r="E7265" s="90"/>
      <c r="F7265" s="508" t="e">
        <f t="shared" si="424"/>
        <v>#VALUE!</v>
      </c>
      <c r="G7265" s="519"/>
      <c r="H7265" s="111"/>
      <c r="I7265">
        <f>E7265*G7250</f>
        <v>0</v>
      </c>
      <c r="J7265" s="58"/>
      <c r="K7265" s="50"/>
      <c r="L7265" s="50"/>
      <c r="M7265" s="50"/>
      <c r="N7265" s="50"/>
      <c r="O7265" s="50"/>
    </row>
    <row r="7266" spans="1:15">
      <c r="A7266" s="517" t="s">
        <v>8</v>
      </c>
      <c r="B7266" s="518">
        <f>VLOOKUP(A7266,'Materiales '!$C$2:$G$396,3,0)</f>
        <v>0</v>
      </c>
      <c r="C7266" s="88">
        <f>VLOOKUP(A7266,'Materiales '!$C$2:$G$396,3,0)</f>
        <v>0</v>
      </c>
      <c r="D7266" s="89" t="str">
        <f>VLOOKUP(A7266,'Materiales '!$C$2:$G$396,4,0)</f>
        <v>-</v>
      </c>
      <c r="E7266" s="90"/>
      <c r="F7266" s="508" t="e">
        <f t="shared" si="424"/>
        <v>#VALUE!</v>
      </c>
      <c r="G7266" s="519"/>
      <c r="H7266" s="111"/>
      <c r="I7266">
        <f>E7266*G7250</f>
        <v>0</v>
      </c>
      <c r="J7266" s="58"/>
      <c r="K7266" s="50"/>
      <c r="L7266" s="50"/>
      <c r="M7266" s="50"/>
      <c r="N7266" s="50"/>
      <c r="O7266" s="50"/>
    </row>
    <row r="7267" spans="1:15" ht="21.75" customHeight="1">
      <c r="A7267" s="517" t="s">
        <v>8</v>
      </c>
      <c r="B7267" s="518">
        <f>VLOOKUP(A7267,'Materiales '!$C$2:$G$396,3,0)</f>
        <v>0</v>
      </c>
      <c r="C7267" s="88">
        <f>VLOOKUP(A7267,'Materiales '!$C$2:$G$396,3,0)</f>
        <v>0</v>
      </c>
      <c r="D7267" s="89" t="str">
        <f>VLOOKUP(A7267,'Materiales '!$C$2:$G$396,4,0)</f>
        <v>-</v>
      </c>
      <c r="E7267" s="90"/>
      <c r="F7267" s="508" t="e">
        <f t="shared" si="424"/>
        <v>#VALUE!</v>
      </c>
      <c r="G7267" s="519"/>
      <c r="H7267" s="111"/>
      <c r="I7267">
        <f>E7267*G7250</f>
        <v>0</v>
      </c>
      <c r="J7267" s="58"/>
      <c r="K7267" s="50"/>
      <c r="L7267" s="50"/>
      <c r="M7267" s="50"/>
      <c r="N7267" s="50"/>
      <c r="O7267" s="50"/>
    </row>
    <row r="7268" spans="1:15">
      <c r="A7268" s="517" t="s">
        <v>8</v>
      </c>
      <c r="B7268" s="518">
        <f>VLOOKUP(A7268,'Materiales '!$C$2:$G$396,3,0)</f>
        <v>0</v>
      </c>
      <c r="C7268" s="88">
        <f>VLOOKUP(A7268,'Materiales '!$C$2:$G$396,3,0)</f>
        <v>0</v>
      </c>
      <c r="D7268" s="89" t="str">
        <f>VLOOKUP(A7268,'Materiales '!$C$2:$G$396,4,0)</f>
        <v>-</v>
      </c>
      <c r="E7268" s="90"/>
      <c r="F7268" s="508" t="e">
        <f>E7268*D7268</f>
        <v>#VALUE!</v>
      </c>
      <c r="G7268" s="519"/>
      <c r="H7268" s="110"/>
      <c r="I7268">
        <f>E7268*G7250</f>
        <v>0</v>
      </c>
      <c r="J7268" s="58"/>
      <c r="K7268" s="50"/>
      <c r="L7268" s="50"/>
      <c r="M7268" s="50"/>
      <c r="N7268" s="50"/>
      <c r="O7268" s="50"/>
    </row>
    <row r="7269" spans="1:15">
      <c r="A7269" s="517" t="s">
        <v>8</v>
      </c>
      <c r="B7269" s="518">
        <f>VLOOKUP(A7269,'Materiales '!$C$2:$G$396,3,0)</f>
        <v>0</v>
      </c>
      <c r="C7269" s="88">
        <f>VLOOKUP(A7269,'Materiales '!$C$2:$G$396,3,0)</f>
        <v>0</v>
      </c>
      <c r="D7269" s="89" t="str">
        <f>VLOOKUP(A7269,'Materiales '!$C$2:$G$396,4,0)</f>
        <v>-</v>
      </c>
      <c r="E7269" s="90"/>
      <c r="F7269" s="508" t="e">
        <f t="shared" ref="F7269:F7272" si="425">E7269*D7269</f>
        <v>#VALUE!</v>
      </c>
      <c r="G7269" s="519"/>
      <c r="H7269" s="111"/>
      <c r="I7269">
        <f>E7269*G7250</f>
        <v>0</v>
      </c>
      <c r="J7269" s="58"/>
      <c r="K7269" s="50"/>
      <c r="L7269" s="50"/>
      <c r="M7269" s="50"/>
      <c r="N7269" s="50"/>
      <c r="O7269" s="50"/>
    </row>
    <row r="7270" spans="1:15">
      <c r="A7270" s="517" t="s">
        <v>8</v>
      </c>
      <c r="B7270" s="518">
        <f>VLOOKUP(A7270,'Materiales '!$C$2:$G$396,3,0)</f>
        <v>0</v>
      </c>
      <c r="C7270" s="88">
        <f>VLOOKUP(A7270,'Materiales '!$C$2:$G$396,3,0)</f>
        <v>0</v>
      </c>
      <c r="D7270" s="89" t="str">
        <f>VLOOKUP(A7270,'Materiales '!$C$2:$G$396,4,0)</f>
        <v>-</v>
      </c>
      <c r="E7270" s="90"/>
      <c r="F7270" s="508" t="e">
        <f t="shared" si="425"/>
        <v>#VALUE!</v>
      </c>
      <c r="G7270" s="519"/>
      <c r="H7270" s="111"/>
      <c r="I7270">
        <f>E7270*G7250</f>
        <v>0</v>
      </c>
      <c r="J7270" s="58"/>
      <c r="K7270" s="50"/>
      <c r="L7270" s="50"/>
      <c r="M7270" s="50"/>
      <c r="N7270" s="50"/>
      <c r="O7270" s="50"/>
    </row>
    <row r="7271" spans="1:15">
      <c r="A7271" s="517" t="s">
        <v>8</v>
      </c>
      <c r="B7271" s="518">
        <f>VLOOKUP(A7271,'Materiales '!$C$2:$G$396,3,0)</f>
        <v>0</v>
      </c>
      <c r="C7271" s="88">
        <f>VLOOKUP(A7271,'Materiales '!$C$2:$G$396,3,0)</f>
        <v>0</v>
      </c>
      <c r="D7271" s="89" t="str">
        <f>VLOOKUP(A7271,'Materiales '!$C$2:$G$396,4,0)</f>
        <v>-</v>
      </c>
      <c r="E7271" s="90"/>
      <c r="F7271" s="508" t="e">
        <f t="shared" si="425"/>
        <v>#VALUE!</v>
      </c>
      <c r="G7271" s="519"/>
      <c r="H7271" s="111"/>
      <c r="I7271">
        <f>E7271*G7250</f>
        <v>0</v>
      </c>
      <c r="J7271" s="58"/>
      <c r="K7271" s="50"/>
      <c r="L7271" s="50"/>
      <c r="M7271" s="50"/>
      <c r="N7271" s="50"/>
      <c r="O7271" s="50"/>
    </row>
    <row r="7272" spans="1:15">
      <c r="A7272" s="517" t="s">
        <v>8</v>
      </c>
      <c r="B7272" s="518">
        <f>VLOOKUP(A7272,'Materiales '!$C$2:$G$396,3,0)</f>
        <v>0</v>
      </c>
      <c r="C7272" s="88">
        <f>VLOOKUP(A7272,'Materiales '!$C$2:$G$396,3,0)</f>
        <v>0</v>
      </c>
      <c r="D7272" s="89" t="str">
        <f>VLOOKUP(A7272,'Materiales '!$C$2:$G$396,4,0)</f>
        <v>-</v>
      </c>
      <c r="E7272" s="90"/>
      <c r="F7272" s="508" t="e">
        <f t="shared" si="425"/>
        <v>#VALUE!</v>
      </c>
      <c r="G7272" s="519"/>
      <c r="H7272" s="111"/>
      <c r="I7272">
        <f>E7272*G7250</f>
        <v>0</v>
      </c>
      <c r="J7272" s="58"/>
      <c r="K7272" s="50"/>
      <c r="L7272" s="50"/>
      <c r="M7272" s="50"/>
      <c r="N7272" s="50"/>
      <c r="O7272" s="50"/>
    </row>
    <row r="7273" spans="1:15">
      <c r="A7273" s="517" t="s">
        <v>8</v>
      </c>
      <c r="B7273" s="518">
        <f>VLOOKUP(A7273,'Materiales '!$C$2:$G$396,3,0)</f>
        <v>0</v>
      </c>
      <c r="C7273" s="88">
        <f>VLOOKUP(A7273,'Materiales '!$C$2:$G$396,3,0)</f>
        <v>0</v>
      </c>
      <c r="D7273" s="89" t="str">
        <f>VLOOKUP(A7273,'Materiales '!$C$2:$G$396,4,0)</f>
        <v>-</v>
      </c>
      <c r="E7273" s="90"/>
      <c r="F7273" s="508" t="e">
        <f>E7273*D7273</f>
        <v>#VALUE!</v>
      </c>
      <c r="G7273" s="519"/>
      <c r="H7273" s="110"/>
      <c r="I7273">
        <f>E7273*G7250</f>
        <v>0</v>
      </c>
      <c r="J7273" s="58"/>
      <c r="K7273" s="50"/>
      <c r="L7273" s="50"/>
      <c r="M7273" s="50"/>
      <c r="N7273" s="50"/>
      <c r="O7273" s="50"/>
    </row>
    <row r="7274" spans="1:15">
      <c r="A7274" s="520" t="s">
        <v>4098</v>
      </c>
      <c r="B7274" s="521"/>
      <c r="C7274" s="521"/>
      <c r="D7274" s="521"/>
      <c r="E7274" s="521"/>
      <c r="F7274" s="521"/>
      <c r="G7274" s="522"/>
      <c r="H7274" s="106" t="e">
        <f>SUM(F7260:F7273)</f>
        <v>#VALUE!</v>
      </c>
      <c r="J7274" s="58"/>
      <c r="K7274" s="50"/>
      <c r="L7274" s="50"/>
      <c r="M7274" s="50"/>
      <c r="N7274" s="50"/>
      <c r="O7274" s="50"/>
    </row>
    <row r="7275" spans="1:15">
      <c r="A7275" s="523" t="s">
        <v>4220</v>
      </c>
      <c r="B7275" s="524"/>
      <c r="C7275" s="524"/>
      <c r="D7275" s="524"/>
      <c r="E7275" s="525"/>
      <c r="F7275" s="524"/>
      <c r="G7275" s="524"/>
      <c r="H7275" s="526"/>
      <c r="J7275" s="58"/>
      <c r="K7275" s="50"/>
      <c r="L7275" s="50"/>
      <c r="M7275" s="50"/>
      <c r="N7275" s="50"/>
      <c r="O7275" s="50"/>
    </row>
    <row r="7276" spans="1:15">
      <c r="A7276" s="527" t="s">
        <v>7</v>
      </c>
      <c r="B7276" s="528"/>
      <c r="C7276" s="98" t="s">
        <v>4221</v>
      </c>
      <c r="D7276" s="97" t="s">
        <v>4222</v>
      </c>
      <c r="E7276" s="187" t="s">
        <v>4223</v>
      </c>
      <c r="F7276" s="529" t="s">
        <v>4207</v>
      </c>
      <c r="G7276" s="529"/>
      <c r="H7276" s="109"/>
      <c r="K7276" s="50"/>
      <c r="L7276" s="50"/>
      <c r="M7276" s="50"/>
      <c r="N7276" s="50"/>
      <c r="O7276" s="50"/>
    </row>
    <row r="7277" spans="1:15">
      <c r="A7277" s="506" t="s">
        <v>3928</v>
      </c>
      <c r="B7277" s="507"/>
      <c r="C7277" s="213">
        <v>1</v>
      </c>
      <c r="D7277" s="92">
        <v>5.0000000000000001E-3</v>
      </c>
      <c r="E7277" s="93" t="str">
        <f>VLOOKUP(A7277,'Equip, Herr y Transp'!$B$2:$E$217,3,0)</f>
        <v>TR</v>
      </c>
      <c r="F7277" s="530" t="e">
        <f>E7277*D7277*C7277</f>
        <v>#VALUE!</v>
      </c>
      <c r="G7277" s="531"/>
      <c r="H7277" s="107"/>
      <c r="M7277" s="50"/>
    </row>
    <row r="7278" spans="1:15">
      <c r="A7278" s="532" t="s">
        <v>4205</v>
      </c>
      <c r="B7278" s="533"/>
      <c r="C7278" s="533"/>
      <c r="D7278" s="533"/>
      <c r="E7278" s="533"/>
      <c r="F7278" s="533"/>
      <c r="G7278" s="533"/>
      <c r="H7278" s="95" t="e">
        <f>F7277</f>
        <v>#VALUE!</v>
      </c>
    </row>
    <row r="7279" spans="1:15">
      <c r="A7279" s="523" t="s">
        <v>4224</v>
      </c>
      <c r="B7279" s="524"/>
      <c r="C7279" s="524"/>
      <c r="D7279" s="524"/>
      <c r="E7279" s="524"/>
      <c r="F7279" s="524"/>
      <c r="G7279" s="524"/>
      <c r="H7279" s="526"/>
    </row>
    <row r="7280" spans="1:15">
      <c r="A7280" s="527" t="s">
        <v>7</v>
      </c>
      <c r="B7280" s="528"/>
      <c r="C7280" s="96" t="s">
        <v>1</v>
      </c>
      <c r="D7280" s="97" t="s">
        <v>4225</v>
      </c>
      <c r="E7280" s="98" t="s">
        <v>4204</v>
      </c>
      <c r="F7280" s="527" t="s">
        <v>5</v>
      </c>
      <c r="G7280" s="534"/>
      <c r="H7280" s="109"/>
    </row>
    <row r="7281" spans="1:10">
      <c r="A7281" s="506" t="s">
        <v>4191</v>
      </c>
      <c r="B7281" s="507"/>
      <c r="C7281" s="91">
        <v>1</v>
      </c>
      <c r="D7281" s="94">
        <f>VLOOKUP(A7281,'Mano Obra'!$B$2:$T$117,19,0)</f>
        <v>152456</v>
      </c>
      <c r="E7281" s="218">
        <f>H7243</f>
        <v>8.3000000000000001E-3</v>
      </c>
      <c r="F7281" s="508">
        <f>E7281*D7281*C7281</f>
        <v>1265.3848</v>
      </c>
      <c r="G7281" s="509"/>
      <c r="H7281" s="111"/>
      <c r="I7281" s="59"/>
      <c r="J7281" s="117">
        <f>((('Mano Obra'!$M$4/30)*F7281)/D7281)*G7250</f>
        <v>0</v>
      </c>
    </row>
    <row r="7282" spans="1:10">
      <c r="A7282" s="510" t="s">
        <v>4192</v>
      </c>
      <c r="B7282" s="511">
        <f>VLOOKUP(A7282,'Mano Obra'!$B$3:$D$290,2,0)</f>
        <v>1900000</v>
      </c>
      <c r="C7282" s="91">
        <v>1</v>
      </c>
      <c r="D7282" s="94">
        <f>VLOOKUP(A7282,'Mano Obra'!$B$2:$T$117,19,0)</f>
        <v>110488</v>
      </c>
      <c r="E7282" s="218">
        <f>H7243</f>
        <v>8.3000000000000001E-3</v>
      </c>
      <c r="F7282" s="508">
        <f t="shared" ref="F7282:F7283" si="426">E7282*D7282*C7282</f>
        <v>917.05039999999997</v>
      </c>
      <c r="G7282" s="509"/>
      <c r="H7282" s="111"/>
      <c r="J7282" s="117">
        <f>((('Mano Obra'!$M$5/30)*F7282)/D7282)*G7250</f>
        <v>0</v>
      </c>
    </row>
    <row r="7283" spans="1:10">
      <c r="A7283" s="510" t="s">
        <v>4181</v>
      </c>
      <c r="B7283" s="511">
        <f>VLOOKUP(A7283,'Mano Obra'!$B$3:$D$290,2,0)</f>
        <v>1000000</v>
      </c>
      <c r="C7283" s="91">
        <v>1</v>
      </c>
      <c r="D7283" s="94">
        <f>VLOOKUP(A7283,'Mano Obra'!$B$2:$T$117,19,0)</f>
        <v>67424</v>
      </c>
      <c r="E7283" s="218">
        <f>H7243</f>
        <v>8.3000000000000001E-3</v>
      </c>
      <c r="F7283" s="508">
        <f t="shared" si="426"/>
        <v>559.61919999999998</v>
      </c>
      <c r="G7283" s="509"/>
      <c r="H7283" s="110"/>
      <c r="J7283" s="117">
        <f>((('Mano Obra'!$M$6/30)*F7283)/D7283)*G7250</f>
        <v>0</v>
      </c>
    </row>
    <row r="7284" spans="1:10">
      <c r="A7284" s="512" t="s">
        <v>4100</v>
      </c>
      <c r="B7284" s="512"/>
      <c r="C7284" s="512"/>
      <c r="D7284" s="512"/>
      <c r="E7284" s="512"/>
      <c r="F7284" s="512"/>
      <c r="G7284" s="512"/>
      <c r="H7284" s="95">
        <f>SUM(F7281:F7283)</f>
        <v>2742.0544</v>
      </c>
      <c r="J7284" s="117"/>
    </row>
    <row r="7285" spans="1:10">
      <c r="A7285" s="208" t="s">
        <v>4226</v>
      </c>
      <c r="B7285" s="186"/>
      <c r="C7285" s="186"/>
      <c r="D7285" s="183"/>
      <c r="E7285" s="184"/>
      <c r="F7285" s="185"/>
      <c r="G7285" s="184"/>
      <c r="H7285" s="193"/>
    </row>
    <row r="7286" spans="1:10">
      <c r="A7286" s="513" t="s">
        <v>4213</v>
      </c>
      <c r="B7286" s="514"/>
      <c r="C7286" s="514"/>
      <c r="D7286" s="514"/>
      <c r="E7286" s="181"/>
      <c r="F7286" s="182" t="s">
        <v>4227</v>
      </c>
      <c r="G7286" s="181" t="s">
        <v>4228</v>
      </c>
      <c r="H7286" s="194"/>
    </row>
    <row r="7287" spans="1:10">
      <c r="A7287" s="204" t="s">
        <v>4096</v>
      </c>
      <c r="B7287" s="62"/>
      <c r="C7287" s="62"/>
      <c r="D7287" s="63"/>
      <c r="E7287" s="68"/>
      <c r="F7287" s="69">
        <v>0</v>
      </c>
      <c r="G7287" s="70" t="e">
        <f>F7287*H7251</f>
        <v>#VALUE!</v>
      </c>
      <c r="H7287" s="193"/>
    </row>
    <row r="7288" spans="1:10">
      <c r="A7288" s="205" t="s">
        <v>4229</v>
      </c>
      <c r="B7288" s="71"/>
      <c r="C7288" s="71"/>
      <c r="D7288" s="72"/>
      <c r="E7288" s="68"/>
      <c r="F7288" s="69">
        <v>0</v>
      </c>
      <c r="G7288" s="70" t="e">
        <f>F7288*H7251</f>
        <v>#VALUE!</v>
      </c>
      <c r="H7288" s="193"/>
    </row>
    <row r="7289" spans="1:10">
      <c r="A7289" s="205" t="s">
        <v>4</v>
      </c>
      <c r="B7289" s="71"/>
      <c r="C7289" s="71"/>
      <c r="D7289" s="72"/>
      <c r="E7289" s="68"/>
      <c r="F7289" s="69">
        <v>0</v>
      </c>
      <c r="G7289" s="70" t="e">
        <f>F7289*H7251</f>
        <v>#VALUE!</v>
      </c>
      <c r="H7289" s="193"/>
    </row>
    <row r="7290" spans="1:10">
      <c r="A7290" s="206"/>
      <c r="B7290" s="73"/>
      <c r="C7290" s="65"/>
      <c r="D7290" s="74"/>
      <c r="E7290" s="75"/>
      <c r="F7290" s="76"/>
      <c r="G7290" s="77"/>
      <c r="H7290" s="195"/>
    </row>
    <row r="7291" spans="1:10">
      <c r="A7291" s="207"/>
      <c r="B7291" s="73"/>
      <c r="C7291" s="73"/>
      <c r="D7291" s="74"/>
      <c r="E7291" s="78"/>
      <c r="F7291" s="515" t="s">
        <v>4230</v>
      </c>
      <c r="G7291" s="516"/>
      <c r="H7291" s="214" t="e">
        <f>H7251+G7287+G7288+G7289</f>
        <v>#VALUE!</v>
      </c>
    </row>
    <row r="7292" spans="1:10">
      <c r="A7292" s="73"/>
      <c r="B7292" s="73"/>
      <c r="C7292" s="73"/>
      <c r="D7292" s="74"/>
      <c r="E7292" s="360"/>
      <c r="F7292" s="361"/>
      <c r="G7292" s="361"/>
      <c r="H7292" s="362"/>
    </row>
    <row r="7293" spans="1:10">
      <c r="A7293" s="80"/>
      <c r="B7293" s="80"/>
      <c r="C7293" s="80"/>
      <c r="D7293" s="80"/>
      <c r="E7293" s="80"/>
      <c r="F7293" s="80"/>
      <c r="G7293" s="80"/>
      <c r="H7293" s="353"/>
    </row>
    <row r="7294" spans="1:10">
      <c r="A7294" s="537" t="s">
        <v>4214</v>
      </c>
      <c r="B7294" s="538"/>
      <c r="C7294" s="538"/>
      <c r="D7294" s="538"/>
      <c r="E7294" s="538"/>
      <c r="F7294" s="538"/>
      <c r="G7294" s="538"/>
      <c r="H7294" s="539"/>
    </row>
    <row r="7295" spans="1:10">
      <c r="A7295" s="81"/>
      <c r="B7295" s="82"/>
      <c r="C7295" s="82"/>
      <c r="D7295" s="82"/>
      <c r="E7295" s="82"/>
      <c r="F7295" s="83"/>
      <c r="G7295" s="84"/>
      <c r="H7295" s="352">
        <f>ROUND((15/60)/8,4)</f>
        <v>3.1300000000000001E-2</v>
      </c>
      <c r="I7295" s="105"/>
    </row>
    <row r="7296" spans="1:10">
      <c r="A7296" s="540" t="s">
        <v>4209</v>
      </c>
      <c r="B7296" s="542" t="str">
        <f>COSTOS!$C$14</f>
        <v>MODERNIZACION A TECNOLOGIA LED</v>
      </c>
      <c r="C7296" s="542"/>
      <c r="D7296" s="542"/>
      <c r="E7296" s="542"/>
      <c r="F7296" s="542"/>
      <c r="G7296" s="542"/>
      <c r="H7296" s="543" t="s">
        <v>4210</v>
      </c>
    </row>
    <row r="7297" spans="1:15">
      <c r="A7297" s="541"/>
      <c r="B7297" s="542"/>
      <c r="C7297" s="542"/>
      <c r="D7297" s="542"/>
      <c r="E7297" s="542"/>
      <c r="F7297" s="542"/>
      <c r="G7297" s="542"/>
      <c r="H7297" s="543"/>
    </row>
    <row r="7298" spans="1:15">
      <c r="A7298" s="541"/>
      <c r="B7298" s="542"/>
      <c r="C7298" s="542"/>
      <c r="D7298" s="542"/>
      <c r="E7298" s="542"/>
      <c r="F7298" s="542"/>
      <c r="G7298" s="542"/>
      <c r="H7298" s="543"/>
    </row>
    <row r="7299" spans="1:15" ht="15" customHeight="1">
      <c r="A7299" s="541"/>
      <c r="B7299" s="542"/>
      <c r="C7299" s="542"/>
      <c r="D7299" s="542"/>
      <c r="E7299" s="542"/>
      <c r="F7299" s="542"/>
      <c r="G7299" s="542"/>
      <c r="H7299" s="197">
        <f ca="1">TODAY()</f>
        <v>44889</v>
      </c>
      <c r="K7299" t="s">
        <v>4380</v>
      </c>
      <c r="L7299" t="s">
        <v>4381</v>
      </c>
      <c r="M7299" t="s">
        <v>4382</v>
      </c>
      <c r="N7299" t="s">
        <v>4383</v>
      </c>
    </row>
    <row r="7300" spans="1:15" ht="60.75" customHeight="1">
      <c r="A7300" s="209" t="s">
        <v>4211</v>
      </c>
      <c r="B7300" s="544" t="str">
        <f>COSTOS!$D$16</f>
        <v>Luminarias</v>
      </c>
      <c r="C7300" s="544"/>
      <c r="D7300" s="544"/>
      <c r="E7300" s="544"/>
      <c r="F7300" s="544"/>
      <c r="G7300" s="60" t="s">
        <v>4212</v>
      </c>
      <c r="H7300" s="363">
        <v>3.34</v>
      </c>
      <c r="K7300" s="55" t="e">
        <f>H7326</f>
        <v>#VALUE!</v>
      </c>
      <c r="L7300" s="55">
        <f>H7336</f>
        <v>10340.518399999999</v>
      </c>
      <c r="M7300" s="55" t="e">
        <f>H7309</f>
        <v>#VALUE!</v>
      </c>
      <c r="N7300" s="55" t="e">
        <f>H7330</f>
        <v>#VALUE!</v>
      </c>
    </row>
    <row r="7301" spans="1:15" ht="43.2" customHeight="1">
      <c r="A7301" s="210" t="s">
        <v>4213</v>
      </c>
      <c r="B7301" s="545" t="str">
        <f>VLOOKUP(H7300,COSTOS!C:M,2,0)</f>
        <v>Red aerea en ASCR No 4x2 AWG x 500m</v>
      </c>
      <c r="C7301" s="546"/>
      <c r="D7301" s="546"/>
      <c r="E7301" s="547"/>
      <c r="F7301" s="61" t="s">
        <v>0</v>
      </c>
      <c r="G7301" s="328" t="str">
        <f>VLOOKUP(H7300,COSTOS!C:M,8,0)</f>
        <v>Und</v>
      </c>
      <c r="H7301" s="248"/>
      <c r="I7301" s="278"/>
      <c r="J7301" s="280"/>
      <c r="K7301" s="280"/>
      <c r="L7301" s="280"/>
    </row>
    <row r="7302" spans="1:15">
      <c r="A7302" s="211"/>
      <c r="B7302" s="102"/>
      <c r="C7302" s="102"/>
      <c r="D7302" s="102"/>
      <c r="E7302" s="103"/>
      <c r="F7302" s="104" t="s">
        <v>1</v>
      </c>
      <c r="G7302" s="328">
        <f>VLOOKUP(H7300,COSTOS!C:M,9,0)</f>
        <v>0</v>
      </c>
      <c r="H7302" s="329"/>
      <c r="I7302" s="279"/>
    </row>
    <row r="7303" spans="1:15">
      <c r="A7303" s="212" t="s">
        <v>4215</v>
      </c>
      <c r="B7303" s="65"/>
      <c r="C7303" s="65"/>
      <c r="D7303" s="66"/>
      <c r="E7303" s="190"/>
      <c r="F7303" s="191"/>
      <c r="G7303" s="192" t="s">
        <v>4216</v>
      </c>
      <c r="H7303" s="198" t="e">
        <f>H7309+H7326+H7330+H7336</f>
        <v>#VALUE!</v>
      </c>
    </row>
    <row r="7304" spans="1:15" ht="41.4">
      <c r="A7304" s="548" t="s">
        <v>4213</v>
      </c>
      <c r="B7304" s="548"/>
      <c r="C7304" s="548"/>
      <c r="D7304" s="67" t="s">
        <v>0</v>
      </c>
      <c r="E7304" s="188" t="s">
        <v>4217</v>
      </c>
      <c r="F7304" s="189" t="s">
        <v>4204</v>
      </c>
      <c r="G7304" s="64" t="s">
        <v>2</v>
      </c>
      <c r="H7304" s="199" t="s">
        <v>4218</v>
      </c>
      <c r="K7304" s="281"/>
    </row>
    <row r="7305" spans="1:15">
      <c r="A7305" s="517" t="s">
        <v>3946</v>
      </c>
      <c r="B7305" s="549">
        <f>VLOOKUP(A7305,'Equip, Herr y Transp'!$B$2:$E$738,2,0)</f>
        <v>2</v>
      </c>
      <c r="C7305" s="549"/>
      <c r="D7305" s="85">
        <f>VLOOKUP(A7305,'Equip, Herr y Transp'!$B$2:$E$217,2,0)</f>
        <v>2</v>
      </c>
      <c r="E7305" s="85" t="str">
        <f>VLOOKUP(A7305,'Equip, Herr y Transp'!$B$2:$E$217,3,0)</f>
        <v>EQU</v>
      </c>
      <c r="F7305" s="86">
        <f>H7295</f>
        <v>3.1300000000000001E-2</v>
      </c>
      <c r="G7305" s="112" t="e">
        <f>F7305*E7305</f>
        <v>#VALUE!</v>
      </c>
      <c r="H7305" s="108"/>
    </row>
    <row r="7306" spans="1:15">
      <c r="A7306" s="517" t="s">
        <v>3904</v>
      </c>
      <c r="B7306" s="549">
        <f>VLOOKUP(A7306,'Equip, Herr y Transp'!$B$2:$E$738,2,0)</f>
        <v>2</v>
      </c>
      <c r="C7306" s="549"/>
      <c r="D7306" s="85">
        <f>VLOOKUP(A7306,'Equip, Herr y Transp'!$B$2:$E$217,2,0)</f>
        <v>2</v>
      </c>
      <c r="E7306" s="85" t="str">
        <f>VLOOKUP(A7306,'Equip, Herr y Transp'!$B$2:$E$217,3,0)</f>
        <v>EQU</v>
      </c>
      <c r="F7306" s="86">
        <f>H7295</f>
        <v>3.1300000000000001E-2</v>
      </c>
      <c r="G7306" s="112" t="e">
        <f>F7306*E7306</f>
        <v>#VALUE!</v>
      </c>
      <c r="H7306" s="107"/>
    </row>
    <row r="7307" spans="1:15">
      <c r="A7307" s="517" t="s">
        <v>8</v>
      </c>
      <c r="B7307" s="549" t="e">
        <f>VLOOKUP(A7307,'Equip, Herr y Transp'!$B$2:$E$738,2,0)</f>
        <v>#N/A</v>
      </c>
      <c r="C7307" s="549"/>
      <c r="D7307" s="85" t="e">
        <f>VLOOKUP(A7307,'Equip, Herr y Transp'!$B$2:$E$217,2,0)</f>
        <v>#N/A</v>
      </c>
      <c r="E7307" s="85" t="e">
        <f>VLOOKUP(A7307,'Equip, Herr y Transp'!$B$2:$E$217,3,0)</f>
        <v>#N/A</v>
      </c>
      <c r="F7307" s="86">
        <f>H7295</f>
        <v>3.1300000000000001E-2</v>
      </c>
      <c r="G7307" s="112" t="e">
        <f>F7307*E7307</f>
        <v>#N/A</v>
      </c>
      <c r="H7307" s="107"/>
    </row>
    <row r="7308" spans="1:15">
      <c r="A7308" s="517" t="s">
        <v>8</v>
      </c>
      <c r="B7308" s="549" t="e">
        <f>VLOOKUP(A7308,'Equip, Herr y Transp'!$B$2:$E$738,2,0)</f>
        <v>#N/A</v>
      </c>
      <c r="C7308" s="549"/>
      <c r="D7308" s="85" t="e">
        <f>VLOOKUP(A7308,'Equip, Herr y Transp'!$B$2:$E$217,2,0)</f>
        <v>#N/A</v>
      </c>
      <c r="E7308" s="85" t="e">
        <f>VLOOKUP(A7308,'Equip, Herr y Transp'!$B$2:$E$217,3,0)</f>
        <v>#N/A</v>
      </c>
      <c r="F7308" s="86">
        <f>H7295</f>
        <v>3.1300000000000001E-2</v>
      </c>
      <c r="G7308" s="112" t="e">
        <f>F7308*E7308</f>
        <v>#N/A</v>
      </c>
      <c r="H7308" s="107"/>
    </row>
    <row r="7309" spans="1:15">
      <c r="A7309" s="520" t="s">
        <v>4099</v>
      </c>
      <c r="B7309" s="521"/>
      <c r="C7309" s="521"/>
      <c r="D7309" s="521"/>
      <c r="E7309" s="521"/>
      <c r="F7309" s="521"/>
      <c r="G7309" s="521"/>
      <c r="H7309" s="87" t="e">
        <f>SUM(G7305:G7308)</f>
        <v>#VALUE!</v>
      </c>
    </row>
    <row r="7310" spans="1:15">
      <c r="A7310" s="550" t="s">
        <v>4219</v>
      </c>
      <c r="B7310" s="551"/>
      <c r="C7310" s="551"/>
      <c r="D7310" s="551"/>
      <c r="E7310" s="551"/>
      <c r="F7310" s="551"/>
      <c r="G7310" s="551"/>
      <c r="H7310" s="552"/>
      <c r="K7310" s="50"/>
      <c r="L7310" s="50"/>
      <c r="M7310" s="50"/>
      <c r="N7310" s="50"/>
      <c r="O7310" s="50"/>
    </row>
    <row r="7311" spans="1:15" ht="30" customHeight="1">
      <c r="A7311" s="553" t="s">
        <v>7</v>
      </c>
      <c r="B7311" s="554"/>
      <c r="C7311" s="99" t="s">
        <v>0</v>
      </c>
      <c r="D7311" s="100" t="s">
        <v>4097</v>
      </c>
      <c r="E7311" s="101" t="s">
        <v>1</v>
      </c>
      <c r="F7311" s="555" t="s">
        <v>4207</v>
      </c>
      <c r="G7311" s="555"/>
      <c r="H7311" s="196"/>
      <c r="K7311" s="50"/>
      <c r="L7311" s="50"/>
      <c r="M7311" s="50"/>
      <c r="N7311" s="50"/>
      <c r="O7311" s="50"/>
    </row>
    <row r="7312" spans="1:15">
      <c r="A7312" s="535" t="s">
        <v>4429</v>
      </c>
      <c r="B7312" s="536"/>
      <c r="C7312" s="88">
        <f>VLOOKUP(A7312,'Materiales '!$C$2:$G$396,3,0)</f>
        <v>2</v>
      </c>
      <c r="D7312" s="89" t="str">
        <f>VLOOKUP(A7312,'Materiales '!$C$2:$G$396,4,0)</f>
        <v>Ml</v>
      </c>
      <c r="E7312" s="90">
        <v>4</v>
      </c>
      <c r="F7312" s="508" t="e">
        <f>E7312*D7312</f>
        <v>#VALUE!</v>
      </c>
      <c r="G7312" s="519"/>
      <c r="H7312" s="111"/>
      <c r="I7312">
        <f>E7312*G7302</f>
        <v>0</v>
      </c>
      <c r="J7312" s="57"/>
      <c r="K7312" s="50"/>
      <c r="L7312" s="50"/>
      <c r="M7312" s="50"/>
      <c r="N7312" s="50"/>
      <c r="O7312" s="50"/>
    </row>
    <row r="7313" spans="1:15">
      <c r="A7313" s="535" t="s">
        <v>4406</v>
      </c>
      <c r="B7313" s="536"/>
      <c r="C7313" s="88">
        <f>VLOOKUP(A7313,'Materiales '!$C$2:$G$396,3,0)</f>
        <v>4</v>
      </c>
      <c r="D7313" s="89" t="str">
        <f>VLOOKUP(A7313,'Materiales '!$C$2:$G$396,4,0)</f>
        <v>Und</v>
      </c>
      <c r="E7313" s="90">
        <f>4/25</f>
        <v>0.16</v>
      </c>
      <c r="F7313" s="508" t="e">
        <f t="shared" ref="F7313:F7319" si="427">E7313*D7313</f>
        <v>#VALUE!</v>
      </c>
      <c r="G7313" s="519"/>
      <c r="H7313" s="111"/>
      <c r="I7313">
        <f>E7313*G7302</f>
        <v>0</v>
      </c>
      <c r="J7313" s="57"/>
      <c r="K7313" s="50"/>
      <c r="L7313" s="50"/>
      <c r="M7313" s="50"/>
      <c r="N7313" s="50"/>
      <c r="O7313" s="50"/>
    </row>
    <row r="7314" spans="1:15">
      <c r="A7314" s="517" t="s">
        <v>4542</v>
      </c>
      <c r="B7314" s="518">
        <f>VLOOKUP(A7314,'Materiales '!$C$2:$G$396,3,0)</f>
        <v>4</v>
      </c>
      <c r="C7314" s="88">
        <f>VLOOKUP(A7314,'Materiales '!$C$2:$G$396,3,0)</f>
        <v>4</v>
      </c>
      <c r="D7314" s="89" t="str">
        <f>VLOOKUP(A7314,'Materiales '!$C$2:$G$396,4,0)</f>
        <v>Und</v>
      </c>
      <c r="E7314" s="90">
        <f>E7313</f>
        <v>0.16</v>
      </c>
      <c r="F7314" s="508" t="e">
        <f t="shared" si="427"/>
        <v>#VALUE!</v>
      </c>
      <c r="G7314" s="519"/>
      <c r="H7314" s="111"/>
      <c r="I7314">
        <f>E7314*G7302</f>
        <v>0</v>
      </c>
      <c r="J7314" s="58"/>
      <c r="K7314" s="50"/>
      <c r="L7314" s="50"/>
      <c r="M7314" s="50"/>
      <c r="N7314" s="50"/>
      <c r="O7314" s="50"/>
    </row>
    <row r="7315" spans="1:15">
      <c r="A7315" s="517" t="s">
        <v>4463</v>
      </c>
      <c r="B7315" s="518">
        <f>VLOOKUP(A7315,'Materiales '!$C$2:$G$396,3,0)</f>
        <v>2</v>
      </c>
      <c r="C7315" s="88">
        <f>VLOOKUP(A7315,'Materiales '!$C$2:$G$396,3,0)</f>
        <v>2</v>
      </c>
      <c r="D7315" s="89" t="str">
        <f>VLOOKUP(A7315,'Materiales '!$C$2:$G$396,4,0)</f>
        <v>Ml</v>
      </c>
      <c r="E7315" s="90">
        <f>E7314</f>
        <v>0.16</v>
      </c>
      <c r="F7315" s="508" t="e">
        <f t="shared" si="427"/>
        <v>#VALUE!</v>
      </c>
      <c r="G7315" s="519"/>
      <c r="H7315" s="111"/>
      <c r="I7315">
        <f>E7315*G7302</f>
        <v>0</v>
      </c>
      <c r="J7315" s="58"/>
      <c r="K7315" s="50"/>
      <c r="L7315" s="50"/>
      <c r="M7315" s="50"/>
      <c r="N7315" s="50"/>
      <c r="O7315" s="50"/>
    </row>
    <row r="7316" spans="1:15">
      <c r="A7316" s="517" t="s">
        <v>4528</v>
      </c>
      <c r="B7316" s="518">
        <f>VLOOKUP(A7316,'Materiales '!$C$2:$G$396,3,0)</f>
        <v>4</v>
      </c>
      <c r="C7316" s="88">
        <f>VLOOKUP(A7316,'Materiales '!$C$2:$G$396,3,0)</f>
        <v>4</v>
      </c>
      <c r="D7316" s="89" t="str">
        <f>VLOOKUP(A7316,'Materiales '!$C$2:$G$396,4,0)</f>
        <v>Und</v>
      </c>
      <c r="E7316" s="90">
        <f>E7315</f>
        <v>0.16</v>
      </c>
      <c r="F7316" s="508" t="e">
        <f t="shared" si="427"/>
        <v>#VALUE!</v>
      </c>
      <c r="G7316" s="519"/>
      <c r="H7316" s="111"/>
      <c r="I7316">
        <f>E7316*G7302</f>
        <v>0</v>
      </c>
      <c r="J7316" s="58"/>
      <c r="K7316" s="50"/>
      <c r="L7316" s="50"/>
      <c r="M7316" s="50"/>
      <c r="N7316" s="50"/>
      <c r="O7316" s="50"/>
    </row>
    <row r="7317" spans="1:15">
      <c r="A7317" s="517" t="s">
        <v>8</v>
      </c>
      <c r="B7317" s="518">
        <f>VLOOKUP(A7317,'Materiales '!$C$2:$G$396,3,0)</f>
        <v>0</v>
      </c>
      <c r="C7317" s="88">
        <f>VLOOKUP(A7317,'Materiales '!$C$2:$G$396,3,0)</f>
        <v>0</v>
      </c>
      <c r="D7317" s="89" t="str">
        <f>VLOOKUP(A7317,'Materiales '!$C$2:$G$396,4,0)</f>
        <v>-</v>
      </c>
      <c r="E7317" s="90"/>
      <c r="F7317" s="508" t="e">
        <f t="shared" si="427"/>
        <v>#VALUE!</v>
      </c>
      <c r="G7317" s="519"/>
      <c r="H7317" s="111"/>
      <c r="I7317">
        <f>E7317*G7302</f>
        <v>0</v>
      </c>
      <c r="J7317" s="58"/>
      <c r="K7317" s="50"/>
      <c r="L7317" s="50"/>
      <c r="M7317" s="50"/>
      <c r="N7317" s="50"/>
      <c r="O7317" s="50"/>
    </row>
    <row r="7318" spans="1:15">
      <c r="A7318" s="517" t="s">
        <v>8</v>
      </c>
      <c r="B7318" s="518">
        <f>VLOOKUP(A7318,'Materiales '!$C$2:$G$396,3,0)</f>
        <v>0</v>
      </c>
      <c r="C7318" s="88">
        <f>VLOOKUP(A7318,'Materiales '!$C$2:$G$396,3,0)</f>
        <v>0</v>
      </c>
      <c r="D7318" s="89" t="str">
        <f>VLOOKUP(A7318,'Materiales '!$C$2:$G$396,4,0)</f>
        <v>-</v>
      </c>
      <c r="E7318" s="90"/>
      <c r="F7318" s="508" t="e">
        <f t="shared" si="427"/>
        <v>#VALUE!</v>
      </c>
      <c r="G7318" s="519"/>
      <c r="H7318" s="111"/>
      <c r="I7318">
        <f>E7318*G7302</f>
        <v>0</v>
      </c>
      <c r="J7318" s="58"/>
      <c r="K7318" s="50"/>
      <c r="L7318" s="50"/>
      <c r="M7318" s="50"/>
      <c r="N7318" s="50"/>
      <c r="O7318" s="50"/>
    </row>
    <row r="7319" spans="1:15" ht="21.75" customHeight="1">
      <c r="A7319" s="517" t="s">
        <v>8</v>
      </c>
      <c r="B7319" s="518">
        <f>VLOOKUP(A7319,'Materiales '!$C$2:$G$396,3,0)</f>
        <v>0</v>
      </c>
      <c r="C7319" s="88">
        <f>VLOOKUP(A7319,'Materiales '!$C$2:$G$396,3,0)</f>
        <v>0</v>
      </c>
      <c r="D7319" s="89" t="str">
        <f>VLOOKUP(A7319,'Materiales '!$C$2:$G$396,4,0)</f>
        <v>-</v>
      </c>
      <c r="E7319" s="90"/>
      <c r="F7319" s="508" t="e">
        <f t="shared" si="427"/>
        <v>#VALUE!</v>
      </c>
      <c r="G7319" s="519"/>
      <c r="H7319" s="111"/>
      <c r="I7319">
        <f>E7319*G7302</f>
        <v>0</v>
      </c>
      <c r="J7319" s="58"/>
      <c r="K7319" s="50"/>
      <c r="L7319" s="50"/>
      <c r="M7319" s="50"/>
      <c r="N7319" s="50"/>
      <c r="O7319" s="50"/>
    </row>
    <row r="7320" spans="1:15">
      <c r="A7320" s="517" t="s">
        <v>8</v>
      </c>
      <c r="B7320" s="518">
        <f>VLOOKUP(A7320,'Materiales '!$C$2:$G$396,3,0)</f>
        <v>0</v>
      </c>
      <c r="C7320" s="88">
        <f>VLOOKUP(A7320,'Materiales '!$C$2:$G$396,3,0)</f>
        <v>0</v>
      </c>
      <c r="D7320" s="89" t="str">
        <f>VLOOKUP(A7320,'Materiales '!$C$2:$G$396,4,0)</f>
        <v>-</v>
      </c>
      <c r="E7320" s="90"/>
      <c r="F7320" s="508" t="e">
        <f>E7320*D7320</f>
        <v>#VALUE!</v>
      </c>
      <c r="G7320" s="519"/>
      <c r="H7320" s="110"/>
      <c r="I7320">
        <f>E7320*G7302</f>
        <v>0</v>
      </c>
      <c r="J7320" s="58"/>
      <c r="K7320" s="50"/>
      <c r="L7320" s="50"/>
      <c r="M7320" s="50"/>
      <c r="N7320" s="50"/>
      <c r="O7320" s="50"/>
    </row>
    <row r="7321" spans="1:15">
      <c r="A7321" s="517" t="s">
        <v>8</v>
      </c>
      <c r="B7321" s="518">
        <f>VLOOKUP(A7321,'Materiales '!$C$2:$G$396,3,0)</f>
        <v>0</v>
      </c>
      <c r="C7321" s="88">
        <f>VLOOKUP(A7321,'Materiales '!$C$2:$G$396,3,0)</f>
        <v>0</v>
      </c>
      <c r="D7321" s="89" t="str">
        <f>VLOOKUP(A7321,'Materiales '!$C$2:$G$396,4,0)</f>
        <v>-</v>
      </c>
      <c r="E7321" s="90"/>
      <c r="F7321" s="508" t="e">
        <f t="shared" ref="F7321:F7324" si="428">E7321*D7321</f>
        <v>#VALUE!</v>
      </c>
      <c r="G7321" s="519"/>
      <c r="H7321" s="111"/>
      <c r="I7321">
        <f>E7321*G7302</f>
        <v>0</v>
      </c>
      <c r="J7321" s="58"/>
      <c r="K7321" s="50"/>
      <c r="L7321" s="50"/>
      <c r="M7321" s="50"/>
      <c r="N7321" s="50"/>
      <c r="O7321" s="50"/>
    </row>
    <row r="7322" spans="1:15">
      <c r="A7322" s="517" t="s">
        <v>8</v>
      </c>
      <c r="B7322" s="518">
        <f>VLOOKUP(A7322,'Materiales '!$C$2:$G$396,3,0)</f>
        <v>0</v>
      </c>
      <c r="C7322" s="88">
        <f>VLOOKUP(A7322,'Materiales '!$C$2:$G$396,3,0)</f>
        <v>0</v>
      </c>
      <c r="D7322" s="89" t="str">
        <f>VLOOKUP(A7322,'Materiales '!$C$2:$G$396,4,0)</f>
        <v>-</v>
      </c>
      <c r="E7322" s="90"/>
      <c r="F7322" s="508" t="e">
        <f t="shared" si="428"/>
        <v>#VALUE!</v>
      </c>
      <c r="G7322" s="519"/>
      <c r="H7322" s="111"/>
      <c r="I7322">
        <f>E7322*G7302</f>
        <v>0</v>
      </c>
      <c r="J7322" s="58"/>
      <c r="K7322" s="50"/>
      <c r="L7322" s="50"/>
      <c r="M7322" s="50"/>
      <c r="N7322" s="50"/>
      <c r="O7322" s="50"/>
    </row>
    <row r="7323" spans="1:15">
      <c r="A7323" s="517" t="s">
        <v>8</v>
      </c>
      <c r="B7323" s="518">
        <f>VLOOKUP(A7323,'Materiales '!$C$2:$G$396,3,0)</f>
        <v>0</v>
      </c>
      <c r="C7323" s="88">
        <f>VLOOKUP(A7323,'Materiales '!$C$2:$G$396,3,0)</f>
        <v>0</v>
      </c>
      <c r="D7323" s="89" t="str">
        <f>VLOOKUP(A7323,'Materiales '!$C$2:$G$396,4,0)</f>
        <v>-</v>
      </c>
      <c r="E7323" s="90"/>
      <c r="F7323" s="508" t="e">
        <f t="shared" si="428"/>
        <v>#VALUE!</v>
      </c>
      <c r="G7323" s="519"/>
      <c r="H7323" s="111"/>
      <c r="I7323">
        <f>E7323*G7302</f>
        <v>0</v>
      </c>
      <c r="J7323" s="58"/>
      <c r="K7323" s="50"/>
      <c r="L7323" s="50"/>
      <c r="M7323" s="50"/>
      <c r="N7323" s="50"/>
      <c r="O7323" s="50"/>
    </row>
    <row r="7324" spans="1:15">
      <c r="A7324" s="517" t="s">
        <v>8</v>
      </c>
      <c r="B7324" s="518">
        <f>VLOOKUP(A7324,'Materiales '!$C$2:$G$396,3,0)</f>
        <v>0</v>
      </c>
      <c r="C7324" s="88">
        <f>VLOOKUP(A7324,'Materiales '!$C$2:$G$396,3,0)</f>
        <v>0</v>
      </c>
      <c r="D7324" s="89" t="str">
        <f>VLOOKUP(A7324,'Materiales '!$C$2:$G$396,4,0)</f>
        <v>-</v>
      </c>
      <c r="E7324" s="90"/>
      <c r="F7324" s="508" t="e">
        <f t="shared" si="428"/>
        <v>#VALUE!</v>
      </c>
      <c r="G7324" s="519"/>
      <c r="H7324" s="111"/>
      <c r="I7324">
        <f>E7324*G7302</f>
        <v>0</v>
      </c>
      <c r="J7324" s="58"/>
      <c r="K7324" s="50"/>
      <c r="L7324" s="50"/>
      <c r="M7324" s="50"/>
      <c r="N7324" s="50"/>
      <c r="O7324" s="50"/>
    </row>
    <row r="7325" spans="1:15">
      <c r="A7325" s="517" t="s">
        <v>8</v>
      </c>
      <c r="B7325" s="518">
        <f>VLOOKUP(A7325,'Materiales '!$C$2:$G$396,3,0)</f>
        <v>0</v>
      </c>
      <c r="C7325" s="88">
        <f>VLOOKUP(A7325,'Materiales '!$C$2:$G$396,3,0)</f>
        <v>0</v>
      </c>
      <c r="D7325" s="89" t="str">
        <f>VLOOKUP(A7325,'Materiales '!$C$2:$G$396,4,0)</f>
        <v>-</v>
      </c>
      <c r="E7325" s="90"/>
      <c r="F7325" s="508" t="e">
        <f>E7325*D7325</f>
        <v>#VALUE!</v>
      </c>
      <c r="G7325" s="519"/>
      <c r="H7325" s="110"/>
      <c r="I7325">
        <f>E7325*G7302</f>
        <v>0</v>
      </c>
      <c r="J7325" s="58"/>
      <c r="K7325" s="50"/>
      <c r="L7325" s="50"/>
      <c r="M7325" s="50"/>
      <c r="N7325" s="50"/>
      <c r="O7325" s="50"/>
    </row>
    <row r="7326" spans="1:15">
      <c r="A7326" s="520" t="s">
        <v>4098</v>
      </c>
      <c r="B7326" s="521"/>
      <c r="C7326" s="521"/>
      <c r="D7326" s="521"/>
      <c r="E7326" s="521"/>
      <c r="F7326" s="521"/>
      <c r="G7326" s="522"/>
      <c r="H7326" s="106" t="e">
        <f>SUM(F7312:F7325)</f>
        <v>#VALUE!</v>
      </c>
      <c r="J7326" s="58"/>
      <c r="K7326" s="50"/>
      <c r="L7326" s="50"/>
      <c r="M7326" s="50"/>
      <c r="N7326" s="50"/>
      <c r="O7326" s="50"/>
    </row>
    <row r="7327" spans="1:15">
      <c r="A7327" s="523" t="s">
        <v>4220</v>
      </c>
      <c r="B7327" s="524"/>
      <c r="C7327" s="524"/>
      <c r="D7327" s="524"/>
      <c r="E7327" s="525"/>
      <c r="F7327" s="524"/>
      <c r="G7327" s="524"/>
      <c r="H7327" s="526"/>
      <c r="J7327" s="58"/>
      <c r="K7327" s="50"/>
      <c r="L7327" s="50"/>
      <c r="M7327" s="50"/>
      <c r="N7327" s="50"/>
      <c r="O7327" s="50"/>
    </row>
    <row r="7328" spans="1:15">
      <c r="A7328" s="527" t="s">
        <v>7</v>
      </c>
      <c r="B7328" s="528"/>
      <c r="C7328" s="98" t="s">
        <v>4221</v>
      </c>
      <c r="D7328" s="97" t="s">
        <v>4222</v>
      </c>
      <c r="E7328" s="187" t="s">
        <v>4223</v>
      </c>
      <c r="F7328" s="529" t="s">
        <v>4207</v>
      </c>
      <c r="G7328" s="529"/>
      <c r="H7328" s="109"/>
      <c r="K7328" s="50"/>
      <c r="L7328" s="50"/>
      <c r="M7328" s="50"/>
      <c r="N7328" s="50"/>
      <c r="O7328" s="50"/>
    </row>
    <row r="7329" spans="1:13">
      <c r="A7329" s="506" t="s">
        <v>3928</v>
      </c>
      <c r="B7329" s="507"/>
      <c r="C7329" s="213">
        <v>1</v>
      </c>
      <c r="D7329" s="92">
        <v>5.0000000000000001E-3</v>
      </c>
      <c r="E7329" s="93" t="str">
        <f>VLOOKUP(A7329,'Equip, Herr y Transp'!$B$2:$E$217,3,0)</f>
        <v>TR</v>
      </c>
      <c r="F7329" s="530" t="e">
        <f>E7329*D7329*C7329</f>
        <v>#VALUE!</v>
      </c>
      <c r="G7329" s="531"/>
      <c r="H7329" s="107"/>
      <c r="M7329" s="50"/>
    </row>
    <row r="7330" spans="1:13">
      <c r="A7330" s="532" t="s">
        <v>4205</v>
      </c>
      <c r="B7330" s="533"/>
      <c r="C7330" s="533"/>
      <c r="D7330" s="533"/>
      <c r="E7330" s="533"/>
      <c r="F7330" s="533"/>
      <c r="G7330" s="533"/>
      <c r="H7330" s="95" t="e">
        <f>F7329</f>
        <v>#VALUE!</v>
      </c>
    </row>
    <row r="7331" spans="1:13">
      <c r="A7331" s="523" t="s">
        <v>4224</v>
      </c>
      <c r="B7331" s="524"/>
      <c r="C7331" s="524"/>
      <c r="D7331" s="524"/>
      <c r="E7331" s="524"/>
      <c r="F7331" s="524"/>
      <c r="G7331" s="524"/>
      <c r="H7331" s="526"/>
    </row>
    <row r="7332" spans="1:13">
      <c r="A7332" s="527" t="s">
        <v>7</v>
      </c>
      <c r="B7332" s="528"/>
      <c r="C7332" s="96" t="s">
        <v>1</v>
      </c>
      <c r="D7332" s="97" t="s">
        <v>4225</v>
      </c>
      <c r="E7332" s="98" t="s">
        <v>4204</v>
      </c>
      <c r="F7332" s="527" t="s">
        <v>5</v>
      </c>
      <c r="G7332" s="534"/>
      <c r="H7332" s="109"/>
    </row>
    <row r="7333" spans="1:13">
      <c r="A7333" s="506" t="s">
        <v>4191</v>
      </c>
      <c r="B7333" s="507"/>
      <c r="C7333" s="91">
        <v>1</v>
      </c>
      <c r="D7333" s="94">
        <f>VLOOKUP(A7333,'Mano Obra'!$B$2:$T$117,19,0)</f>
        <v>152456</v>
      </c>
      <c r="E7333" s="218">
        <f>H7295</f>
        <v>3.1300000000000001E-2</v>
      </c>
      <c r="F7333" s="508">
        <f>E7333*D7333*C7333</f>
        <v>4771.8728000000001</v>
      </c>
      <c r="G7333" s="509"/>
      <c r="H7333" s="111"/>
      <c r="I7333" s="59"/>
      <c r="J7333" s="117">
        <f>((('Mano Obra'!$M$4/30)*F7333)/D7333)*G7302</f>
        <v>0</v>
      </c>
    </row>
    <row r="7334" spans="1:13">
      <c r="A7334" s="510" t="s">
        <v>4192</v>
      </c>
      <c r="B7334" s="511">
        <f>VLOOKUP(A7334,'Mano Obra'!$B$3:$D$290,2,0)</f>
        <v>1900000</v>
      </c>
      <c r="C7334" s="91">
        <v>1</v>
      </c>
      <c r="D7334" s="94">
        <f>VLOOKUP(A7334,'Mano Obra'!$B$2:$T$117,19,0)</f>
        <v>110488</v>
      </c>
      <c r="E7334" s="218">
        <f>H7295</f>
        <v>3.1300000000000001E-2</v>
      </c>
      <c r="F7334" s="508">
        <f t="shared" ref="F7334:F7335" si="429">E7334*D7334*C7334</f>
        <v>3458.2744000000002</v>
      </c>
      <c r="G7334" s="509"/>
      <c r="H7334" s="111"/>
      <c r="J7334" s="117">
        <f>((('Mano Obra'!$M$5/30)*F7334)/D7334)*G7302</f>
        <v>0</v>
      </c>
    </row>
    <row r="7335" spans="1:13">
      <c r="A7335" s="510" t="s">
        <v>4181</v>
      </c>
      <c r="B7335" s="511">
        <f>VLOOKUP(A7335,'Mano Obra'!$B$3:$D$290,2,0)</f>
        <v>1000000</v>
      </c>
      <c r="C7335" s="91">
        <v>1</v>
      </c>
      <c r="D7335" s="94">
        <f>VLOOKUP(A7335,'Mano Obra'!$B$2:$T$117,19,0)</f>
        <v>67424</v>
      </c>
      <c r="E7335" s="218">
        <f>H7295</f>
        <v>3.1300000000000001E-2</v>
      </c>
      <c r="F7335" s="508">
        <f t="shared" si="429"/>
        <v>2110.3712</v>
      </c>
      <c r="G7335" s="509"/>
      <c r="H7335" s="110"/>
      <c r="J7335" s="117">
        <f>((('Mano Obra'!$M$6/30)*F7335)/D7335)*G7302</f>
        <v>0</v>
      </c>
    </row>
    <row r="7336" spans="1:13">
      <c r="A7336" s="512" t="s">
        <v>4100</v>
      </c>
      <c r="B7336" s="512"/>
      <c r="C7336" s="512"/>
      <c r="D7336" s="512"/>
      <c r="E7336" s="512"/>
      <c r="F7336" s="512"/>
      <c r="G7336" s="512"/>
      <c r="H7336" s="95">
        <f>SUM(F7333:F7335)</f>
        <v>10340.518399999999</v>
      </c>
      <c r="J7336" s="117"/>
    </row>
    <row r="7337" spans="1:13">
      <c r="A7337" s="208" t="s">
        <v>4226</v>
      </c>
      <c r="B7337" s="186"/>
      <c r="C7337" s="186"/>
      <c r="D7337" s="183"/>
      <c r="E7337" s="184"/>
      <c r="F7337" s="185"/>
      <c r="G7337" s="184"/>
      <c r="H7337" s="193"/>
    </row>
    <row r="7338" spans="1:13">
      <c r="A7338" s="513" t="s">
        <v>4213</v>
      </c>
      <c r="B7338" s="514"/>
      <c r="C7338" s="514"/>
      <c r="D7338" s="514"/>
      <c r="E7338" s="181"/>
      <c r="F7338" s="182" t="s">
        <v>4227</v>
      </c>
      <c r="G7338" s="181" t="s">
        <v>4228</v>
      </c>
      <c r="H7338" s="194"/>
    </row>
    <row r="7339" spans="1:13">
      <c r="A7339" s="204" t="s">
        <v>4096</v>
      </c>
      <c r="B7339" s="62"/>
      <c r="C7339" s="62"/>
      <c r="D7339" s="63"/>
      <c r="E7339" s="68"/>
      <c r="F7339" s="69">
        <v>0</v>
      </c>
      <c r="G7339" s="70" t="e">
        <f>F7339*H7303</f>
        <v>#VALUE!</v>
      </c>
      <c r="H7339" s="193"/>
    </row>
    <row r="7340" spans="1:13">
      <c r="A7340" s="205" t="s">
        <v>4229</v>
      </c>
      <c r="B7340" s="71"/>
      <c r="C7340" s="71"/>
      <c r="D7340" s="72"/>
      <c r="E7340" s="68"/>
      <c r="F7340" s="69">
        <v>0</v>
      </c>
      <c r="G7340" s="70" t="e">
        <f>F7340*H7303</f>
        <v>#VALUE!</v>
      </c>
      <c r="H7340" s="193"/>
    </row>
    <row r="7341" spans="1:13">
      <c r="A7341" s="205" t="s">
        <v>4</v>
      </c>
      <c r="B7341" s="71"/>
      <c r="C7341" s="71"/>
      <c r="D7341" s="72"/>
      <c r="E7341" s="68"/>
      <c r="F7341" s="69">
        <v>0</v>
      </c>
      <c r="G7341" s="70" t="e">
        <f>F7341*H7303</f>
        <v>#VALUE!</v>
      </c>
      <c r="H7341" s="193"/>
    </row>
    <row r="7342" spans="1:13">
      <c r="A7342" s="206"/>
      <c r="B7342" s="73"/>
      <c r="C7342" s="65"/>
      <c r="D7342" s="74"/>
      <c r="E7342" s="75"/>
      <c r="F7342" s="76"/>
      <c r="G7342" s="77"/>
      <c r="H7342" s="195"/>
    </row>
    <row r="7343" spans="1:13">
      <c r="A7343" s="207"/>
      <c r="B7343" s="73"/>
      <c r="C7343" s="73"/>
      <c r="D7343" s="74"/>
      <c r="E7343" s="78"/>
      <c r="F7343" s="515" t="s">
        <v>4230</v>
      </c>
      <c r="G7343" s="516"/>
      <c r="H7343" s="214" t="e">
        <f>H7303+G7339+G7340+G7341</f>
        <v>#VALUE!</v>
      </c>
    </row>
    <row r="7344" spans="1:13">
      <c r="A7344" s="73"/>
      <c r="B7344" s="73"/>
      <c r="C7344" s="73"/>
      <c r="D7344" s="74"/>
      <c r="E7344" s="360"/>
      <c r="F7344" s="361"/>
      <c r="G7344" s="361"/>
      <c r="H7344" s="362"/>
    </row>
    <row r="7345" spans="1:14">
      <c r="A7345" s="73"/>
      <c r="B7345" s="73"/>
      <c r="C7345" s="73"/>
      <c r="D7345" s="74"/>
      <c r="E7345" s="360"/>
      <c r="F7345" s="361"/>
      <c r="G7345" s="361"/>
      <c r="H7345" s="362"/>
    </row>
    <row r="7346" spans="1:14">
      <c r="A7346" s="73"/>
      <c r="B7346" s="73"/>
      <c r="C7346" s="73"/>
      <c r="D7346" s="74"/>
      <c r="E7346" s="360"/>
      <c r="F7346" s="361"/>
      <c r="G7346" s="361"/>
      <c r="H7346" s="362"/>
    </row>
    <row r="7348" spans="1:14">
      <c r="A7348" s="80"/>
      <c r="B7348" s="80"/>
      <c r="C7348" s="80"/>
      <c r="D7348" s="80"/>
      <c r="E7348" s="80"/>
      <c r="F7348" s="80"/>
      <c r="G7348" s="80"/>
      <c r="H7348" s="353"/>
    </row>
    <row r="7349" spans="1:14">
      <c r="A7349" s="537" t="s">
        <v>4214</v>
      </c>
      <c r="B7349" s="538"/>
      <c r="C7349" s="538"/>
      <c r="D7349" s="538"/>
      <c r="E7349" s="538"/>
      <c r="F7349" s="538"/>
      <c r="G7349" s="538"/>
      <c r="H7349" s="539"/>
    </row>
    <row r="7350" spans="1:14">
      <c r="A7350" s="81"/>
      <c r="B7350" s="82"/>
      <c r="C7350" s="82"/>
      <c r="D7350" s="82"/>
      <c r="E7350" s="82"/>
      <c r="F7350" s="83"/>
      <c r="G7350" s="84"/>
      <c r="H7350" s="352">
        <f>ROUND((10/60)/8,4)</f>
        <v>2.0799999999999999E-2</v>
      </c>
      <c r="I7350" s="105"/>
    </row>
    <row r="7351" spans="1:14">
      <c r="A7351" s="540" t="s">
        <v>4209</v>
      </c>
      <c r="B7351" s="542" t="str">
        <f>COSTOS!$C$14</f>
        <v>MODERNIZACION A TECNOLOGIA LED</v>
      </c>
      <c r="C7351" s="542"/>
      <c r="D7351" s="542"/>
      <c r="E7351" s="542"/>
      <c r="F7351" s="542"/>
      <c r="G7351" s="542"/>
      <c r="H7351" s="543" t="s">
        <v>4210</v>
      </c>
    </row>
    <row r="7352" spans="1:14">
      <c r="A7352" s="541"/>
      <c r="B7352" s="542"/>
      <c r="C7352" s="542"/>
      <c r="D7352" s="542"/>
      <c r="E7352" s="542"/>
      <c r="F7352" s="542"/>
      <c r="G7352" s="542"/>
      <c r="H7352" s="543"/>
    </row>
    <row r="7353" spans="1:14">
      <c r="A7353" s="541"/>
      <c r="B7353" s="542"/>
      <c r="C7353" s="542"/>
      <c r="D7353" s="542"/>
      <c r="E7353" s="542"/>
      <c r="F7353" s="542"/>
      <c r="G7353" s="542"/>
      <c r="H7353" s="543"/>
    </row>
    <row r="7354" spans="1:14" ht="15" customHeight="1">
      <c r="A7354" s="541"/>
      <c r="B7354" s="542"/>
      <c r="C7354" s="542"/>
      <c r="D7354" s="542"/>
      <c r="E7354" s="542"/>
      <c r="F7354" s="542"/>
      <c r="G7354" s="542"/>
      <c r="H7354" s="197">
        <f ca="1">TODAY()</f>
        <v>44889</v>
      </c>
      <c r="K7354" t="s">
        <v>4380</v>
      </c>
      <c r="L7354" t="s">
        <v>4381</v>
      </c>
      <c r="M7354" t="s">
        <v>4382</v>
      </c>
      <c r="N7354" t="s">
        <v>4383</v>
      </c>
    </row>
    <row r="7355" spans="1:14" ht="60.75" customHeight="1">
      <c r="A7355" s="209" t="s">
        <v>4211</v>
      </c>
      <c r="B7355" s="544" t="str">
        <f>COSTOS!$D$16</f>
        <v>Luminarias</v>
      </c>
      <c r="C7355" s="544"/>
      <c r="D7355" s="544"/>
      <c r="E7355" s="544"/>
      <c r="F7355" s="544"/>
      <c r="G7355" s="60" t="s">
        <v>4212</v>
      </c>
      <c r="H7355" s="363">
        <v>3.34</v>
      </c>
      <c r="K7355" s="55" t="e">
        <f>H7381</f>
        <v>#VALUE!</v>
      </c>
      <c r="L7355" s="55">
        <f>H7391</f>
        <v>6871.6543999999994</v>
      </c>
      <c r="M7355" s="55" t="e">
        <f>H7364</f>
        <v>#VALUE!</v>
      </c>
      <c r="N7355" s="55" t="e">
        <f>H7385</f>
        <v>#VALUE!</v>
      </c>
    </row>
    <row r="7356" spans="1:14" ht="43.2" customHeight="1">
      <c r="A7356" s="210" t="s">
        <v>4213</v>
      </c>
      <c r="B7356" s="545" t="str">
        <f>VLOOKUP(H7355,COSTOS!C:M,2,0)</f>
        <v>Red aerea en ASCR No 4x2 AWG x 500m</v>
      </c>
      <c r="C7356" s="546"/>
      <c r="D7356" s="546"/>
      <c r="E7356" s="547"/>
      <c r="F7356" s="61" t="s">
        <v>0</v>
      </c>
      <c r="G7356" s="328" t="str">
        <f>VLOOKUP(H7355,COSTOS!C:M,8,0)</f>
        <v>Und</v>
      </c>
      <c r="H7356" s="248"/>
      <c r="I7356" s="278"/>
      <c r="J7356" s="280"/>
      <c r="K7356" s="280"/>
      <c r="L7356" s="280"/>
    </row>
    <row r="7357" spans="1:14">
      <c r="A7357" s="211"/>
      <c r="B7357" s="102"/>
      <c r="C7357" s="102"/>
      <c r="D7357" s="102"/>
      <c r="E7357" s="103"/>
      <c r="F7357" s="104" t="s">
        <v>1</v>
      </c>
      <c r="G7357" s="328">
        <f>VLOOKUP(H7355,COSTOS!C:M,9,0)</f>
        <v>0</v>
      </c>
      <c r="H7357" s="329"/>
      <c r="I7357" s="279"/>
    </row>
    <row r="7358" spans="1:14">
      <c r="A7358" s="212" t="s">
        <v>4215</v>
      </c>
      <c r="B7358" s="65"/>
      <c r="C7358" s="65"/>
      <c r="D7358" s="66"/>
      <c r="E7358" s="190"/>
      <c r="F7358" s="191"/>
      <c r="G7358" s="192" t="s">
        <v>4216</v>
      </c>
      <c r="H7358" s="198" t="e">
        <f>H7364+H7381+H7385+H7391</f>
        <v>#VALUE!</v>
      </c>
    </row>
    <row r="7359" spans="1:14" ht="41.4">
      <c r="A7359" s="548" t="s">
        <v>4213</v>
      </c>
      <c r="B7359" s="548"/>
      <c r="C7359" s="548"/>
      <c r="D7359" s="67" t="s">
        <v>0</v>
      </c>
      <c r="E7359" s="188" t="s">
        <v>4217</v>
      </c>
      <c r="F7359" s="189" t="s">
        <v>4204</v>
      </c>
      <c r="G7359" s="64" t="s">
        <v>2</v>
      </c>
      <c r="H7359" s="199" t="s">
        <v>4218</v>
      </c>
      <c r="K7359" s="281"/>
    </row>
    <row r="7360" spans="1:14">
      <c r="A7360" s="517" t="s">
        <v>3946</v>
      </c>
      <c r="B7360" s="549">
        <f>VLOOKUP(A7360,'Equip, Herr y Transp'!$B$2:$E$738,2,0)</f>
        <v>2</v>
      </c>
      <c r="C7360" s="549"/>
      <c r="D7360" s="85">
        <f>VLOOKUP(A7360,'Equip, Herr y Transp'!$B$2:$E$217,2,0)</f>
        <v>2</v>
      </c>
      <c r="E7360" s="85" t="str">
        <f>VLOOKUP(A7360,'Equip, Herr y Transp'!$B$2:$E$217,3,0)</f>
        <v>EQU</v>
      </c>
      <c r="F7360" s="86">
        <f>H7350</f>
        <v>2.0799999999999999E-2</v>
      </c>
      <c r="G7360" s="112" t="e">
        <f>F7360*E7360</f>
        <v>#VALUE!</v>
      </c>
      <c r="H7360" s="108"/>
    </row>
    <row r="7361" spans="1:15">
      <c r="A7361" s="517" t="s">
        <v>3904</v>
      </c>
      <c r="B7361" s="549">
        <f>VLOOKUP(A7361,'Equip, Herr y Transp'!$B$2:$E$738,2,0)</f>
        <v>2</v>
      </c>
      <c r="C7361" s="549"/>
      <c r="D7361" s="85">
        <f>VLOOKUP(A7361,'Equip, Herr y Transp'!$B$2:$E$217,2,0)</f>
        <v>2</v>
      </c>
      <c r="E7361" s="85" t="str">
        <f>VLOOKUP(A7361,'Equip, Herr y Transp'!$B$2:$E$217,3,0)</f>
        <v>EQU</v>
      </c>
      <c r="F7361" s="86">
        <f>H7350</f>
        <v>2.0799999999999999E-2</v>
      </c>
      <c r="G7361" s="112" t="e">
        <f>F7361*E7361</f>
        <v>#VALUE!</v>
      </c>
      <c r="H7361" s="107"/>
    </row>
    <row r="7362" spans="1:15">
      <c r="A7362" s="517" t="s">
        <v>8</v>
      </c>
      <c r="B7362" s="549" t="e">
        <f>VLOOKUP(A7362,'Equip, Herr y Transp'!$B$2:$E$738,2,0)</f>
        <v>#N/A</v>
      </c>
      <c r="C7362" s="549"/>
      <c r="D7362" s="85" t="e">
        <f>VLOOKUP(A7362,'Equip, Herr y Transp'!$B$2:$E$217,2,0)</f>
        <v>#N/A</v>
      </c>
      <c r="E7362" s="85" t="e">
        <f>VLOOKUP(A7362,'Equip, Herr y Transp'!$B$2:$E$217,3,0)</f>
        <v>#N/A</v>
      </c>
      <c r="F7362" s="86">
        <f>H7350</f>
        <v>2.0799999999999999E-2</v>
      </c>
      <c r="G7362" s="112" t="e">
        <f>F7362*E7362</f>
        <v>#N/A</v>
      </c>
      <c r="H7362" s="107"/>
    </row>
    <row r="7363" spans="1:15">
      <c r="A7363" s="517" t="s">
        <v>8</v>
      </c>
      <c r="B7363" s="549" t="e">
        <f>VLOOKUP(A7363,'Equip, Herr y Transp'!$B$2:$E$738,2,0)</f>
        <v>#N/A</v>
      </c>
      <c r="C7363" s="549"/>
      <c r="D7363" s="85" t="e">
        <f>VLOOKUP(A7363,'Equip, Herr y Transp'!$B$2:$E$217,2,0)</f>
        <v>#N/A</v>
      </c>
      <c r="E7363" s="85" t="e">
        <f>VLOOKUP(A7363,'Equip, Herr y Transp'!$B$2:$E$217,3,0)</f>
        <v>#N/A</v>
      </c>
      <c r="F7363" s="86">
        <f>H7350</f>
        <v>2.0799999999999999E-2</v>
      </c>
      <c r="G7363" s="112" t="e">
        <f>F7363*E7363</f>
        <v>#N/A</v>
      </c>
      <c r="H7363" s="107"/>
    </row>
    <row r="7364" spans="1:15">
      <c r="A7364" s="520" t="s">
        <v>4099</v>
      </c>
      <c r="B7364" s="521"/>
      <c r="C7364" s="521"/>
      <c r="D7364" s="521"/>
      <c r="E7364" s="521"/>
      <c r="F7364" s="521"/>
      <c r="G7364" s="521"/>
      <c r="H7364" s="87" t="e">
        <f>SUM(G7360:G7363)</f>
        <v>#VALUE!</v>
      </c>
    </row>
    <row r="7365" spans="1:15">
      <c r="A7365" s="550" t="s">
        <v>4219</v>
      </c>
      <c r="B7365" s="551"/>
      <c r="C7365" s="551"/>
      <c r="D7365" s="551"/>
      <c r="E7365" s="551"/>
      <c r="F7365" s="551"/>
      <c r="G7365" s="551"/>
      <c r="H7365" s="552"/>
      <c r="K7365" s="50"/>
      <c r="L7365" s="50"/>
      <c r="M7365" s="50"/>
      <c r="N7365" s="50"/>
      <c r="O7365" s="50"/>
    </row>
    <row r="7366" spans="1:15" ht="30" customHeight="1">
      <c r="A7366" s="553" t="s">
        <v>7</v>
      </c>
      <c r="B7366" s="554"/>
      <c r="C7366" s="99" t="s">
        <v>0</v>
      </c>
      <c r="D7366" s="100" t="s">
        <v>4097</v>
      </c>
      <c r="E7366" s="101" t="s">
        <v>1</v>
      </c>
      <c r="F7366" s="555" t="s">
        <v>4207</v>
      </c>
      <c r="G7366" s="555"/>
      <c r="H7366" s="196"/>
      <c r="K7366" s="50"/>
      <c r="L7366" s="50"/>
      <c r="M7366" s="50"/>
      <c r="N7366" s="50"/>
      <c r="O7366" s="50"/>
    </row>
    <row r="7367" spans="1:15">
      <c r="A7367" s="535" t="s">
        <v>4798</v>
      </c>
      <c r="B7367" s="536"/>
      <c r="C7367" s="88">
        <f>VLOOKUP(A7367,'Materiales '!$C$2:$G$396,3,0)</f>
        <v>2</v>
      </c>
      <c r="D7367" s="89" t="str">
        <f>VLOOKUP(A7367,'Materiales '!$C$2:$G$396,4,0)</f>
        <v>Ml</v>
      </c>
      <c r="E7367" s="90">
        <v>1</v>
      </c>
      <c r="F7367" s="508" t="e">
        <f>E7367*D7367</f>
        <v>#VALUE!</v>
      </c>
      <c r="G7367" s="519"/>
      <c r="H7367" s="111"/>
      <c r="I7367">
        <f>E7367*G7357</f>
        <v>0</v>
      </c>
      <c r="J7367" s="57"/>
      <c r="K7367" s="50"/>
      <c r="L7367" s="50"/>
      <c r="M7367" s="50"/>
      <c r="N7367" s="50"/>
      <c r="O7367" s="50"/>
    </row>
    <row r="7368" spans="1:15">
      <c r="A7368" s="535" t="s">
        <v>8</v>
      </c>
      <c r="B7368" s="536"/>
      <c r="C7368" s="88">
        <f>VLOOKUP(A7368,'Materiales '!$C$2:$G$396,3,0)</f>
        <v>0</v>
      </c>
      <c r="D7368" s="89" t="str">
        <f>VLOOKUP(A7368,'Materiales '!$C$2:$G$396,4,0)</f>
        <v>-</v>
      </c>
      <c r="E7368" s="90">
        <f>3/25</f>
        <v>0.12</v>
      </c>
      <c r="F7368" s="508" t="e">
        <f t="shared" ref="F7368:F7374" si="430">E7368*D7368</f>
        <v>#VALUE!</v>
      </c>
      <c r="G7368" s="519"/>
      <c r="H7368" s="111"/>
      <c r="I7368">
        <f>E7368*G7357</f>
        <v>0</v>
      </c>
      <c r="J7368" s="57"/>
      <c r="K7368" s="50"/>
      <c r="L7368" s="50"/>
      <c r="M7368" s="50"/>
      <c r="N7368" s="50"/>
      <c r="O7368" s="50"/>
    </row>
    <row r="7369" spans="1:15">
      <c r="A7369" s="517" t="s">
        <v>8</v>
      </c>
      <c r="B7369" s="518">
        <f>VLOOKUP(A7369,'Materiales '!$C$2:$G$396,3,0)</f>
        <v>0</v>
      </c>
      <c r="C7369" s="88">
        <f>VLOOKUP(A7369,'Materiales '!$C$2:$G$396,3,0)</f>
        <v>0</v>
      </c>
      <c r="D7369" s="89" t="str">
        <f>VLOOKUP(A7369,'Materiales '!$C$2:$G$396,4,0)</f>
        <v>-</v>
      </c>
      <c r="E7369" s="90">
        <f>3/25</f>
        <v>0.12</v>
      </c>
      <c r="F7369" s="508" t="e">
        <f t="shared" si="430"/>
        <v>#VALUE!</v>
      </c>
      <c r="G7369" s="519"/>
      <c r="H7369" s="111"/>
      <c r="I7369">
        <f>E7369*G7357</f>
        <v>0</v>
      </c>
      <c r="J7369" s="58"/>
      <c r="K7369" s="50"/>
      <c r="L7369" s="50"/>
      <c r="M7369" s="50"/>
      <c r="N7369" s="50"/>
      <c r="O7369" s="50"/>
    </row>
    <row r="7370" spans="1:15">
      <c r="A7370" s="517" t="s">
        <v>8</v>
      </c>
      <c r="B7370" s="518">
        <f>VLOOKUP(A7370,'Materiales '!$C$2:$G$396,3,0)</f>
        <v>0</v>
      </c>
      <c r="C7370" s="88">
        <f>VLOOKUP(A7370,'Materiales '!$C$2:$G$396,3,0)</f>
        <v>0</v>
      </c>
      <c r="D7370" s="89" t="str">
        <f>VLOOKUP(A7370,'Materiales '!$C$2:$G$396,4,0)</f>
        <v>-</v>
      </c>
      <c r="E7370" s="90"/>
      <c r="F7370" s="508" t="e">
        <f t="shared" si="430"/>
        <v>#VALUE!</v>
      </c>
      <c r="G7370" s="519"/>
      <c r="H7370" s="111"/>
      <c r="I7370">
        <f>E7370*G7357</f>
        <v>0</v>
      </c>
      <c r="J7370" s="58"/>
      <c r="K7370" s="50"/>
      <c r="L7370" s="50"/>
      <c r="M7370" s="50"/>
      <c r="N7370" s="50"/>
      <c r="O7370" s="50"/>
    </row>
    <row r="7371" spans="1:15">
      <c r="A7371" s="517" t="s">
        <v>8</v>
      </c>
      <c r="B7371" s="518">
        <f>VLOOKUP(A7371,'Materiales '!$C$2:$G$396,3,0)</f>
        <v>0</v>
      </c>
      <c r="C7371" s="88">
        <f>VLOOKUP(A7371,'Materiales '!$C$2:$G$396,3,0)</f>
        <v>0</v>
      </c>
      <c r="D7371" s="89" t="str">
        <f>VLOOKUP(A7371,'Materiales '!$C$2:$G$396,4,0)</f>
        <v>-</v>
      </c>
      <c r="E7371" s="90"/>
      <c r="F7371" s="508" t="e">
        <f t="shared" si="430"/>
        <v>#VALUE!</v>
      </c>
      <c r="G7371" s="519"/>
      <c r="H7371" s="111"/>
      <c r="I7371">
        <f>E7371*G7357</f>
        <v>0</v>
      </c>
      <c r="J7371" s="58"/>
      <c r="K7371" s="50"/>
      <c r="L7371" s="50"/>
      <c r="M7371" s="50"/>
      <c r="N7371" s="50"/>
      <c r="O7371" s="50"/>
    </row>
    <row r="7372" spans="1:15">
      <c r="A7372" s="517" t="s">
        <v>8</v>
      </c>
      <c r="B7372" s="518">
        <f>VLOOKUP(A7372,'Materiales '!$C$2:$G$396,3,0)</f>
        <v>0</v>
      </c>
      <c r="C7372" s="88">
        <f>VLOOKUP(A7372,'Materiales '!$C$2:$G$396,3,0)</f>
        <v>0</v>
      </c>
      <c r="D7372" s="89" t="str">
        <f>VLOOKUP(A7372,'Materiales '!$C$2:$G$396,4,0)</f>
        <v>-</v>
      </c>
      <c r="E7372" s="90"/>
      <c r="F7372" s="508" t="e">
        <f t="shared" si="430"/>
        <v>#VALUE!</v>
      </c>
      <c r="G7372" s="519"/>
      <c r="H7372" s="111"/>
      <c r="I7372">
        <f>E7372*G7357</f>
        <v>0</v>
      </c>
      <c r="J7372" s="58"/>
      <c r="K7372" s="50"/>
      <c r="L7372" s="50"/>
      <c r="M7372" s="50"/>
      <c r="N7372" s="50"/>
      <c r="O7372" s="50"/>
    </row>
    <row r="7373" spans="1:15">
      <c r="A7373" s="517" t="s">
        <v>8</v>
      </c>
      <c r="B7373" s="518">
        <f>VLOOKUP(A7373,'Materiales '!$C$2:$G$396,3,0)</f>
        <v>0</v>
      </c>
      <c r="C7373" s="88">
        <f>VLOOKUP(A7373,'Materiales '!$C$2:$G$396,3,0)</f>
        <v>0</v>
      </c>
      <c r="D7373" s="89" t="str">
        <f>VLOOKUP(A7373,'Materiales '!$C$2:$G$396,4,0)</f>
        <v>-</v>
      </c>
      <c r="E7373" s="90"/>
      <c r="F7373" s="508" t="e">
        <f t="shared" si="430"/>
        <v>#VALUE!</v>
      </c>
      <c r="G7373" s="519"/>
      <c r="H7373" s="111"/>
      <c r="I7373">
        <f>E7373*G7357</f>
        <v>0</v>
      </c>
      <c r="J7373" s="58"/>
      <c r="K7373" s="50"/>
      <c r="L7373" s="50"/>
      <c r="M7373" s="50"/>
      <c r="N7373" s="50"/>
      <c r="O7373" s="50"/>
    </row>
    <row r="7374" spans="1:15" ht="21.75" customHeight="1">
      <c r="A7374" s="517" t="s">
        <v>8</v>
      </c>
      <c r="B7374" s="518">
        <f>VLOOKUP(A7374,'Materiales '!$C$2:$G$396,3,0)</f>
        <v>0</v>
      </c>
      <c r="C7374" s="88">
        <f>VLOOKUP(A7374,'Materiales '!$C$2:$G$396,3,0)</f>
        <v>0</v>
      </c>
      <c r="D7374" s="89" t="str">
        <f>VLOOKUP(A7374,'Materiales '!$C$2:$G$396,4,0)</f>
        <v>-</v>
      </c>
      <c r="E7374" s="90"/>
      <c r="F7374" s="508" t="e">
        <f t="shared" si="430"/>
        <v>#VALUE!</v>
      </c>
      <c r="G7374" s="519"/>
      <c r="H7374" s="111"/>
      <c r="I7374">
        <f>E7374*G7357</f>
        <v>0</v>
      </c>
      <c r="J7374" s="58"/>
      <c r="K7374" s="50"/>
      <c r="L7374" s="50"/>
      <c r="M7374" s="50"/>
      <c r="N7374" s="50"/>
      <c r="O7374" s="50"/>
    </row>
    <row r="7375" spans="1:15">
      <c r="A7375" s="517" t="s">
        <v>8</v>
      </c>
      <c r="B7375" s="518">
        <f>VLOOKUP(A7375,'Materiales '!$C$2:$G$396,3,0)</f>
        <v>0</v>
      </c>
      <c r="C7375" s="88">
        <f>VLOOKUP(A7375,'Materiales '!$C$2:$G$396,3,0)</f>
        <v>0</v>
      </c>
      <c r="D7375" s="89" t="str">
        <f>VLOOKUP(A7375,'Materiales '!$C$2:$G$396,4,0)</f>
        <v>-</v>
      </c>
      <c r="E7375" s="90"/>
      <c r="F7375" s="508" t="e">
        <f>E7375*D7375</f>
        <v>#VALUE!</v>
      </c>
      <c r="G7375" s="519"/>
      <c r="H7375" s="110"/>
      <c r="I7375">
        <f>E7375*G7357</f>
        <v>0</v>
      </c>
      <c r="J7375" s="58"/>
      <c r="K7375" s="50"/>
      <c r="L7375" s="50"/>
      <c r="M7375" s="50"/>
      <c r="N7375" s="50"/>
      <c r="O7375" s="50"/>
    </row>
    <row r="7376" spans="1:15">
      <c r="A7376" s="517" t="s">
        <v>8</v>
      </c>
      <c r="B7376" s="518">
        <f>VLOOKUP(A7376,'Materiales '!$C$2:$G$396,3,0)</f>
        <v>0</v>
      </c>
      <c r="C7376" s="88">
        <f>VLOOKUP(A7376,'Materiales '!$C$2:$G$396,3,0)</f>
        <v>0</v>
      </c>
      <c r="D7376" s="89" t="str">
        <f>VLOOKUP(A7376,'Materiales '!$C$2:$G$396,4,0)</f>
        <v>-</v>
      </c>
      <c r="E7376" s="90"/>
      <c r="F7376" s="508" t="e">
        <f t="shared" ref="F7376:F7379" si="431">E7376*D7376</f>
        <v>#VALUE!</v>
      </c>
      <c r="G7376" s="519"/>
      <c r="H7376" s="111"/>
      <c r="I7376">
        <f>E7376*G7357</f>
        <v>0</v>
      </c>
      <c r="J7376" s="58"/>
      <c r="K7376" s="50"/>
      <c r="L7376" s="50"/>
      <c r="M7376" s="50"/>
      <c r="N7376" s="50"/>
      <c r="O7376" s="50"/>
    </row>
    <row r="7377" spans="1:15">
      <c r="A7377" s="517" t="s">
        <v>8</v>
      </c>
      <c r="B7377" s="518">
        <f>VLOOKUP(A7377,'Materiales '!$C$2:$G$396,3,0)</f>
        <v>0</v>
      </c>
      <c r="C7377" s="88">
        <f>VLOOKUP(A7377,'Materiales '!$C$2:$G$396,3,0)</f>
        <v>0</v>
      </c>
      <c r="D7377" s="89" t="str">
        <f>VLOOKUP(A7377,'Materiales '!$C$2:$G$396,4,0)</f>
        <v>-</v>
      </c>
      <c r="E7377" s="90"/>
      <c r="F7377" s="508" t="e">
        <f t="shared" si="431"/>
        <v>#VALUE!</v>
      </c>
      <c r="G7377" s="519"/>
      <c r="H7377" s="111"/>
      <c r="I7377">
        <f>E7377*G7357</f>
        <v>0</v>
      </c>
      <c r="J7377" s="58"/>
      <c r="K7377" s="50"/>
      <c r="L7377" s="50"/>
      <c r="M7377" s="50"/>
      <c r="N7377" s="50"/>
      <c r="O7377" s="50"/>
    </row>
    <row r="7378" spans="1:15">
      <c r="A7378" s="517" t="s">
        <v>8</v>
      </c>
      <c r="B7378" s="518">
        <f>VLOOKUP(A7378,'Materiales '!$C$2:$G$396,3,0)</f>
        <v>0</v>
      </c>
      <c r="C7378" s="88">
        <f>VLOOKUP(A7378,'Materiales '!$C$2:$G$396,3,0)</f>
        <v>0</v>
      </c>
      <c r="D7378" s="89" t="str">
        <f>VLOOKUP(A7378,'Materiales '!$C$2:$G$396,4,0)</f>
        <v>-</v>
      </c>
      <c r="E7378" s="90"/>
      <c r="F7378" s="508" t="e">
        <f t="shared" si="431"/>
        <v>#VALUE!</v>
      </c>
      <c r="G7378" s="519"/>
      <c r="H7378" s="111"/>
      <c r="I7378">
        <f>E7378*G7357</f>
        <v>0</v>
      </c>
      <c r="J7378" s="58"/>
      <c r="K7378" s="50"/>
      <c r="L7378" s="50"/>
      <c r="M7378" s="50"/>
      <c r="N7378" s="50"/>
      <c r="O7378" s="50"/>
    </row>
    <row r="7379" spans="1:15">
      <c r="A7379" s="517" t="s">
        <v>8</v>
      </c>
      <c r="B7379" s="518">
        <f>VLOOKUP(A7379,'Materiales '!$C$2:$G$396,3,0)</f>
        <v>0</v>
      </c>
      <c r="C7379" s="88">
        <f>VLOOKUP(A7379,'Materiales '!$C$2:$G$396,3,0)</f>
        <v>0</v>
      </c>
      <c r="D7379" s="89" t="str">
        <f>VLOOKUP(A7379,'Materiales '!$C$2:$G$396,4,0)</f>
        <v>-</v>
      </c>
      <c r="E7379" s="90"/>
      <c r="F7379" s="508" t="e">
        <f t="shared" si="431"/>
        <v>#VALUE!</v>
      </c>
      <c r="G7379" s="519"/>
      <c r="H7379" s="111"/>
      <c r="I7379">
        <f>E7379*G7357</f>
        <v>0</v>
      </c>
      <c r="J7379" s="58"/>
      <c r="K7379" s="50"/>
      <c r="L7379" s="50"/>
      <c r="M7379" s="50"/>
      <c r="N7379" s="50"/>
      <c r="O7379" s="50"/>
    </row>
    <row r="7380" spans="1:15">
      <c r="A7380" s="517" t="s">
        <v>8</v>
      </c>
      <c r="B7380" s="518">
        <f>VLOOKUP(A7380,'Materiales '!$C$2:$G$396,3,0)</f>
        <v>0</v>
      </c>
      <c r="C7380" s="88">
        <f>VLOOKUP(A7380,'Materiales '!$C$2:$G$396,3,0)</f>
        <v>0</v>
      </c>
      <c r="D7380" s="89" t="str">
        <f>VLOOKUP(A7380,'Materiales '!$C$2:$G$396,4,0)</f>
        <v>-</v>
      </c>
      <c r="E7380" s="90"/>
      <c r="F7380" s="508" t="e">
        <f>E7380*D7380</f>
        <v>#VALUE!</v>
      </c>
      <c r="G7380" s="519"/>
      <c r="H7380" s="110"/>
      <c r="I7380">
        <f>E7380*G7357</f>
        <v>0</v>
      </c>
      <c r="J7380" s="58"/>
      <c r="K7380" s="50"/>
      <c r="L7380" s="50"/>
      <c r="M7380" s="50"/>
      <c r="N7380" s="50"/>
      <c r="O7380" s="50"/>
    </row>
    <row r="7381" spans="1:15">
      <c r="A7381" s="520" t="s">
        <v>4098</v>
      </c>
      <c r="B7381" s="521"/>
      <c r="C7381" s="521"/>
      <c r="D7381" s="521"/>
      <c r="E7381" s="521"/>
      <c r="F7381" s="521"/>
      <c r="G7381" s="522"/>
      <c r="H7381" s="106" t="e">
        <f>SUM(F7367:F7380)</f>
        <v>#VALUE!</v>
      </c>
      <c r="J7381" s="58"/>
      <c r="K7381" s="50"/>
      <c r="L7381" s="50"/>
      <c r="M7381" s="50"/>
      <c r="N7381" s="50"/>
      <c r="O7381" s="50"/>
    </row>
    <row r="7382" spans="1:15">
      <c r="A7382" s="523" t="s">
        <v>4220</v>
      </c>
      <c r="B7382" s="524"/>
      <c r="C7382" s="524"/>
      <c r="D7382" s="524"/>
      <c r="E7382" s="525"/>
      <c r="F7382" s="524"/>
      <c r="G7382" s="524"/>
      <c r="H7382" s="526"/>
      <c r="J7382" s="58"/>
      <c r="K7382" s="50"/>
      <c r="L7382" s="50"/>
      <c r="M7382" s="50"/>
      <c r="N7382" s="50"/>
      <c r="O7382" s="50"/>
    </row>
    <row r="7383" spans="1:15">
      <c r="A7383" s="527" t="s">
        <v>7</v>
      </c>
      <c r="B7383" s="528"/>
      <c r="C7383" s="98" t="s">
        <v>4221</v>
      </c>
      <c r="D7383" s="97" t="s">
        <v>4222</v>
      </c>
      <c r="E7383" s="187" t="s">
        <v>4223</v>
      </c>
      <c r="F7383" s="529" t="s">
        <v>4207</v>
      </c>
      <c r="G7383" s="529"/>
      <c r="H7383" s="109"/>
      <c r="K7383" s="50"/>
      <c r="L7383" s="50"/>
      <c r="M7383" s="50"/>
      <c r="N7383" s="50"/>
      <c r="O7383" s="50"/>
    </row>
    <row r="7384" spans="1:15">
      <c r="A7384" s="506" t="s">
        <v>3928</v>
      </c>
      <c r="B7384" s="507"/>
      <c r="C7384" s="213">
        <v>1</v>
      </c>
      <c r="D7384" s="92">
        <v>5.0000000000000001E-3</v>
      </c>
      <c r="E7384" s="93" t="str">
        <f>VLOOKUP(A7384,'Equip, Herr y Transp'!$B$2:$E$217,3,0)</f>
        <v>TR</v>
      </c>
      <c r="F7384" s="530" t="e">
        <f>E7384*D7384*C7384</f>
        <v>#VALUE!</v>
      </c>
      <c r="G7384" s="531"/>
      <c r="H7384" s="107"/>
      <c r="M7384" s="50"/>
    </row>
    <row r="7385" spans="1:15">
      <c r="A7385" s="532" t="s">
        <v>4205</v>
      </c>
      <c r="B7385" s="533"/>
      <c r="C7385" s="533"/>
      <c r="D7385" s="533"/>
      <c r="E7385" s="533"/>
      <c r="F7385" s="533"/>
      <c r="G7385" s="533"/>
      <c r="H7385" s="95" t="e">
        <f>F7384</f>
        <v>#VALUE!</v>
      </c>
    </row>
    <row r="7386" spans="1:15">
      <c r="A7386" s="523" t="s">
        <v>4224</v>
      </c>
      <c r="B7386" s="524"/>
      <c r="C7386" s="524"/>
      <c r="D7386" s="524"/>
      <c r="E7386" s="524"/>
      <c r="F7386" s="524"/>
      <c r="G7386" s="524"/>
      <c r="H7386" s="526"/>
    </row>
    <row r="7387" spans="1:15">
      <c r="A7387" s="527" t="s">
        <v>7</v>
      </c>
      <c r="B7387" s="528"/>
      <c r="C7387" s="96" t="s">
        <v>1</v>
      </c>
      <c r="D7387" s="97" t="s">
        <v>4225</v>
      </c>
      <c r="E7387" s="98" t="s">
        <v>4204</v>
      </c>
      <c r="F7387" s="527" t="s">
        <v>5</v>
      </c>
      <c r="G7387" s="534"/>
      <c r="H7387" s="109"/>
    </row>
    <row r="7388" spans="1:15">
      <c r="A7388" s="506" t="s">
        <v>4191</v>
      </c>
      <c r="B7388" s="507"/>
      <c r="C7388" s="91">
        <v>1</v>
      </c>
      <c r="D7388" s="94">
        <f>VLOOKUP(A7388,'Mano Obra'!$B$2:$T$117,19,0)</f>
        <v>152456</v>
      </c>
      <c r="E7388" s="218">
        <f>H7350</f>
        <v>2.0799999999999999E-2</v>
      </c>
      <c r="F7388" s="508">
        <f>E7388*D7388*C7388</f>
        <v>3171.0847999999996</v>
      </c>
      <c r="G7388" s="509"/>
      <c r="H7388" s="111"/>
      <c r="I7388" s="59"/>
      <c r="J7388" s="117">
        <f>((('Mano Obra'!$M$4/30)*F7388)/D7388)*G7357</f>
        <v>0</v>
      </c>
    </row>
    <row r="7389" spans="1:15">
      <c r="A7389" s="510" t="s">
        <v>4192</v>
      </c>
      <c r="B7389" s="511">
        <f>VLOOKUP(A7389,'Mano Obra'!$B$3:$D$290,2,0)</f>
        <v>1900000</v>
      </c>
      <c r="C7389" s="91">
        <v>1</v>
      </c>
      <c r="D7389" s="94">
        <f>VLOOKUP(A7389,'Mano Obra'!$B$2:$T$117,19,0)</f>
        <v>110488</v>
      </c>
      <c r="E7389" s="218">
        <f>H7350</f>
        <v>2.0799999999999999E-2</v>
      </c>
      <c r="F7389" s="508">
        <f t="shared" ref="F7389:F7390" si="432">E7389*D7389*C7389</f>
        <v>2298.1504</v>
      </c>
      <c r="G7389" s="509"/>
      <c r="H7389" s="111"/>
      <c r="J7389" s="117">
        <f>((('Mano Obra'!$M$5/30)*F7389)/D7389)*G7357</f>
        <v>0</v>
      </c>
    </row>
    <row r="7390" spans="1:15">
      <c r="A7390" s="510" t="s">
        <v>4181</v>
      </c>
      <c r="B7390" s="511">
        <f>VLOOKUP(A7390,'Mano Obra'!$B$3:$D$290,2,0)</f>
        <v>1000000</v>
      </c>
      <c r="C7390" s="91">
        <v>1</v>
      </c>
      <c r="D7390" s="94">
        <f>VLOOKUP(A7390,'Mano Obra'!$B$2:$T$117,19,0)</f>
        <v>67424</v>
      </c>
      <c r="E7390" s="218">
        <f>H7350</f>
        <v>2.0799999999999999E-2</v>
      </c>
      <c r="F7390" s="508">
        <f t="shared" si="432"/>
        <v>1402.4192</v>
      </c>
      <c r="G7390" s="509"/>
      <c r="H7390" s="110"/>
      <c r="J7390" s="117">
        <f>((('Mano Obra'!$M$6/30)*F7390)/D7390)*G7357</f>
        <v>0</v>
      </c>
    </row>
    <row r="7391" spans="1:15">
      <c r="A7391" s="512" t="s">
        <v>4100</v>
      </c>
      <c r="B7391" s="512"/>
      <c r="C7391" s="512"/>
      <c r="D7391" s="512"/>
      <c r="E7391" s="512"/>
      <c r="F7391" s="512"/>
      <c r="G7391" s="512"/>
      <c r="H7391" s="95">
        <f>SUM(F7388:F7390)</f>
        <v>6871.6543999999994</v>
      </c>
      <c r="J7391" s="117"/>
    </row>
    <row r="7392" spans="1:15">
      <c r="A7392" s="208" t="s">
        <v>4226</v>
      </c>
      <c r="B7392" s="186"/>
      <c r="C7392" s="186"/>
      <c r="D7392" s="183"/>
      <c r="E7392" s="184"/>
      <c r="F7392" s="185"/>
      <c r="G7392" s="184"/>
      <c r="H7392" s="193"/>
    </row>
    <row r="7393" spans="1:14">
      <c r="A7393" s="513" t="s">
        <v>4213</v>
      </c>
      <c r="B7393" s="514"/>
      <c r="C7393" s="514"/>
      <c r="D7393" s="514"/>
      <c r="E7393" s="181"/>
      <c r="F7393" s="182" t="s">
        <v>4227</v>
      </c>
      <c r="G7393" s="181" t="s">
        <v>4228</v>
      </c>
      <c r="H7393" s="194"/>
    </row>
    <row r="7394" spans="1:14">
      <c r="A7394" s="204" t="s">
        <v>4096</v>
      </c>
      <c r="B7394" s="62"/>
      <c r="C7394" s="62"/>
      <c r="D7394" s="63"/>
      <c r="E7394" s="68"/>
      <c r="F7394" s="69">
        <v>0</v>
      </c>
      <c r="G7394" s="70" t="e">
        <f>F7394*H7358</f>
        <v>#VALUE!</v>
      </c>
      <c r="H7394" s="193"/>
    </row>
    <row r="7395" spans="1:14">
      <c r="A7395" s="205" t="s">
        <v>4229</v>
      </c>
      <c r="B7395" s="71"/>
      <c r="C7395" s="71"/>
      <c r="D7395" s="72"/>
      <c r="E7395" s="68"/>
      <c r="F7395" s="69">
        <v>0</v>
      </c>
      <c r="G7395" s="70" t="e">
        <f>F7395*H7358</f>
        <v>#VALUE!</v>
      </c>
      <c r="H7395" s="193"/>
    </row>
    <row r="7396" spans="1:14">
      <c r="A7396" s="205" t="s">
        <v>4</v>
      </c>
      <c r="B7396" s="71"/>
      <c r="C7396" s="71"/>
      <c r="D7396" s="72"/>
      <c r="E7396" s="68"/>
      <c r="F7396" s="69">
        <v>0</v>
      </c>
      <c r="G7396" s="70" t="e">
        <f>F7396*H7358</f>
        <v>#VALUE!</v>
      </c>
      <c r="H7396" s="193"/>
    </row>
    <row r="7397" spans="1:14">
      <c r="A7397" s="206"/>
      <c r="B7397" s="73"/>
      <c r="C7397" s="65"/>
      <c r="D7397" s="74"/>
      <c r="E7397" s="75"/>
      <c r="F7397" s="76"/>
      <c r="G7397" s="77"/>
      <c r="H7397" s="195"/>
    </row>
    <row r="7398" spans="1:14">
      <c r="A7398" s="207"/>
      <c r="B7398" s="73"/>
      <c r="C7398" s="73"/>
      <c r="D7398" s="74"/>
      <c r="E7398" s="78"/>
      <c r="F7398" s="515" t="s">
        <v>4230</v>
      </c>
      <c r="G7398" s="516"/>
      <c r="H7398" s="214" t="e">
        <f>H7358+G7394+G7395+G7396</f>
        <v>#VALUE!</v>
      </c>
    </row>
    <row r="7401" spans="1:14">
      <c r="A7401" s="80"/>
      <c r="B7401" s="80"/>
      <c r="C7401" s="80"/>
      <c r="D7401" s="80"/>
      <c r="E7401" s="80"/>
      <c r="F7401" s="80"/>
      <c r="G7401" s="80"/>
      <c r="H7401" s="353"/>
    </row>
    <row r="7402" spans="1:14">
      <c r="A7402" s="537" t="s">
        <v>4214</v>
      </c>
      <c r="B7402" s="538"/>
      <c r="C7402" s="538"/>
      <c r="D7402" s="538"/>
      <c r="E7402" s="538"/>
      <c r="F7402" s="538"/>
      <c r="G7402" s="538"/>
      <c r="H7402" s="539"/>
    </row>
    <row r="7403" spans="1:14">
      <c r="A7403" s="81"/>
      <c r="B7403" s="82"/>
      <c r="C7403" s="82"/>
      <c r="D7403" s="82"/>
      <c r="E7403" s="82"/>
      <c r="F7403" s="83"/>
      <c r="G7403" s="84"/>
      <c r="H7403" s="352">
        <f>ROUND((10/60)/8,4)</f>
        <v>2.0799999999999999E-2</v>
      </c>
      <c r="I7403" s="105"/>
    </row>
    <row r="7404" spans="1:14">
      <c r="A7404" s="540" t="s">
        <v>4209</v>
      </c>
      <c r="B7404" s="542" t="str">
        <f>COSTOS!$C$14</f>
        <v>MODERNIZACION A TECNOLOGIA LED</v>
      </c>
      <c r="C7404" s="542"/>
      <c r="D7404" s="542"/>
      <c r="E7404" s="542"/>
      <c r="F7404" s="542"/>
      <c r="G7404" s="542"/>
      <c r="H7404" s="543" t="s">
        <v>4210</v>
      </c>
    </row>
    <row r="7405" spans="1:14">
      <c r="A7405" s="541"/>
      <c r="B7405" s="542"/>
      <c r="C7405" s="542"/>
      <c r="D7405" s="542"/>
      <c r="E7405" s="542"/>
      <c r="F7405" s="542"/>
      <c r="G7405" s="542"/>
      <c r="H7405" s="543"/>
    </row>
    <row r="7406" spans="1:14">
      <c r="A7406" s="541"/>
      <c r="B7406" s="542"/>
      <c r="C7406" s="542"/>
      <c r="D7406" s="542"/>
      <c r="E7406" s="542"/>
      <c r="F7406" s="542"/>
      <c r="G7406" s="542"/>
      <c r="H7406" s="543"/>
    </row>
    <row r="7407" spans="1:14" ht="15" customHeight="1">
      <c r="A7407" s="541"/>
      <c r="B7407" s="542"/>
      <c r="C7407" s="542"/>
      <c r="D7407" s="542"/>
      <c r="E7407" s="542"/>
      <c r="F7407" s="542"/>
      <c r="G7407" s="542"/>
      <c r="H7407" s="197">
        <f ca="1">TODAY()</f>
        <v>44889</v>
      </c>
      <c r="K7407" t="s">
        <v>4380</v>
      </c>
      <c r="L7407" t="s">
        <v>4381</v>
      </c>
      <c r="M7407" t="s">
        <v>4382</v>
      </c>
      <c r="N7407" t="s">
        <v>4383</v>
      </c>
    </row>
    <row r="7408" spans="1:14" ht="60.75" customHeight="1">
      <c r="A7408" s="209" t="s">
        <v>4211</v>
      </c>
      <c r="B7408" s="544" t="str">
        <f>COSTOS!$D$16</f>
        <v>Luminarias</v>
      </c>
      <c r="C7408" s="544"/>
      <c r="D7408" s="544"/>
      <c r="E7408" s="544"/>
      <c r="F7408" s="544"/>
      <c r="G7408" s="60" t="s">
        <v>4212</v>
      </c>
      <c r="H7408" s="363">
        <v>3.21</v>
      </c>
      <c r="K7408" s="55" t="e">
        <f>H7434</f>
        <v>#VALUE!</v>
      </c>
      <c r="L7408" s="55">
        <f>H7444</f>
        <v>6871.6543999999994</v>
      </c>
      <c r="M7408" s="55" t="e">
        <f>H7417</f>
        <v>#VALUE!</v>
      </c>
      <c r="N7408" s="55" t="e">
        <f>H7438</f>
        <v>#VALUE!</v>
      </c>
    </row>
    <row r="7409" spans="1:15" ht="43.2" customHeight="1">
      <c r="A7409" s="210" t="s">
        <v>4213</v>
      </c>
      <c r="B7409" s="545" t="str">
        <f>VLOOKUP(H7408,COSTOS!C:M,2,0)</f>
        <v>Red Aerea 3x2+2 AWG AL x 500m</v>
      </c>
      <c r="C7409" s="546"/>
      <c r="D7409" s="546"/>
      <c r="E7409" s="547"/>
      <c r="F7409" s="61" t="s">
        <v>0</v>
      </c>
      <c r="G7409" s="328" t="str">
        <f>VLOOKUP(H7408,COSTOS!C:M,8,0)</f>
        <v>Und</v>
      </c>
      <c r="H7409" s="248"/>
      <c r="I7409" s="278"/>
      <c r="J7409" s="280"/>
      <c r="K7409" s="280"/>
      <c r="L7409" s="280"/>
    </row>
    <row r="7410" spans="1:15">
      <c r="A7410" s="211"/>
      <c r="B7410" s="102"/>
      <c r="C7410" s="102"/>
      <c r="D7410" s="102"/>
      <c r="E7410" s="103"/>
      <c r="F7410" s="104" t="s">
        <v>1</v>
      </c>
      <c r="G7410" s="328">
        <f>VLOOKUP(H7408,COSTOS!C:M,9,0)</f>
        <v>0</v>
      </c>
      <c r="H7410" s="329"/>
      <c r="I7410" s="279"/>
    </row>
    <row r="7411" spans="1:15">
      <c r="A7411" s="212" t="s">
        <v>4215</v>
      </c>
      <c r="B7411" s="65"/>
      <c r="C7411" s="65"/>
      <c r="D7411" s="66"/>
      <c r="E7411" s="190"/>
      <c r="F7411" s="191"/>
      <c r="G7411" s="192" t="s">
        <v>4216</v>
      </c>
      <c r="H7411" s="198" t="e">
        <f>H7417+H7434+H7438+H7444</f>
        <v>#VALUE!</v>
      </c>
    </row>
    <row r="7412" spans="1:15" ht="41.4">
      <c r="A7412" s="548" t="s">
        <v>4213</v>
      </c>
      <c r="B7412" s="548"/>
      <c r="C7412" s="548"/>
      <c r="D7412" s="67" t="s">
        <v>0</v>
      </c>
      <c r="E7412" s="188" t="s">
        <v>4217</v>
      </c>
      <c r="F7412" s="189" t="s">
        <v>4204</v>
      </c>
      <c r="G7412" s="64" t="s">
        <v>2</v>
      </c>
      <c r="H7412" s="199" t="s">
        <v>4218</v>
      </c>
      <c r="K7412" s="281"/>
    </row>
    <row r="7413" spans="1:15">
      <c r="A7413" s="517" t="s">
        <v>3946</v>
      </c>
      <c r="B7413" s="549">
        <f>VLOOKUP(A7413,'Equip, Herr y Transp'!$B$2:$E$738,2,0)</f>
        <v>2</v>
      </c>
      <c r="C7413" s="549"/>
      <c r="D7413" s="85">
        <f>VLOOKUP(A7413,'Equip, Herr y Transp'!$B$2:$E$217,2,0)</f>
        <v>2</v>
      </c>
      <c r="E7413" s="85" t="str">
        <f>VLOOKUP(A7413,'Equip, Herr y Transp'!$B$2:$E$217,3,0)</f>
        <v>EQU</v>
      </c>
      <c r="F7413" s="86">
        <f>H7403</f>
        <v>2.0799999999999999E-2</v>
      </c>
      <c r="G7413" s="112" t="e">
        <f>F7413*E7413</f>
        <v>#VALUE!</v>
      </c>
      <c r="H7413" s="108"/>
    </row>
    <row r="7414" spans="1:15">
      <c r="A7414" s="517" t="s">
        <v>3904</v>
      </c>
      <c r="B7414" s="549">
        <f>VLOOKUP(A7414,'Equip, Herr y Transp'!$B$2:$E$738,2,0)</f>
        <v>2</v>
      </c>
      <c r="C7414" s="549"/>
      <c r="D7414" s="85">
        <f>VLOOKUP(A7414,'Equip, Herr y Transp'!$B$2:$E$217,2,0)</f>
        <v>2</v>
      </c>
      <c r="E7414" s="85" t="str">
        <f>VLOOKUP(A7414,'Equip, Herr y Transp'!$B$2:$E$217,3,0)</f>
        <v>EQU</v>
      </c>
      <c r="F7414" s="86">
        <f>H7403</f>
        <v>2.0799999999999999E-2</v>
      </c>
      <c r="G7414" s="112" t="e">
        <f>F7414*E7414</f>
        <v>#VALUE!</v>
      </c>
      <c r="H7414" s="107"/>
    </row>
    <row r="7415" spans="1:15">
      <c r="A7415" s="517" t="s">
        <v>8</v>
      </c>
      <c r="B7415" s="549" t="e">
        <f>VLOOKUP(A7415,'Equip, Herr y Transp'!$B$2:$E$738,2,0)</f>
        <v>#N/A</v>
      </c>
      <c r="C7415" s="549"/>
      <c r="D7415" s="85" t="e">
        <f>VLOOKUP(A7415,'Equip, Herr y Transp'!$B$2:$E$217,2,0)</f>
        <v>#N/A</v>
      </c>
      <c r="E7415" s="85" t="e">
        <f>VLOOKUP(A7415,'Equip, Herr y Transp'!$B$2:$E$217,3,0)</f>
        <v>#N/A</v>
      </c>
      <c r="F7415" s="86">
        <f>H7403</f>
        <v>2.0799999999999999E-2</v>
      </c>
      <c r="G7415" s="112" t="e">
        <f>F7415*E7415</f>
        <v>#N/A</v>
      </c>
      <c r="H7415" s="107"/>
    </row>
    <row r="7416" spans="1:15">
      <c r="A7416" s="517" t="s">
        <v>8</v>
      </c>
      <c r="B7416" s="549" t="e">
        <f>VLOOKUP(A7416,'Equip, Herr y Transp'!$B$2:$E$738,2,0)</f>
        <v>#N/A</v>
      </c>
      <c r="C7416" s="549"/>
      <c r="D7416" s="85" t="e">
        <f>VLOOKUP(A7416,'Equip, Herr y Transp'!$B$2:$E$217,2,0)</f>
        <v>#N/A</v>
      </c>
      <c r="E7416" s="85" t="e">
        <f>VLOOKUP(A7416,'Equip, Herr y Transp'!$B$2:$E$217,3,0)</f>
        <v>#N/A</v>
      </c>
      <c r="F7416" s="86">
        <f>H7403</f>
        <v>2.0799999999999999E-2</v>
      </c>
      <c r="G7416" s="112" t="e">
        <f>F7416*E7416</f>
        <v>#N/A</v>
      </c>
      <c r="H7416" s="107"/>
    </row>
    <row r="7417" spans="1:15">
      <c r="A7417" s="520" t="s">
        <v>4099</v>
      </c>
      <c r="B7417" s="521"/>
      <c r="C7417" s="521"/>
      <c r="D7417" s="521"/>
      <c r="E7417" s="521"/>
      <c r="F7417" s="521"/>
      <c r="G7417" s="521"/>
      <c r="H7417" s="87" t="e">
        <f>SUM(G7413:G7416)</f>
        <v>#VALUE!</v>
      </c>
    </row>
    <row r="7418" spans="1:15">
      <c r="A7418" s="550" t="s">
        <v>4219</v>
      </c>
      <c r="B7418" s="551"/>
      <c r="C7418" s="551"/>
      <c r="D7418" s="551"/>
      <c r="E7418" s="551"/>
      <c r="F7418" s="551"/>
      <c r="G7418" s="551"/>
      <c r="H7418" s="552"/>
      <c r="K7418" s="50"/>
      <c r="L7418" s="50"/>
      <c r="M7418" s="50"/>
      <c r="N7418" s="50"/>
      <c r="O7418" s="50"/>
    </row>
    <row r="7419" spans="1:15" ht="30" customHeight="1">
      <c r="A7419" s="553" t="s">
        <v>7</v>
      </c>
      <c r="B7419" s="554"/>
      <c r="C7419" s="99" t="s">
        <v>0</v>
      </c>
      <c r="D7419" s="100" t="s">
        <v>4097</v>
      </c>
      <c r="E7419" s="101" t="s">
        <v>1</v>
      </c>
      <c r="F7419" s="555" t="s">
        <v>4207</v>
      </c>
      <c r="G7419" s="555"/>
      <c r="H7419" s="196"/>
      <c r="K7419" s="50"/>
      <c r="L7419" s="50"/>
      <c r="M7419" s="50"/>
      <c r="N7419" s="50"/>
      <c r="O7419" s="50"/>
    </row>
    <row r="7420" spans="1:15">
      <c r="A7420" s="535" t="s">
        <v>4440</v>
      </c>
      <c r="B7420" s="536"/>
      <c r="C7420" s="88">
        <f>VLOOKUP(A7420,'Materiales '!$C$2:$G$396,3,0)</f>
        <v>2</v>
      </c>
      <c r="D7420" s="89" t="str">
        <f>VLOOKUP(A7420,'Materiales '!$C$2:$G$396,4,0)</f>
        <v>Ml</v>
      </c>
      <c r="E7420" s="90">
        <v>1</v>
      </c>
      <c r="F7420" s="508" t="e">
        <f>E7420*D7420</f>
        <v>#VALUE!</v>
      </c>
      <c r="G7420" s="519"/>
      <c r="H7420" s="111"/>
      <c r="I7420">
        <f>E7420*G7410</f>
        <v>0</v>
      </c>
      <c r="J7420" s="57"/>
      <c r="K7420" s="50"/>
      <c r="L7420" s="50"/>
      <c r="M7420" s="50"/>
      <c r="N7420" s="50"/>
      <c r="O7420" s="50"/>
    </row>
    <row r="7421" spans="1:15">
      <c r="A7421" s="535" t="s">
        <v>4406</v>
      </c>
      <c r="B7421" s="536"/>
      <c r="C7421" s="88">
        <f>VLOOKUP(A7421,'Materiales '!$C$2:$G$396,3,0)</f>
        <v>4</v>
      </c>
      <c r="D7421" s="89" t="str">
        <f>VLOOKUP(A7421,'Materiales '!$C$2:$G$396,4,0)</f>
        <v>Und</v>
      </c>
      <c r="E7421" s="90">
        <f>1/20</f>
        <v>0.05</v>
      </c>
      <c r="F7421" s="508" t="e">
        <f t="shared" ref="F7421:F7427" si="433">E7421*D7421</f>
        <v>#VALUE!</v>
      </c>
      <c r="G7421" s="519"/>
      <c r="H7421" s="111"/>
      <c r="I7421">
        <f>E7421*G7410</f>
        <v>0</v>
      </c>
      <c r="J7421" s="57"/>
      <c r="K7421" s="50"/>
      <c r="L7421" s="50"/>
      <c r="M7421" s="50"/>
      <c r="N7421" s="50"/>
      <c r="O7421" s="50"/>
    </row>
    <row r="7422" spans="1:15">
      <c r="A7422" s="517" t="s">
        <v>4542</v>
      </c>
      <c r="B7422" s="518">
        <f>VLOOKUP(A7422,'Materiales '!$C$2:$G$396,3,0)</f>
        <v>4</v>
      </c>
      <c r="C7422" s="88">
        <f>VLOOKUP(A7422,'Materiales '!$C$2:$G$396,3,0)</f>
        <v>4</v>
      </c>
      <c r="D7422" s="89" t="str">
        <f>VLOOKUP(A7422,'Materiales '!$C$2:$G$396,4,0)</f>
        <v>Und</v>
      </c>
      <c r="E7422" s="90">
        <f>1/20</f>
        <v>0.05</v>
      </c>
      <c r="F7422" s="508" t="e">
        <f t="shared" si="433"/>
        <v>#VALUE!</v>
      </c>
      <c r="G7422" s="519"/>
      <c r="H7422" s="111"/>
      <c r="I7422">
        <f>E7422*G7410</f>
        <v>0</v>
      </c>
      <c r="J7422" s="58"/>
      <c r="K7422" s="50"/>
      <c r="L7422" s="50"/>
      <c r="M7422" s="50"/>
      <c r="N7422" s="50"/>
      <c r="O7422" s="50"/>
    </row>
    <row r="7423" spans="1:15">
      <c r="A7423" s="517" t="s">
        <v>8</v>
      </c>
      <c r="B7423" s="518">
        <f>VLOOKUP(A7423,'Materiales '!$C$2:$G$396,3,0)</f>
        <v>0</v>
      </c>
      <c r="C7423" s="88">
        <f>VLOOKUP(A7423,'Materiales '!$C$2:$G$396,3,0)</f>
        <v>0</v>
      </c>
      <c r="D7423" s="89" t="str">
        <f>VLOOKUP(A7423,'Materiales '!$C$2:$G$396,4,0)</f>
        <v>-</v>
      </c>
      <c r="E7423" s="90"/>
      <c r="F7423" s="508" t="e">
        <f t="shared" si="433"/>
        <v>#VALUE!</v>
      </c>
      <c r="G7423" s="519"/>
      <c r="H7423" s="111"/>
      <c r="I7423">
        <f>E7423*G7410</f>
        <v>0</v>
      </c>
      <c r="J7423" s="58"/>
      <c r="K7423" s="50"/>
      <c r="L7423" s="50"/>
      <c r="M7423" s="50"/>
      <c r="N7423" s="50"/>
      <c r="O7423" s="50"/>
    </row>
    <row r="7424" spans="1:15">
      <c r="A7424" s="517" t="s">
        <v>8</v>
      </c>
      <c r="B7424" s="518">
        <f>VLOOKUP(A7424,'Materiales '!$C$2:$G$396,3,0)</f>
        <v>0</v>
      </c>
      <c r="C7424" s="88">
        <f>VLOOKUP(A7424,'Materiales '!$C$2:$G$396,3,0)</f>
        <v>0</v>
      </c>
      <c r="D7424" s="89" t="str">
        <f>VLOOKUP(A7424,'Materiales '!$C$2:$G$396,4,0)</f>
        <v>-</v>
      </c>
      <c r="E7424" s="90"/>
      <c r="F7424" s="508" t="e">
        <f t="shared" si="433"/>
        <v>#VALUE!</v>
      </c>
      <c r="G7424" s="519"/>
      <c r="H7424" s="111"/>
      <c r="I7424">
        <f>E7424*G7410</f>
        <v>0</v>
      </c>
      <c r="J7424" s="58"/>
      <c r="K7424" s="50"/>
      <c r="L7424" s="50"/>
      <c r="M7424" s="50"/>
      <c r="N7424" s="50"/>
      <c r="O7424" s="50"/>
    </row>
    <row r="7425" spans="1:15">
      <c r="A7425" s="517" t="s">
        <v>8</v>
      </c>
      <c r="B7425" s="518">
        <f>VLOOKUP(A7425,'Materiales '!$C$2:$G$396,3,0)</f>
        <v>0</v>
      </c>
      <c r="C7425" s="88">
        <f>VLOOKUP(A7425,'Materiales '!$C$2:$G$396,3,0)</f>
        <v>0</v>
      </c>
      <c r="D7425" s="89" t="str">
        <f>VLOOKUP(A7425,'Materiales '!$C$2:$G$396,4,0)</f>
        <v>-</v>
      </c>
      <c r="E7425" s="90"/>
      <c r="F7425" s="508" t="e">
        <f t="shared" si="433"/>
        <v>#VALUE!</v>
      </c>
      <c r="G7425" s="519"/>
      <c r="H7425" s="111"/>
      <c r="I7425">
        <f>E7425*G7410</f>
        <v>0</v>
      </c>
      <c r="J7425" s="58"/>
      <c r="K7425" s="50"/>
      <c r="L7425" s="50"/>
      <c r="M7425" s="50"/>
      <c r="N7425" s="50"/>
      <c r="O7425" s="50"/>
    </row>
    <row r="7426" spans="1:15">
      <c r="A7426" s="517" t="s">
        <v>8</v>
      </c>
      <c r="B7426" s="518">
        <f>VLOOKUP(A7426,'Materiales '!$C$2:$G$396,3,0)</f>
        <v>0</v>
      </c>
      <c r="C7426" s="88">
        <f>VLOOKUP(A7426,'Materiales '!$C$2:$G$396,3,0)</f>
        <v>0</v>
      </c>
      <c r="D7426" s="89" t="str">
        <f>VLOOKUP(A7426,'Materiales '!$C$2:$G$396,4,0)</f>
        <v>-</v>
      </c>
      <c r="E7426" s="90"/>
      <c r="F7426" s="508" t="e">
        <f t="shared" si="433"/>
        <v>#VALUE!</v>
      </c>
      <c r="G7426" s="519"/>
      <c r="H7426" s="111"/>
      <c r="I7426">
        <f>E7426*G7410</f>
        <v>0</v>
      </c>
      <c r="J7426" s="58"/>
      <c r="K7426" s="50"/>
      <c r="L7426" s="50"/>
      <c r="M7426" s="50"/>
      <c r="N7426" s="50"/>
      <c r="O7426" s="50"/>
    </row>
    <row r="7427" spans="1:15" ht="21.75" customHeight="1">
      <c r="A7427" s="517" t="s">
        <v>8</v>
      </c>
      <c r="B7427" s="518">
        <f>VLOOKUP(A7427,'Materiales '!$C$2:$G$396,3,0)</f>
        <v>0</v>
      </c>
      <c r="C7427" s="88">
        <f>VLOOKUP(A7427,'Materiales '!$C$2:$G$396,3,0)</f>
        <v>0</v>
      </c>
      <c r="D7427" s="89" t="str">
        <f>VLOOKUP(A7427,'Materiales '!$C$2:$G$396,4,0)</f>
        <v>-</v>
      </c>
      <c r="E7427" s="90"/>
      <c r="F7427" s="508" t="e">
        <f t="shared" si="433"/>
        <v>#VALUE!</v>
      </c>
      <c r="G7427" s="519"/>
      <c r="H7427" s="111"/>
      <c r="I7427">
        <f>E7427*G7410</f>
        <v>0</v>
      </c>
      <c r="J7427" s="58"/>
      <c r="K7427" s="50"/>
      <c r="L7427" s="50"/>
      <c r="M7427" s="50"/>
      <c r="N7427" s="50"/>
      <c r="O7427" s="50"/>
    </row>
    <row r="7428" spans="1:15">
      <c r="A7428" s="517" t="s">
        <v>8</v>
      </c>
      <c r="B7428" s="518">
        <f>VLOOKUP(A7428,'Materiales '!$C$2:$G$396,3,0)</f>
        <v>0</v>
      </c>
      <c r="C7428" s="88">
        <f>VLOOKUP(A7428,'Materiales '!$C$2:$G$396,3,0)</f>
        <v>0</v>
      </c>
      <c r="D7428" s="89" t="str">
        <f>VLOOKUP(A7428,'Materiales '!$C$2:$G$396,4,0)</f>
        <v>-</v>
      </c>
      <c r="E7428" s="90"/>
      <c r="F7428" s="508" t="e">
        <f>E7428*D7428</f>
        <v>#VALUE!</v>
      </c>
      <c r="G7428" s="519"/>
      <c r="H7428" s="110"/>
      <c r="I7428">
        <f>E7428*G7410</f>
        <v>0</v>
      </c>
      <c r="J7428" s="58"/>
      <c r="K7428" s="50"/>
      <c r="L7428" s="50"/>
      <c r="M7428" s="50"/>
      <c r="N7428" s="50"/>
      <c r="O7428" s="50"/>
    </row>
    <row r="7429" spans="1:15">
      <c r="A7429" s="517" t="s">
        <v>8</v>
      </c>
      <c r="B7429" s="518">
        <f>VLOOKUP(A7429,'Materiales '!$C$2:$G$396,3,0)</f>
        <v>0</v>
      </c>
      <c r="C7429" s="88">
        <f>VLOOKUP(A7429,'Materiales '!$C$2:$G$396,3,0)</f>
        <v>0</v>
      </c>
      <c r="D7429" s="89" t="str">
        <f>VLOOKUP(A7429,'Materiales '!$C$2:$G$396,4,0)</f>
        <v>-</v>
      </c>
      <c r="E7429" s="90"/>
      <c r="F7429" s="508" t="e">
        <f t="shared" ref="F7429:F7432" si="434">E7429*D7429</f>
        <v>#VALUE!</v>
      </c>
      <c r="G7429" s="519"/>
      <c r="H7429" s="111"/>
      <c r="I7429">
        <f>E7429*G7410</f>
        <v>0</v>
      </c>
      <c r="J7429" s="58"/>
      <c r="K7429" s="50"/>
      <c r="L7429" s="50"/>
      <c r="M7429" s="50"/>
      <c r="N7429" s="50"/>
      <c r="O7429" s="50"/>
    </row>
    <row r="7430" spans="1:15">
      <c r="A7430" s="517" t="s">
        <v>8</v>
      </c>
      <c r="B7430" s="518">
        <f>VLOOKUP(A7430,'Materiales '!$C$2:$G$396,3,0)</f>
        <v>0</v>
      </c>
      <c r="C7430" s="88">
        <f>VLOOKUP(A7430,'Materiales '!$C$2:$G$396,3,0)</f>
        <v>0</v>
      </c>
      <c r="D7430" s="89" t="str">
        <f>VLOOKUP(A7430,'Materiales '!$C$2:$G$396,4,0)</f>
        <v>-</v>
      </c>
      <c r="E7430" s="90"/>
      <c r="F7430" s="508" t="e">
        <f t="shared" si="434"/>
        <v>#VALUE!</v>
      </c>
      <c r="G7430" s="519"/>
      <c r="H7430" s="111"/>
      <c r="I7430">
        <f>E7430*G7410</f>
        <v>0</v>
      </c>
      <c r="J7430" s="58"/>
      <c r="K7430" s="50"/>
      <c r="L7430" s="50"/>
      <c r="M7430" s="50"/>
      <c r="N7430" s="50"/>
      <c r="O7430" s="50"/>
    </row>
    <row r="7431" spans="1:15">
      <c r="A7431" s="517" t="s">
        <v>8</v>
      </c>
      <c r="B7431" s="518">
        <f>VLOOKUP(A7431,'Materiales '!$C$2:$G$396,3,0)</f>
        <v>0</v>
      </c>
      <c r="C7431" s="88">
        <f>VLOOKUP(A7431,'Materiales '!$C$2:$G$396,3,0)</f>
        <v>0</v>
      </c>
      <c r="D7431" s="89" t="str">
        <f>VLOOKUP(A7431,'Materiales '!$C$2:$G$396,4,0)</f>
        <v>-</v>
      </c>
      <c r="E7431" s="90"/>
      <c r="F7431" s="508" t="e">
        <f t="shared" si="434"/>
        <v>#VALUE!</v>
      </c>
      <c r="G7431" s="519"/>
      <c r="H7431" s="111"/>
      <c r="I7431">
        <f>E7431*G7410</f>
        <v>0</v>
      </c>
      <c r="J7431" s="58"/>
      <c r="K7431" s="50"/>
      <c r="L7431" s="50"/>
      <c r="M7431" s="50"/>
      <c r="N7431" s="50"/>
      <c r="O7431" s="50"/>
    </row>
    <row r="7432" spans="1:15">
      <c r="A7432" s="517" t="s">
        <v>8</v>
      </c>
      <c r="B7432" s="518">
        <f>VLOOKUP(A7432,'Materiales '!$C$2:$G$396,3,0)</f>
        <v>0</v>
      </c>
      <c r="C7432" s="88">
        <f>VLOOKUP(A7432,'Materiales '!$C$2:$G$396,3,0)</f>
        <v>0</v>
      </c>
      <c r="D7432" s="89" t="str">
        <f>VLOOKUP(A7432,'Materiales '!$C$2:$G$396,4,0)</f>
        <v>-</v>
      </c>
      <c r="E7432" s="90"/>
      <c r="F7432" s="508" t="e">
        <f t="shared" si="434"/>
        <v>#VALUE!</v>
      </c>
      <c r="G7432" s="519"/>
      <c r="H7432" s="111"/>
      <c r="I7432">
        <f>E7432*G7410</f>
        <v>0</v>
      </c>
      <c r="J7432" s="58"/>
      <c r="K7432" s="50"/>
      <c r="L7432" s="50"/>
      <c r="M7432" s="50"/>
      <c r="N7432" s="50"/>
      <c r="O7432" s="50"/>
    </row>
    <row r="7433" spans="1:15">
      <c r="A7433" s="517" t="s">
        <v>8</v>
      </c>
      <c r="B7433" s="518">
        <f>VLOOKUP(A7433,'Materiales '!$C$2:$G$396,3,0)</f>
        <v>0</v>
      </c>
      <c r="C7433" s="88">
        <f>VLOOKUP(A7433,'Materiales '!$C$2:$G$396,3,0)</f>
        <v>0</v>
      </c>
      <c r="D7433" s="89" t="str">
        <f>VLOOKUP(A7433,'Materiales '!$C$2:$G$396,4,0)</f>
        <v>-</v>
      </c>
      <c r="E7433" s="90"/>
      <c r="F7433" s="508" t="e">
        <f>E7433*D7433</f>
        <v>#VALUE!</v>
      </c>
      <c r="G7433" s="519"/>
      <c r="H7433" s="110"/>
      <c r="I7433">
        <f>E7433*G7410</f>
        <v>0</v>
      </c>
      <c r="J7433" s="58"/>
      <c r="K7433" s="50"/>
      <c r="L7433" s="50"/>
      <c r="M7433" s="50"/>
      <c r="N7433" s="50"/>
      <c r="O7433" s="50"/>
    </row>
    <row r="7434" spans="1:15">
      <c r="A7434" s="520" t="s">
        <v>4098</v>
      </c>
      <c r="B7434" s="521"/>
      <c r="C7434" s="521"/>
      <c r="D7434" s="521"/>
      <c r="E7434" s="521"/>
      <c r="F7434" s="521"/>
      <c r="G7434" s="522"/>
      <c r="H7434" s="106" t="e">
        <f>SUM(F7420:F7433)</f>
        <v>#VALUE!</v>
      </c>
      <c r="J7434" s="58"/>
      <c r="K7434" s="50"/>
      <c r="L7434" s="50"/>
      <c r="M7434" s="50"/>
      <c r="N7434" s="50"/>
      <c r="O7434" s="50"/>
    </row>
    <row r="7435" spans="1:15">
      <c r="A7435" s="523" t="s">
        <v>4220</v>
      </c>
      <c r="B7435" s="524"/>
      <c r="C7435" s="524"/>
      <c r="D7435" s="524"/>
      <c r="E7435" s="525"/>
      <c r="F7435" s="524"/>
      <c r="G7435" s="524"/>
      <c r="H7435" s="526"/>
      <c r="J7435" s="58"/>
      <c r="K7435" s="50"/>
      <c r="L7435" s="50"/>
      <c r="M7435" s="50"/>
      <c r="N7435" s="50"/>
      <c r="O7435" s="50"/>
    </row>
    <row r="7436" spans="1:15">
      <c r="A7436" s="527" t="s">
        <v>7</v>
      </c>
      <c r="B7436" s="528"/>
      <c r="C7436" s="98" t="s">
        <v>4221</v>
      </c>
      <c r="D7436" s="97" t="s">
        <v>4222</v>
      </c>
      <c r="E7436" s="187" t="s">
        <v>4223</v>
      </c>
      <c r="F7436" s="529" t="s">
        <v>4207</v>
      </c>
      <c r="G7436" s="529"/>
      <c r="H7436" s="109"/>
      <c r="K7436" s="50"/>
      <c r="L7436" s="50"/>
      <c r="M7436" s="50"/>
      <c r="N7436" s="50"/>
      <c r="O7436" s="50"/>
    </row>
    <row r="7437" spans="1:15">
      <c r="A7437" s="506" t="s">
        <v>3928</v>
      </c>
      <c r="B7437" s="507"/>
      <c r="C7437" s="213">
        <v>1</v>
      </c>
      <c r="D7437" s="92">
        <v>5.0000000000000001E-3</v>
      </c>
      <c r="E7437" s="93" t="str">
        <f>VLOOKUP(A7437,'Equip, Herr y Transp'!$B$2:$E$217,3,0)</f>
        <v>TR</v>
      </c>
      <c r="F7437" s="530" t="e">
        <f>E7437*D7437*C7437</f>
        <v>#VALUE!</v>
      </c>
      <c r="G7437" s="531"/>
      <c r="H7437" s="107"/>
      <c r="M7437" s="50"/>
    </row>
    <row r="7438" spans="1:15">
      <c r="A7438" s="532" t="s">
        <v>4205</v>
      </c>
      <c r="B7438" s="533"/>
      <c r="C7438" s="533"/>
      <c r="D7438" s="533"/>
      <c r="E7438" s="533"/>
      <c r="F7438" s="533"/>
      <c r="G7438" s="533"/>
      <c r="H7438" s="95" t="e">
        <f>F7437</f>
        <v>#VALUE!</v>
      </c>
    </row>
    <row r="7439" spans="1:15">
      <c r="A7439" s="523" t="s">
        <v>4224</v>
      </c>
      <c r="B7439" s="524"/>
      <c r="C7439" s="524"/>
      <c r="D7439" s="524"/>
      <c r="E7439" s="524"/>
      <c r="F7439" s="524"/>
      <c r="G7439" s="524"/>
      <c r="H7439" s="526"/>
    </row>
    <row r="7440" spans="1:15">
      <c r="A7440" s="527" t="s">
        <v>7</v>
      </c>
      <c r="B7440" s="528"/>
      <c r="C7440" s="96" t="s">
        <v>1</v>
      </c>
      <c r="D7440" s="97" t="s">
        <v>4225</v>
      </c>
      <c r="E7440" s="98" t="s">
        <v>4204</v>
      </c>
      <c r="F7440" s="527" t="s">
        <v>5</v>
      </c>
      <c r="G7440" s="534"/>
      <c r="H7440" s="109"/>
    </row>
    <row r="7441" spans="1:10">
      <c r="A7441" s="506" t="s">
        <v>4191</v>
      </c>
      <c r="B7441" s="507"/>
      <c r="C7441" s="91">
        <v>1</v>
      </c>
      <c r="D7441" s="94">
        <f>VLOOKUP(A7441,'Mano Obra'!$B$2:$T$117,19,0)</f>
        <v>152456</v>
      </c>
      <c r="E7441" s="218">
        <f>H7403</f>
        <v>2.0799999999999999E-2</v>
      </c>
      <c r="F7441" s="508">
        <f>E7441*D7441*C7441</f>
        <v>3171.0847999999996</v>
      </c>
      <c r="G7441" s="509"/>
      <c r="H7441" s="111"/>
      <c r="I7441" s="59"/>
      <c r="J7441" s="117">
        <f>((('Mano Obra'!$M$4/30)*F7441)/D7441)*G7410</f>
        <v>0</v>
      </c>
    </row>
    <row r="7442" spans="1:10">
      <c r="A7442" s="510" t="s">
        <v>4192</v>
      </c>
      <c r="B7442" s="511">
        <f>VLOOKUP(A7442,'Mano Obra'!$B$3:$D$290,2,0)</f>
        <v>1900000</v>
      </c>
      <c r="C7442" s="91">
        <v>1</v>
      </c>
      <c r="D7442" s="94">
        <f>VLOOKUP(A7442,'Mano Obra'!$B$2:$T$117,19,0)</f>
        <v>110488</v>
      </c>
      <c r="E7442" s="218">
        <f>H7403</f>
        <v>2.0799999999999999E-2</v>
      </c>
      <c r="F7442" s="508">
        <f t="shared" ref="F7442:F7443" si="435">E7442*D7442*C7442</f>
        <v>2298.1504</v>
      </c>
      <c r="G7442" s="509"/>
      <c r="H7442" s="111"/>
      <c r="J7442" s="117">
        <f>((('Mano Obra'!$M$5/30)*F7442)/D7442)*G7410</f>
        <v>0</v>
      </c>
    </row>
    <row r="7443" spans="1:10">
      <c r="A7443" s="510" t="s">
        <v>4181</v>
      </c>
      <c r="B7443" s="511">
        <f>VLOOKUP(A7443,'Mano Obra'!$B$3:$D$290,2,0)</f>
        <v>1000000</v>
      </c>
      <c r="C7443" s="91">
        <v>1</v>
      </c>
      <c r="D7443" s="94">
        <f>VLOOKUP(A7443,'Mano Obra'!$B$2:$T$117,19,0)</f>
        <v>67424</v>
      </c>
      <c r="E7443" s="218">
        <f>H7403</f>
        <v>2.0799999999999999E-2</v>
      </c>
      <c r="F7443" s="508">
        <f t="shared" si="435"/>
        <v>1402.4192</v>
      </c>
      <c r="G7443" s="509"/>
      <c r="H7443" s="110"/>
      <c r="J7443" s="117">
        <f>((('Mano Obra'!$M$6/30)*F7443)/D7443)*G7410</f>
        <v>0</v>
      </c>
    </row>
    <row r="7444" spans="1:10">
      <c r="A7444" s="512" t="s">
        <v>4100</v>
      </c>
      <c r="B7444" s="512"/>
      <c r="C7444" s="512"/>
      <c r="D7444" s="512"/>
      <c r="E7444" s="512"/>
      <c r="F7444" s="512"/>
      <c r="G7444" s="512"/>
      <c r="H7444" s="95">
        <f>SUM(F7441:F7443)</f>
        <v>6871.6543999999994</v>
      </c>
      <c r="J7444" s="117"/>
    </row>
    <row r="7445" spans="1:10">
      <c r="A7445" s="208" t="s">
        <v>4226</v>
      </c>
      <c r="B7445" s="186"/>
      <c r="C7445" s="186"/>
      <c r="D7445" s="183"/>
      <c r="E7445" s="184"/>
      <c r="F7445" s="185"/>
      <c r="G7445" s="184"/>
      <c r="H7445" s="193"/>
    </row>
    <row r="7446" spans="1:10">
      <c r="A7446" s="513" t="s">
        <v>4213</v>
      </c>
      <c r="B7446" s="514"/>
      <c r="C7446" s="514"/>
      <c r="D7446" s="514"/>
      <c r="E7446" s="181"/>
      <c r="F7446" s="182" t="s">
        <v>4227</v>
      </c>
      <c r="G7446" s="181" t="s">
        <v>4228</v>
      </c>
      <c r="H7446" s="194"/>
    </row>
    <row r="7447" spans="1:10">
      <c r="A7447" s="204" t="s">
        <v>4096</v>
      </c>
      <c r="B7447" s="62"/>
      <c r="C7447" s="62"/>
      <c r="D7447" s="63"/>
      <c r="E7447" s="68"/>
      <c r="F7447" s="69">
        <v>0</v>
      </c>
      <c r="G7447" s="70" t="e">
        <f>F7447*H7411</f>
        <v>#VALUE!</v>
      </c>
      <c r="H7447" s="193"/>
    </row>
    <row r="7448" spans="1:10">
      <c r="A7448" s="205" t="s">
        <v>4229</v>
      </c>
      <c r="B7448" s="71"/>
      <c r="C7448" s="71"/>
      <c r="D7448" s="72"/>
      <c r="E7448" s="68"/>
      <c r="F7448" s="69">
        <v>0</v>
      </c>
      <c r="G7448" s="70" t="e">
        <f>F7448*H7411</f>
        <v>#VALUE!</v>
      </c>
      <c r="H7448" s="193"/>
    </row>
    <row r="7449" spans="1:10">
      <c r="A7449" s="205" t="s">
        <v>4</v>
      </c>
      <c r="B7449" s="71"/>
      <c r="C7449" s="71"/>
      <c r="D7449" s="72"/>
      <c r="E7449" s="68"/>
      <c r="F7449" s="69">
        <v>0</v>
      </c>
      <c r="G7449" s="70" t="e">
        <f>F7449*H7411</f>
        <v>#VALUE!</v>
      </c>
      <c r="H7449" s="193"/>
    </row>
    <row r="7450" spans="1:10">
      <c r="A7450" s="206"/>
      <c r="B7450" s="73"/>
      <c r="C7450" s="65"/>
      <c r="D7450" s="74"/>
      <c r="E7450" s="75"/>
      <c r="F7450" s="76"/>
      <c r="G7450" s="77"/>
      <c r="H7450" s="195"/>
    </row>
    <row r="7451" spans="1:10">
      <c r="A7451" s="207"/>
      <c r="B7451" s="73"/>
      <c r="C7451" s="73"/>
      <c r="D7451" s="74"/>
      <c r="E7451" s="78"/>
      <c r="F7451" s="515" t="s">
        <v>4230</v>
      </c>
      <c r="G7451" s="516"/>
      <c r="H7451" s="214" t="e">
        <f>H7411+G7447+G7448+G7449</f>
        <v>#VALUE!</v>
      </c>
    </row>
    <row r="7453" spans="1:10">
      <c r="A7453" s="80"/>
      <c r="B7453" s="80"/>
      <c r="C7453" s="80"/>
      <c r="D7453" s="80"/>
      <c r="E7453" s="80"/>
      <c r="F7453" s="80"/>
      <c r="G7453" s="80"/>
      <c r="H7453" s="353"/>
    </row>
    <row r="7454" spans="1:10">
      <c r="A7454" s="537" t="s">
        <v>4214</v>
      </c>
      <c r="B7454" s="538"/>
      <c r="C7454" s="538"/>
      <c r="D7454" s="538"/>
      <c r="E7454" s="538"/>
      <c r="F7454" s="538"/>
      <c r="G7454" s="538"/>
      <c r="H7454" s="539"/>
    </row>
    <row r="7455" spans="1:10">
      <c r="A7455" s="81"/>
      <c r="B7455" s="82"/>
      <c r="C7455" s="82"/>
      <c r="D7455" s="82"/>
      <c r="E7455" s="82"/>
      <c r="F7455" s="83"/>
      <c r="G7455" s="84"/>
      <c r="H7455" s="352">
        <f>ROUND((8/60)/8,4)</f>
        <v>1.67E-2</v>
      </c>
      <c r="I7455" s="105"/>
    </row>
    <row r="7456" spans="1:10">
      <c r="A7456" s="540" t="s">
        <v>4209</v>
      </c>
      <c r="B7456" s="542" t="str">
        <f>COSTOS!$C$14</f>
        <v>MODERNIZACION A TECNOLOGIA LED</v>
      </c>
      <c r="C7456" s="542"/>
      <c r="D7456" s="542"/>
      <c r="E7456" s="542"/>
      <c r="F7456" s="542"/>
      <c r="G7456" s="542"/>
      <c r="H7456" s="543" t="s">
        <v>4210</v>
      </c>
    </row>
    <row r="7457" spans="1:15">
      <c r="A7457" s="541"/>
      <c r="B7457" s="542"/>
      <c r="C7457" s="542"/>
      <c r="D7457" s="542"/>
      <c r="E7457" s="542"/>
      <c r="F7457" s="542"/>
      <c r="G7457" s="542"/>
      <c r="H7457" s="543"/>
    </row>
    <row r="7458" spans="1:15">
      <c r="A7458" s="541"/>
      <c r="B7458" s="542"/>
      <c r="C7458" s="542"/>
      <c r="D7458" s="542"/>
      <c r="E7458" s="542"/>
      <c r="F7458" s="542"/>
      <c r="G7458" s="542"/>
      <c r="H7458" s="543"/>
    </row>
    <row r="7459" spans="1:15" ht="15" customHeight="1">
      <c r="A7459" s="541"/>
      <c r="B7459" s="542"/>
      <c r="C7459" s="542"/>
      <c r="D7459" s="542"/>
      <c r="E7459" s="542"/>
      <c r="F7459" s="542"/>
      <c r="G7459" s="542"/>
      <c r="H7459" s="197">
        <f ca="1">TODAY()</f>
        <v>44889</v>
      </c>
      <c r="K7459" t="s">
        <v>4380</v>
      </c>
      <c r="L7459" t="s">
        <v>4381</v>
      </c>
      <c r="M7459" t="s">
        <v>4382</v>
      </c>
      <c r="N7459" t="s">
        <v>4383</v>
      </c>
    </row>
    <row r="7460" spans="1:15" ht="60.75" customHeight="1">
      <c r="A7460" s="209" t="s">
        <v>4211</v>
      </c>
      <c r="B7460" s="544" t="str">
        <f>COSTOS!$D$16</f>
        <v>Luminarias</v>
      </c>
      <c r="C7460" s="544"/>
      <c r="D7460" s="544"/>
      <c r="E7460" s="544"/>
      <c r="F7460" s="544"/>
      <c r="G7460" s="60" t="s">
        <v>4212</v>
      </c>
      <c r="H7460" s="359">
        <v>3.22</v>
      </c>
      <c r="K7460" s="55" t="e">
        <f>H7486</f>
        <v>#VALUE!</v>
      </c>
      <c r="L7460" s="55">
        <f>H7496</f>
        <v>5517.1455999999998</v>
      </c>
      <c r="M7460" s="55" t="e">
        <f>H7469</f>
        <v>#VALUE!</v>
      </c>
      <c r="N7460" s="55" t="e">
        <f>H7490</f>
        <v>#VALUE!</v>
      </c>
    </row>
    <row r="7461" spans="1:15" ht="43.2" customHeight="1">
      <c r="A7461" s="210" t="s">
        <v>4213</v>
      </c>
      <c r="B7461" s="545" t="str">
        <f>VLOOKUP(H7460,COSTOS!C:M,2,0)</f>
        <v>Red Abierta 2#4 ACSR desnudo x 500m</v>
      </c>
      <c r="C7461" s="546"/>
      <c r="D7461" s="546"/>
      <c r="E7461" s="547"/>
      <c r="F7461" s="61" t="s">
        <v>0</v>
      </c>
      <c r="G7461" s="328" t="str">
        <f>VLOOKUP(H7460,COSTOS!C:M,8,0)</f>
        <v>Und</v>
      </c>
      <c r="H7461" s="248"/>
      <c r="I7461" s="278"/>
      <c r="J7461" s="280"/>
      <c r="K7461" s="280"/>
      <c r="L7461" s="280"/>
    </row>
    <row r="7462" spans="1:15">
      <c r="A7462" s="211"/>
      <c r="B7462" s="102"/>
      <c r="C7462" s="102"/>
      <c r="D7462" s="102"/>
      <c r="E7462" s="103"/>
      <c r="F7462" s="104" t="s">
        <v>1</v>
      </c>
      <c r="G7462" s="328">
        <f>VLOOKUP(H7460,COSTOS!C:M,9,0)</f>
        <v>0</v>
      </c>
      <c r="H7462" s="329"/>
      <c r="I7462" s="279"/>
    </row>
    <row r="7463" spans="1:15">
      <c r="A7463" s="212" t="s">
        <v>4215</v>
      </c>
      <c r="B7463" s="65"/>
      <c r="C7463" s="65"/>
      <c r="D7463" s="66"/>
      <c r="E7463" s="190"/>
      <c r="F7463" s="191"/>
      <c r="G7463" s="192" t="s">
        <v>4216</v>
      </c>
      <c r="H7463" s="198" t="e">
        <f>H7469+H7486+H7490+H7496</f>
        <v>#VALUE!</v>
      </c>
    </row>
    <row r="7464" spans="1:15" ht="41.4">
      <c r="A7464" s="548" t="s">
        <v>4213</v>
      </c>
      <c r="B7464" s="548"/>
      <c r="C7464" s="548"/>
      <c r="D7464" s="67" t="s">
        <v>0</v>
      </c>
      <c r="E7464" s="188" t="s">
        <v>4217</v>
      </c>
      <c r="F7464" s="189" t="s">
        <v>4204</v>
      </c>
      <c r="G7464" s="64" t="s">
        <v>2</v>
      </c>
      <c r="H7464" s="199" t="s">
        <v>4218</v>
      </c>
      <c r="K7464" s="281"/>
    </row>
    <row r="7465" spans="1:15">
      <c r="A7465" s="517" t="s">
        <v>3946</v>
      </c>
      <c r="B7465" s="549">
        <f>VLOOKUP(A7465,'Equip, Herr y Transp'!$B$2:$E$738,2,0)</f>
        <v>2</v>
      </c>
      <c r="C7465" s="549"/>
      <c r="D7465" s="85">
        <f>VLOOKUP(A7465,'Equip, Herr y Transp'!$B$2:$E$217,2,0)</f>
        <v>2</v>
      </c>
      <c r="E7465" s="85" t="str">
        <f>VLOOKUP(A7465,'Equip, Herr y Transp'!$B$2:$E$217,3,0)</f>
        <v>EQU</v>
      </c>
      <c r="F7465" s="86">
        <f>H7455</f>
        <v>1.67E-2</v>
      </c>
      <c r="G7465" s="112" t="e">
        <f>F7465*E7465</f>
        <v>#VALUE!</v>
      </c>
      <c r="H7465" s="108"/>
    </row>
    <row r="7466" spans="1:15">
      <c r="A7466" s="517" t="s">
        <v>3904</v>
      </c>
      <c r="B7466" s="549">
        <f>VLOOKUP(A7466,'Equip, Herr y Transp'!$B$2:$E$738,2,0)</f>
        <v>2</v>
      </c>
      <c r="C7466" s="549"/>
      <c r="D7466" s="85">
        <f>VLOOKUP(A7466,'Equip, Herr y Transp'!$B$2:$E$217,2,0)</f>
        <v>2</v>
      </c>
      <c r="E7466" s="85" t="str">
        <f>VLOOKUP(A7466,'Equip, Herr y Transp'!$B$2:$E$217,3,0)</f>
        <v>EQU</v>
      </c>
      <c r="F7466" s="86">
        <f>H7455</f>
        <v>1.67E-2</v>
      </c>
      <c r="G7466" s="112" t="e">
        <f>F7466*E7466</f>
        <v>#VALUE!</v>
      </c>
      <c r="H7466" s="107"/>
    </row>
    <row r="7467" spans="1:15">
      <c r="A7467" s="517" t="s">
        <v>8</v>
      </c>
      <c r="B7467" s="549" t="e">
        <f>VLOOKUP(A7467,'Equip, Herr y Transp'!$B$2:$E$738,2,0)</f>
        <v>#N/A</v>
      </c>
      <c r="C7467" s="549"/>
      <c r="D7467" s="85" t="e">
        <f>VLOOKUP(A7467,'Equip, Herr y Transp'!$B$2:$E$217,2,0)</f>
        <v>#N/A</v>
      </c>
      <c r="E7467" s="85" t="e">
        <f>VLOOKUP(A7467,'Equip, Herr y Transp'!$B$2:$E$217,3,0)</f>
        <v>#N/A</v>
      </c>
      <c r="F7467" s="86">
        <f>H7455</f>
        <v>1.67E-2</v>
      </c>
      <c r="G7467" s="112" t="e">
        <f>F7467*E7467</f>
        <v>#N/A</v>
      </c>
      <c r="H7467" s="107"/>
    </row>
    <row r="7468" spans="1:15">
      <c r="A7468" s="517" t="s">
        <v>8</v>
      </c>
      <c r="B7468" s="549" t="e">
        <f>VLOOKUP(A7468,'Equip, Herr y Transp'!$B$2:$E$738,2,0)</f>
        <v>#N/A</v>
      </c>
      <c r="C7468" s="549"/>
      <c r="D7468" s="85" t="e">
        <f>VLOOKUP(A7468,'Equip, Herr y Transp'!$B$2:$E$217,2,0)</f>
        <v>#N/A</v>
      </c>
      <c r="E7468" s="85" t="e">
        <f>VLOOKUP(A7468,'Equip, Herr y Transp'!$B$2:$E$217,3,0)</f>
        <v>#N/A</v>
      </c>
      <c r="F7468" s="86">
        <f>H7455</f>
        <v>1.67E-2</v>
      </c>
      <c r="G7468" s="112" t="e">
        <f>F7468*E7468</f>
        <v>#N/A</v>
      </c>
      <c r="H7468" s="107"/>
    </row>
    <row r="7469" spans="1:15">
      <c r="A7469" s="520" t="s">
        <v>4099</v>
      </c>
      <c r="B7469" s="521"/>
      <c r="C7469" s="521"/>
      <c r="D7469" s="521"/>
      <c r="E7469" s="521"/>
      <c r="F7469" s="521"/>
      <c r="G7469" s="521"/>
      <c r="H7469" s="87" t="e">
        <f>SUM(G7465:G7468)</f>
        <v>#VALUE!</v>
      </c>
    </row>
    <row r="7470" spans="1:15">
      <c r="A7470" s="550" t="s">
        <v>4219</v>
      </c>
      <c r="B7470" s="551"/>
      <c r="C7470" s="551"/>
      <c r="D7470" s="551"/>
      <c r="E7470" s="551"/>
      <c r="F7470" s="551"/>
      <c r="G7470" s="551"/>
      <c r="H7470" s="552"/>
      <c r="K7470" s="50"/>
      <c r="L7470" s="50"/>
      <c r="M7470" s="50"/>
      <c r="N7470" s="50"/>
      <c r="O7470" s="50"/>
    </row>
    <row r="7471" spans="1:15" ht="30" customHeight="1">
      <c r="A7471" s="553" t="s">
        <v>7</v>
      </c>
      <c r="B7471" s="554"/>
      <c r="C7471" s="99" t="s">
        <v>0</v>
      </c>
      <c r="D7471" s="100" t="s">
        <v>4097</v>
      </c>
      <c r="E7471" s="101" t="s">
        <v>1</v>
      </c>
      <c r="F7471" s="555" t="s">
        <v>4207</v>
      </c>
      <c r="G7471" s="555"/>
      <c r="H7471" s="196"/>
      <c r="K7471" s="50"/>
      <c r="L7471" s="50"/>
      <c r="M7471" s="50"/>
      <c r="N7471" s="50"/>
      <c r="O7471" s="50"/>
    </row>
    <row r="7472" spans="1:15">
      <c r="A7472" s="535" t="s">
        <v>4429</v>
      </c>
      <c r="B7472" s="536"/>
      <c r="C7472" s="88">
        <f>VLOOKUP(A7472,'Materiales '!$C$2:$G$396,3,0)</f>
        <v>2</v>
      </c>
      <c r="D7472" s="89" t="str">
        <f>VLOOKUP(A7472,'Materiales '!$C$2:$G$396,4,0)</f>
        <v>Ml</v>
      </c>
      <c r="E7472" s="90">
        <v>2</v>
      </c>
      <c r="F7472" s="508" t="e">
        <f>E7472*D7472</f>
        <v>#VALUE!</v>
      </c>
      <c r="G7472" s="519"/>
      <c r="H7472" s="111"/>
      <c r="I7472">
        <f>E7472*G7462</f>
        <v>0</v>
      </c>
      <c r="J7472" s="57"/>
      <c r="K7472" s="50"/>
      <c r="L7472" s="50"/>
      <c r="M7472" s="50"/>
      <c r="N7472" s="50"/>
      <c r="O7472" s="50"/>
    </row>
    <row r="7473" spans="1:15">
      <c r="A7473" s="535" t="s">
        <v>4406</v>
      </c>
      <c r="B7473" s="536"/>
      <c r="C7473" s="88">
        <f>VLOOKUP(A7473,'Materiales '!$C$2:$G$396,3,0)</f>
        <v>4</v>
      </c>
      <c r="D7473" s="89" t="str">
        <f>VLOOKUP(A7473,'Materiales '!$C$2:$G$396,4,0)</f>
        <v>Und</v>
      </c>
      <c r="E7473" s="90">
        <f>2/25</f>
        <v>0.08</v>
      </c>
      <c r="F7473" s="508" t="e">
        <f t="shared" ref="F7473:F7479" si="436">E7473*D7473</f>
        <v>#VALUE!</v>
      </c>
      <c r="G7473" s="519"/>
      <c r="H7473" s="111"/>
      <c r="I7473">
        <f>E7473*G7462</f>
        <v>0</v>
      </c>
      <c r="J7473" s="57"/>
      <c r="K7473" s="50"/>
      <c r="L7473" s="50"/>
      <c r="M7473" s="50"/>
      <c r="N7473" s="50"/>
      <c r="O7473" s="50"/>
    </row>
    <row r="7474" spans="1:15">
      <c r="A7474" s="517" t="s">
        <v>4542</v>
      </c>
      <c r="B7474" s="518">
        <f>VLOOKUP(A7474,'Materiales '!$C$2:$G$396,3,0)</f>
        <v>4</v>
      </c>
      <c r="C7474" s="88">
        <f>VLOOKUP(A7474,'Materiales '!$C$2:$G$396,3,0)</f>
        <v>4</v>
      </c>
      <c r="D7474" s="89" t="str">
        <f>VLOOKUP(A7474,'Materiales '!$C$2:$G$396,4,0)</f>
        <v>Und</v>
      </c>
      <c r="E7474" s="90">
        <f>2/25</f>
        <v>0.08</v>
      </c>
      <c r="F7474" s="508" t="e">
        <f t="shared" si="436"/>
        <v>#VALUE!</v>
      </c>
      <c r="G7474" s="519"/>
      <c r="H7474" s="111"/>
      <c r="I7474">
        <f>E7474*G7462</f>
        <v>0</v>
      </c>
      <c r="J7474" s="58"/>
      <c r="K7474" s="50"/>
      <c r="L7474" s="50"/>
      <c r="M7474" s="50"/>
      <c r="N7474" s="50"/>
      <c r="O7474" s="50"/>
    </row>
    <row r="7475" spans="1:15">
      <c r="A7475" s="517" t="s">
        <v>8</v>
      </c>
      <c r="B7475" s="518">
        <f>VLOOKUP(A7475,'Materiales '!$C$2:$G$396,3,0)</f>
        <v>0</v>
      </c>
      <c r="C7475" s="88">
        <f>VLOOKUP(A7475,'Materiales '!$C$2:$G$396,3,0)</f>
        <v>0</v>
      </c>
      <c r="D7475" s="89" t="str">
        <f>VLOOKUP(A7475,'Materiales '!$C$2:$G$396,4,0)</f>
        <v>-</v>
      </c>
      <c r="E7475" s="90"/>
      <c r="F7475" s="508" t="e">
        <f t="shared" si="436"/>
        <v>#VALUE!</v>
      </c>
      <c r="G7475" s="519"/>
      <c r="H7475" s="111"/>
      <c r="I7475">
        <f>E7475*G7462</f>
        <v>0</v>
      </c>
      <c r="J7475" s="58"/>
      <c r="K7475" s="50"/>
      <c r="L7475" s="50"/>
      <c r="M7475" s="50"/>
      <c r="N7475" s="50"/>
      <c r="O7475" s="50"/>
    </row>
    <row r="7476" spans="1:15">
      <c r="A7476" s="517" t="s">
        <v>8</v>
      </c>
      <c r="B7476" s="518">
        <f>VLOOKUP(A7476,'Materiales '!$C$2:$G$396,3,0)</f>
        <v>0</v>
      </c>
      <c r="C7476" s="88">
        <f>VLOOKUP(A7476,'Materiales '!$C$2:$G$396,3,0)</f>
        <v>0</v>
      </c>
      <c r="D7476" s="89" t="str">
        <f>VLOOKUP(A7476,'Materiales '!$C$2:$G$396,4,0)</f>
        <v>-</v>
      </c>
      <c r="E7476" s="90"/>
      <c r="F7476" s="508" t="e">
        <f t="shared" si="436"/>
        <v>#VALUE!</v>
      </c>
      <c r="G7476" s="519"/>
      <c r="H7476" s="111"/>
      <c r="I7476">
        <f>E7476*G7462</f>
        <v>0</v>
      </c>
      <c r="J7476" s="58"/>
      <c r="K7476" s="50"/>
      <c r="L7476" s="50"/>
      <c r="M7476" s="50"/>
      <c r="N7476" s="50"/>
      <c r="O7476" s="50"/>
    </row>
    <row r="7477" spans="1:15">
      <c r="A7477" s="517" t="s">
        <v>8</v>
      </c>
      <c r="B7477" s="518">
        <f>VLOOKUP(A7477,'Materiales '!$C$2:$G$396,3,0)</f>
        <v>0</v>
      </c>
      <c r="C7477" s="88">
        <f>VLOOKUP(A7477,'Materiales '!$C$2:$G$396,3,0)</f>
        <v>0</v>
      </c>
      <c r="D7477" s="89" t="str">
        <f>VLOOKUP(A7477,'Materiales '!$C$2:$G$396,4,0)</f>
        <v>-</v>
      </c>
      <c r="E7477" s="90"/>
      <c r="F7477" s="508" t="e">
        <f t="shared" si="436"/>
        <v>#VALUE!</v>
      </c>
      <c r="G7477" s="519"/>
      <c r="H7477" s="111"/>
      <c r="I7477">
        <f>E7477*G7462</f>
        <v>0</v>
      </c>
      <c r="J7477" s="58"/>
      <c r="K7477" s="50"/>
      <c r="L7477" s="50"/>
      <c r="M7477" s="50"/>
      <c r="N7477" s="50"/>
      <c r="O7477" s="50"/>
    </row>
    <row r="7478" spans="1:15">
      <c r="A7478" s="517" t="s">
        <v>8</v>
      </c>
      <c r="B7478" s="518">
        <f>VLOOKUP(A7478,'Materiales '!$C$2:$G$396,3,0)</f>
        <v>0</v>
      </c>
      <c r="C7478" s="88">
        <f>VLOOKUP(A7478,'Materiales '!$C$2:$G$396,3,0)</f>
        <v>0</v>
      </c>
      <c r="D7478" s="89" t="str">
        <f>VLOOKUP(A7478,'Materiales '!$C$2:$G$396,4,0)</f>
        <v>-</v>
      </c>
      <c r="E7478" s="90"/>
      <c r="F7478" s="508" t="e">
        <f t="shared" si="436"/>
        <v>#VALUE!</v>
      </c>
      <c r="G7478" s="519"/>
      <c r="H7478" s="111"/>
      <c r="I7478">
        <f>E7478*G7462</f>
        <v>0</v>
      </c>
      <c r="J7478" s="58"/>
      <c r="K7478" s="50"/>
      <c r="L7478" s="50"/>
      <c r="M7478" s="50"/>
      <c r="N7478" s="50"/>
      <c r="O7478" s="50"/>
    </row>
    <row r="7479" spans="1:15" ht="21.75" customHeight="1">
      <c r="A7479" s="517" t="s">
        <v>8</v>
      </c>
      <c r="B7479" s="518">
        <f>VLOOKUP(A7479,'Materiales '!$C$2:$G$396,3,0)</f>
        <v>0</v>
      </c>
      <c r="C7479" s="88">
        <f>VLOOKUP(A7479,'Materiales '!$C$2:$G$396,3,0)</f>
        <v>0</v>
      </c>
      <c r="D7479" s="89" t="str">
        <f>VLOOKUP(A7479,'Materiales '!$C$2:$G$396,4,0)</f>
        <v>-</v>
      </c>
      <c r="E7479" s="90"/>
      <c r="F7479" s="508" t="e">
        <f t="shared" si="436"/>
        <v>#VALUE!</v>
      </c>
      <c r="G7479" s="519"/>
      <c r="H7479" s="111"/>
      <c r="I7479">
        <f>E7479*G7462</f>
        <v>0</v>
      </c>
      <c r="J7479" s="58"/>
      <c r="K7479" s="50"/>
      <c r="L7479" s="50"/>
      <c r="M7479" s="50"/>
      <c r="N7479" s="50"/>
      <c r="O7479" s="50"/>
    </row>
    <row r="7480" spans="1:15">
      <c r="A7480" s="517" t="s">
        <v>8</v>
      </c>
      <c r="B7480" s="518">
        <f>VLOOKUP(A7480,'Materiales '!$C$2:$G$396,3,0)</f>
        <v>0</v>
      </c>
      <c r="C7480" s="88">
        <f>VLOOKUP(A7480,'Materiales '!$C$2:$G$396,3,0)</f>
        <v>0</v>
      </c>
      <c r="D7480" s="89" t="str">
        <f>VLOOKUP(A7480,'Materiales '!$C$2:$G$396,4,0)</f>
        <v>-</v>
      </c>
      <c r="E7480" s="90"/>
      <c r="F7480" s="508" t="e">
        <f>E7480*D7480</f>
        <v>#VALUE!</v>
      </c>
      <c r="G7480" s="519"/>
      <c r="H7480" s="110"/>
      <c r="I7480">
        <f>E7480*G7462</f>
        <v>0</v>
      </c>
      <c r="J7480" s="58"/>
      <c r="K7480" s="50"/>
      <c r="L7480" s="50"/>
      <c r="M7480" s="50"/>
      <c r="N7480" s="50"/>
      <c r="O7480" s="50"/>
    </row>
    <row r="7481" spans="1:15">
      <c r="A7481" s="517" t="s">
        <v>8</v>
      </c>
      <c r="B7481" s="518">
        <f>VLOOKUP(A7481,'Materiales '!$C$2:$G$396,3,0)</f>
        <v>0</v>
      </c>
      <c r="C7481" s="88">
        <f>VLOOKUP(A7481,'Materiales '!$C$2:$G$396,3,0)</f>
        <v>0</v>
      </c>
      <c r="D7481" s="89" t="str">
        <f>VLOOKUP(A7481,'Materiales '!$C$2:$G$396,4,0)</f>
        <v>-</v>
      </c>
      <c r="E7481" s="90"/>
      <c r="F7481" s="508" t="e">
        <f t="shared" ref="F7481:F7484" si="437">E7481*D7481</f>
        <v>#VALUE!</v>
      </c>
      <c r="G7481" s="519"/>
      <c r="H7481" s="111"/>
      <c r="I7481">
        <f>E7481*G7462</f>
        <v>0</v>
      </c>
      <c r="J7481" s="58"/>
      <c r="K7481" s="50"/>
      <c r="L7481" s="50"/>
      <c r="M7481" s="50"/>
      <c r="N7481" s="50"/>
      <c r="O7481" s="50"/>
    </row>
    <row r="7482" spans="1:15">
      <c r="A7482" s="517" t="s">
        <v>8</v>
      </c>
      <c r="B7482" s="518">
        <f>VLOOKUP(A7482,'Materiales '!$C$2:$G$396,3,0)</f>
        <v>0</v>
      </c>
      <c r="C7482" s="88">
        <f>VLOOKUP(A7482,'Materiales '!$C$2:$G$396,3,0)</f>
        <v>0</v>
      </c>
      <c r="D7482" s="89" t="str">
        <f>VLOOKUP(A7482,'Materiales '!$C$2:$G$396,4,0)</f>
        <v>-</v>
      </c>
      <c r="E7482" s="90"/>
      <c r="F7482" s="508" t="e">
        <f t="shared" si="437"/>
        <v>#VALUE!</v>
      </c>
      <c r="G7482" s="519"/>
      <c r="H7482" s="111"/>
      <c r="I7482">
        <f>E7482*G7462</f>
        <v>0</v>
      </c>
      <c r="J7482" s="58"/>
      <c r="K7482" s="50"/>
      <c r="L7482" s="50"/>
      <c r="M7482" s="50"/>
      <c r="N7482" s="50"/>
      <c r="O7482" s="50"/>
    </row>
    <row r="7483" spans="1:15">
      <c r="A7483" s="517" t="s">
        <v>8</v>
      </c>
      <c r="B7483" s="518">
        <f>VLOOKUP(A7483,'Materiales '!$C$2:$G$396,3,0)</f>
        <v>0</v>
      </c>
      <c r="C7483" s="88">
        <f>VLOOKUP(A7483,'Materiales '!$C$2:$G$396,3,0)</f>
        <v>0</v>
      </c>
      <c r="D7483" s="89" t="str">
        <f>VLOOKUP(A7483,'Materiales '!$C$2:$G$396,4,0)</f>
        <v>-</v>
      </c>
      <c r="E7483" s="90"/>
      <c r="F7483" s="508" t="e">
        <f t="shared" si="437"/>
        <v>#VALUE!</v>
      </c>
      <c r="G7483" s="519"/>
      <c r="H7483" s="111"/>
      <c r="I7483">
        <f>E7483*G7462</f>
        <v>0</v>
      </c>
      <c r="J7483" s="58"/>
      <c r="K7483" s="50"/>
      <c r="L7483" s="50"/>
      <c r="M7483" s="50"/>
      <c r="N7483" s="50"/>
      <c r="O7483" s="50"/>
    </row>
    <row r="7484" spans="1:15">
      <c r="A7484" s="517" t="s">
        <v>8</v>
      </c>
      <c r="B7484" s="518">
        <f>VLOOKUP(A7484,'Materiales '!$C$2:$G$396,3,0)</f>
        <v>0</v>
      </c>
      <c r="C7484" s="88">
        <f>VLOOKUP(A7484,'Materiales '!$C$2:$G$396,3,0)</f>
        <v>0</v>
      </c>
      <c r="D7484" s="89" t="str">
        <f>VLOOKUP(A7484,'Materiales '!$C$2:$G$396,4,0)</f>
        <v>-</v>
      </c>
      <c r="E7484" s="90"/>
      <c r="F7484" s="508" t="e">
        <f t="shared" si="437"/>
        <v>#VALUE!</v>
      </c>
      <c r="G7484" s="519"/>
      <c r="H7484" s="111"/>
      <c r="I7484">
        <f>E7484*G7462</f>
        <v>0</v>
      </c>
      <c r="J7484" s="58"/>
      <c r="K7484" s="50"/>
      <c r="L7484" s="50"/>
      <c r="M7484" s="50"/>
      <c r="N7484" s="50"/>
      <c r="O7484" s="50"/>
    </row>
    <row r="7485" spans="1:15">
      <c r="A7485" s="517" t="s">
        <v>8</v>
      </c>
      <c r="B7485" s="518">
        <f>VLOOKUP(A7485,'Materiales '!$C$2:$G$396,3,0)</f>
        <v>0</v>
      </c>
      <c r="C7485" s="88">
        <f>VLOOKUP(A7485,'Materiales '!$C$2:$G$396,3,0)</f>
        <v>0</v>
      </c>
      <c r="D7485" s="89" t="str">
        <f>VLOOKUP(A7485,'Materiales '!$C$2:$G$396,4,0)</f>
        <v>-</v>
      </c>
      <c r="E7485" s="90"/>
      <c r="F7485" s="508" t="e">
        <f>E7485*D7485</f>
        <v>#VALUE!</v>
      </c>
      <c r="G7485" s="519"/>
      <c r="H7485" s="110"/>
      <c r="I7485">
        <f>E7485*G7462</f>
        <v>0</v>
      </c>
      <c r="J7485" s="58"/>
      <c r="K7485" s="50"/>
      <c r="L7485" s="50"/>
      <c r="M7485" s="50"/>
      <c r="N7485" s="50"/>
      <c r="O7485" s="50"/>
    </row>
    <row r="7486" spans="1:15">
      <c r="A7486" s="520" t="s">
        <v>4098</v>
      </c>
      <c r="B7486" s="521"/>
      <c r="C7486" s="521"/>
      <c r="D7486" s="521"/>
      <c r="E7486" s="521"/>
      <c r="F7486" s="521"/>
      <c r="G7486" s="522"/>
      <c r="H7486" s="106" t="e">
        <f>SUM(F7472:F7485)</f>
        <v>#VALUE!</v>
      </c>
      <c r="J7486" s="58"/>
      <c r="K7486" s="50"/>
      <c r="L7486" s="50"/>
      <c r="M7486" s="50"/>
      <c r="N7486" s="50"/>
      <c r="O7486" s="50"/>
    </row>
    <row r="7487" spans="1:15">
      <c r="A7487" s="523" t="s">
        <v>4220</v>
      </c>
      <c r="B7487" s="524"/>
      <c r="C7487" s="524"/>
      <c r="D7487" s="524"/>
      <c r="E7487" s="525"/>
      <c r="F7487" s="524"/>
      <c r="G7487" s="524"/>
      <c r="H7487" s="526"/>
      <c r="J7487" s="58"/>
      <c r="K7487" s="50"/>
      <c r="L7487" s="50"/>
      <c r="M7487" s="50"/>
      <c r="N7487" s="50"/>
      <c r="O7487" s="50"/>
    </row>
    <row r="7488" spans="1:15">
      <c r="A7488" s="527" t="s">
        <v>7</v>
      </c>
      <c r="B7488" s="528"/>
      <c r="C7488" s="98" t="s">
        <v>4221</v>
      </c>
      <c r="D7488" s="97" t="s">
        <v>4222</v>
      </c>
      <c r="E7488" s="187" t="s">
        <v>4223</v>
      </c>
      <c r="F7488" s="529" t="s">
        <v>4207</v>
      </c>
      <c r="G7488" s="529"/>
      <c r="H7488" s="109"/>
      <c r="K7488" s="50"/>
      <c r="L7488" s="50"/>
      <c r="M7488" s="50"/>
      <c r="N7488" s="50"/>
      <c r="O7488" s="50"/>
    </row>
    <row r="7489" spans="1:13">
      <c r="A7489" s="506" t="s">
        <v>3928</v>
      </c>
      <c r="B7489" s="507"/>
      <c r="C7489" s="213">
        <v>1</v>
      </c>
      <c r="D7489" s="92">
        <v>5.0000000000000001E-3</v>
      </c>
      <c r="E7489" s="93" t="str">
        <f>VLOOKUP(A7489,'Equip, Herr y Transp'!$B$2:$E$217,3,0)</f>
        <v>TR</v>
      </c>
      <c r="F7489" s="530" t="e">
        <f>E7489*D7489*C7489</f>
        <v>#VALUE!</v>
      </c>
      <c r="G7489" s="531"/>
      <c r="H7489" s="107"/>
      <c r="M7489" s="50"/>
    </row>
    <row r="7490" spans="1:13">
      <c r="A7490" s="532" t="s">
        <v>4205</v>
      </c>
      <c r="B7490" s="533"/>
      <c r="C7490" s="533"/>
      <c r="D7490" s="533"/>
      <c r="E7490" s="533"/>
      <c r="F7490" s="533"/>
      <c r="G7490" s="533"/>
      <c r="H7490" s="95" t="e">
        <f>F7489</f>
        <v>#VALUE!</v>
      </c>
    </row>
    <row r="7491" spans="1:13">
      <c r="A7491" s="523" t="s">
        <v>4224</v>
      </c>
      <c r="B7491" s="524"/>
      <c r="C7491" s="524"/>
      <c r="D7491" s="524"/>
      <c r="E7491" s="524"/>
      <c r="F7491" s="524"/>
      <c r="G7491" s="524"/>
      <c r="H7491" s="526"/>
    </row>
    <row r="7492" spans="1:13">
      <c r="A7492" s="527" t="s">
        <v>7</v>
      </c>
      <c r="B7492" s="528"/>
      <c r="C7492" s="96" t="s">
        <v>1</v>
      </c>
      <c r="D7492" s="97" t="s">
        <v>4225</v>
      </c>
      <c r="E7492" s="98" t="s">
        <v>4204</v>
      </c>
      <c r="F7492" s="527" t="s">
        <v>5</v>
      </c>
      <c r="G7492" s="534"/>
      <c r="H7492" s="109"/>
    </row>
    <row r="7493" spans="1:13">
      <c r="A7493" s="506" t="s">
        <v>4191</v>
      </c>
      <c r="B7493" s="507"/>
      <c r="C7493" s="91">
        <v>1</v>
      </c>
      <c r="D7493" s="94">
        <f>VLOOKUP(A7493,'Mano Obra'!$B$2:$T$117,19,0)</f>
        <v>152456</v>
      </c>
      <c r="E7493" s="218">
        <f>H7455</f>
        <v>1.67E-2</v>
      </c>
      <c r="F7493" s="508">
        <f>E7493*D7493*C7493</f>
        <v>2546.0151999999998</v>
      </c>
      <c r="G7493" s="509"/>
      <c r="H7493" s="111"/>
      <c r="I7493" s="59"/>
      <c r="J7493" s="117">
        <f>((('Mano Obra'!$M$4/30)*F7493)/D7493)*G7462</f>
        <v>0</v>
      </c>
    </row>
    <row r="7494" spans="1:13">
      <c r="A7494" s="510" t="s">
        <v>4192</v>
      </c>
      <c r="B7494" s="511">
        <f>VLOOKUP(A7494,'Mano Obra'!$B$3:$D$290,2,0)</f>
        <v>1900000</v>
      </c>
      <c r="C7494" s="91">
        <v>1</v>
      </c>
      <c r="D7494" s="94">
        <f>VLOOKUP(A7494,'Mano Obra'!$B$2:$T$117,19,0)</f>
        <v>110488</v>
      </c>
      <c r="E7494" s="218">
        <f>H7455</f>
        <v>1.67E-2</v>
      </c>
      <c r="F7494" s="508">
        <f t="shared" ref="F7494:F7495" si="438">E7494*D7494*C7494</f>
        <v>1845.1496</v>
      </c>
      <c r="G7494" s="509"/>
      <c r="H7494" s="111"/>
      <c r="J7494" s="117">
        <f>((('Mano Obra'!$M$5/30)*F7494)/D7494)*G7462</f>
        <v>0</v>
      </c>
    </row>
    <row r="7495" spans="1:13">
      <c r="A7495" s="510" t="s">
        <v>4181</v>
      </c>
      <c r="B7495" s="511">
        <f>VLOOKUP(A7495,'Mano Obra'!$B$3:$D$290,2,0)</f>
        <v>1000000</v>
      </c>
      <c r="C7495" s="91">
        <v>1</v>
      </c>
      <c r="D7495" s="94">
        <f>VLOOKUP(A7495,'Mano Obra'!$B$2:$T$117,19,0)</f>
        <v>67424</v>
      </c>
      <c r="E7495" s="218">
        <f>H7455</f>
        <v>1.67E-2</v>
      </c>
      <c r="F7495" s="508">
        <f t="shared" si="438"/>
        <v>1125.9808</v>
      </c>
      <c r="G7495" s="509"/>
      <c r="H7495" s="110"/>
      <c r="J7495" s="117">
        <f>((('Mano Obra'!$M$6/30)*F7495)/D7495)*G7462</f>
        <v>0</v>
      </c>
    </row>
    <row r="7496" spans="1:13">
      <c r="A7496" s="512" t="s">
        <v>4100</v>
      </c>
      <c r="B7496" s="512"/>
      <c r="C7496" s="512"/>
      <c r="D7496" s="512"/>
      <c r="E7496" s="512"/>
      <c r="F7496" s="512"/>
      <c r="G7496" s="512"/>
      <c r="H7496" s="95">
        <f>SUM(F7493:F7495)</f>
        <v>5517.1455999999998</v>
      </c>
      <c r="J7496" s="117"/>
    </row>
    <row r="7497" spans="1:13">
      <c r="A7497" s="208" t="s">
        <v>4226</v>
      </c>
      <c r="B7497" s="186"/>
      <c r="C7497" s="186"/>
      <c r="D7497" s="183"/>
      <c r="E7497" s="184"/>
      <c r="F7497" s="185"/>
      <c r="G7497" s="184"/>
      <c r="H7497" s="193"/>
    </row>
    <row r="7498" spans="1:13">
      <c r="A7498" s="513" t="s">
        <v>4213</v>
      </c>
      <c r="B7498" s="514"/>
      <c r="C7498" s="514"/>
      <c r="D7498" s="514"/>
      <c r="E7498" s="181"/>
      <c r="F7498" s="182" t="s">
        <v>4227</v>
      </c>
      <c r="G7498" s="181" t="s">
        <v>4228</v>
      </c>
      <c r="H7498" s="194"/>
    </row>
    <row r="7499" spans="1:13">
      <c r="A7499" s="204" t="s">
        <v>4096</v>
      </c>
      <c r="B7499" s="62"/>
      <c r="C7499" s="62"/>
      <c r="D7499" s="63"/>
      <c r="E7499" s="68"/>
      <c r="F7499" s="69">
        <v>0</v>
      </c>
      <c r="G7499" s="70" t="e">
        <f>F7499*H7463</f>
        <v>#VALUE!</v>
      </c>
      <c r="H7499" s="193"/>
    </row>
    <row r="7500" spans="1:13">
      <c r="A7500" s="205" t="s">
        <v>4229</v>
      </c>
      <c r="B7500" s="71"/>
      <c r="C7500" s="71"/>
      <c r="D7500" s="72"/>
      <c r="E7500" s="68"/>
      <c r="F7500" s="69">
        <v>0</v>
      </c>
      <c r="G7500" s="70" t="e">
        <f>F7500*H7463</f>
        <v>#VALUE!</v>
      </c>
      <c r="H7500" s="193"/>
    </row>
    <row r="7501" spans="1:13">
      <c r="A7501" s="205" t="s">
        <v>4</v>
      </c>
      <c r="B7501" s="71"/>
      <c r="C7501" s="71"/>
      <c r="D7501" s="72"/>
      <c r="E7501" s="68"/>
      <c r="F7501" s="69">
        <v>0</v>
      </c>
      <c r="G7501" s="70" t="e">
        <f>F7501*H7463</f>
        <v>#VALUE!</v>
      </c>
      <c r="H7501" s="193"/>
    </row>
    <row r="7502" spans="1:13">
      <c r="A7502" s="206"/>
      <c r="B7502" s="73"/>
      <c r="C7502" s="65"/>
      <c r="D7502" s="74"/>
      <c r="E7502" s="75"/>
      <c r="F7502" s="76"/>
      <c r="G7502" s="77"/>
      <c r="H7502" s="195"/>
    </row>
    <row r="7503" spans="1:13">
      <c r="A7503" s="207"/>
      <c r="B7503" s="73"/>
      <c r="C7503" s="73"/>
      <c r="D7503" s="74"/>
      <c r="E7503" s="78"/>
      <c r="F7503" s="515" t="s">
        <v>4230</v>
      </c>
      <c r="G7503" s="516"/>
      <c r="H7503" s="214" t="e">
        <f>H7463+G7499+G7500+G7501</f>
        <v>#VALUE!</v>
      </c>
    </row>
    <row r="7506" spans="1:14">
      <c r="A7506" s="80"/>
      <c r="B7506" s="80"/>
      <c r="C7506" s="80"/>
      <c r="D7506" s="80"/>
      <c r="E7506" s="80"/>
      <c r="F7506" s="80"/>
      <c r="G7506" s="80"/>
      <c r="H7506" s="353"/>
    </row>
    <row r="7507" spans="1:14">
      <c r="A7507" s="537" t="s">
        <v>4214</v>
      </c>
      <c r="B7507" s="538"/>
      <c r="C7507" s="538"/>
      <c r="D7507" s="538"/>
      <c r="E7507" s="538"/>
      <c r="F7507" s="538"/>
      <c r="G7507" s="538"/>
      <c r="H7507" s="539"/>
    </row>
    <row r="7508" spans="1:14">
      <c r="A7508" s="81"/>
      <c r="B7508" s="82"/>
      <c r="C7508" s="82"/>
      <c r="D7508" s="82"/>
      <c r="E7508" s="82"/>
      <c r="F7508" s="83"/>
      <c r="G7508" s="84"/>
      <c r="H7508" s="352">
        <f>ROUND((10/60)/8,4)</f>
        <v>2.0799999999999999E-2</v>
      </c>
      <c r="I7508" s="105"/>
    </row>
    <row r="7509" spans="1:14">
      <c r="A7509" s="540" t="s">
        <v>4209</v>
      </c>
      <c r="B7509" s="542" t="str">
        <f>COSTOS!$C$14</f>
        <v>MODERNIZACION A TECNOLOGIA LED</v>
      </c>
      <c r="C7509" s="542"/>
      <c r="D7509" s="542"/>
      <c r="E7509" s="542"/>
      <c r="F7509" s="542"/>
      <c r="G7509" s="542"/>
      <c r="H7509" s="543" t="s">
        <v>4210</v>
      </c>
    </row>
    <row r="7510" spans="1:14">
      <c r="A7510" s="541"/>
      <c r="B7510" s="542"/>
      <c r="C7510" s="542"/>
      <c r="D7510" s="542"/>
      <c r="E7510" s="542"/>
      <c r="F7510" s="542"/>
      <c r="G7510" s="542"/>
      <c r="H7510" s="543"/>
    </row>
    <row r="7511" spans="1:14">
      <c r="A7511" s="541"/>
      <c r="B7511" s="542"/>
      <c r="C7511" s="542"/>
      <c r="D7511" s="542"/>
      <c r="E7511" s="542"/>
      <c r="F7511" s="542"/>
      <c r="G7511" s="542"/>
      <c r="H7511" s="543"/>
    </row>
    <row r="7512" spans="1:14" ht="15" customHeight="1">
      <c r="A7512" s="541"/>
      <c r="B7512" s="542"/>
      <c r="C7512" s="542"/>
      <c r="D7512" s="542"/>
      <c r="E7512" s="542"/>
      <c r="F7512" s="542"/>
      <c r="G7512" s="542"/>
      <c r="H7512" s="197">
        <f ca="1">TODAY()</f>
        <v>44889</v>
      </c>
      <c r="K7512" t="s">
        <v>4380</v>
      </c>
      <c r="L7512" t="s">
        <v>4381</v>
      </c>
      <c r="M7512" t="s">
        <v>4382</v>
      </c>
      <c r="N7512" t="s">
        <v>4383</v>
      </c>
    </row>
    <row r="7513" spans="1:14" ht="60.75" customHeight="1">
      <c r="A7513" s="209" t="s">
        <v>4211</v>
      </c>
      <c r="B7513" s="544" t="str">
        <f>COSTOS!$D$16</f>
        <v>Luminarias</v>
      </c>
      <c r="C7513" s="544"/>
      <c r="D7513" s="544"/>
      <c r="E7513" s="544"/>
      <c r="F7513" s="544"/>
      <c r="G7513" s="60" t="s">
        <v>4212</v>
      </c>
      <c r="H7513" s="363">
        <v>3.35</v>
      </c>
      <c r="K7513" s="55" t="e">
        <f>H7539</f>
        <v>#VALUE!</v>
      </c>
      <c r="L7513" s="55">
        <f>H7549</f>
        <v>6871.6543999999994</v>
      </c>
      <c r="M7513" s="55" t="e">
        <f>H7522</f>
        <v>#VALUE!</v>
      </c>
      <c r="N7513" s="55" t="e">
        <f>H7543</f>
        <v>#VALUE!</v>
      </c>
    </row>
    <row r="7514" spans="1:14" ht="43.2" customHeight="1">
      <c r="A7514" s="210" t="s">
        <v>4213</v>
      </c>
      <c r="B7514" s="545" t="str">
        <f>VLOOKUP(H7513,COSTOS!C:M,2,0)</f>
        <v>Red Aerea 3x4+4 AWG AL x 500m</v>
      </c>
      <c r="C7514" s="546"/>
      <c r="D7514" s="546"/>
      <c r="E7514" s="547"/>
      <c r="F7514" s="61" t="s">
        <v>0</v>
      </c>
      <c r="G7514" s="328" t="str">
        <f>VLOOKUP(H7513,COSTOS!C:M,8,0)</f>
        <v>Und</v>
      </c>
      <c r="H7514" s="248"/>
      <c r="I7514" s="278"/>
      <c r="J7514" s="280"/>
      <c r="K7514" s="280"/>
      <c r="L7514" s="280"/>
    </row>
    <row r="7515" spans="1:14">
      <c r="A7515" s="211"/>
      <c r="B7515" s="102"/>
      <c r="C7515" s="102"/>
      <c r="D7515" s="102"/>
      <c r="E7515" s="103"/>
      <c r="F7515" s="104" t="s">
        <v>1</v>
      </c>
      <c r="G7515" s="328">
        <f>VLOOKUP(H7513,COSTOS!C:M,9,0)</f>
        <v>0</v>
      </c>
      <c r="H7515" s="329"/>
      <c r="I7515" s="279"/>
    </row>
    <row r="7516" spans="1:14">
      <c r="A7516" s="212" t="s">
        <v>4215</v>
      </c>
      <c r="B7516" s="65"/>
      <c r="C7516" s="65"/>
      <c r="D7516" s="66"/>
      <c r="E7516" s="190"/>
      <c r="F7516" s="191"/>
      <c r="G7516" s="192" t="s">
        <v>4216</v>
      </c>
      <c r="H7516" s="198" t="e">
        <f>H7522+H7539+H7543+H7549</f>
        <v>#VALUE!</v>
      </c>
    </row>
    <row r="7517" spans="1:14" ht="41.4">
      <c r="A7517" s="548" t="s">
        <v>4213</v>
      </c>
      <c r="B7517" s="548"/>
      <c r="C7517" s="548"/>
      <c r="D7517" s="67" t="s">
        <v>0</v>
      </c>
      <c r="E7517" s="188" t="s">
        <v>4217</v>
      </c>
      <c r="F7517" s="189" t="s">
        <v>4204</v>
      </c>
      <c r="G7517" s="64" t="s">
        <v>2</v>
      </c>
      <c r="H7517" s="199" t="s">
        <v>4218</v>
      </c>
      <c r="K7517" s="281"/>
    </row>
    <row r="7518" spans="1:14">
      <c r="A7518" s="517" t="s">
        <v>3946</v>
      </c>
      <c r="B7518" s="549">
        <f>VLOOKUP(A7518,'Equip, Herr y Transp'!$B$2:$E$738,2,0)</f>
        <v>2</v>
      </c>
      <c r="C7518" s="549"/>
      <c r="D7518" s="85">
        <f>VLOOKUP(A7518,'Equip, Herr y Transp'!$B$2:$E$217,2,0)</f>
        <v>2</v>
      </c>
      <c r="E7518" s="85" t="str">
        <f>VLOOKUP(A7518,'Equip, Herr y Transp'!$B$2:$E$217,3,0)</f>
        <v>EQU</v>
      </c>
      <c r="F7518" s="86">
        <f>H7508</f>
        <v>2.0799999999999999E-2</v>
      </c>
      <c r="G7518" s="112" t="e">
        <f>F7518*E7518</f>
        <v>#VALUE!</v>
      </c>
      <c r="H7518" s="108"/>
    </row>
    <row r="7519" spans="1:14">
      <c r="A7519" s="517" t="s">
        <v>3904</v>
      </c>
      <c r="B7519" s="549">
        <f>VLOOKUP(A7519,'Equip, Herr y Transp'!$B$2:$E$738,2,0)</f>
        <v>2</v>
      </c>
      <c r="C7519" s="549"/>
      <c r="D7519" s="85">
        <f>VLOOKUP(A7519,'Equip, Herr y Transp'!$B$2:$E$217,2,0)</f>
        <v>2</v>
      </c>
      <c r="E7519" s="85" t="str">
        <f>VLOOKUP(A7519,'Equip, Herr y Transp'!$B$2:$E$217,3,0)</f>
        <v>EQU</v>
      </c>
      <c r="F7519" s="86">
        <f>H7508</f>
        <v>2.0799999999999999E-2</v>
      </c>
      <c r="G7519" s="112" t="e">
        <f>F7519*E7519</f>
        <v>#VALUE!</v>
      </c>
      <c r="H7519" s="107"/>
    </row>
    <row r="7520" spans="1:14">
      <c r="A7520" s="517" t="s">
        <v>8</v>
      </c>
      <c r="B7520" s="549" t="e">
        <f>VLOOKUP(A7520,'Equip, Herr y Transp'!$B$2:$E$738,2,0)</f>
        <v>#N/A</v>
      </c>
      <c r="C7520" s="549"/>
      <c r="D7520" s="85" t="e">
        <f>VLOOKUP(A7520,'Equip, Herr y Transp'!$B$2:$E$217,2,0)</f>
        <v>#N/A</v>
      </c>
      <c r="E7520" s="85" t="e">
        <f>VLOOKUP(A7520,'Equip, Herr y Transp'!$B$2:$E$217,3,0)</f>
        <v>#N/A</v>
      </c>
      <c r="F7520" s="86">
        <f>H7508</f>
        <v>2.0799999999999999E-2</v>
      </c>
      <c r="G7520" s="112" t="e">
        <f>F7520*E7520</f>
        <v>#N/A</v>
      </c>
      <c r="H7520" s="107"/>
    </row>
    <row r="7521" spans="1:15">
      <c r="A7521" s="517" t="s">
        <v>8</v>
      </c>
      <c r="B7521" s="549" t="e">
        <f>VLOOKUP(A7521,'Equip, Herr y Transp'!$B$2:$E$738,2,0)</f>
        <v>#N/A</v>
      </c>
      <c r="C7521" s="549"/>
      <c r="D7521" s="85" t="e">
        <f>VLOOKUP(A7521,'Equip, Herr y Transp'!$B$2:$E$217,2,0)</f>
        <v>#N/A</v>
      </c>
      <c r="E7521" s="85" t="e">
        <f>VLOOKUP(A7521,'Equip, Herr y Transp'!$B$2:$E$217,3,0)</f>
        <v>#N/A</v>
      </c>
      <c r="F7521" s="86">
        <f>H7508</f>
        <v>2.0799999999999999E-2</v>
      </c>
      <c r="G7521" s="112" t="e">
        <f>F7521*E7521</f>
        <v>#N/A</v>
      </c>
      <c r="H7521" s="107"/>
    </row>
    <row r="7522" spans="1:15">
      <c r="A7522" s="520" t="s">
        <v>4099</v>
      </c>
      <c r="B7522" s="521"/>
      <c r="C7522" s="521"/>
      <c r="D7522" s="521"/>
      <c r="E7522" s="521"/>
      <c r="F7522" s="521"/>
      <c r="G7522" s="521"/>
      <c r="H7522" s="87" t="e">
        <f>SUM(G7518:G7521)</f>
        <v>#VALUE!</v>
      </c>
    </row>
    <row r="7523" spans="1:15">
      <c r="A7523" s="550" t="s">
        <v>4219</v>
      </c>
      <c r="B7523" s="551"/>
      <c r="C7523" s="551"/>
      <c r="D7523" s="551"/>
      <c r="E7523" s="551"/>
      <c r="F7523" s="551"/>
      <c r="G7523" s="551"/>
      <c r="H7523" s="552"/>
      <c r="K7523" s="50"/>
      <c r="L7523" s="50"/>
      <c r="M7523" s="50"/>
      <c r="N7523" s="50"/>
      <c r="O7523" s="50"/>
    </row>
    <row r="7524" spans="1:15" ht="30" customHeight="1">
      <c r="A7524" s="553" t="s">
        <v>7</v>
      </c>
      <c r="B7524" s="554"/>
      <c r="C7524" s="99" t="s">
        <v>0</v>
      </c>
      <c r="D7524" s="100" t="s">
        <v>4097</v>
      </c>
      <c r="E7524" s="101" t="s">
        <v>1</v>
      </c>
      <c r="F7524" s="555" t="s">
        <v>4207</v>
      </c>
      <c r="G7524" s="555"/>
      <c r="H7524" s="196"/>
      <c r="K7524" s="50"/>
      <c r="L7524" s="50"/>
      <c r="M7524" s="50"/>
      <c r="N7524" s="50"/>
      <c r="O7524" s="50"/>
    </row>
    <row r="7525" spans="1:15">
      <c r="A7525" s="535" t="s">
        <v>4441</v>
      </c>
      <c r="B7525" s="536"/>
      <c r="C7525" s="88">
        <f>VLOOKUP(A7525,'Materiales '!$C$2:$G$396,3,0)</f>
        <v>2</v>
      </c>
      <c r="D7525" s="89" t="str">
        <f>VLOOKUP(A7525,'Materiales '!$C$2:$G$396,4,0)</f>
        <v>Ml</v>
      </c>
      <c r="E7525" s="90">
        <v>1</v>
      </c>
      <c r="F7525" s="508" t="e">
        <f>E7525*D7525</f>
        <v>#VALUE!</v>
      </c>
      <c r="G7525" s="519"/>
      <c r="H7525" s="111"/>
      <c r="I7525">
        <f>E7525*G7515</f>
        <v>0</v>
      </c>
      <c r="J7525" s="57"/>
      <c r="K7525" s="50"/>
      <c r="L7525" s="50"/>
      <c r="M7525" s="50"/>
      <c r="N7525" s="50"/>
      <c r="O7525" s="50"/>
    </row>
    <row r="7526" spans="1:15">
      <c r="A7526" s="535" t="s">
        <v>4406</v>
      </c>
      <c r="B7526" s="536"/>
      <c r="C7526" s="88">
        <f>VLOOKUP(A7526,'Materiales '!$C$2:$G$396,3,0)</f>
        <v>4</v>
      </c>
      <c r="D7526" s="89" t="str">
        <f>VLOOKUP(A7526,'Materiales '!$C$2:$G$396,4,0)</f>
        <v>Und</v>
      </c>
      <c r="E7526" s="90">
        <f>1/20</f>
        <v>0.05</v>
      </c>
      <c r="F7526" s="508" t="e">
        <f t="shared" ref="F7526:F7532" si="439">E7526*D7526</f>
        <v>#VALUE!</v>
      </c>
      <c r="G7526" s="519"/>
      <c r="H7526" s="111"/>
      <c r="I7526">
        <f>E7526*G7515</f>
        <v>0</v>
      </c>
      <c r="J7526" s="57"/>
      <c r="K7526" s="50"/>
      <c r="L7526" s="50"/>
      <c r="M7526" s="50"/>
      <c r="N7526" s="50"/>
      <c r="O7526" s="50"/>
    </row>
    <row r="7527" spans="1:15">
      <c r="A7527" s="517" t="s">
        <v>4542</v>
      </c>
      <c r="B7527" s="518">
        <f>VLOOKUP(A7527,'Materiales '!$C$2:$G$396,3,0)</f>
        <v>4</v>
      </c>
      <c r="C7527" s="88">
        <f>VLOOKUP(A7527,'Materiales '!$C$2:$G$396,3,0)</f>
        <v>4</v>
      </c>
      <c r="D7527" s="89" t="str">
        <f>VLOOKUP(A7527,'Materiales '!$C$2:$G$396,4,0)</f>
        <v>Und</v>
      </c>
      <c r="E7527" s="90">
        <f>1/20</f>
        <v>0.05</v>
      </c>
      <c r="F7527" s="508" t="e">
        <f t="shared" si="439"/>
        <v>#VALUE!</v>
      </c>
      <c r="G7527" s="519"/>
      <c r="H7527" s="111"/>
      <c r="I7527">
        <f>E7527*G7515</f>
        <v>0</v>
      </c>
      <c r="J7527" s="58"/>
      <c r="K7527" s="50"/>
      <c r="L7527" s="50"/>
      <c r="M7527" s="50"/>
      <c r="N7527" s="50"/>
      <c r="O7527" s="50"/>
    </row>
    <row r="7528" spans="1:15">
      <c r="A7528" s="517" t="s">
        <v>8</v>
      </c>
      <c r="B7528" s="518">
        <f>VLOOKUP(A7528,'Materiales '!$C$2:$G$396,3,0)</f>
        <v>0</v>
      </c>
      <c r="C7528" s="88">
        <f>VLOOKUP(A7528,'Materiales '!$C$2:$G$396,3,0)</f>
        <v>0</v>
      </c>
      <c r="D7528" s="89" t="str">
        <f>VLOOKUP(A7528,'Materiales '!$C$2:$G$396,4,0)</f>
        <v>-</v>
      </c>
      <c r="E7528" s="90"/>
      <c r="F7528" s="508" t="e">
        <f t="shared" si="439"/>
        <v>#VALUE!</v>
      </c>
      <c r="G7528" s="519"/>
      <c r="H7528" s="111"/>
      <c r="I7528">
        <f>E7528*G7515</f>
        <v>0</v>
      </c>
      <c r="J7528" s="58"/>
      <c r="K7528" s="50"/>
      <c r="L7528" s="50"/>
      <c r="M7528" s="50"/>
      <c r="N7528" s="50"/>
      <c r="O7528" s="50"/>
    </row>
    <row r="7529" spans="1:15">
      <c r="A7529" s="517" t="s">
        <v>8</v>
      </c>
      <c r="B7529" s="518">
        <f>VLOOKUP(A7529,'Materiales '!$C$2:$G$396,3,0)</f>
        <v>0</v>
      </c>
      <c r="C7529" s="88">
        <f>VLOOKUP(A7529,'Materiales '!$C$2:$G$396,3,0)</f>
        <v>0</v>
      </c>
      <c r="D7529" s="89" t="str">
        <f>VLOOKUP(A7529,'Materiales '!$C$2:$G$396,4,0)</f>
        <v>-</v>
      </c>
      <c r="E7529" s="90"/>
      <c r="F7529" s="508" t="e">
        <f t="shared" si="439"/>
        <v>#VALUE!</v>
      </c>
      <c r="G7529" s="519"/>
      <c r="H7529" s="111"/>
      <c r="I7529">
        <f>E7529*G7515</f>
        <v>0</v>
      </c>
      <c r="J7529" s="58"/>
      <c r="K7529" s="50"/>
      <c r="L7529" s="50"/>
      <c r="M7529" s="50"/>
      <c r="N7529" s="50"/>
      <c r="O7529" s="50"/>
    </row>
    <row r="7530" spans="1:15">
      <c r="A7530" s="517" t="s">
        <v>8</v>
      </c>
      <c r="B7530" s="518">
        <f>VLOOKUP(A7530,'Materiales '!$C$2:$G$396,3,0)</f>
        <v>0</v>
      </c>
      <c r="C7530" s="88">
        <f>VLOOKUP(A7530,'Materiales '!$C$2:$G$396,3,0)</f>
        <v>0</v>
      </c>
      <c r="D7530" s="89" t="str">
        <f>VLOOKUP(A7530,'Materiales '!$C$2:$G$396,4,0)</f>
        <v>-</v>
      </c>
      <c r="E7530" s="90"/>
      <c r="F7530" s="508" t="e">
        <f t="shared" si="439"/>
        <v>#VALUE!</v>
      </c>
      <c r="G7530" s="519"/>
      <c r="H7530" s="111"/>
      <c r="I7530">
        <f>E7530*G7515</f>
        <v>0</v>
      </c>
      <c r="J7530" s="58"/>
      <c r="K7530" s="50"/>
      <c r="L7530" s="50"/>
      <c r="M7530" s="50"/>
      <c r="N7530" s="50"/>
      <c r="O7530" s="50"/>
    </row>
    <row r="7531" spans="1:15">
      <c r="A7531" s="517" t="s">
        <v>8</v>
      </c>
      <c r="B7531" s="518">
        <f>VLOOKUP(A7531,'Materiales '!$C$2:$G$396,3,0)</f>
        <v>0</v>
      </c>
      <c r="C7531" s="88">
        <f>VLOOKUP(A7531,'Materiales '!$C$2:$G$396,3,0)</f>
        <v>0</v>
      </c>
      <c r="D7531" s="89" t="str">
        <f>VLOOKUP(A7531,'Materiales '!$C$2:$G$396,4,0)</f>
        <v>-</v>
      </c>
      <c r="E7531" s="90"/>
      <c r="F7531" s="508" t="e">
        <f t="shared" si="439"/>
        <v>#VALUE!</v>
      </c>
      <c r="G7531" s="519"/>
      <c r="H7531" s="111"/>
      <c r="I7531">
        <f>E7531*G7515</f>
        <v>0</v>
      </c>
      <c r="J7531" s="58"/>
      <c r="K7531" s="50"/>
      <c r="L7531" s="50"/>
      <c r="M7531" s="50"/>
      <c r="N7531" s="50"/>
      <c r="O7531" s="50"/>
    </row>
    <row r="7532" spans="1:15" ht="21.75" customHeight="1">
      <c r="A7532" s="517" t="s">
        <v>8</v>
      </c>
      <c r="B7532" s="518">
        <f>VLOOKUP(A7532,'Materiales '!$C$2:$G$396,3,0)</f>
        <v>0</v>
      </c>
      <c r="C7532" s="88">
        <f>VLOOKUP(A7532,'Materiales '!$C$2:$G$396,3,0)</f>
        <v>0</v>
      </c>
      <c r="D7532" s="89" t="str">
        <f>VLOOKUP(A7532,'Materiales '!$C$2:$G$396,4,0)</f>
        <v>-</v>
      </c>
      <c r="E7532" s="90"/>
      <c r="F7532" s="508" t="e">
        <f t="shared" si="439"/>
        <v>#VALUE!</v>
      </c>
      <c r="G7532" s="519"/>
      <c r="H7532" s="111"/>
      <c r="I7532">
        <f>E7532*G7515</f>
        <v>0</v>
      </c>
      <c r="J7532" s="58"/>
      <c r="K7532" s="50"/>
      <c r="L7532" s="50"/>
      <c r="M7532" s="50"/>
      <c r="N7532" s="50"/>
      <c r="O7532" s="50"/>
    </row>
    <row r="7533" spans="1:15">
      <c r="A7533" s="517" t="s">
        <v>8</v>
      </c>
      <c r="B7533" s="518">
        <f>VLOOKUP(A7533,'Materiales '!$C$2:$G$396,3,0)</f>
        <v>0</v>
      </c>
      <c r="C7533" s="88">
        <f>VLOOKUP(A7533,'Materiales '!$C$2:$G$396,3,0)</f>
        <v>0</v>
      </c>
      <c r="D7533" s="89" t="str">
        <f>VLOOKUP(A7533,'Materiales '!$C$2:$G$396,4,0)</f>
        <v>-</v>
      </c>
      <c r="E7533" s="90"/>
      <c r="F7533" s="508" t="e">
        <f>E7533*D7533</f>
        <v>#VALUE!</v>
      </c>
      <c r="G7533" s="519"/>
      <c r="H7533" s="110"/>
      <c r="I7533">
        <f>E7533*G7515</f>
        <v>0</v>
      </c>
      <c r="J7533" s="58"/>
      <c r="K7533" s="50"/>
      <c r="L7533" s="50"/>
      <c r="M7533" s="50"/>
      <c r="N7533" s="50"/>
      <c r="O7533" s="50"/>
    </row>
    <row r="7534" spans="1:15">
      <c r="A7534" s="517" t="s">
        <v>8</v>
      </c>
      <c r="B7534" s="518">
        <f>VLOOKUP(A7534,'Materiales '!$C$2:$G$396,3,0)</f>
        <v>0</v>
      </c>
      <c r="C7534" s="88">
        <f>VLOOKUP(A7534,'Materiales '!$C$2:$G$396,3,0)</f>
        <v>0</v>
      </c>
      <c r="D7534" s="89" t="str">
        <f>VLOOKUP(A7534,'Materiales '!$C$2:$G$396,4,0)</f>
        <v>-</v>
      </c>
      <c r="E7534" s="90"/>
      <c r="F7534" s="508" t="e">
        <f t="shared" ref="F7534:F7537" si="440">E7534*D7534</f>
        <v>#VALUE!</v>
      </c>
      <c r="G7534" s="519"/>
      <c r="H7534" s="111"/>
      <c r="I7534">
        <f>E7534*G7515</f>
        <v>0</v>
      </c>
      <c r="J7534" s="58"/>
      <c r="K7534" s="50"/>
      <c r="L7534" s="50"/>
      <c r="M7534" s="50"/>
      <c r="N7534" s="50"/>
      <c r="O7534" s="50"/>
    </row>
    <row r="7535" spans="1:15">
      <c r="A7535" s="517" t="s">
        <v>8</v>
      </c>
      <c r="B7535" s="518">
        <f>VLOOKUP(A7535,'Materiales '!$C$2:$G$396,3,0)</f>
        <v>0</v>
      </c>
      <c r="C7535" s="88">
        <f>VLOOKUP(A7535,'Materiales '!$C$2:$G$396,3,0)</f>
        <v>0</v>
      </c>
      <c r="D7535" s="89" t="str">
        <f>VLOOKUP(A7535,'Materiales '!$C$2:$G$396,4,0)</f>
        <v>-</v>
      </c>
      <c r="E7535" s="90"/>
      <c r="F7535" s="508" t="e">
        <f t="shared" si="440"/>
        <v>#VALUE!</v>
      </c>
      <c r="G7535" s="519"/>
      <c r="H7535" s="111"/>
      <c r="I7535">
        <f>E7535*G7515</f>
        <v>0</v>
      </c>
      <c r="J7535" s="58"/>
      <c r="K7535" s="50"/>
      <c r="L7535" s="50"/>
      <c r="M7535" s="50"/>
      <c r="N7535" s="50"/>
      <c r="O7535" s="50"/>
    </row>
    <row r="7536" spans="1:15">
      <c r="A7536" s="517" t="s">
        <v>8</v>
      </c>
      <c r="B7536" s="518">
        <f>VLOOKUP(A7536,'Materiales '!$C$2:$G$396,3,0)</f>
        <v>0</v>
      </c>
      <c r="C7536" s="88">
        <f>VLOOKUP(A7536,'Materiales '!$C$2:$G$396,3,0)</f>
        <v>0</v>
      </c>
      <c r="D7536" s="89" t="str">
        <f>VLOOKUP(A7536,'Materiales '!$C$2:$G$396,4,0)</f>
        <v>-</v>
      </c>
      <c r="E7536" s="90"/>
      <c r="F7536" s="508" t="e">
        <f t="shared" si="440"/>
        <v>#VALUE!</v>
      </c>
      <c r="G7536" s="519"/>
      <c r="H7536" s="111"/>
      <c r="I7536">
        <f>E7536*G7515</f>
        <v>0</v>
      </c>
      <c r="J7536" s="58"/>
      <c r="K7536" s="50"/>
      <c r="L7536" s="50"/>
      <c r="M7536" s="50"/>
      <c r="N7536" s="50"/>
      <c r="O7536" s="50"/>
    </row>
    <row r="7537" spans="1:15">
      <c r="A7537" s="517" t="s">
        <v>8</v>
      </c>
      <c r="B7537" s="518">
        <f>VLOOKUP(A7537,'Materiales '!$C$2:$G$396,3,0)</f>
        <v>0</v>
      </c>
      <c r="C7537" s="88">
        <f>VLOOKUP(A7537,'Materiales '!$C$2:$G$396,3,0)</f>
        <v>0</v>
      </c>
      <c r="D7537" s="89" t="str">
        <f>VLOOKUP(A7537,'Materiales '!$C$2:$G$396,4,0)</f>
        <v>-</v>
      </c>
      <c r="E7537" s="90"/>
      <c r="F7537" s="508" t="e">
        <f t="shared" si="440"/>
        <v>#VALUE!</v>
      </c>
      <c r="G7537" s="519"/>
      <c r="H7537" s="111"/>
      <c r="I7537">
        <f>E7537*G7515</f>
        <v>0</v>
      </c>
      <c r="J7537" s="58"/>
      <c r="K7537" s="50"/>
      <c r="L7537" s="50"/>
      <c r="M7537" s="50"/>
      <c r="N7537" s="50"/>
      <c r="O7537" s="50"/>
    </row>
    <row r="7538" spans="1:15">
      <c r="A7538" s="517" t="s">
        <v>8</v>
      </c>
      <c r="B7538" s="518">
        <f>VLOOKUP(A7538,'Materiales '!$C$2:$G$396,3,0)</f>
        <v>0</v>
      </c>
      <c r="C7538" s="88">
        <f>VLOOKUP(A7538,'Materiales '!$C$2:$G$396,3,0)</f>
        <v>0</v>
      </c>
      <c r="D7538" s="89" t="str">
        <f>VLOOKUP(A7538,'Materiales '!$C$2:$G$396,4,0)</f>
        <v>-</v>
      </c>
      <c r="E7538" s="90"/>
      <c r="F7538" s="508" t="e">
        <f>E7538*D7538</f>
        <v>#VALUE!</v>
      </c>
      <c r="G7538" s="519"/>
      <c r="H7538" s="110"/>
      <c r="I7538">
        <f>E7538*G7515</f>
        <v>0</v>
      </c>
      <c r="J7538" s="58"/>
      <c r="K7538" s="50"/>
      <c r="L7538" s="50"/>
      <c r="M7538" s="50"/>
      <c r="N7538" s="50"/>
      <c r="O7538" s="50"/>
    </row>
    <row r="7539" spans="1:15">
      <c r="A7539" s="520" t="s">
        <v>4098</v>
      </c>
      <c r="B7539" s="521"/>
      <c r="C7539" s="521"/>
      <c r="D7539" s="521"/>
      <c r="E7539" s="521"/>
      <c r="F7539" s="521"/>
      <c r="G7539" s="522"/>
      <c r="H7539" s="106" t="e">
        <f>SUM(F7525:F7538)</f>
        <v>#VALUE!</v>
      </c>
      <c r="J7539" s="58"/>
      <c r="K7539" s="50"/>
      <c r="L7539" s="50"/>
      <c r="M7539" s="50"/>
      <c r="N7539" s="50"/>
      <c r="O7539" s="50"/>
    </row>
    <row r="7540" spans="1:15">
      <c r="A7540" s="523" t="s">
        <v>4220</v>
      </c>
      <c r="B7540" s="524"/>
      <c r="C7540" s="524"/>
      <c r="D7540" s="524"/>
      <c r="E7540" s="525"/>
      <c r="F7540" s="524"/>
      <c r="G7540" s="524"/>
      <c r="H7540" s="526"/>
      <c r="J7540" s="58"/>
      <c r="K7540" s="50"/>
      <c r="L7540" s="50"/>
      <c r="M7540" s="50"/>
      <c r="N7540" s="50"/>
      <c r="O7540" s="50"/>
    </row>
    <row r="7541" spans="1:15">
      <c r="A7541" s="527" t="s">
        <v>7</v>
      </c>
      <c r="B7541" s="528"/>
      <c r="C7541" s="98" t="s">
        <v>4221</v>
      </c>
      <c r="D7541" s="97" t="s">
        <v>4222</v>
      </c>
      <c r="E7541" s="187" t="s">
        <v>4223</v>
      </c>
      <c r="F7541" s="529" t="s">
        <v>4207</v>
      </c>
      <c r="G7541" s="529"/>
      <c r="H7541" s="109"/>
      <c r="K7541" s="50"/>
      <c r="L7541" s="50"/>
      <c r="M7541" s="50"/>
      <c r="N7541" s="50"/>
      <c r="O7541" s="50"/>
    </row>
    <row r="7542" spans="1:15">
      <c r="A7542" s="506" t="s">
        <v>3928</v>
      </c>
      <c r="B7542" s="507"/>
      <c r="C7542" s="213">
        <v>1</v>
      </c>
      <c r="D7542" s="92">
        <v>5.0000000000000001E-3</v>
      </c>
      <c r="E7542" s="93" t="str">
        <f>VLOOKUP(A7542,'Equip, Herr y Transp'!$B$2:$E$217,3,0)</f>
        <v>TR</v>
      </c>
      <c r="F7542" s="530" t="e">
        <f>E7542*D7542*C7542</f>
        <v>#VALUE!</v>
      </c>
      <c r="G7542" s="531"/>
      <c r="H7542" s="107"/>
      <c r="M7542" s="50"/>
    </row>
    <row r="7543" spans="1:15">
      <c r="A7543" s="532" t="s">
        <v>4205</v>
      </c>
      <c r="B7543" s="533"/>
      <c r="C7543" s="533"/>
      <c r="D7543" s="533"/>
      <c r="E7543" s="533"/>
      <c r="F7543" s="533"/>
      <c r="G7543" s="533"/>
      <c r="H7543" s="95" t="e">
        <f>F7542</f>
        <v>#VALUE!</v>
      </c>
    </row>
    <row r="7544" spans="1:15">
      <c r="A7544" s="523" t="s">
        <v>4224</v>
      </c>
      <c r="B7544" s="524"/>
      <c r="C7544" s="524"/>
      <c r="D7544" s="524"/>
      <c r="E7544" s="524"/>
      <c r="F7544" s="524"/>
      <c r="G7544" s="524"/>
      <c r="H7544" s="526"/>
    </row>
    <row r="7545" spans="1:15">
      <c r="A7545" s="527" t="s">
        <v>7</v>
      </c>
      <c r="B7545" s="528"/>
      <c r="C7545" s="96" t="s">
        <v>1</v>
      </c>
      <c r="D7545" s="97" t="s">
        <v>4225</v>
      </c>
      <c r="E7545" s="98" t="s">
        <v>4204</v>
      </c>
      <c r="F7545" s="527" t="s">
        <v>5</v>
      </c>
      <c r="G7545" s="534"/>
      <c r="H7545" s="109"/>
    </row>
    <row r="7546" spans="1:15">
      <c r="A7546" s="506" t="s">
        <v>4191</v>
      </c>
      <c r="B7546" s="507"/>
      <c r="C7546" s="91">
        <v>1</v>
      </c>
      <c r="D7546" s="94">
        <f>VLOOKUP(A7546,'Mano Obra'!$B$2:$T$117,19,0)</f>
        <v>152456</v>
      </c>
      <c r="E7546" s="218">
        <f>H7508</f>
        <v>2.0799999999999999E-2</v>
      </c>
      <c r="F7546" s="508">
        <f>E7546*D7546*C7546</f>
        <v>3171.0847999999996</v>
      </c>
      <c r="G7546" s="509"/>
      <c r="H7546" s="111"/>
      <c r="I7546" s="59"/>
      <c r="J7546" s="117">
        <f>((('Mano Obra'!$M$4/30)*F7546)/D7546)*G7515</f>
        <v>0</v>
      </c>
    </row>
    <row r="7547" spans="1:15">
      <c r="A7547" s="510" t="s">
        <v>4192</v>
      </c>
      <c r="B7547" s="511">
        <f>VLOOKUP(A7547,'Mano Obra'!$B$3:$D$290,2,0)</f>
        <v>1900000</v>
      </c>
      <c r="C7547" s="91">
        <v>1</v>
      </c>
      <c r="D7547" s="94">
        <f>VLOOKUP(A7547,'Mano Obra'!$B$2:$T$117,19,0)</f>
        <v>110488</v>
      </c>
      <c r="E7547" s="218">
        <f>H7508</f>
        <v>2.0799999999999999E-2</v>
      </c>
      <c r="F7547" s="508">
        <f t="shared" ref="F7547:F7548" si="441">E7547*D7547*C7547</f>
        <v>2298.1504</v>
      </c>
      <c r="G7547" s="509"/>
      <c r="H7547" s="111"/>
      <c r="J7547" s="117">
        <f>((('Mano Obra'!$M$5/30)*F7547)/D7547)*G7515</f>
        <v>0</v>
      </c>
    </row>
    <row r="7548" spans="1:15">
      <c r="A7548" s="510" t="s">
        <v>4181</v>
      </c>
      <c r="B7548" s="511">
        <f>VLOOKUP(A7548,'Mano Obra'!$B$3:$D$290,2,0)</f>
        <v>1000000</v>
      </c>
      <c r="C7548" s="91">
        <v>1</v>
      </c>
      <c r="D7548" s="94">
        <f>VLOOKUP(A7548,'Mano Obra'!$B$2:$T$117,19,0)</f>
        <v>67424</v>
      </c>
      <c r="E7548" s="218">
        <f>H7508</f>
        <v>2.0799999999999999E-2</v>
      </c>
      <c r="F7548" s="508">
        <f t="shared" si="441"/>
        <v>1402.4192</v>
      </c>
      <c r="G7548" s="509"/>
      <c r="H7548" s="110"/>
      <c r="J7548" s="117">
        <f>((('Mano Obra'!$M$6/30)*F7548)/D7548)*G7515</f>
        <v>0</v>
      </c>
    </row>
    <row r="7549" spans="1:15">
      <c r="A7549" s="512" t="s">
        <v>4100</v>
      </c>
      <c r="B7549" s="512"/>
      <c r="C7549" s="512"/>
      <c r="D7549" s="512"/>
      <c r="E7549" s="512"/>
      <c r="F7549" s="512"/>
      <c r="G7549" s="512"/>
      <c r="H7549" s="95">
        <f>SUM(F7546:F7548)</f>
        <v>6871.6543999999994</v>
      </c>
      <c r="J7549" s="117"/>
    </row>
    <row r="7550" spans="1:15">
      <c r="A7550" s="208" t="s">
        <v>4226</v>
      </c>
      <c r="B7550" s="186"/>
      <c r="C7550" s="186"/>
      <c r="D7550" s="183"/>
      <c r="E7550" s="184"/>
      <c r="F7550" s="185"/>
      <c r="G7550" s="184"/>
      <c r="H7550" s="193"/>
    </row>
    <row r="7551" spans="1:15">
      <c r="A7551" s="513" t="s">
        <v>4213</v>
      </c>
      <c r="B7551" s="514"/>
      <c r="C7551" s="514"/>
      <c r="D7551" s="514"/>
      <c r="E7551" s="181"/>
      <c r="F7551" s="182" t="s">
        <v>4227</v>
      </c>
      <c r="G7551" s="181" t="s">
        <v>4228</v>
      </c>
      <c r="H7551" s="194"/>
    </row>
    <row r="7552" spans="1:15">
      <c r="A7552" s="204" t="s">
        <v>4096</v>
      </c>
      <c r="B7552" s="62"/>
      <c r="C7552" s="62"/>
      <c r="D7552" s="63"/>
      <c r="E7552" s="68"/>
      <c r="F7552" s="69">
        <v>0</v>
      </c>
      <c r="G7552" s="70" t="e">
        <f>F7552*H7516</f>
        <v>#VALUE!</v>
      </c>
      <c r="H7552" s="193"/>
    </row>
    <row r="7553" spans="1:14">
      <c r="A7553" s="205" t="s">
        <v>4229</v>
      </c>
      <c r="B7553" s="71"/>
      <c r="C7553" s="71"/>
      <c r="D7553" s="72"/>
      <c r="E7553" s="68"/>
      <c r="F7553" s="69">
        <v>0</v>
      </c>
      <c r="G7553" s="70" t="e">
        <f>F7553*H7516</f>
        <v>#VALUE!</v>
      </c>
      <c r="H7553" s="193"/>
    </row>
    <row r="7554" spans="1:14">
      <c r="A7554" s="205" t="s">
        <v>4</v>
      </c>
      <c r="B7554" s="71"/>
      <c r="C7554" s="71"/>
      <c r="D7554" s="72"/>
      <c r="E7554" s="68"/>
      <c r="F7554" s="69">
        <v>0</v>
      </c>
      <c r="G7554" s="70" t="e">
        <f>F7554*H7516</f>
        <v>#VALUE!</v>
      </c>
      <c r="H7554" s="193"/>
    </row>
    <row r="7555" spans="1:14">
      <c r="A7555" s="206"/>
      <c r="B7555" s="73"/>
      <c r="C7555" s="65"/>
      <c r="D7555" s="74"/>
      <c r="E7555" s="75"/>
      <c r="F7555" s="76"/>
      <c r="G7555" s="77"/>
      <c r="H7555" s="195"/>
    </row>
    <row r="7556" spans="1:14">
      <c r="A7556" s="207"/>
      <c r="B7556" s="73"/>
      <c r="C7556" s="73"/>
      <c r="D7556" s="74"/>
      <c r="E7556" s="78"/>
      <c r="F7556" s="515" t="s">
        <v>4230</v>
      </c>
      <c r="G7556" s="516"/>
      <c r="H7556" s="214" t="e">
        <f>H7516+G7552+G7553+G7554</f>
        <v>#VALUE!</v>
      </c>
    </row>
    <row r="7559" spans="1:14">
      <c r="A7559" s="80"/>
      <c r="B7559" s="80"/>
      <c r="C7559" s="80"/>
      <c r="D7559" s="80"/>
      <c r="E7559" s="80"/>
      <c r="F7559" s="80"/>
      <c r="G7559" s="80"/>
      <c r="H7559" s="353"/>
    </row>
    <row r="7560" spans="1:14">
      <c r="A7560" s="537" t="s">
        <v>4214</v>
      </c>
      <c r="B7560" s="538"/>
      <c r="C7560" s="538"/>
      <c r="D7560" s="538"/>
      <c r="E7560" s="538"/>
      <c r="F7560" s="538"/>
      <c r="G7560" s="538"/>
      <c r="H7560" s="539"/>
    </row>
    <row r="7561" spans="1:14">
      <c r="A7561" s="81"/>
      <c r="B7561" s="82"/>
      <c r="C7561" s="82"/>
      <c r="D7561" s="82"/>
      <c r="E7561" s="82"/>
      <c r="F7561" s="83"/>
      <c r="G7561" s="84"/>
      <c r="H7561" s="352">
        <f>ROUND((13/60)/8,4)</f>
        <v>2.7099999999999999E-2</v>
      </c>
      <c r="I7561" s="105"/>
    </row>
    <row r="7562" spans="1:14">
      <c r="A7562" s="540" t="s">
        <v>4209</v>
      </c>
      <c r="B7562" s="542" t="str">
        <f>COSTOS!$C$14</f>
        <v>MODERNIZACION A TECNOLOGIA LED</v>
      </c>
      <c r="C7562" s="542"/>
      <c r="D7562" s="542"/>
      <c r="E7562" s="542"/>
      <c r="F7562" s="542"/>
      <c r="G7562" s="542"/>
      <c r="H7562" s="543" t="s">
        <v>4210</v>
      </c>
    </row>
    <row r="7563" spans="1:14">
      <c r="A7563" s="541"/>
      <c r="B7563" s="542"/>
      <c r="C7563" s="542"/>
      <c r="D7563" s="542"/>
      <c r="E7563" s="542"/>
      <c r="F7563" s="542"/>
      <c r="G7563" s="542"/>
      <c r="H7563" s="543"/>
    </row>
    <row r="7564" spans="1:14">
      <c r="A7564" s="541"/>
      <c r="B7564" s="542"/>
      <c r="C7564" s="542"/>
      <c r="D7564" s="542"/>
      <c r="E7564" s="542"/>
      <c r="F7564" s="542"/>
      <c r="G7564" s="542"/>
      <c r="H7564" s="543"/>
    </row>
    <row r="7565" spans="1:14" ht="15" customHeight="1">
      <c r="A7565" s="541"/>
      <c r="B7565" s="542"/>
      <c r="C7565" s="542"/>
      <c r="D7565" s="542"/>
      <c r="E7565" s="542"/>
      <c r="F7565" s="542"/>
      <c r="G7565" s="542"/>
      <c r="H7565" s="197">
        <f ca="1">TODAY()</f>
        <v>44889</v>
      </c>
      <c r="K7565" t="s">
        <v>4380</v>
      </c>
      <c r="L7565" t="s">
        <v>4381</v>
      </c>
      <c r="M7565" t="s">
        <v>4382</v>
      </c>
      <c r="N7565" t="s">
        <v>4383</v>
      </c>
    </row>
    <row r="7566" spans="1:14" ht="60.75" customHeight="1">
      <c r="A7566" s="209" t="s">
        <v>4211</v>
      </c>
      <c r="B7566" s="544" t="str">
        <f>COSTOS!$D$16</f>
        <v>Luminarias</v>
      </c>
      <c r="C7566" s="544"/>
      <c r="D7566" s="544"/>
      <c r="E7566" s="544"/>
      <c r="F7566" s="544"/>
      <c r="G7566" s="60" t="s">
        <v>4212</v>
      </c>
      <c r="H7566" s="363">
        <v>3.36</v>
      </c>
      <c r="K7566" s="55" t="e">
        <f>H7592</f>
        <v>#VALUE!</v>
      </c>
      <c r="L7566" s="55">
        <f>H7602</f>
        <v>8952.9727999999996</v>
      </c>
      <c r="M7566" s="55" t="e">
        <f>H7575</f>
        <v>#VALUE!</v>
      </c>
      <c r="N7566" s="55" t="e">
        <f>H7596</f>
        <v>#VALUE!</v>
      </c>
    </row>
    <row r="7567" spans="1:14" ht="43.2" customHeight="1">
      <c r="A7567" s="210" t="s">
        <v>4213</v>
      </c>
      <c r="B7567" s="545" t="str">
        <f>VLOOKUP(H7566,COSTOS!C:M,2,0)</f>
        <v>Red Aerea 3x1/0+1/0 AWG AL x 500m</v>
      </c>
      <c r="C7567" s="546"/>
      <c r="D7567" s="546"/>
      <c r="E7567" s="547"/>
      <c r="F7567" s="61" t="s">
        <v>0</v>
      </c>
      <c r="G7567" s="328" t="str">
        <f>VLOOKUP(H7566,COSTOS!C:M,8,0)</f>
        <v>Und</v>
      </c>
      <c r="H7567" s="248"/>
      <c r="I7567" s="278"/>
      <c r="J7567" s="280"/>
      <c r="K7567" s="280"/>
      <c r="L7567" s="280"/>
    </row>
    <row r="7568" spans="1:14">
      <c r="A7568" s="211"/>
      <c r="B7568" s="102"/>
      <c r="C7568" s="102"/>
      <c r="D7568" s="102"/>
      <c r="E7568" s="103"/>
      <c r="F7568" s="104" t="s">
        <v>1</v>
      </c>
      <c r="G7568" s="328">
        <f>VLOOKUP(H7566,COSTOS!C:M,9,0)</f>
        <v>0</v>
      </c>
      <c r="H7568" s="329"/>
      <c r="I7568" s="279"/>
    </row>
    <row r="7569" spans="1:15">
      <c r="A7569" s="212" t="s">
        <v>4215</v>
      </c>
      <c r="B7569" s="65"/>
      <c r="C7569" s="65"/>
      <c r="D7569" s="66"/>
      <c r="E7569" s="190"/>
      <c r="F7569" s="191"/>
      <c r="G7569" s="192" t="s">
        <v>4216</v>
      </c>
      <c r="H7569" s="198" t="e">
        <f>H7575+H7592+H7596+H7602</f>
        <v>#VALUE!</v>
      </c>
    </row>
    <row r="7570" spans="1:15" ht="41.4">
      <c r="A7570" s="548" t="s">
        <v>4213</v>
      </c>
      <c r="B7570" s="548"/>
      <c r="C7570" s="548"/>
      <c r="D7570" s="67" t="s">
        <v>0</v>
      </c>
      <c r="E7570" s="188" t="s">
        <v>4217</v>
      </c>
      <c r="F7570" s="189" t="s">
        <v>4204</v>
      </c>
      <c r="G7570" s="64" t="s">
        <v>2</v>
      </c>
      <c r="H7570" s="199" t="s">
        <v>4218</v>
      </c>
      <c r="K7570" s="281"/>
    </row>
    <row r="7571" spans="1:15">
      <c r="A7571" s="517" t="s">
        <v>3946</v>
      </c>
      <c r="B7571" s="549">
        <f>VLOOKUP(A7571,'Equip, Herr y Transp'!$B$2:$E$738,2,0)</f>
        <v>2</v>
      </c>
      <c r="C7571" s="549"/>
      <c r="D7571" s="85">
        <f>VLOOKUP(A7571,'Equip, Herr y Transp'!$B$2:$E$217,2,0)</f>
        <v>2</v>
      </c>
      <c r="E7571" s="85" t="str">
        <f>VLOOKUP(A7571,'Equip, Herr y Transp'!$B$2:$E$217,3,0)</f>
        <v>EQU</v>
      </c>
      <c r="F7571" s="86">
        <f>H7561</f>
        <v>2.7099999999999999E-2</v>
      </c>
      <c r="G7571" s="112" t="e">
        <f>F7571*E7571</f>
        <v>#VALUE!</v>
      </c>
      <c r="H7571" s="108"/>
    </row>
    <row r="7572" spans="1:15">
      <c r="A7572" s="517" t="s">
        <v>3904</v>
      </c>
      <c r="B7572" s="549">
        <f>VLOOKUP(A7572,'Equip, Herr y Transp'!$B$2:$E$738,2,0)</f>
        <v>2</v>
      </c>
      <c r="C7572" s="549"/>
      <c r="D7572" s="85">
        <f>VLOOKUP(A7572,'Equip, Herr y Transp'!$B$2:$E$217,2,0)</f>
        <v>2</v>
      </c>
      <c r="E7572" s="85" t="str">
        <f>VLOOKUP(A7572,'Equip, Herr y Transp'!$B$2:$E$217,3,0)</f>
        <v>EQU</v>
      </c>
      <c r="F7572" s="86">
        <f>H7561</f>
        <v>2.7099999999999999E-2</v>
      </c>
      <c r="G7572" s="112" t="e">
        <f>F7572*E7572</f>
        <v>#VALUE!</v>
      </c>
      <c r="H7572" s="107"/>
    </row>
    <row r="7573" spans="1:15">
      <c r="A7573" s="517" t="s">
        <v>8</v>
      </c>
      <c r="B7573" s="549" t="e">
        <f>VLOOKUP(A7573,'Equip, Herr y Transp'!$B$2:$E$738,2,0)</f>
        <v>#N/A</v>
      </c>
      <c r="C7573" s="549"/>
      <c r="D7573" s="85" t="e">
        <f>VLOOKUP(A7573,'Equip, Herr y Transp'!$B$2:$E$217,2,0)</f>
        <v>#N/A</v>
      </c>
      <c r="E7573" s="85" t="e">
        <f>VLOOKUP(A7573,'Equip, Herr y Transp'!$B$2:$E$217,3,0)</f>
        <v>#N/A</v>
      </c>
      <c r="F7573" s="86">
        <f>H7561</f>
        <v>2.7099999999999999E-2</v>
      </c>
      <c r="G7573" s="112" t="e">
        <f>F7573*E7573</f>
        <v>#N/A</v>
      </c>
      <c r="H7573" s="107"/>
    </row>
    <row r="7574" spans="1:15">
      <c r="A7574" s="517" t="s">
        <v>8</v>
      </c>
      <c r="B7574" s="549" t="e">
        <f>VLOOKUP(A7574,'Equip, Herr y Transp'!$B$2:$E$738,2,0)</f>
        <v>#N/A</v>
      </c>
      <c r="C7574" s="549"/>
      <c r="D7574" s="85" t="e">
        <f>VLOOKUP(A7574,'Equip, Herr y Transp'!$B$2:$E$217,2,0)</f>
        <v>#N/A</v>
      </c>
      <c r="E7574" s="85" t="e">
        <f>VLOOKUP(A7574,'Equip, Herr y Transp'!$B$2:$E$217,3,0)</f>
        <v>#N/A</v>
      </c>
      <c r="F7574" s="86">
        <f>H7561</f>
        <v>2.7099999999999999E-2</v>
      </c>
      <c r="G7574" s="112" t="e">
        <f>F7574*E7574</f>
        <v>#N/A</v>
      </c>
      <c r="H7574" s="107"/>
    </row>
    <row r="7575" spans="1:15">
      <c r="A7575" s="520" t="s">
        <v>4099</v>
      </c>
      <c r="B7575" s="521"/>
      <c r="C7575" s="521"/>
      <c r="D7575" s="521"/>
      <c r="E7575" s="521"/>
      <c r="F7575" s="521"/>
      <c r="G7575" s="521"/>
      <c r="H7575" s="87" t="e">
        <f>SUM(G7571:G7574)</f>
        <v>#VALUE!</v>
      </c>
    </row>
    <row r="7576" spans="1:15">
      <c r="A7576" s="550" t="s">
        <v>4219</v>
      </c>
      <c r="B7576" s="551"/>
      <c r="C7576" s="551"/>
      <c r="D7576" s="551"/>
      <c r="E7576" s="551"/>
      <c r="F7576" s="551"/>
      <c r="G7576" s="551"/>
      <c r="H7576" s="552"/>
      <c r="K7576" s="50"/>
      <c r="L7576" s="50"/>
      <c r="M7576" s="50"/>
      <c r="N7576" s="50"/>
      <c r="O7576" s="50"/>
    </row>
    <row r="7577" spans="1:15" ht="30" customHeight="1">
      <c r="A7577" s="553" t="s">
        <v>7</v>
      </c>
      <c r="B7577" s="554"/>
      <c r="C7577" s="99" t="s">
        <v>0</v>
      </c>
      <c r="D7577" s="100" t="s">
        <v>4097</v>
      </c>
      <c r="E7577" s="101" t="s">
        <v>1</v>
      </c>
      <c r="F7577" s="555" t="s">
        <v>4207</v>
      </c>
      <c r="G7577" s="555"/>
      <c r="H7577" s="196"/>
      <c r="K7577" s="50"/>
      <c r="L7577" s="50"/>
      <c r="M7577" s="50"/>
      <c r="N7577" s="50"/>
      <c r="O7577" s="50"/>
    </row>
    <row r="7578" spans="1:15">
      <c r="A7578" s="535" t="s">
        <v>4989</v>
      </c>
      <c r="B7578" s="536"/>
      <c r="C7578" s="88">
        <f>VLOOKUP(A7578,'Materiales '!$C$2:$G$396,3,0)</f>
        <v>2</v>
      </c>
      <c r="D7578" s="89" t="str">
        <f>VLOOKUP(A7578,'Materiales '!$C$2:$G$396,4,0)</f>
        <v>Ml</v>
      </c>
      <c r="E7578" s="90">
        <v>1</v>
      </c>
      <c r="F7578" s="508" t="e">
        <f>E7578*D7578</f>
        <v>#VALUE!</v>
      </c>
      <c r="G7578" s="519"/>
      <c r="H7578" s="111"/>
      <c r="I7578">
        <f>E7578*G7568</f>
        <v>0</v>
      </c>
      <c r="J7578" s="57"/>
      <c r="K7578" s="50"/>
      <c r="L7578" s="50"/>
      <c r="M7578" s="50"/>
      <c r="N7578" s="50"/>
      <c r="O7578" s="50"/>
    </row>
    <row r="7579" spans="1:15">
      <c r="A7579" s="535" t="s">
        <v>4406</v>
      </c>
      <c r="B7579" s="536"/>
      <c r="C7579" s="88">
        <f>VLOOKUP(A7579,'Materiales '!$C$2:$G$396,3,0)</f>
        <v>4</v>
      </c>
      <c r="D7579" s="89" t="str">
        <f>VLOOKUP(A7579,'Materiales '!$C$2:$G$396,4,0)</f>
        <v>Und</v>
      </c>
      <c r="E7579" s="90">
        <f>1/20</f>
        <v>0.05</v>
      </c>
      <c r="F7579" s="508" t="e">
        <f t="shared" ref="F7579:F7585" si="442">E7579*D7579</f>
        <v>#VALUE!</v>
      </c>
      <c r="G7579" s="519"/>
      <c r="H7579" s="111"/>
      <c r="I7579">
        <f>E7579*G7568</f>
        <v>0</v>
      </c>
      <c r="J7579" s="57"/>
      <c r="K7579" s="50"/>
      <c r="L7579" s="50"/>
      <c r="M7579" s="50"/>
      <c r="N7579" s="50"/>
      <c r="O7579" s="50"/>
    </row>
    <row r="7580" spans="1:15">
      <c r="A7580" s="517" t="s">
        <v>4542</v>
      </c>
      <c r="B7580" s="518">
        <f>VLOOKUP(A7580,'Materiales '!$C$2:$G$396,3,0)</f>
        <v>4</v>
      </c>
      <c r="C7580" s="88">
        <f>VLOOKUP(A7580,'Materiales '!$C$2:$G$396,3,0)</f>
        <v>4</v>
      </c>
      <c r="D7580" s="89" t="str">
        <f>VLOOKUP(A7580,'Materiales '!$C$2:$G$396,4,0)</f>
        <v>Und</v>
      </c>
      <c r="E7580" s="90">
        <f>1/20</f>
        <v>0.05</v>
      </c>
      <c r="F7580" s="508" t="e">
        <f t="shared" si="442"/>
        <v>#VALUE!</v>
      </c>
      <c r="G7580" s="519"/>
      <c r="H7580" s="111"/>
      <c r="I7580">
        <f>E7580*G7568</f>
        <v>0</v>
      </c>
      <c r="J7580" s="58"/>
      <c r="K7580" s="50"/>
      <c r="L7580" s="50"/>
      <c r="M7580" s="50"/>
      <c r="N7580" s="50"/>
      <c r="O7580" s="50"/>
    </row>
    <row r="7581" spans="1:15">
      <c r="A7581" s="517" t="s">
        <v>8</v>
      </c>
      <c r="B7581" s="518">
        <f>VLOOKUP(A7581,'Materiales '!$C$2:$G$396,3,0)</f>
        <v>0</v>
      </c>
      <c r="C7581" s="88">
        <f>VLOOKUP(A7581,'Materiales '!$C$2:$G$396,3,0)</f>
        <v>0</v>
      </c>
      <c r="D7581" s="89" t="str">
        <f>VLOOKUP(A7581,'Materiales '!$C$2:$G$396,4,0)</f>
        <v>-</v>
      </c>
      <c r="E7581" s="90"/>
      <c r="F7581" s="508" t="e">
        <f t="shared" si="442"/>
        <v>#VALUE!</v>
      </c>
      <c r="G7581" s="519"/>
      <c r="H7581" s="111"/>
      <c r="I7581">
        <f>E7581*G7568</f>
        <v>0</v>
      </c>
      <c r="J7581" s="58"/>
      <c r="K7581" s="50"/>
      <c r="L7581" s="50"/>
      <c r="M7581" s="50"/>
      <c r="N7581" s="50"/>
      <c r="O7581" s="50"/>
    </row>
    <row r="7582" spans="1:15">
      <c r="A7582" s="517" t="s">
        <v>8</v>
      </c>
      <c r="B7582" s="518">
        <f>VLOOKUP(A7582,'Materiales '!$C$2:$G$396,3,0)</f>
        <v>0</v>
      </c>
      <c r="C7582" s="88">
        <f>VLOOKUP(A7582,'Materiales '!$C$2:$G$396,3,0)</f>
        <v>0</v>
      </c>
      <c r="D7582" s="89" t="str">
        <f>VLOOKUP(A7582,'Materiales '!$C$2:$G$396,4,0)</f>
        <v>-</v>
      </c>
      <c r="E7582" s="90"/>
      <c r="F7582" s="508" t="e">
        <f t="shared" si="442"/>
        <v>#VALUE!</v>
      </c>
      <c r="G7582" s="519"/>
      <c r="H7582" s="111"/>
      <c r="I7582">
        <f>E7582*G7568</f>
        <v>0</v>
      </c>
      <c r="J7582" s="58"/>
      <c r="K7582" s="50"/>
      <c r="L7582" s="50"/>
      <c r="M7582" s="50"/>
      <c r="N7582" s="50"/>
      <c r="O7582" s="50"/>
    </row>
    <row r="7583" spans="1:15">
      <c r="A7583" s="517" t="s">
        <v>8</v>
      </c>
      <c r="B7583" s="518">
        <f>VLOOKUP(A7583,'Materiales '!$C$2:$G$396,3,0)</f>
        <v>0</v>
      </c>
      <c r="C7583" s="88">
        <f>VLOOKUP(A7583,'Materiales '!$C$2:$G$396,3,0)</f>
        <v>0</v>
      </c>
      <c r="D7583" s="89" t="str">
        <f>VLOOKUP(A7583,'Materiales '!$C$2:$G$396,4,0)</f>
        <v>-</v>
      </c>
      <c r="E7583" s="90"/>
      <c r="F7583" s="508" t="e">
        <f t="shared" si="442"/>
        <v>#VALUE!</v>
      </c>
      <c r="G7583" s="519"/>
      <c r="H7583" s="111"/>
      <c r="I7583">
        <f>E7583*G7568</f>
        <v>0</v>
      </c>
      <c r="J7583" s="58"/>
      <c r="K7583" s="50"/>
      <c r="L7583" s="50"/>
      <c r="M7583" s="50"/>
      <c r="N7583" s="50"/>
      <c r="O7583" s="50"/>
    </row>
    <row r="7584" spans="1:15">
      <c r="A7584" s="517" t="s">
        <v>8</v>
      </c>
      <c r="B7584" s="518">
        <f>VLOOKUP(A7584,'Materiales '!$C$2:$G$396,3,0)</f>
        <v>0</v>
      </c>
      <c r="C7584" s="88">
        <f>VLOOKUP(A7584,'Materiales '!$C$2:$G$396,3,0)</f>
        <v>0</v>
      </c>
      <c r="D7584" s="89" t="str">
        <f>VLOOKUP(A7584,'Materiales '!$C$2:$G$396,4,0)</f>
        <v>-</v>
      </c>
      <c r="E7584" s="90"/>
      <c r="F7584" s="508" t="e">
        <f t="shared" si="442"/>
        <v>#VALUE!</v>
      </c>
      <c r="G7584" s="519"/>
      <c r="H7584" s="111"/>
      <c r="I7584">
        <f>E7584*G7568</f>
        <v>0</v>
      </c>
      <c r="J7584" s="58"/>
      <c r="K7584" s="50"/>
      <c r="L7584" s="50"/>
      <c r="M7584" s="50"/>
      <c r="N7584" s="50"/>
      <c r="O7584" s="50"/>
    </row>
    <row r="7585" spans="1:15" ht="21.75" customHeight="1">
      <c r="A7585" s="517" t="s">
        <v>8</v>
      </c>
      <c r="B7585" s="518">
        <f>VLOOKUP(A7585,'Materiales '!$C$2:$G$396,3,0)</f>
        <v>0</v>
      </c>
      <c r="C7585" s="88">
        <f>VLOOKUP(A7585,'Materiales '!$C$2:$G$396,3,0)</f>
        <v>0</v>
      </c>
      <c r="D7585" s="89" t="str">
        <f>VLOOKUP(A7585,'Materiales '!$C$2:$G$396,4,0)</f>
        <v>-</v>
      </c>
      <c r="E7585" s="90"/>
      <c r="F7585" s="508" t="e">
        <f t="shared" si="442"/>
        <v>#VALUE!</v>
      </c>
      <c r="G7585" s="519"/>
      <c r="H7585" s="111"/>
      <c r="I7585">
        <f>E7585*G7568</f>
        <v>0</v>
      </c>
      <c r="J7585" s="58"/>
      <c r="K7585" s="50"/>
      <c r="L7585" s="50"/>
      <c r="M7585" s="50"/>
      <c r="N7585" s="50"/>
      <c r="O7585" s="50"/>
    </row>
    <row r="7586" spans="1:15">
      <c r="A7586" s="517" t="s">
        <v>8</v>
      </c>
      <c r="B7586" s="518">
        <f>VLOOKUP(A7586,'Materiales '!$C$2:$G$396,3,0)</f>
        <v>0</v>
      </c>
      <c r="C7586" s="88">
        <f>VLOOKUP(A7586,'Materiales '!$C$2:$G$396,3,0)</f>
        <v>0</v>
      </c>
      <c r="D7586" s="89" t="str">
        <f>VLOOKUP(A7586,'Materiales '!$C$2:$G$396,4,0)</f>
        <v>-</v>
      </c>
      <c r="E7586" s="90"/>
      <c r="F7586" s="508" t="e">
        <f>E7586*D7586</f>
        <v>#VALUE!</v>
      </c>
      <c r="G7586" s="519"/>
      <c r="H7586" s="110"/>
      <c r="I7586">
        <f>E7586*G7568</f>
        <v>0</v>
      </c>
      <c r="J7586" s="58"/>
      <c r="K7586" s="50"/>
      <c r="L7586" s="50"/>
      <c r="M7586" s="50"/>
      <c r="N7586" s="50"/>
      <c r="O7586" s="50"/>
    </row>
    <row r="7587" spans="1:15">
      <c r="A7587" s="517" t="s">
        <v>8</v>
      </c>
      <c r="B7587" s="518">
        <f>VLOOKUP(A7587,'Materiales '!$C$2:$G$396,3,0)</f>
        <v>0</v>
      </c>
      <c r="C7587" s="88">
        <f>VLOOKUP(A7587,'Materiales '!$C$2:$G$396,3,0)</f>
        <v>0</v>
      </c>
      <c r="D7587" s="89" t="str">
        <f>VLOOKUP(A7587,'Materiales '!$C$2:$G$396,4,0)</f>
        <v>-</v>
      </c>
      <c r="E7587" s="90"/>
      <c r="F7587" s="508" t="e">
        <f t="shared" ref="F7587:F7590" si="443">E7587*D7587</f>
        <v>#VALUE!</v>
      </c>
      <c r="G7587" s="519"/>
      <c r="H7587" s="111"/>
      <c r="I7587">
        <f>E7587*G7568</f>
        <v>0</v>
      </c>
      <c r="J7587" s="58"/>
      <c r="K7587" s="50"/>
      <c r="L7587" s="50"/>
      <c r="M7587" s="50"/>
      <c r="N7587" s="50"/>
      <c r="O7587" s="50"/>
    </row>
    <row r="7588" spans="1:15">
      <c r="A7588" s="517" t="s">
        <v>8</v>
      </c>
      <c r="B7588" s="518">
        <f>VLOOKUP(A7588,'Materiales '!$C$2:$G$396,3,0)</f>
        <v>0</v>
      </c>
      <c r="C7588" s="88">
        <f>VLOOKUP(A7588,'Materiales '!$C$2:$G$396,3,0)</f>
        <v>0</v>
      </c>
      <c r="D7588" s="89" t="str">
        <f>VLOOKUP(A7588,'Materiales '!$C$2:$G$396,4,0)</f>
        <v>-</v>
      </c>
      <c r="E7588" s="90"/>
      <c r="F7588" s="508" t="e">
        <f t="shared" si="443"/>
        <v>#VALUE!</v>
      </c>
      <c r="G7588" s="519"/>
      <c r="H7588" s="111"/>
      <c r="I7588">
        <f>E7588*G7568</f>
        <v>0</v>
      </c>
      <c r="J7588" s="58"/>
      <c r="K7588" s="50"/>
      <c r="L7588" s="50"/>
      <c r="M7588" s="50"/>
      <c r="N7588" s="50"/>
      <c r="O7588" s="50"/>
    </row>
    <row r="7589" spans="1:15">
      <c r="A7589" s="517" t="s">
        <v>8</v>
      </c>
      <c r="B7589" s="518">
        <f>VLOOKUP(A7589,'Materiales '!$C$2:$G$396,3,0)</f>
        <v>0</v>
      </c>
      <c r="C7589" s="88">
        <f>VLOOKUP(A7589,'Materiales '!$C$2:$G$396,3,0)</f>
        <v>0</v>
      </c>
      <c r="D7589" s="89" t="str">
        <f>VLOOKUP(A7589,'Materiales '!$C$2:$G$396,4,0)</f>
        <v>-</v>
      </c>
      <c r="E7589" s="90"/>
      <c r="F7589" s="508" t="e">
        <f t="shared" si="443"/>
        <v>#VALUE!</v>
      </c>
      <c r="G7589" s="519"/>
      <c r="H7589" s="111"/>
      <c r="I7589">
        <f>E7589*G7568</f>
        <v>0</v>
      </c>
      <c r="J7589" s="58"/>
      <c r="K7589" s="50"/>
      <c r="L7589" s="50"/>
      <c r="M7589" s="50"/>
      <c r="N7589" s="50"/>
      <c r="O7589" s="50"/>
    </row>
    <row r="7590" spans="1:15">
      <c r="A7590" s="517" t="s">
        <v>8</v>
      </c>
      <c r="B7590" s="518">
        <f>VLOOKUP(A7590,'Materiales '!$C$2:$G$396,3,0)</f>
        <v>0</v>
      </c>
      <c r="C7590" s="88">
        <f>VLOOKUP(A7590,'Materiales '!$C$2:$G$396,3,0)</f>
        <v>0</v>
      </c>
      <c r="D7590" s="89" t="str">
        <f>VLOOKUP(A7590,'Materiales '!$C$2:$G$396,4,0)</f>
        <v>-</v>
      </c>
      <c r="E7590" s="90"/>
      <c r="F7590" s="508" t="e">
        <f t="shared" si="443"/>
        <v>#VALUE!</v>
      </c>
      <c r="G7590" s="519"/>
      <c r="H7590" s="111"/>
      <c r="I7590">
        <f>E7590*G7568</f>
        <v>0</v>
      </c>
      <c r="J7590" s="58"/>
      <c r="K7590" s="50"/>
      <c r="L7590" s="50"/>
      <c r="M7590" s="50"/>
      <c r="N7590" s="50"/>
      <c r="O7590" s="50"/>
    </row>
    <row r="7591" spans="1:15">
      <c r="A7591" s="517" t="s">
        <v>8</v>
      </c>
      <c r="B7591" s="518">
        <f>VLOOKUP(A7591,'Materiales '!$C$2:$G$396,3,0)</f>
        <v>0</v>
      </c>
      <c r="C7591" s="88">
        <f>VLOOKUP(A7591,'Materiales '!$C$2:$G$396,3,0)</f>
        <v>0</v>
      </c>
      <c r="D7591" s="89" t="str">
        <f>VLOOKUP(A7591,'Materiales '!$C$2:$G$396,4,0)</f>
        <v>-</v>
      </c>
      <c r="E7591" s="90"/>
      <c r="F7591" s="508" t="e">
        <f>E7591*D7591</f>
        <v>#VALUE!</v>
      </c>
      <c r="G7591" s="519"/>
      <c r="H7591" s="110"/>
      <c r="I7591">
        <f>E7591*G7568</f>
        <v>0</v>
      </c>
      <c r="J7591" s="58"/>
      <c r="K7591" s="50"/>
      <c r="L7591" s="50"/>
      <c r="M7591" s="50"/>
      <c r="N7591" s="50"/>
      <c r="O7591" s="50"/>
    </row>
    <row r="7592" spans="1:15">
      <c r="A7592" s="520" t="s">
        <v>4098</v>
      </c>
      <c r="B7592" s="521"/>
      <c r="C7592" s="521"/>
      <c r="D7592" s="521"/>
      <c r="E7592" s="521"/>
      <c r="F7592" s="521"/>
      <c r="G7592" s="522"/>
      <c r="H7592" s="106" t="e">
        <f>SUM(F7578:F7591)</f>
        <v>#VALUE!</v>
      </c>
      <c r="J7592" s="58"/>
      <c r="K7592" s="50"/>
      <c r="L7592" s="50"/>
      <c r="M7592" s="50"/>
      <c r="N7592" s="50"/>
      <c r="O7592" s="50"/>
    </row>
    <row r="7593" spans="1:15">
      <c r="A7593" s="523" t="s">
        <v>4220</v>
      </c>
      <c r="B7593" s="524"/>
      <c r="C7593" s="524"/>
      <c r="D7593" s="524"/>
      <c r="E7593" s="525"/>
      <c r="F7593" s="524"/>
      <c r="G7593" s="524"/>
      <c r="H7593" s="526"/>
      <c r="J7593" s="58"/>
      <c r="K7593" s="50"/>
      <c r="L7593" s="50"/>
      <c r="M7593" s="50"/>
      <c r="N7593" s="50"/>
      <c r="O7593" s="50"/>
    </row>
    <row r="7594" spans="1:15">
      <c r="A7594" s="527" t="s">
        <v>7</v>
      </c>
      <c r="B7594" s="528"/>
      <c r="C7594" s="98" t="s">
        <v>4221</v>
      </c>
      <c r="D7594" s="97" t="s">
        <v>4222</v>
      </c>
      <c r="E7594" s="187" t="s">
        <v>4223</v>
      </c>
      <c r="F7594" s="529" t="s">
        <v>4207</v>
      </c>
      <c r="G7594" s="529"/>
      <c r="H7594" s="109"/>
      <c r="K7594" s="50"/>
      <c r="L7594" s="50"/>
      <c r="M7594" s="50"/>
      <c r="N7594" s="50"/>
      <c r="O7594" s="50"/>
    </row>
    <row r="7595" spans="1:15">
      <c r="A7595" s="506" t="s">
        <v>3928</v>
      </c>
      <c r="B7595" s="507"/>
      <c r="C7595" s="213">
        <v>1</v>
      </c>
      <c r="D7595" s="92">
        <v>5.0000000000000001E-3</v>
      </c>
      <c r="E7595" s="93" t="str">
        <f>VLOOKUP(A7595,'Equip, Herr y Transp'!$B$2:$E$217,3,0)</f>
        <v>TR</v>
      </c>
      <c r="F7595" s="530" t="e">
        <f>E7595*D7595*C7595</f>
        <v>#VALUE!</v>
      </c>
      <c r="G7595" s="531"/>
      <c r="H7595" s="107"/>
      <c r="M7595" s="50"/>
    </row>
    <row r="7596" spans="1:15">
      <c r="A7596" s="532" t="s">
        <v>4205</v>
      </c>
      <c r="B7596" s="533"/>
      <c r="C7596" s="533"/>
      <c r="D7596" s="533"/>
      <c r="E7596" s="533"/>
      <c r="F7596" s="533"/>
      <c r="G7596" s="533"/>
      <c r="H7596" s="95" t="e">
        <f>F7595</f>
        <v>#VALUE!</v>
      </c>
    </row>
    <row r="7597" spans="1:15">
      <c r="A7597" s="523" t="s">
        <v>4224</v>
      </c>
      <c r="B7597" s="524"/>
      <c r="C7597" s="524"/>
      <c r="D7597" s="524"/>
      <c r="E7597" s="524"/>
      <c r="F7597" s="524"/>
      <c r="G7597" s="524"/>
      <c r="H7597" s="526"/>
    </row>
    <row r="7598" spans="1:15">
      <c r="A7598" s="527" t="s">
        <v>7</v>
      </c>
      <c r="B7598" s="528"/>
      <c r="C7598" s="96" t="s">
        <v>1</v>
      </c>
      <c r="D7598" s="97" t="s">
        <v>4225</v>
      </c>
      <c r="E7598" s="98" t="s">
        <v>4204</v>
      </c>
      <c r="F7598" s="527" t="s">
        <v>5</v>
      </c>
      <c r="G7598" s="534"/>
      <c r="H7598" s="109"/>
    </row>
    <row r="7599" spans="1:15">
      <c r="A7599" s="506" t="s">
        <v>4191</v>
      </c>
      <c r="B7599" s="507"/>
      <c r="C7599" s="91">
        <v>1</v>
      </c>
      <c r="D7599" s="94">
        <f>VLOOKUP(A7599,'Mano Obra'!$B$2:$T$117,19,0)</f>
        <v>152456</v>
      </c>
      <c r="E7599" s="218">
        <f>H7561</f>
        <v>2.7099999999999999E-2</v>
      </c>
      <c r="F7599" s="508">
        <f>E7599*D7599*C7599</f>
        <v>4131.5576000000001</v>
      </c>
      <c r="G7599" s="509"/>
      <c r="H7599" s="111"/>
      <c r="I7599" s="59"/>
      <c r="J7599" s="117">
        <f>((('Mano Obra'!$M$4/30)*F7599)/D7599)*G7568</f>
        <v>0</v>
      </c>
    </row>
    <row r="7600" spans="1:15">
      <c r="A7600" s="510" t="s">
        <v>4192</v>
      </c>
      <c r="B7600" s="511">
        <f>VLOOKUP(A7600,'Mano Obra'!$B$3:$D$290,2,0)</f>
        <v>1900000</v>
      </c>
      <c r="C7600" s="91">
        <v>1</v>
      </c>
      <c r="D7600" s="94">
        <f>VLOOKUP(A7600,'Mano Obra'!$B$2:$T$117,19,0)</f>
        <v>110488</v>
      </c>
      <c r="E7600" s="218">
        <f>H7561</f>
        <v>2.7099999999999999E-2</v>
      </c>
      <c r="F7600" s="508">
        <f t="shared" ref="F7600:F7601" si="444">E7600*D7600*C7600</f>
        <v>2994.2248</v>
      </c>
      <c r="G7600" s="509"/>
      <c r="H7600" s="111"/>
      <c r="J7600" s="117">
        <f>((('Mano Obra'!$M$5/30)*F7600)/D7600)*G7568</f>
        <v>0</v>
      </c>
    </row>
    <row r="7601" spans="1:10">
      <c r="A7601" s="510" t="s">
        <v>4181</v>
      </c>
      <c r="B7601" s="511">
        <f>VLOOKUP(A7601,'Mano Obra'!$B$3:$D$290,2,0)</f>
        <v>1000000</v>
      </c>
      <c r="C7601" s="91">
        <v>1</v>
      </c>
      <c r="D7601" s="94">
        <f>VLOOKUP(A7601,'Mano Obra'!$B$2:$T$117,19,0)</f>
        <v>67424</v>
      </c>
      <c r="E7601" s="218">
        <f>H7561</f>
        <v>2.7099999999999999E-2</v>
      </c>
      <c r="F7601" s="508">
        <f t="shared" si="444"/>
        <v>1827.1904</v>
      </c>
      <c r="G7601" s="509"/>
      <c r="H7601" s="110"/>
      <c r="J7601" s="117">
        <f>((('Mano Obra'!$M$6/30)*F7601)/D7601)*G7568</f>
        <v>0</v>
      </c>
    </row>
    <row r="7602" spans="1:10">
      <c r="A7602" s="512" t="s">
        <v>4100</v>
      </c>
      <c r="B7602" s="512"/>
      <c r="C7602" s="512"/>
      <c r="D7602" s="512"/>
      <c r="E7602" s="512"/>
      <c r="F7602" s="512"/>
      <c r="G7602" s="512"/>
      <c r="H7602" s="95">
        <f>SUM(F7599:F7601)</f>
        <v>8952.9727999999996</v>
      </c>
      <c r="J7602" s="117"/>
    </row>
    <row r="7603" spans="1:10">
      <c r="A7603" s="208" t="s">
        <v>4226</v>
      </c>
      <c r="B7603" s="186"/>
      <c r="C7603" s="186"/>
      <c r="D7603" s="183"/>
      <c r="E7603" s="184"/>
      <c r="F7603" s="185"/>
      <c r="G7603" s="184"/>
      <c r="H7603" s="193"/>
    </row>
    <row r="7604" spans="1:10">
      <c r="A7604" s="513" t="s">
        <v>4213</v>
      </c>
      <c r="B7604" s="514"/>
      <c r="C7604" s="514"/>
      <c r="D7604" s="514"/>
      <c r="E7604" s="181"/>
      <c r="F7604" s="182" t="s">
        <v>4227</v>
      </c>
      <c r="G7604" s="181" t="s">
        <v>4228</v>
      </c>
      <c r="H7604" s="194"/>
    </row>
    <row r="7605" spans="1:10">
      <c r="A7605" s="204" t="s">
        <v>4096</v>
      </c>
      <c r="B7605" s="62"/>
      <c r="C7605" s="62"/>
      <c r="D7605" s="63"/>
      <c r="E7605" s="68"/>
      <c r="F7605" s="69">
        <v>0</v>
      </c>
      <c r="G7605" s="70" t="e">
        <f>F7605*H7569</f>
        <v>#VALUE!</v>
      </c>
      <c r="H7605" s="193"/>
    </row>
    <row r="7606" spans="1:10">
      <c r="A7606" s="205" t="s">
        <v>4229</v>
      </c>
      <c r="B7606" s="71"/>
      <c r="C7606" s="71"/>
      <c r="D7606" s="72"/>
      <c r="E7606" s="68"/>
      <c r="F7606" s="69">
        <v>0</v>
      </c>
      <c r="G7606" s="70" t="e">
        <f>F7606*H7569</f>
        <v>#VALUE!</v>
      </c>
      <c r="H7606" s="193"/>
    </row>
    <row r="7607" spans="1:10">
      <c r="A7607" s="205" t="s">
        <v>4</v>
      </c>
      <c r="B7607" s="71"/>
      <c r="C7607" s="71"/>
      <c r="D7607" s="72"/>
      <c r="E7607" s="68"/>
      <c r="F7607" s="69">
        <v>0</v>
      </c>
      <c r="G7607" s="70" t="e">
        <f>F7607*H7569</f>
        <v>#VALUE!</v>
      </c>
      <c r="H7607" s="193"/>
    </row>
    <row r="7608" spans="1:10">
      <c r="A7608" s="206"/>
      <c r="B7608" s="73"/>
      <c r="C7608" s="65"/>
      <c r="D7608" s="74"/>
      <c r="E7608" s="75"/>
      <c r="F7608" s="76"/>
      <c r="G7608" s="77"/>
      <c r="H7608" s="195"/>
    </row>
    <row r="7609" spans="1:10">
      <c r="A7609" s="207"/>
      <c r="B7609" s="73"/>
      <c r="C7609" s="73"/>
      <c r="D7609" s="74"/>
      <c r="E7609" s="78"/>
      <c r="F7609" s="515" t="s">
        <v>4230</v>
      </c>
      <c r="G7609" s="516"/>
      <c r="H7609" s="214" t="e">
        <f>H7569+G7605+G7606+G7607</f>
        <v>#VALUE!</v>
      </c>
    </row>
    <row r="7611" spans="1:10">
      <c r="A7611" s="80"/>
      <c r="B7611" s="80"/>
      <c r="C7611" s="80"/>
      <c r="D7611" s="80"/>
      <c r="E7611" s="80"/>
      <c r="F7611" s="80"/>
      <c r="G7611" s="80"/>
      <c r="H7611" s="353"/>
    </row>
    <row r="7612" spans="1:10">
      <c r="A7612" s="537" t="s">
        <v>4214</v>
      </c>
      <c r="B7612" s="538"/>
      <c r="C7612" s="538"/>
      <c r="D7612" s="538"/>
      <c r="E7612" s="538"/>
      <c r="F7612" s="538"/>
      <c r="G7612" s="538"/>
      <c r="H7612" s="539"/>
    </row>
    <row r="7613" spans="1:10">
      <c r="A7613" s="81"/>
      <c r="B7613" s="82"/>
      <c r="C7613" s="82"/>
      <c r="D7613" s="82"/>
      <c r="E7613" s="82"/>
      <c r="F7613" s="83"/>
      <c r="G7613" s="84"/>
      <c r="H7613" s="352">
        <f>ROUND((13/60)/8,4)</f>
        <v>2.7099999999999999E-2</v>
      </c>
      <c r="I7613" s="105"/>
    </row>
    <row r="7614" spans="1:10">
      <c r="A7614" s="540" t="s">
        <v>4209</v>
      </c>
      <c r="B7614" s="542" t="str">
        <f>COSTOS!$C$14</f>
        <v>MODERNIZACION A TECNOLOGIA LED</v>
      </c>
      <c r="C7614" s="542"/>
      <c r="D7614" s="542"/>
      <c r="E7614" s="542"/>
      <c r="F7614" s="542"/>
      <c r="G7614" s="542"/>
      <c r="H7614" s="543" t="s">
        <v>4210</v>
      </c>
    </row>
    <row r="7615" spans="1:10">
      <c r="A7615" s="541"/>
      <c r="B7615" s="542"/>
      <c r="C7615" s="542"/>
      <c r="D7615" s="542"/>
      <c r="E7615" s="542"/>
      <c r="F7615" s="542"/>
      <c r="G7615" s="542"/>
      <c r="H7615" s="543"/>
    </row>
    <row r="7616" spans="1:10">
      <c r="A7616" s="541"/>
      <c r="B7616" s="542"/>
      <c r="C7616" s="542"/>
      <c r="D7616" s="542"/>
      <c r="E7616" s="542"/>
      <c r="F7616" s="542"/>
      <c r="G7616" s="542"/>
      <c r="H7616" s="543"/>
    </row>
    <row r="7617" spans="1:15" ht="15" customHeight="1">
      <c r="A7617" s="541"/>
      <c r="B7617" s="542"/>
      <c r="C7617" s="542"/>
      <c r="D7617" s="542"/>
      <c r="E7617" s="542"/>
      <c r="F7617" s="542"/>
      <c r="G7617" s="542"/>
      <c r="H7617" s="197">
        <f ca="1">TODAY()</f>
        <v>44889</v>
      </c>
      <c r="K7617" t="s">
        <v>4380</v>
      </c>
      <c r="L7617" t="s">
        <v>4381</v>
      </c>
      <c r="M7617" t="s">
        <v>4382</v>
      </c>
      <c r="N7617" t="s">
        <v>4383</v>
      </c>
    </row>
    <row r="7618" spans="1:15" ht="60.75" customHeight="1">
      <c r="A7618" s="209" t="s">
        <v>4211</v>
      </c>
      <c r="B7618" s="544" t="str">
        <f>COSTOS!$D$16</f>
        <v>Luminarias</v>
      </c>
      <c r="C7618" s="544"/>
      <c r="D7618" s="544"/>
      <c r="E7618" s="544"/>
      <c r="F7618" s="544"/>
      <c r="G7618" s="60" t="s">
        <v>4212</v>
      </c>
      <c r="H7618" s="363">
        <v>3.37</v>
      </c>
      <c r="K7618" s="55" t="e">
        <f>H7644</f>
        <v>#VALUE!</v>
      </c>
      <c r="L7618" s="55">
        <f>H7654</f>
        <v>8952.9727999999996</v>
      </c>
      <c r="M7618" s="55" t="e">
        <f>H7627</f>
        <v>#VALUE!</v>
      </c>
      <c r="N7618" s="55" t="e">
        <f>H7648</f>
        <v>#VALUE!</v>
      </c>
    </row>
    <row r="7619" spans="1:15" ht="43.2" customHeight="1">
      <c r="A7619" s="210" t="s">
        <v>4213</v>
      </c>
      <c r="B7619" s="545" t="str">
        <f>VLOOKUP(H7618,COSTOS!C:M,2,0)</f>
        <v>Red Aerea 3x2/0+2/0 AWG AL x 500m</v>
      </c>
      <c r="C7619" s="546"/>
      <c r="D7619" s="546"/>
      <c r="E7619" s="547"/>
      <c r="F7619" s="61" t="s">
        <v>0</v>
      </c>
      <c r="G7619" s="328" t="str">
        <f>VLOOKUP(H7618,COSTOS!C:M,8,0)</f>
        <v>Und</v>
      </c>
      <c r="H7619" s="248"/>
      <c r="I7619" s="278"/>
      <c r="J7619" s="280"/>
      <c r="K7619" s="280"/>
      <c r="L7619" s="280"/>
    </row>
    <row r="7620" spans="1:15">
      <c r="A7620" s="211"/>
      <c r="B7620" s="102"/>
      <c r="C7620" s="102"/>
      <c r="D7620" s="102"/>
      <c r="E7620" s="103"/>
      <c r="F7620" s="104" t="s">
        <v>1</v>
      </c>
      <c r="G7620" s="328">
        <f>VLOOKUP(H7618,COSTOS!C:M,9,0)</f>
        <v>0</v>
      </c>
      <c r="H7620" s="329"/>
      <c r="I7620" s="279"/>
    </row>
    <row r="7621" spans="1:15">
      <c r="A7621" s="212" t="s">
        <v>4215</v>
      </c>
      <c r="B7621" s="65"/>
      <c r="C7621" s="65"/>
      <c r="D7621" s="66"/>
      <c r="E7621" s="190"/>
      <c r="F7621" s="191"/>
      <c r="G7621" s="192" t="s">
        <v>4216</v>
      </c>
      <c r="H7621" s="198" t="e">
        <f>H7627+H7644+H7648+H7654</f>
        <v>#VALUE!</v>
      </c>
    </row>
    <row r="7622" spans="1:15" ht="41.4">
      <c r="A7622" s="548" t="s">
        <v>4213</v>
      </c>
      <c r="B7622" s="548"/>
      <c r="C7622" s="548"/>
      <c r="D7622" s="67" t="s">
        <v>0</v>
      </c>
      <c r="E7622" s="188" t="s">
        <v>4217</v>
      </c>
      <c r="F7622" s="189" t="s">
        <v>4204</v>
      </c>
      <c r="G7622" s="64" t="s">
        <v>2</v>
      </c>
      <c r="H7622" s="199" t="s">
        <v>4218</v>
      </c>
      <c r="K7622" s="281"/>
    </row>
    <row r="7623" spans="1:15">
      <c r="A7623" s="517" t="s">
        <v>3946</v>
      </c>
      <c r="B7623" s="549">
        <f>VLOOKUP(A7623,'Equip, Herr y Transp'!$B$2:$E$738,2,0)</f>
        <v>2</v>
      </c>
      <c r="C7623" s="549"/>
      <c r="D7623" s="85">
        <f>VLOOKUP(A7623,'Equip, Herr y Transp'!$B$2:$E$217,2,0)</f>
        <v>2</v>
      </c>
      <c r="E7623" s="85" t="str">
        <f>VLOOKUP(A7623,'Equip, Herr y Transp'!$B$2:$E$217,3,0)</f>
        <v>EQU</v>
      </c>
      <c r="F7623" s="86">
        <f>H7613</f>
        <v>2.7099999999999999E-2</v>
      </c>
      <c r="G7623" s="112" t="e">
        <f>F7623*E7623</f>
        <v>#VALUE!</v>
      </c>
      <c r="H7623" s="108"/>
    </row>
    <row r="7624" spans="1:15">
      <c r="A7624" s="517" t="s">
        <v>3904</v>
      </c>
      <c r="B7624" s="549">
        <f>VLOOKUP(A7624,'Equip, Herr y Transp'!$B$2:$E$738,2,0)</f>
        <v>2</v>
      </c>
      <c r="C7624" s="549"/>
      <c r="D7624" s="85">
        <f>VLOOKUP(A7624,'Equip, Herr y Transp'!$B$2:$E$217,2,0)</f>
        <v>2</v>
      </c>
      <c r="E7624" s="85" t="str">
        <f>VLOOKUP(A7624,'Equip, Herr y Transp'!$B$2:$E$217,3,0)</f>
        <v>EQU</v>
      </c>
      <c r="F7624" s="86">
        <f>H7613</f>
        <v>2.7099999999999999E-2</v>
      </c>
      <c r="G7624" s="112" t="e">
        <f>F7624*E7624</f>
        <v>#VALUE!</v>
      </c>
      <c r="H7624" s="107"/>
    </row>
    <row r="7625" spans="1:15">
      <c r="A7625" s="517" t="s">
        <v>8</v>
      </c>
      <c r="B7625" s="549" t="e">
        <f>VLOOKUP(A7625,'Equip, Herr y Transp'!$B$2:$E$738,2,0)</f>
        <v>#N/A</v>
      </c>
      <c r="C7625" s="549"/>
      <c r="D7625" s="85" t="e">
        <f>VLOOKUP(A7625,'Equip, Herr y Transp'!$B$2:$E$217,2,0)</f>
        <v>#N/A</v>
      </c>
      <c r="E7625" s="85" t="e">
        <f>VLOOKUP(A7625,'Equip, Herr y Transp'!$B$2:$E$217,3,0)</f>
        <v>#N/A</v>
      </c>
      <c r="F7625" s="86">
        <f>H7613</f>
        <v>2.7099999999999999E-2</v>
      </c>
      <c r="G7625" s="112" t="e">
        <f>F7625*E7625</f>
        <v>#N/A</v>
      </c>
      <c r="H7625" s="107"/>
    </row>
    <row r="7626" spans="1:15">
      <c r="A7626" s="517" t="s">
        <v>8</v>
      </c>
      <c r="B7626" s="549" t="e">
        <f>VLOOKUP(A7626,'Equip, Herr y Transp'!$B$2:$E$738,2,0)</f>
        <v>#N/A</v>
      </c>
      <c r="C7626" s="549"/>
      <c r="D7626" s="85" t="e">
        <f>VLOOKUP(A7626,'Equip, Herr y Transp'!$B$2:$E$217,2,0)</f>
        <v>#N/A</v>
      </c>
      <c r="E7626" s="85" t="e">
        <f>VLOOKUP(A7626,'Equip, Herr y Transp'!$B$2:$E$217,3,0)</f>
        <v>#N/A</v>
      </c>
      <c r="F7626" s="86">
        <f>H7613</f>
        <v>2.7099999999999999E-2</v>
      </c>
      <c r="G7626" s="112" t="e">
        <f>F7626*E7626</f>
        <v>#N/A</v>
      </c>
      <c r="H7626" s="107"/>
    </row>
    <row r="7627" spans="1:15">
      <c r="A7627" s="520" t="s">
        <v>4099</v>
      </c>
      <c r="B7627" s="521"/>
      <c r="C7627" s="521"/>
      <c r="D7627" s="521"/>
      <c r="E7627" s="521"/>
      <c r="F7627" s="521"/>
      <c r="G7627" s="521"/>
      <c r="H7627" s="87" t="e">
        <f>SUM(G7623:G7626)</f>
        <v>#VALUE!</v>
      </c>
    </row>
    <row r="7628" spans="1:15">
      <c r="A7628" s="550" t="s">
        <v>4219</v>
      </c>
      <c r="B7628" s="551"/>
      <c r="C7628" s="551"/>
      <c r="D7628" s="551"/>
      <c r="E7628" s="551"/>
      <c r="F7628" s="551"/>
      <c r="G7628" s="551"/>
      <c r="H7628" s="552"/>
      <c r="K7628" s="50"/>
      <c r="L7628" s="50"/>
      <c r="M7628" s="50"/>
      <c r="N7628" s="50"/>
      <c r="O7628" s="50"/>
    </row>
    <row r="7629" spans="1:15" ht="30" customHeight="1">
      <c r="A7629" s="553" t="s">
        <v>7</v>
      </c>
      <c r="B7629" s="554"/>
      <c r="C7629" s="99" t="s">
        <v>0</v>
      </c>
      <c r="D7629" s="100" t="s">
        <v>4097</v>
      </c>
      <c r="E7629" s="101" t="s">
        <v>1</v>
      </c>
      <c r="F7629" s="555" t="s">
        <v>4207</v>
      </c>
      <c r="G7629" s="555"/>
      <c r="H7629" s="196"/>
      <c r="K7629" s="50"/>
      <c r="L7629" s="50"/>
      <c r="M7629" s="50"/>
      <c r="N7629" s="50"/>
      <c r="O7629" s="50"/>
    </row>
    <row r="7630" spans="1:15">
      <c r="A7630" s="535" t="s">
        <v>4991</v>
      </c>
      <c r="B7630" s="536"/>
      <c r="C7630" s="88">
        <f>VLOOKUP(A7630,'Materiales '!$C$2:$G$396,3,0)</f>
        <v>2</v>
      </c>
      <c r="D7630" s="89" t="str">
        <f>VLOOKUP(A7630,'Materiales '!$C$2:$G$396,4,0)</f>
        <v>Ml</v>
      </c>
      <c r="E7630" s="90">
        <v>1</v>
      </c>
      <c r="F7630" s="508" t="e">
        <f>E7630*D7630</f>
        <v>#VALUE!</v>
      </c>
      <c r="G7630" s="519"/>
      <c r="H7630" s="111"/>
      <c r="I7630">
        <f>E7630*G7620</f>
        <v>0</v>
      </c>
      <c r="J7630" s="57"/>
      <c r="K7630" s="50"/>
      <c r="L7630" s="50"/>
      <c r="M7630" s="50"/>
      <c r="N7630" s="50"/>
      <c r="O7630" s="50"/>
    </row>
    <row r="7631" spans="1:15">
      <c r="A7631" s="535" t="s">
        <v>4406</v>
      </c>
      <c r="B7631" s="536"/>
      <c r="C7631" s="88">
        <f>VLOOKUP(A7631,'Materiales '!$C$2:$G$396,3,0)</f>
        <v>4</v>
      </c>
      <c r="D7631" s="89" t="str">
        <f>VLOOKUP(A7631,'Materiales '!$C$2:$G$396,4,0)</f>
        <v>Und</v>
      </c>
      <c r="E7631" s="90">
        <f>1/20</f>
        <v>0.05</v>
      </c>
      <c r="F7631" s="508" t="e">
        <f t="shared" ref="F7631:F7637" si="445">E7631*D7631</f>
        <v>#VALUE!</v>
      </c>
      <c r="G7631" s="519"/>
      <c r="H7631" s="111"/>
      <c r="I7631">
        <f>E7631*G7620</f>
        <v>0</v>
      </c>
      <c r="J7631" s="57"/>
      <c r="K7631" s="50"/>
      <c r="L7631" s="50"/>
      <c r="M7631" s="50"/>
      <c r="N7631" s="50"/>
      <c r="O7631" s="50"/>
    </row>
    <row r="7632" spans="1:15">
      <c r="A7632" s="517" t="s">
        <v>4542</v>
      </c>
      <c r="B7632" s="518">
        <f>VLOOKUP(A7632,'Materiales '!$C$2:$G$396,3,0)</f>
        <v>4</v>
      </c>
      <c r="C7632" s="88">
        <f>VLOOKUP(A7632,'Materiales '!$C$2:$G$396,3,0)</f>
        <v>4</v>
      </c>
      <c r="D7632" s="89" t="str">
        <f>VLOOKUP(A7632,'Materiales '!$C$2:$G$396,4,0)</f>
        <v>Und</v>
      </c>
      <c r="E7632" s="90">
        <f>1/20</f>
        <v>0.05</v>
      </c>
      <c r="F7632" s="508" t="e">
        <f t="shared" si="445"/>
        <v>#VALUE!</v>
      </c>
      <c r="G7632" s="519"/>
      <c r="H7632" s="111"/>
      <c r="I7632">
        <f>E7632*G7620</f>
        <v>0</v>
      </c>
      <c r="J7632" s="58"/>
      <c r="K7632" s="50"/>
      <c r="L7632" s="50"/>
      <c r="M7632" s="50"/>
      <c r="N7632" s="50"/>
      <c r="O7632" s="50"/>
    </row>
    <row r="7633" spans="1:15">
      <c r="A7633" s="517" t="s">
        <v>8</v>
      </c>
      <c r="B7633" s="518">
        <f>VLOOKUP(A7633,'Materiales '!$C$2:$G$396,3,0)</f>
        <v>0</v>
      </c>
      <c r="C7633" s="88">
        <f>VLOOKUP(A7633,'Materiales '!$C$2:$G$396,3,0)</f>
        <v>0</v>
      </c>
      <c r="D7633" s="89" t="str">
        <f>VLOOKUP(A7633,'Materiales '!$C$2:$G$396,4,0)</f>
        <v>-</v>
      </c>
      <c r="E7633" s="90"/>
      <c r="F7633" s="508" t="e">
        <f t="shared" si="445"/>
        <v>#VALUE!</v>
      </c>
      <c r="G7633" s="519"/>
      <c r="H7633" s="111"/>
      <c r="I7633">
        <f>E7633*G7620</f>
        <v>0</v>
      </c>
      <c r="J7633" s="58"/>
      <c r="K7633" s="50"/>
      <c r="L7633" s="50"/>
      <c r="M7633" s="50"/>
      <c r="N7633" s="50"/>
      <c r="O7633" s="50"/>
    </row>
    <row r="7634" spans="1:15">
      <c r="A7634" s="517" t="s">
        <v>8</v>
      </c>
      <c r="B7634" s="518">
        <f>VLOOKUP(A7634,'Materiales '!$C$2:$G$396,3,0)</f>
        <v>0</v>
      </c>
      <c r="C7634" s="88">
        <f>VLOOKUP(A7634,'Materiales '!$C$2:$G$396,3,0)</f>
        <v>0</v>
      </c>
      <c r="D7634" s="89" t="str">
        <f>VLOOKUP(A7634,'Materiales '!$C$2:$G$396,4,0)</f>
        <v>-</v>
      </c>
      <c r="E7634" s="90"/>
      <c r="F7634" s="508" t="e">
        <f t="shared" si="445"/>
        <v>#VALUE!</v>
      </c>
      <c r="G7634" s="519"/>
      <c r="H7634" s="111"/>
      <c r="I7634">
        <f>E7634*G7620</f>
        <v>0</v>
      </c>
      <c r="J7634" s="58"/>
      <c r="K7634" s="50"/>
      <c r="L7634" s="50"/>
      <c r="M7634" s="50"/>
      <c r="N7634" s="50"/>
      <c r="O7634" s="50"/>
    </row>
    <row r="7635" spans="1:15">
      <c r="A7635" s="517" t="s">
        <v>8</v>
      </c>
      <c r="B7635" s="518">
        <f>VLOOKUP(A7635,'Materiales '!$C$2:$G$396,3,0)</f>
        <v>0</v>
      </c>
      <c r="C7635" s="88">
        <f>VLOOKUP(A7635,'Materiales '!$C$2:$G$396,3,0)</f>
        <v>0</v>
      </c>
      <c r="D7635" s="89" t="str">
        <f>VLOOKUP(A7635,'Materiales '!$C$2:$G$396,4,0)</f>
        <v>-</v>
      </c>
      <c r="E7635" s="90"/>
      <c r="F7635" s="508" t="e">
        <f t="shared" si="445"/>
        <v>#VALUE!</v>
      </c>
      <c r="G7635" s="519"/>
      <c r="H7635" s="111"/>
      <c r="I7635">
        <f>E7635*G7620</f>
        <v>0</v>
      </c>
      <c r="J7635" s="58"/>
      <c r="K7635" s="50"/>
      <c r="L7635" s="50"/>
      <c r="M7635" s="50"/>
      <c r="N7635" s="50"/>
      <c r="O7635" s="50"/>
    </row>
    <row r="7636" spans="1:15">
      <c r="A7636" s="517" t="s">
        <v>8</v>
      </c>
      <c r="B7636" s="518">
        <f>VLOOKUP(A7636,'Materiales '!$C$2:$G$396,3,0)</f>
        <v>0</v>
      </c>
      <c r="C7636" s="88">
        <f>VLOOKUP(A7636,'Materiales '!$C$2:$G$396,3,0)</f>
        <v>0</v>
      </c>
      <c r="D7636" s="89" t="str">
        <f>VLOOKUP(A7636,'Materiales '!$C$2:$G$396,4,0)</f>
        <v>-</v>
      </c>
      <c r="E7636" s="90"/>
      <c r="F7636" s="508" t="e">
        <f t="shared" si="445"/>
        <v>#VALUE!</v>
      </c>
      <c r="G7636" s="519"/>
      <c r="H7636" s="111"/>
      <c r="I7636">
        <f>E7636*G7620</f>
        <v>0</v>
      </c>
      <c r="J7636" s="58"/>
      <c r="K7636" s="50"/>
      <c r="L7636" s="50"/>
      <c r="M7636" s="50"/>
      <c r="N7636" s="50"/>
      <c r="O7636" s="50"/>
    </row>
    <row r="7637" spans="1:15" ht="21.75" customHeight="1">
      <c r="A7637" s="517" t="s">
        <v>8</v>
      </c>
      <c r="B7637" s="518">
        <f>VLOOKUP(A7637,'Materiales '!$C$2:$G$396,3,0)</f>
        <v>0</v>
      </c>
      <c r="C7637" s="88">
        <f>VLOOKUP(A7637,'Materiales '!$C$2:$G$396,3,0)</f>
        <v>0</v>
      </c>
      <c r="D7637" s="89" t="str">
        <f>VLOOKUP(A7637,'Materiales '!$C$2:$G$396,4,0)</f>
        <v>-</v>
      </c>
      <c r="E7637" s="90"/>
      <c r="F7637" s="508" t="e">
        <f t="shared" si="445"/>
        <v>#VALUE!</v>
      </c>
      <c r="G7637" s="519"/>
      <c r="H7637" s="111"/>
      <c r="I7637">
        <f>E7637*G7620</f>
        <v>0</v>
      </c>
      <c r="J7637" s="58"/>
      <c r="K7637" s="50"/>
      <c r="L7637" s="50"/>
      <c r="M7637" s="50"/>
      <c r="N7637" s="50"/>
      <c r="O7637" s="50"/>
    </row>
    <row r="7638" spans="1:15">
      <c r="A7638" s="517" t="s">
        <v>8</v>
      </c>
      <c r="B7638" s="518">
        <f>VLOOKUP(A7638,'Materiales '!$C$2:$G$396,3,0)</f>
        <v>0</v>
      </c>
      <c r="C7638" s="88">
        <f>VLOOKUP(A7638,'Materiales '!$C$2:$G$396,3,0)</f>
        <v>0</v>
      </c>
      <c r="D7638" s="89" t="str">
        <f>VLOOKUP(A7638,'Materiales '!$C$2:$G$396,4,0)</f>
        <v>-</v>
      </c>
      <c r="E7638" s="90"/>
      <c r="F7638" s="508" t="e">
        <f>E7638*D7638</f>
        <v>#VALUE!</v>
      </c>
      <c r="G7638" s="519"/>
      <c r="H7638" s="110"/>
      <c r="I7638">
        <f>E7638*G7620</f>
        <v>0</v>
      </c>
      <c r="J7638" s="58"/>
      <c r="K7638" s="50"/>
      <c r="L7638" s="50"/>
      <c r="M7638" s="50"/>
      <c r="N7638" s="50"/>
      <c r="O7638" s="50"/>
    </row>
    <row r="7639" spans="1:15">
      <c r="A7639" s="517" t="s">
        <v>8</v>
      </c>
      <c r="B7639" s="518">
        <f>VLOOKUP(A7639,'Materiales '!$C$2:$G$396,3,0)</f>
        <v>0</v>
      </c>
      <c r="C7639" s="88">
        <f>VLOOKUP(A7639,'Materiales '!$C$2:$G$396,3,0)</f>
        <v>0</v>
      </c>
      <c r="D7639" s="89" t="str">
        <f>VLOOKUP(A7639,'Materiales '!$C$2:$G$396,4,0)</f>
        <v>-</v>
      </c>
      <c r="E7639" s="90"/>
      <c r="F7639" s="508" t="e">
        <f t="shared" ref="F7639:F7642" si="446">E7639*D7639</f>
        <v>#VALUE!</v>
      </c>
      <c r="G7639" s="519"/>
      <c r="H7639" s="111"/>
      <c r="I7639">
        <f>E7639*G7620</f>
        <v>0</v>
      </c>
      <c r="J7639" s="58"/>
      <c r="K7639" s="50"/>
      <c r="L7639" s="50"/>
      <c r="M7639" s="50"/>
      <c r="N7639" s="50"/>
      <c r="O7639" s="50"/>
    </row>
    <row r="7640" spans="1:15">
      <c r="A7640" s="517" t="s">
        <v>8</v>
      </c>
      <c r="B7640" s="518">
        <f>VLOOKUP(A7640,'Materiales '!$C$2:$G$396,3,0)</f>
        <v>0</v>
      </c>
      <c r="C7640" s="88">
        <f>VLOOKUP(A7640,'Materiales '!$C$2:$G$396,3,0)</f>
        <v>0</v>
      </c>
      <c r="D7640" s="89" t="str">
        <f>VLOOKUP(A7640,'Materiales '!$C$2:$G$396,4,0)</f>
        <v>-</v>
      </c>
      <c r="E7640" s="90"/>
      <c r="F7640" s="508" t="e">
        <f t="shared" si="446"/>
        <v>#VALUE!</v>
      </c>
      <c r="G7640" s="519"/>
      <c r="H7640" s="111"/>
      <c r="I7640">
        <f>E7640*G7620</f>
        <v>0</v>
      </c>
      <c r="J7640" s="58"/>
      <c r="K7640" s="50"/>
      <c r="L7640" s="50"/>
      <c r="M7640" s="50"/>
      <c r="N7640" s="50"/>
      <c r="O7640" s="50"/>
    </row>
    <row r="7641" spans="1:15">
      <c r="A7641" s="517" t="s">
        <v>8</v>
      </c>
      <c r="B7641" s="518">
        <f>VLOOKUP(A7641,'Materiales '!$C$2:$G$396,3,0)</f>
        <v>0</v>
      </c>
      <c r="C7641" s="88">
        <f>VLOOKUP(A7641,'Materiales '!$C$2:$G$396,3,0)</f>
        <v>0</v>
      </c>
      <c r="D7641" s="89" t="str">
        <f>VLOOKUP(A7641,'Materiales '!$C$2:$G$396,4,0)</f>
        <v>-</v>
      </c>
      <c r="E7641" s="90"/>
      <c r="F7641" s="508" t="e">
        <f t="shared" si="446"/>
        <v>#VALUE!</v>
      </c>
      <c r="G7641" s="519"/>
      <c r="H7641" s="111"/>
      <c r="I7641">
        <f>E7641*G7620</f>
        <v>0</v>
      </c>
      <c r="J7641" s="58"/>
      <c r="K7641" s="50"/>
      <c r="L7641" s="50"/>
      <c r="M7641" s="50"/>
      <c r="N7641" s="50"/>
      <c r="O7641" s="50"/>
    </row>
    <row r="7642" spans="1:15">
      <c r="A7642" s="517" t="s">
        <v>8</v>
      </c>
      <c r="B7642" s="518">
        <f>VLOOKUP(A7642,'Materiales '!$C$2:$G$396,3,0)</f>
        <v>0</v>
      </c>
      <c r="C7642" s="88">
        <f>VLOOKUP(A7642,'Materiales '!$C$2:$G$396,3,0)</f>
        <v>0</v>
      </c>
      <c r="D7642" s="89" t="str">
        <f>VLOOKUP(A7642,'Materiales '!$C$2:$G$396,4,0)</f>
        <v>-</v>
      </c>
      <c r="E7642" s="90"/>
      <c r="F7642" s="508" t="e">
        <f t="shared" si="446"/>
        <v>#VALUE!</v>
      </c>
      <c r="G7642" s="519"/>
      <c r="H7642" s="111"/>
      <c r="I7642">
        <f>E7642*G7620</f>
        <v>0</v>
      </c>
      <c r="J7642" s="58"/>
      <c r="K7642" s="50"/>
      <c r="L7642" s="50"/>
      <c r="M7642" s="50"/>
      <c r="N7642" s="50"/>
      <c r="O7642" s="50"/>
    </row>
    <row r="7643" spans="1:15">
      <c r="A7643" s="517" t="s">
        <v>8</v>
      </c>
      <c r="B7643" s="518">
        <f>VLOOKUP(A7643,'Materiales '!$C$2:$G$396,3,0)</f>
        <v>0</v>
      </c>
      <c r="C7643" s="88">
        <f>VLOOKUP(A7643,'Materiales '!$C$2:$G$396,3,0)</f>
        <v>0</v>
      </c>
      <c r="D7643" s="89" t="str">
        <f>VLOOKUP(A7643,'Materiales '!$C$2:$G$396,4,0)</f>
        <v>-</v>
      </c>
      <c r="E7643" s="90"/>
      <c r="F7643" s="508" t="e">
        <f>E7643*D7643</f>
        <v>#VALUE!</v>
      </c>
      <c r="G7643" s="519"/>
      <c r="H7643" s="110"/>
      <c r="I7643">
        <f>E7643*G7620</f>
        <v>0</v>
      </c>
      <c r="J7643" s="58"/>
      <c r="K7643" s="50"/>
      <c r="L7643" s="50"/>
      <c r="M7643" s="50"/>
      <c r="N7643" s="50"/>
      <c r="O7643" s="50"/>
    </row>
    <row r="7644" spans="1:15">
      <c r="A7644" s="520" t="s">
        <v>4098</v>
      </c>
      <c r="B7644" s="521"/>
      <c r="C7644" s="521"/>
      <c r="D7644" s="521"/>
      <c r="E7644" s="521"/>
      <c r="F7644" s="521"/>
      <c r="G7644" s="522"/>
      <c r="H7644" s="106" t="e">
        <f>SUM(F7630:F7643)</f>
        <v>#VALUE!</v>
      </c>
      <c r="J7644" s="58"/>
      <c r="K7644" s="50"/>
      <c r="L7644" s="50"/>
      <c r="M7644" s="50"/>
      <c r="N7644" s="50"/>
      <c r="O7644" s="50"/>
    </row>
    <row r="7645" spans="1:15">
      <c r="A7645" s="523" t="s">
        <v>4220</v>
      </c>
      <c r="B7645" s="524"/>
      <c r="C7645" s="524"/>
      <c r="D7645" s="524"/>
      <c r="E7645" s="525"/>
      <c r="F7645" s="524"/>
      <c r="G7645" s="524"/>
      <c r="H7645" s="526"/>
      <c r="J7645" s="58"/>
      <c r="K7645" s="50"/>
      <c r="L7645" s="50"/>
      <c r="M7645" s="50"/>
      <c r="N7645" s="50"/>
      <c r="O7645" s="50"/>
    </row>
    <row r="7646" spans="1:15">
      <c r="A7646" s="527" t="s">
        <v>7</v>
      </c>
      <c r="B7646" s="528"/>
      <c r="C7646" s="98" t="s">
        <v>4221</v>
      </c>
      <c r="D7646" s="97" t="s">
        <v>4222</v>
      </c>
      <c r="E7646" s="187" t="s">
        <v>4223</v>
      </c>
      <c r="F7646" s="529" t="s">
        <v>4207</v>
      </c>
      <c r="G7646" s="529"/>
      <c r="H7646" s="109"/>
      <c r="K7646" s="50"/>
      <c r="L7646" s="50"/>
      <c r="M7646" s="50"/>
      <c r="N7646" s="50"/>
      <c r="O7646" s="50"/>
    </row>
    <row r="7647" spans="1:15">
      <c r="A7647" s="506" t="s">
        <v>3928</v>
      </c>
      <c r="B7647" s="507"/>
      <c r="C7647" s="213">
        <v>1</v>
      </c>
      <c r="D7647" s="92">
        <v>5.0000000000000001E-3</v>
      </c>
      <c r="E7647" s="93" t="str">
        <f>VLOOKUP(A7647,'Equip, Herr y Transp'!$B$2:$E$217,3,0)</f>
        <v>TR</v>
      </c>
      <c r="F7647" s="530" t="e">
        <f>E7647*D7647*C7647</f>
        <v>#VALUE!</v>
      </c>
      <c r="G7647" s="531"/>
      <c r="H7647" s="107"/>
      <c r="M7647" s="50"/>
    </row>
    <row r="7648" spans="1:15">
      <c r="A7648" s="532" t="s">
        <v>4205</v>
      </c>
      <c r="B7648" s="533"/>
      <c r="C7648" s="533"/>
      <c r="D7648" s="533"/>
      <c r="E7648" s="533"/>
      <c r="F7648" s="533"/>
      <c r="G7648" s="533"/>
      <c r="H7648" s="95" t="e">
        <f>F7647</f>
        <v>#VALUE!</v>
      </c>
    </row>
    <row r="7649" spans="1:10">
      <c r="A7649" s="523" t="s">
        <v>4224</v>
      </c>
      <c r="B7649" s="524"/>
      <c r="C7649" s="524"/>
      <c r="D7649" s="524"/>
      <c r="E7649" s="524"/>
      <c r="F7649" s="524"/>
      <c r="G7649" s="524"/>
      <c r="H7649" s="526"/>
    </row>
    <row r="7650" spans="1:10">
      <c r="A7650" s="527" t="s">
        <v>7</v>
      </c>
      <c r="B7650" s="528"/>
      <c r="C7650" s="96" t="s">
        <v>1</v>
      </c>
      <c r="D7650" s="97" t="s">
        <v>4225</v>
      </c>
      <c r="E7650" s="98" t="s">
        <v>4204</v>
      </c>
      <c r="F7650" s="527" t="s">
        <v>5</v>
      </c>
      <c r="G7650" s="534"/>
      <c r="H7650" s="109"/>
    </row>
    <row r="7651" spans="1:10">
      <c r="A7651" s="506" t="s">
        <v>4191</v>
      </c>
      <c r="B7651" s="507"/>
      <c r="C7651" s="91">
        <v>1</v>
      </c>
      <c r="D7651" s="94">
        <f>VLOOKUP(A7651,'Mano Obra'!$B$2:$T$117,19,0)</f>
        <v>152456</v>
      </c>
      <c r="E7651" s="218">
        <f>H7613</f>
        <v>2.7099999999999999E-2</v>
      </c>
      <c r="F7651" s="508">
        <f>E7651*D7651*C7651</f>
        <v>4131.5576000000001</v>
      </c>
      <c r="G7651" s="509"/>
      <c r="H7651" s="111"/>
      <c r="I7651" s="59"/>
      <c r="J7651" s="117">
        <f>((('Mano Obra'!$M$4/30)*F7651)/D7651)*G7620</f>
        <v>0</v>
      </c>
    </row>
    <row r="7652" spans="1:10">
      <c r="A7652" s="510" t="s">
        <v>4192</v>
      </c>
      <c r="B7652" s="511">
        <f>VLOOKUP(A7652,'Mano Obra'!$B$3:$D$290,2,0)</f>
        <v>1900000</v>
      </c>
      <c r="C7652" s="91">
        <v>1</v>
      </c>
      <c r="D7652" s="94">
        <f>VLOOKUP(A7652,'Mano Obra'!$B$2:$T$117,19,0)</f>
        <v>110488</v>
      </c>
      <c r="E7652" s="218">
        <f>H7613</f>
        <v>2.7099999999999999E-2</v>
      </c>
      <c r="F7652" s="508">
        <f t="shared" ref="F7652:F7653" si="447">E7652*D7652*C7652</f>
        <v>2994.2248</v>
      </c>
      <c r="G7652" s="509"/>
      <c r="H7652" s="111"/>
      <c r="J7652" s="117">
        <f>((('Mano Obra'!$M$5/30)*F7652)/D7652)*G7620</f>
        <v>0</v>
      </c>
    </row>
    <row r="7653" spans="1:10">
      <c r="A7653" s="510" t="s">
        <v>4181</v>
      </c>
      <c r="B7653" s="511">
        <f>VLOOKUP(A7653,'Mano Obra'!$B$3:$D$290,2,0)</f>
        <v>1000000</v>
      </c>
      <c r="C7653" s="91">
        <v>1</v>
      </c>
      <c r="D7653" s="94">
        <f>VLOOKUP(A7653,'Mano Obra'!$B$2:$T$117,19,0)</f>
        <v>67424</v>
      </c>
      <c r="E7653" s="218">
        <f>H7613</f>
        <v>2.7099999999999999E-2</v>
      </c>
      <c r="F7653" s="508">
        <f t="shared" si="447"/>
        <v>1827.1904</v>
      </c>
      <c r="G7653" s="509"/>
      <c r="H7653" s="110"/>
      <c r="J7653" s="117">
        <f>((('Mano Obra'!$M$6/30)*F7653)/D7653)*G7620</f>
        <v>0</v>
      </c>
    </row>
    <row r="7654" spans="1:10">
      <c r="A7654" s="512" t="s">
        <v>4100</v>
      </c>
      <c r="B7654" s="512"/>
      <c r="C7654" s="512"/>
      <c r="D7654" s="512"/>
      <c r="E7654" s="512"/>
      <c r="F7654" s="512"/>
      <c r="G7654" s="512"/>
      <c r="H7654" s="95">
        <f>SUM(F7651:F7653)</f>
        <v>8952.9727999999996</v>
      </c>
      <c r="J7654" s="117"/>
    </row>
    <row r="7655" spans="1:10">
      <c r="A7655" s="208" t="s">
        <v>4226</v>
      </c>
      <c r="B7655" s="186"/>
      <c r="C7655" s="186"/>
      <c r="D7655" s="183"/>
      <c r="E7655" s="184"/>
      <c r="F7655" s="185"/>
      <c r="G7655" s="184"/>
      <c r="H7655" s="193"/>
    </row>
    <row r="7656" spans="1:10">
      <c r="A7656" s="513" t="s">
        <v>4213</v>
      </c>
      <c r="B7656" s="514"/>
      <c r="C7656" s="514"/>
      <c r="D7656" s="514"/>
      <c r="E7656" s="181"/>
      <c r="F7656" s="182" t="s">
        <v>4227</v>
      </c>
      <c r="G7656" s="181" t="s">
        <v>4228</v>
      </c>
      <c r="H7656" s="194"/>
    </row>
    <row r="7657" spans="1:10">
      <c r="A7657" s="204" t="s">
        <v>4096</v>
      </c>
      <c r="B7657" s="62"/>
      <c r="C7657" s="62"/>
      <c r="D7657" s="63"/>
      <c r="E7657" s="68"/>
      <c r="F7657" s="69">
        <v>0</v>
      </c>
      <c r="G7657" s="70" t="e">
        <f>F7657*H7621</f>
        <v>#VALUE!</v>
      </c>
      <c r="H7657" s="193"/>
    </row>
    <row r="7658" spans="1:10">
      <c r="A7658" s="205" t="s">
        <v>4229</v>
      </c>
      <c r="B7658" s="71"/>
      <c r="C7658" s="71"/>
      <c r="D7658" s="72"/>
      <c r="E7658" s="68"/>
      <c r="F7658" s="69">
        <v>0</v>
      </c>
      <c r="G7658" s="70" t="e">
        <f>F7658*H7621</f>
        <v>#VALUE!</v>
      </c>
      <c r="H7658" s="193"/>
    </row>
    <row r="7659" spans="1:10">
      <c r="A7659" s="205" t="s">
        <v>4</v>
      </c>
      <c r="B7659" s="71"/>
      <c r="C7659" s="71"/>
      <c r="D7659" s="72"/>
      <c r="E7659" s="68"/>
      <c r="F7659" s="69">
        <v>0</v>
      </c>
      <c r="G7659" s="70" t="e">
        <f>F7659*H7621</f>
        <v>#VALUE!</v>
      </c>
      <c r="H7659" s="193"/>
    </row>
    <row r="7660" spans="1:10">
      <c r="A7660" s="206"/>
      <c r="B7660" s="73"/>
      <c r="C7660" s="65"/>
      <c r="D7660" s="74"/>
      <c r="E7660" s="75"/>
      <c r="F7660" s="76"/>
      <c r="G7660" s="77"/>
      <c r="H7660" s="195"/>
    </row>
    <row r="7661" spans="1:10">
      <c r="A7661" s="207"/>
      <c r="B7661" s="73"/>
      <c r="C7661" s="73"/>
      <c r="D7661" s="74"/>
      <c r="E7661" s="78"/>
      <c r="F7661" s="515" t="s">
        <v>4230</v>
      </c>
      <c r="G7661" s="516"/>
      <c r="H7661" s="214" t="e">
        <f>H7621+G7657+G7658+G7659</f>
        <v>#VALUE!</v>
      </c>
    </row>
    <row r="7663" spans="1:10">
      <c r="A7663" s="80"/>
      <c r="B7663" s="80"/>
      <c r="C7663" s="80"/>
      <c r="D7663" s="80"/>
      <c r="E7663" s="80"/>
      <c r="F7663" s="80"/>
      <c r="G7663" s="80"/>
      <c r="H7663" s="353"/>
    </row>
    <row r="7664" spans="1:10">
      <c r="A7664" s="537" t="s">
        <v>4214</v>
      </c>
      <c r="B7664" s="538"/>
      <c r="C7664" s="538"/>
      <c r="D7664" s="538"/>
      <c r="E7664" s="538"/>
      <c r="F7664" s="538"/>
      <c r="G7664" s="538"/>
      <c r="H7664" s="539"/>
    </row>
    <row r="7665" spans="1:15">
      <c r="A7665" s="81"/>
      <c r="B7665" s="82"/>
      <c r="C7665" s="82"/>
      <c r="D7665" s="82"/>
      <c r="E7665" s="82"/>
      <c r="F7665" s="83"/>
      <c r="G7665" s="84"/>
      <c r="H7665" s="352">
        <f>ROUND((13/60)/8,4)</f>
        <v>2.7099999999999999E-2</v>
      </c>
      <c r="I7665" s="105"/>
    </row>
    <row r="7666" spans="1:15">
      <c r="A7666" s="540" t="s">
        <v>4209</v>
      </c>
      <c r="B7666" s="542" t="str">
        <f>COSTOS!$C$14</f>
        <v>MODERNIZACION A TECNOLOGIA LED</v>
      </c>
      <c r="C7666" s="542"/>
      <c r="D7666" s="542"/>
      <c r="E7666" s="542"/>
      <c r="F7666" s="542"/>
      <c r="G7666" s="542"/>
      <c r="H7666" s="543" t="s">
        <v>4210</v>
      </c>
    </row>
    <row r="7667" spans="1:15">
      <c r="A7667" s="541"/>
      <c r="B7667" s="542"/>
      <c r="C7667" s="542"/>
      <c r="D7667" s="542"/>
      <c r="E7667" s="542"/>
      <c r="F7667" s="542"/>
      <c r="G7667" s="542"/>
      <c r="H7667" s="543"/>
    </row>
    <row r="7668" spans="1:15">
      <c r="A7668" s="541"/>
      <c r="B7668" s="542"/>
      <c r="C7668" s="542"/>
      <c r="D7668" s="542"/>
      <c r="E7668" s="542"/>
      <c r="F7668" s="542"/>
      <c r="G7668" s="542"/>
      <c r="H7668" s="543"/>
    </row>
    <row r="7669" spans="1:15" ht="15" customHeight="1">
      <c r="A7669" s="541"/>
      <c r="B7669" s="542"/>
      <c r="C7669" s="542"/>
      <c r="D7669" s="542"/>
      <c r="E7669" s="542"/>
      <c r="F7669" s="542"/>
      <c r="G7669" s="542"/>
      <c r="H7669" s="197">
        <f ca="1">TODAY()</f>
        <v>44889</v>
      </c>
      <c r="K7669" t="s">
        <v>4380</v>
      </c>
      <c r="L7669" t="s">
        <v>4381</v>
      </c>
      <c r="M7669" t="s">
        <v>4382</v>
      </c>
      <c r="N7669" t="s">
        <v>4383</v>
      </c>
    </row>
    <row r="7670" spans="1:15" ht="60.75" customHeight="1">
      <c r="A7670" s="209" t="s">
        <v>4211</v>
      </c>
      <c r="B7670" s="544" t="str">
        <f>COSTOS!$D$16</f>
        <v>Luminarias</v>
      </c>
      <c r="C7670" s="544"/>
      <c r="D7670" s="544"/>
      <c r="E7670" s="544"/>
      <c r="F7670" s="544"/>
      <c r="G7670" s="60" t="s">
        <v>4212</v>
      </c>
      <c r="H7670" s="363">
        <v>3.38</v>
      </c>
      <c r="K7670" s="55" t="e">
        <f>H7696</f>
        <v>#VALUE!</v>
      </c>
      <c r="L7670" s="55">
        <f>H7706</f>
        <v>8952.9727999999996</v>
      </c>
      <c r="M7670" s="55" t="e">
        <f>H7679</f>
        <v>#VALUE!</v>
      </c>
      <c r="N7670" s="55" t="e">
        <f>H7700</f>
        <v>#VALUE!</v>
      </c>
    </row>
    <row r="7671" spans="1:15" ht="43.2" customHeight="1">
      <c r="A7671" s="210" t="s">
        <v>4213</v>
      </c>
      <c r="B7671" s="545" t="str">
        <f>VLOOKUP(H7670,COSTOS!C:M,2,0)</f>
        <v>Red Aerea 3x4/0+4/0 AWG AL x 500m</v>
      </c>
      <c r="C7671" s="546"/>
      <c r="D7671" s="546"/>
      <c r="E7671" s="547"/>
      <c r="F7671" s="61" t="s">
        <v>0</v>
      </c>
      <c r="G7671" s="328" t="str">
        <f>VLOOKUP(H7670,COSTOS!C:M,8,0)</f>
        <v>Und</v>
      </c>
      <c r="H7671" s="248"/>
      <c r="I7671" s="278"/>
      <c r="J7671" s="280"/>
      <c r="K7671" s="280"/>
      <c r="L7671" s="280"/>
    </row>
    <row r="7672" spans="1:15">
      <c r="A7672" s="211"/>
      <c r="B7672" s="102"/>
      <c r="C7672" s="102"/>
      <c r="D7672" s="102"/>
      <c r="E7672" s="103"/>
      <c r="F7672" s="104" t="s">
        <v>1</v>
      </c>
      <c r="G7672" s="328">
        <f>VLOOKUP(H7670,COSTOS!C:M,9,0)</f>
        <v>0</v>
      </c>
      <c r="H7672" s="329"/>
      <c r="I7672" s="279"/>
    </row>
    <row r="7673" spans="1:15">
      <c r="A7673" s="212" t="s">
        <v>4215</v>
      </c>
      <c r="B7673" s="65"/>
      <c r="C7673" s="65"/>
      <c r="D7673" s="66"/>
      <c r="E7673" s="190"/>
      <c r="F7673" s="191"/>
      <c r="G7673" s="192" t="s">
        <v>4216</v>
      </c>
      <c r="H7673" s="198" t="e">
        <f>H7679+H7696+H7700+H7706</f>
        <v>#VALUE!</v>
      </c>
    </row>
    <row r="7674" spans="1:15" ht="41.4">
      <c r="A7674" s="548" t="s">
        <v>4213</v>
      </c>
      <c r="B7674" s="548"/>
      <c r="C7674" s="548"/>
      <c r="D7674" s="67" t="s">
        <v>0</v>
      </c>
      <c r="E7674" s="188" t="s">
        <v>4217</v>
      </c>
      <c r="F7674" s="189" t="s">
        <v>4204</v>
      </c>
      <c r="G7674" s="64" t="s">
        <v>2</v>
      </c>
      <c r="H7674" s="199" t="s">
        <v>4218</v>
      </c>
      <c r="K7674" s="281"/>
    </row>
    <row r="7675" spans="1:15">
      <c r="A7675" s="517" t="s">
        <v>3946</v>
      </c>
      <c r="B7675" s="549">
        <f>VLOOKUP(A7675,'Equip, Herr y Transp'!$B$2:$E$738,2,0)</f>
        <v>2</v>
      </c>
      <c r="C7675" s="549"/>
      <c r="D7675" s="85">
        <f>VLOOKUP(A7675,'Equip, Herr y Transp'!$B$2:$E$217,2,0)</f>
        <v>2</v>
      </c>
      <c r="E7675" s="85" t="str">
        <f>VLOOKUP(A7675,'Equip, Herr y Transp'!$B$2:$E$217,3,0)</f>
        <v>EQU</v>
      </c>
      <c r="F7675" s="86">
        <f>H7665</f>
        <v>2.7099999999999999E-2</v>
      </c>
      <c r="G7675" s="112" t="e">
        <f>F7675*E7675</f>
        <v>#VALUE!</v>
      </c>
      <c r="H7675" s="108"/>
    </row>
    <row r="7676" spans="1:15">
      <c r="A7676" s="517" t="s">
        <v>3904</v>
      </c>
      <c r="B7676" s="549">
        <f>VLOOKUP(A7676,'Equip, Herr y Transp'!$B$2:$E$738,2,0)</f>
        <v>2</v>
      </c>
      <c r="C7676" s="549"/>
      <c r="D7676" s="85">
        <f>VLOOKUP(A7676,'Equip, Herr y Transp'!$B$2:$E$217,2,0)</f>
        <v>2</v>
      </c>
      <c r="E7676" s="85" t="str">
        <f>VLOOKUP(A7676,'Equip, Herr y Transp'!$B$2:$E$217,3,0)</f>
        <v>EQU</v>
      </c>
      <c r="F7676" s="86">
        <f>H7665</f>
        <v>2.7099999999999999E-2</v>
      </c>
      <c r="G7676" s="112" t="e">
        <f>F7676*E7676</f>
        <v>#VALUE!</v>
      </c>
      <c r="H7676" s="107"/>
    </row>
    <row r="7677" spans="1:15">
      <c r="A7677" s="517" t="s">
        <v>8</v>
      </c>
      <c r="B7677" s="549" t="e">
        <f>VLOOKUP(A7677,'Equip, Herr y Transp'!$B$2:$E$738,2,0)</f>
        <v>#N/A</v>
      </c>
      <c r="C7677" s="549"/>
      <c r="D7677" s="85" t="e">
        <f>VLOOKUP(A7677,'Equip, Herr y Transp'!$B$2:$E$217,2,0)</f>
        <v>#N/A</v>
      </c>
      <c r="E7677" s="85" t="e">
        <f>VLOOKUP(A7677,'Equip, Herr y Transp'!$B$2:$E$217,3,0)</f>
        <v>#N/A</v>
      </c>
      <c r="F7677" s="86">
        <f>H7665</f>
        <v>2.7099999999999999E-2</v>
      </c>
      <c r="G7677" s="112" t="e">
        <f>F7677*E7677</f>
        <v>#N/A</v>
      </c>
      <c r="H7677" s="107"/>
    </row>
    <row r="7678" spans="1:15">
      <c r="A7678" s="517" t="s">
        <v>8</v>
      </c>
      <c r="B7678" s="549" t="e">
        <f>VLOOKUP(A7678,'Equip, Herr y Transp'!$B$2:$E$738,2,0)</f>
        <v>#N/A</v>
      </c>
      <c r="C7678" s="549"/>
      <c r="D7678" s="85" t="e">
        <f>VLOOKUP(A7678,'Equip, Herr y Transp'!$B$2:$E$217,2,0)</f>
        <v>#N/A</v>
      </c>
      <c r="E7678" s="85" t="e">
        <f>VLOOKUP(A7678,'Equip, Herr y Transp'!$B$2:$E$217,3,0)</f>
        <v>#N/A</v>
      </c>
      <c r="F7678" s="86">
        <f>H7665</f>
        <v>2.7099999999999999E-2</v>
      </c>
      <c r="G7678" s="112" t="e">
        <f>F7678*E7678</f>
        <v>#N/A</v>
      </c>
      <c r="H7678" s="107"/>
    </row>
    <row r="7679" spans="1:15">
      <c r="A7679" s="520" t="s">
        <v>4099</v>
      </c>
      <c r="B7679" s="521"/>
      <c r="C7679" s="521"/>
      <c r="D7679" s="521"/>
      <c r="E7679" s="521"/>
      <c r="F7679" s="521"/>
      <c r="G7679" s="521"/>
      <c r="H7679" s="87" t="e">
        <f>SUM(G7675:G7678)</f>
        <v>#VALUE!</v>
      </c>
    </row>
    <row r="7680" spans="1:15">
      <c r="A7680" s="550" t="s">
        <v>4219</v>
      </c>
      <c r="B7680" s="551"/>
      <c r="C7680" s="551"/>
      <c r="D7680" s="551"/>
      <c r="E7680" s="551"/>
      <c r="F7680" s="551"/>
      <c r="G7680" s="551"/>
      <c r="H7680" s="552"/>
      <c r="K7680" s="50"/>
      <c r="L7680" s="50"/>
      <c r="M7680" s="50"/>
      <c r="N7680" s="50"/>
      <c r="O7680" s="50"/>
    </row>
    <row r="7681" spans="1:15" ht="30" customHeight="1">
      <c r="A7681" s="553" t="s">
        <v>7</v>
      </c>
      <c r="B7681" s="554"/>
      <c r="C7681" s="99" t="s">
        <v>0</v>
      </c>
      <c r="D7681" s="100" t="s">
        <v>4097</v>
      </c>
      <c r="E7681" s="101" t="s">
        <v>1</v>
      </c>
      <c r="F7681" s="555" t="s">
        <v>4207</v>
      </c>
      <c r="G7681" s="555"/>
      <c r="H7681" s="196"/>
      <c r="K7681" s="50"/>
      <c r="L7681" s="50"/>
      <c r="M7681" s="50"/>
      <c r="N7681" s="50"/>
      <c r="O7681" s="50"/>
    </row>
    <row r="7682" spans="1:15">
      <c r="A7682" s="535" t="s">
        <v>4990</v>
      </c>
      <c r="B7682" s="536"/>
      <c r="C7682" s="88">
        <f>VLOOKUP(A7682,'Materiales '!$C$2:$G$396,3,0)</f>
        <v>2</v>
      </c>
      <c r="D7682" s="89" t="str">
        <f>VLOOKUP(A7682,'Materiales '!$C$2:$G$396,4,0)</f>
        <v>Ml</v>
      </c>
      <c r="E7682" s="90">
        <v>1</v>
      </c>
      <c r="F7682" s="508" t="e">
        <f>E7682*D7682</f>
        <v>#VALUE!</v>
      </c>
      <c r="G7682" s="519"/>
      <c r="H7682" s="111"/>
      <c r="I7682">
        <f>E7682*G7672</f>
        <v>0</v>
      </c>
      <c r="J7682" s="57"/>
      <c r="K7682" s="50"/>
      <c r="L7682" s="50"/>
      <c r="M7682" s="50"/>
      <c r="N7682" s="50"/>
      <c r="O7682" s="50"/>
    </row>
    <row r="7683" spans="1:15">
      <c r="A7683" s="535" t="s">
        <v>4406</v>
      </c>
      <c r="B7683" s="536"/>
      <c r="C7683" s="88">
        <f>VLOOKUP(A7683,'Materiales '!$C$2:$G$396,3,0)</f>
        <v>4</v>
      </c>
      <c r="D7683" s="89" t="str">
        <f>VLOOKUP(A7683,'Materiales '!$C$2:$G$396,4,0)</f>
        <v>Und</v>
      </c>
      <c r="E7683" s="90">
        <f>1/20</f>
        <v>0.05</v>
      </c>
      <c r="F7683" s="508" t="e">
        <f t="shared" ref="F7683:F7689" si="448">E7683*D7683</f>
        <v>#VALUE!</v>
      </c>
      <c r="G7683" s="519"/>
      <c r="H7683" s="111"/>
      <c r="I7683">
        <f>E7683*G7672</f>
        <v>0</v>
      </c>
      <c r="J7683" s="57"/>
      <c r="K7683" s="50"/>
      <c r="L7683" s="50"/>
      <c r="M7683" s="50"/>
      <c r="N7683" s="50"/>
      <c r="O7683" s="50"/>
    </row>
    <row r="7684" spans="1:15">
      <c r="A7684" s="517" t="s">
        <v>4542</v>
      </c>
      <c r="B7684" s="518">
        <f>VLOOKUP(A7684,'Materiales '!$C$2:$G$396,3,0)</f>
        <v>4</v>
      </c>
      <c r="C7684" s="88">
        <f>VLOOKUP(A7684,'Materiales '!$C$2:$G$396,3,0)</f>
        <v>4</v>
      </c>
      <c r="D7684" s="89" t="str">
        <f>VLOOKUP(A7684,'Materiales '!$C$2:$G$396,4,0)</f>
        <v>Und</v>
      </c>
      <c r="E7684" s="90">
        <f>1/20</f>
        <v>0.05</v>
      </c>
      <c r="F7684" s="508" t="e">
        <f t="shared" si="448"/>
        <v>#VALUE!</v>
      </c>
      <c r="G7684" s="519"/>
      <c r="H7684" s="111"/>
      <c r="I7684">
        <f>E7684*G7672</f>
        <v>0</v>
      </c>
      <c r="J7684" s="58"/>
      <c r="K7684" s="50"/>
      <c r="L7684" s="50"/>
      <c r="M7684" s="50"/>
      <c r="N7684" s="50"/>
      <c r="O7684" s="50"/>
    </row>
    <row r="7685" spans="1:15">
      <c r="A7685" s="517" t="s">
        <v>8</v>
      </c>
      <c r="B7685" s="518">
        <f>VLOOKUP(A7685,'Materiales '!$C$2:$G$396,3,0)</f>
        <v>0</v>
      </c>
      <c r="C7685" s="88">
        <f>VLOOKUP(A7685,'Materiales '!$C$2:$G$396,3,0)</f>
        <v>0</v>
      </c>
      <c r="D7685" s="89" t="str">
        <f>VLOOKUP(A7685,'Materiales '!$C$2:$G$396,4,0)</f>
        <v>-</v>
      </c>
      <c r="E7685" s="90"/>
      <c r="F7685" s="508" t="e">
        <f t="shared" si="448"/>
        <v>#VALUE!</v>
      </c>
      <c r="G7685" s="519"/>
      <c r="H7685" s="111"/>
      <c r="I7685">
        <f>E7685*G7672</f>
        <v>0</v>
      </c>
      <c r="J7685" s="58"/>
      <c r="K7685" s="50"/>
      <c r="L7685" s="50"/>
      <c r="M7685" s="50"/>
      <c r="N7685" s="50"/>
      <c r="O7685" s="50"/>
    </row>
    <row r="7686" spans="1:15">
      <c r="A7686" s="517" t="s">
        <v>8</v>
      </c>
      <c r="B7686" s="518">
        <f>VLOOKUP(A7686,'Materiales '!$C$2:$G$396,3,0)</f>
        <v>0</v>
      </c>
      <c r="C7686" s="88">
        <f>VLOOKUP(A7686,'Materiales '!$C$2:$G$396,3,0)</f>
        <v>0</v>
      </c>
      <c r="D7686" s="89" t="str">
        <f>VLOOKUP(A7686,'Materiales '!$C$2:$G$396,4,0)</f>
        <v>-</v>
      </c>
      <c r="E7686" s="90"/>
      <c r="F7686" s="508" t="e">
        <f t="shared" si="448"/>
        <v>#VALUE!</v>
      </c>
      <c r="G7686" s="519"/>
      <c r="H7686" s="111"/>
      <c r="I7686">
        <f>E7686*G7672</f>
        <v>0</v>
      </c>
      <c r="J7686" s="58"/>
      <c r="K7686" s="50"/>
      <c r="L7686" s="50"/>
      <c r="M7686" s="50"/>
      <c r="N7686" s="50"/>
      <c r="O7686" s="50"/>
    </row>
    <row r="7687" spans="1:15">
      <c r="A7687" s="517" t="s">
        <v>8</v>
      </c>
      <c r="B7687" s="518">
        <f>VLOOKUP(A7687,'Materiales '!$C$2:$G$396,3,0)</f>
        <v>0</v>
      </c>
      <c r="C7687" s="88">
        <f>VLOOKUP(A7687,'Materiales '!$C$2:$G$396,3,0)</f>
        <v>0</v>
      </c>
      <c r="D7687" s="89" t="str">
        <f>VLOOKUP(A7687,'Materiales '!$C$2:$G$396,4,0)</f>
        <v>-</v>
      </c>
      <c r="E7687" s="90"/>
      <c r="F7687" s="508" t="e">
        <f t="shared" si="448"/>
        <v>#VALUE!</v>
      </c>
      <c r="G7687" s="519"/>
      <c r="H7687" s="111"/>
      <c r="I7687">
        <f>E7687*G7672</f>
        <v>0</v>
      </c>
      <c r="J7687" s="58"/>
      <c r="K7687" s="50"/>
      <c r="L7687" s="50"/>
      <c r="M7687" s="50"/>
      <c r="N7687" s="50"/>
      <c r="O7687" s="50"/>
    </row>
    <row r="7688" spans="1:15">
      <c r="A7688" s="517" t="s">
        <v>8</v>
      </c>
      <c r="B7688" s="518">
        <f>VLOOKUP(A7688,'Materiales '!$C$2:$G$396,3,0)</f>
        <v>0</v>
      </c>
      <c r="C7688" s="88">
        <f>VLOOKUP(A7688,'Materiales '!$C$2:$G$396,3,0)</f>
        <v>0</v>
      </c>
      <c r="D7688" s="89" t="str">
        <f>VLOOKUP(A7688,'Materiales '!$C$2:$G$396,4,0)</f>
        <v>-</v>
      </c>
      <c r="E7688" s="90"/>
      <c r="F7688" s="508" t="e">
        <f t="shared" si="448"/>
        <v>#VALUE!</v>
      </c>
      <c r="G7688" s="519"/>
      <c r="H7688" s="111"/>
      <c r="I7688">
        <f>E7688*G7672</f>
        <v>0</v>
      </c>
      <c r="J7688" s="58"/>
      <c r="K7688" s="50"/>
      <c r="L7688" s="50"/>
      <c r="M7688" s="50"/>
      <c r="N7688" s="50"/>
      <c r="O7688" s="50"/>
    </row>
    <row r="7689" spans="1:15" ht="21.75" customHeight="1">
      <c r="A7689" s="517" t="s">
        <v>8</v>
      </c>
      <c r="B7689" s="518">
        <f>VLOOKUP(A7689,'Materiales '!$C$2:$G$396,3,0)</f>
        <v>0</v>
      </c>
      <c r="C7689" s="88">
        <f>VLOOKUP(A7689,'Materiales '!$C$2:$G$396,3,0)</f>
        <v>0</v>
      </c>
      <c r="D7689" s="89" t="str">
        <f>VLOOKUP(A7689,'Materiales '!$C$2:$G$396,4,0)</f>
        <v>-</v>
      </c>
      <c r="E7689" s="90"/>
      <c r="F7689" s="508" t="e">
        <f t="shared" si="448"/>
        <v>#VALUE!</v>
      </c>
      <c r="G7689" s="519"/>
      <c r="H7689" s="111"/>
      <c r="I7689">
        <f>E7689*G7672</f>
        <v>0</v>
      </c>
      <c r="J7689" s="58"/>
      <c r="K7689" s="50"/>
      <c r="L7689" s="50"/>
      <c r="M7689" s="50"/>
      <c r="N7689" s="50"/>
      <c r="O7689" s="50"/>
    </row>
    <row r="7690" spans="1:15">
      <c r="A7690" s="517" t="s">
        <v>8</v>
      </c>
      <c r="B7690" s="518">
        <f>VLOOKUP(A7690,'Materiales '!$C$2:$G$396,3,0)</f>
        <v>0</v>
      </c>
      <c r="C7690" s="88">
        <f>VLOOKUP(A7690,'Materiales '!$C$2:$G$396,3,0)</f>
        <v>0</v>
      </c>
      <c r="D7690" s="89" t="str">
        <f>VLOOKUP(A7690,'Materiales '!$C$2:$G$396,4,0)</f>
        <v>-</v>
      </c>
      <c r="E7690" s="90"/>
      <c r="F7690" s="508" t="e">
        <f>E7690*D7690</f>
        <v>#VALUE!</v>
      </c>
      <c r="G7690" s="519"/>
      <c r="H7690" s="110"/>
      <c r="I7690">
        <f>E7690*G7672</f>
        <v>0</v>
      </c>
      <c r="J7690" s="58"/>
      <c r="K7690" s="50"/>
      <c r="L7690" s="50"/>
      <c r="M7690" s="50"/>
      <c r="N7690" s="50"/>
      <c r="O7690" s="50"/>
    </row>
    <row r="7691" spans="1:15">
      <c r="A7691" s="517" t="s">
        <v>8</v>
      </c>
      <c r="B7691" s="518">
        <f>VLOOKUP(A7691,'Materiales '!$C$2:$G$396,3,0)</f>
        <v>0</v>
      </c>
      <c r="C7691" s="88">
        <f>VLOOKUP(A7691,'Materiales '!$C$2:$G$396,3,0)</f>
        <v>0</v>
      </c>
      <c r="D7691" s="89" t="str">
        <f>VLOOKUP(A7691,'Materiales '!$C$2:$G$396,4,0)</f>
        <v>-</v>
      </c>
      <c r="E7691" s="90"/>
      <c r="F7691" s="508" t="e">
        <f t="shared" ref="F7691:F7694" si="449">E7691*D7691</f>
        <v>#VALUE!</v>
      </c>
      <c r="G7691" s="519"/>
      <c r="H7691" s="111"/>
      <c r="I7691">
        <f>E7691*G7672</f>
        <v>0</v>
      </c>
      <c r="J7691" s="58"/>
      <c r="K7691" s="50"/>
      <c r="L7691" s="50"/>
      <c r="M7691" s="50"/>
      <c r="N7691" s="50"/>
      <c r="O7691" s="50"/>
    </row>
    <row r="7692" spans="1:15">
      <c r="A7692" s="517" t="s">
        <v>8</v>
      </c>
      <c r="B7692" s="518">
        <f>VLOOKUP(A7692,'Materiales '!$C$2:$G$396,3,0)</f>
        <v>0</v>
      </c>
      <c r="C7692" s="88">
        <f>VLOOKUP(A7692,'Materiales '!$C$2:$G$396,3,0)</f>
        <v>0</v>
      </c>
      <c r="D7692" s="89" t="str">
        <f>VLOOKUP(A7692,'Materiales '!$C$2:$G$396,4,0)</f>
        <v>-</v>
      </c>
      <c r="E7692" s="90"/>
      <c r="F7692" s="508" t="e">
        <f t="shared" si="449"/>
        <v>#VALUE!</v>
      </c>
      <c r="G7692" s="519"/>
      <c r="H7692" s="111"/>
      <c r="I7692">
        <f>E7692*G7672</f>
        <v>0</v>
      </c>
      <c r="J7692" s="58"/>
      <c r="K7692" s="50"/>
      <c r="L7692" s="50"/>
      <c r="M7692" s="50"/>
      <c r="N7692" s="50"/>
      <c r="O7692" s="50"/>
    </row>
    <row r="7693" spans="1:15">
      <c r="A7693" s="517" t="s">
        <v>8</v>
      </c>
      <c r="B7693" s="518">
        <f>VLOOKUP(A7693,'Materiales '!$C$2:$G$396,3,0)</f>
        <v>0</v>
      </c>
      <c r="C7693" s="88">
        <f>VLOOKUP(A7693,'Materiales '!$C$2:$G$396,3,0)</f>
        <v>0</v>
      </c>
      <c r="D7693" s="89" t="str">
        <f>VLOOKUP(A7693,'Materiales '!$C$2:$G$396,4,0)</f>
        <v>-</v>
      </c>
      <c r="E7693" s="90"/>
      <c r="F7693" s="508" t="e">
        <f t="shared" si="449"/>
        <v>#VALUE!</v>
      </c>
      <c r="G7693" s="519"/>
      <c r="H7693" s="111"/>
      <c r="I7693">
        <f>E7693*G7672</f>
        <v>0</v>
      </c>
      <c r="J7693" s="58"/>
      <c r="K7693" s="50"/>
      <c r="L7693" s="50"/>
      <c r="M7693" s="50"/>
      <c r="N7693" s="50"/>
      <c r="O7693" s="50"/>
    </row>
    <row r="7694" spans="1:15">
      <c r="A7694" s="517" t="s">
        <v>8</v>
      </c>
      <c r="B7694" s="518">
        <f>VLOOKUP(A7694,'Materiales '!$C$2:$G$396,3,0)</f>
        <v>0</v>
      </c>
      <c r="C7694" s="88">
        <f>VLOOKUP(A7694,'Materiales '!$C$2:$G$396,3,0)</f>
        <v>0</v>
      </c>
      <c r="D7694" s="89" t="str">
        <f>VLOOKUP(A7694,'Materiales '!$C$2:$G$396,4,0)</f>
        <v>-</v>
      </c>
      <c r="E7694" s="90"/>
      <c r="F7694" s="508" t="e">
        <f t="shared" si="449"/>
        <v>#VALUE!</v>
      </c>
      <c r="G7694" s="519"/>
      <c r="H7694" s="111"/>
      <c r="I7694">
        <f>E7694*G7672</f>
        <v>0</v>
      </c>
      <c r="J7694" s="58"/>
      <c r="K7694" s="50"/>
      <c r="L7694" s="50"/>
      <c r="M7694" s="50"/>
      <c r="N7694" s="50"/>
      <c r="O7694" s="50"/>
    </row>
    <row r="7695" spans="1:15">
      <c r="A7695" s="517" t="s">
        <v>8</v>
      </c>
      <c r="B7695" s="518">
        <f>VLOOKUP(A7695,'Materiales '!$C$2:$G$396,3,0)</f>
        <v>0</v>
      </c>
      <c r="C7695" s="88">
        <f>VLOOKUP(A7695,'Materiales '!$C$2:$G$396,3,0)</f>
        <v>0</v>
      </c>
      <c r="D7695" s="89" t="str">
        <f>VLOOKUP(A7695,'Materiales '!$C$2:$G$396,4,0)</f>
        <v>-</v>
      </c>
      <c r="E7695" s="90"/>
      <c r="F7695" s="508" t="e">
        <f>E7695*D7695</f>
        <v>#VALUE!</v>
      </c>
      <c r="G7695" s="519"/>
      <c r="H7695" s="110"/>
      <c r="I7695">
        <f>E7695*G7672</f>
        <v>0</v>
      </c>
      <c r="J7695" s="58"/>
      <c r="K7695" s="50"/>
      <c r="L7695" s="50"/>
      <c r="M7695" s="50"/>
      <c r="N7695" s="50"/>
      <c r="O7695" s="50"/>
    </row>
    <row r="7696" spans="1:15">
      <c r="A7696" s="520" t="s">
        <v>4098</v>
      </c>
      <c r="B7696" s="521"/>
      <c r="C7696" s="521"/>
      <c r="D7696" s="521"/>
      <c r="E7696" s="521"/>
      <c r="F7696" s="521"/>
      <c r="G7696" s="522"/>
      <c r="H7696" s="106" t="e">
        <f>SUM(F7682:F7695)</f>
        <v>#VALUE!</v>
      </c>
      <c r="J7696" s="58"/>
      <c r="K7696" s="50"/>
      <c r="L7696" s="50"/>
      <c r="M7696" s="50"/>
      <c r="N7696" s="50"/>
      <c r="O7696" s="50"/>
    </row>
    <row r="7697" spans="1:15">
      <c r="A7697" s="523" t="s">
        <v>4220</v>
      </c>
      <c r="B7697" s="524"/>
      <c r="C7697" s="524"/>
      <c r="D7697" s="524"/>
      <c r="E7697" s="525"/>
      <c r="F7697" s="524"/>
      <c r="G7697" s="524"/>
      <c r="H7697" s="526"/>
      <c r="J7697" s="58"/>
      <c r="K7697" s="50"/>
      <c r="L7697" s="50"/>
      <c r="M7697" s="50"/>
      <c r="N7697" s="50"/>
      <c r="O7697" s="50"/>
    </row>
    <row r="7698" spans="1:15">
      <c r="A7698" s="527" t="s">
        <v>7</v>
      </c>
      <c r="B7698" s="528"/>
      <c r="C7698" s="98" t="s">
        <v>4221</v>
      </c>
      <c r="D7698" s="97" t="s">
        <v>4222</v>
      </c>
      <c r="E7698" s="187" t="s">
        <v>4223</v>
      </c>
      <c r="F7698" s="529" t="s">
        <v>4207</v>
      </c>
      <c r="G7698" s="529"/>
      <c r="H7698" s="109"/>
      <c r="K7698" s="50"/>
      <c r="L7698" s="50"/>
      <c r="M7698" s="50"/>
      <c r="N7698" s="50"/>
      <c r="O7698" s="50"/>
    </row>
    <row r="7699" spans="1:15">
      <c r="A7699" s="506" t="s">
        <v>3928</v>
      </c>
      <c r="B7699" s="507"/>
      <c r="C7699" s="213">
        <v>1</v>
      </c>
      <c r="D7699" s="92">
        <v>5.0000000000000001E-3</v>
      </c>
      <c r="E7699" s="93" t="str">
        <f>VLOOKUP(A7699,'Equip, Herr y Transp'!$B$2:$E$217,3,0)</f>
        <v>TR</v>
      </c>
      <c r="F7699" s="530" t="e">
        <f>E7699*D7699*C7699</f>
        <v>#VALUE!</v>
      </c>
      <c r="G7699" s="531"/>
      <c r="H7699" s="107"/>
      <c r="M7699" s="50"/>
    </row>
    <row r="7700" spans="1:15">
      <c r="A7700" s="532" t="s">
        <v>4205</v>
      </c>
      <c r="B7700" s="533"/>
      <c r="C7700" s="533"/>
      <c r="D7700" s="533"/>
      <c r="E7700" s="533"/>
      <c r="F7700" s="533"/>
      <c r="G7700" s="533"/>
      <c r="H7700" s="95" t="e">
        <f>F7699</f>
        <v>#VALUE!</v>
      </c>
    </row>
    <row r="7701" spans="1:15">
      <c r="A7701" s="523" t="s">
        <v>4224</v>
      </c>
      <c r="B7701" s="524"/>
      <c r="C7701" s="524"/>
      <c r="D7701" s="524"/>
      <c r="E7701" s="524"/>
      <c r="F7701" s="524"/>
      <c r="G7701" s="524"/>
      <c r="H7701" s="526"/>
    </row>
    <row r="7702" spans="1:15">
      <c r="A7702" s="527" t="s">
        <v>7</v>
      </c>
      <c r="B7702" s="528"/>
      <c r="C7702" s="96" t="s">
        <v>1</v>
      </c>
      <c r="D7702" s="97" t="s">
        <v>4225</v>
      </c>
      <c r="E7702" s="98" t="s">
        <v>4204</v>
      </c>
      <c r="F7702" s="527" t="s">
        <v>5</v>
      </c>
      <c r="G7702" s="534"/>
      <c r="H7702" s="109"/>
    </row>
    <row r="7703" spans="1:15">
      <c r="A7703" s="506" t="s">
        <v>4191</v>
      </c>
      <c r="B7703" s="507"/>
      <c r="C7703" s="91">
        <v>1</v>
      </c>
      <c r="D7703" s="94">
        <f>VLOOKUP(A7703,'Mano Obra'!$B$2:$T$117,19,0)</f>
        <v>152456</v>
      </c>
      <c r="E7703" s="218">
        <f>H7665</f>
        <v>2.7099999999999999E-2</v>
      </c>
      <c r="F7703" s="508">
        <f>E7703*D7703*C7703</f>
        <v>4131.5576000000001</v>
      </c>
      <c r="G7703" s="509"/>
      <c r="H7703" s="111"/>
      <c r="I7703" s="59"/>
      <c r="J7703" s="117">
        <f>((('Mano Obra'!$M$4/30)*F7703)/D7703)*G7672</f>
        <v>0</v>
      </c>
    </row>
    <row r="7704" spans="1:15">
      <c r="A7704" s="510" t="s">
        <v>4192</v>
      </c>
      <c r="B7704" s="511">
        <f>VLOOKUP(A7704,'Mano Obra'!$B$3:$D$290,2,0)</f>
        <v>1900000</v>
      </c>
      <c r="C7704" s="91">
        <v>1</v>
      </c>
      <c r="D7704" s="94">
        <f>VLOOKUP(A7704,'Mano Obra'!$B$2:$T$117,19,0)</f>
        <v>110488</v>
      </c>
      <c r="E7704" s="218">
        <f>H7665</f>
        <v>2.7099999999999999E-2</v>
      </c>
      <c r="F7704" s="508">
        <f t="shared" ref="F7704:F7705" si="450">E7704*D7704*C7704</f>
        <v>2994.2248</v>
      </c>
      <c r="G7704" s="509"/>
      <c r="H7704" s="111"/>
      <c r="J7704" s="117">
        <f>((('Mano Obra'!$M$5/30)*F7704)/D7704)*G7672</f>
        <v>0</v>
      </c>
    </row>
    <row r="7705" spans="1:15">
      <c r="A7705" s="510" t="s">
        <v>4181</v>
      </c>
      <c r="B7705" s="511">
        <f>VLOOKUP(A7705,'Mano Obra'!$B$3:$D$290,2,0)</f>
        <v>1000000</v>
      </c>
      <c r="C7705" s="91">
        <v>1</v>
      </c>
      <c r="D7705" s="94">
        <f>VLOOKUP(A7705,'Mano Obra'!$B$2:$T$117,19,0)</f>
        <v>67424</v>
      </c>
      <c r="E7705" s="218">
        <f>H7665</f>
        <v>2.7099999999999999E-2</v>
      </c>
      <c r="F7705" s="508">
        <f t="shared" si="450"/>
        <v>1827.1904</v>
      </c>
      <c r="G7705" s="509"/>
      <c r="H7705" s="110"/>
      <c r="J7705" s="117">
        <f>((('Mano Obra'!$M$6/30)*F7705)/D7705)*G7672</f>
        <v>0</v>
      </c>
    </row>
    <row r="7706" spans="1:15">
      <c r="A7706" s="512" t="s">
        <v>4100</v>
      </c>
      <c r="B7706" s="512"/>
      <c r="C7706" s="512"/>
      <c r="D7706" s="512"/>
      <c r="E7706" s="512"/>
      <c r="F7706" s="512"/>
      <c r="G7706" s="512"/>
      <c r="H7706" s="95">
        <f>SUM(F7703:F7705)</f>
        <v>8952.9727999999996</v>
      </c>
      <c r="J7706" s="117"/>
    </row>
    <row r="7707" spans="1:15">
      <c r="A7707" s="208" t="s">
        <v>4226</v>
      </c>
      <c r="B7707" s="186"/>
      <c r="C7707" s="186"/>
      <c r="D7707" s="183"/>
      <c r="E7707" s="184"/>
      <c r="F7707" s="185"/>
      <c r="G7707" s="184"/>
      <c r="H7707" s="193"/>
    </row>
    <row r="7708" spans="1:15">
      <c r="A7708" s="513" t="s">
        <v>4213</v>
      </c>
      <c r="B7708" s="514"/>
      <c r="C7708" s="514"/>
      <c r="D7708" s="514"/>
      <c r="E7708" s="181"/>
      <c r="F7708" s="182" t="s">
        <v>4227</v>
      </c>
      <c r="G7708" s="181" t="s">
        <v>4228</v>
      </c>
      <c r="H7708" s="194"/>
    </row>
    <row r="7709" spans="1:15">
      <c r="A7709" s="204" t="s">
        <v>4096</v>
      </c>
      <c r="B7709" s="62"/>
      <c r="C7709" s="62"/>
      <c r="D7709" s="63"/>
      <c r="E7709" s="68"/>
      <c r="F7709" s="69">
        <v>0</v>
      </c>
      <c r="G7709" s="70" t="e">
        <f>F7709*H7673</f>
        <v>#VALUE!</v>
      </c>
      <c r="H7709" s="193"/>
    </row>
    <row r="7710" spans="1:15">
      <c r="A7710" s="205" t="s">
        <v>4229</v>
      </c>
      <c r="B7710" s="71"/>
      <c r="C7710" s="71"/>
      <c r="D7710" s="72"/>
      <c r="E7710" s="68"/>
      <c r="F7710" s="69">
        <v>0</v>
      </c>
      <c r="G7710" s="70" t="e">
        <f>F7710*H7673</f>
        <v>#VALUE!</v>
      </c>
      <c r="H7710" s="193"/>
    </row>
    <row r="7711" spans="1:15">
      <c r="A7711" s="205" t="s">
        <v>4</v>
      </c>
      <c r="B7711" s="71"/>
      <c r="C7711" s="71"/>
      <c r="D7711" s="72"/>
      <c r="E7711" s="68"/>
      <c r="F7711" s="69">
        <v>0</v>
      </c>
      <c r="G7711" s="70" t="e">
        <f>F7711*H7673</f>
        <v>#VALUE!</v>
      </c>
      <c r="H7711" s="193"/>
    </row>
    <row r="7712" spans="1:15">
      <c r="A7712" s="206"/>
      <c r="B7712" s="73"/>
      <c r="C7712" s="65"/>
      <c r="D7712" s="74"/>
      <c r="E7712" s="75"/>
      <c r="F7712" s="76"/>
      <c r="G7712" s="77"/>
      <c r="H7712" s="195"/>
    </row>
    <row r="7713" spans="1:14">
      <c r="A7713" s="207"/>
      <c r="B7713" s="73"/>
      <c r="C7713" s="73"/>
      <c r="D7713" s="74"/>
      <c r="E7713" s="78"/>
      <c r="F7713" s="515" t="s">
        <v>4230</v>
      </c>
      <c r="G7713" s="516"/>
      <c r="H7713" s="214" t="e">
        <f>H7673+G7709+G7710+G7711</f>
        <v>#VALUE!</v>
      </c>
    </row>
    <row r="7715" spans="1:14">
      <c r="A7715" s="80"/>
      <c r="B7715" s="80"/>
      <c r="C7715" s="80"/>
      <c r="D7715" s="80"/>
      <c r="E7715" s="80"/>
      <c r="F7715" s="80"/>
      <c r="G7715" s="80"/>
      <c r="H7715" s="353"/>
    </row>
    <row r="7716" spans="1:14">
      <c r="A7716" s="537" t="s">
        <v>4214</v>
      </c>
      <c r="B7716" s="538"/>
      <c r="C7716" s="538"/>
      <c r="D7716" s="538"/>
      <c r="E7716" s="538"/>
      <c r="F7716" s="538"/>
      <c r="G7716" s="538"/>
      <c r="H7716" s="539"/>
    </row>
    <row r="7717" spans="1:14">
      <c r="A7717" s="81"/>
      <c r="B7717" s="82"/>
      <c r="C7717" s="82"/>
      <c r="D7717" s="82"/>
      <c r="E7717" s="82"/>
      <c r="F7717" s="83"/>
      <c r="G7717" s="84"/>
      <c r="H7717" s="352">
        <f>ROUND((7/60)/8,4)</f>
        <v>1.46E-2</v>
      </c>
      <c r="I7717" s="105"/>
    </row>
    <row r="7718" spans="1:14">
      <c r="A7718" s="540" t="s">
        <v>4209</v>
      </c>
      <c r="B7718" s="542" t="str">
        <f>COSTOS!$C$14</f>
        <v>MODERNIZACION A TECNOLOGIA LED</v>
      </c>
      <c r="C7718" s="542"/>
      <c r="D7718" s="542"/>
      <c r="E7718" s="542"/>
      <c r="F7718" s="542"/>
      <c r="G7718" s="542"/>
      <c r="H7718" s="543" t="s">
        <v>4210</v>
      </c>
    </row>
    <row r="7719" spans="1:14">
      <c r="A7719" s="541"/>
      <c r="B7719" s="542"/>
      <c r="C7719" s="542"/>
      <c r="D7719" s="542"/>
      <c r="E7719" s="542"/>
      <c r="F7719" s="542"/>
      <c r="G7719" s="542"/>
      <c r="H7719" s="543"/>
    </row>
    <row r="7720" spans="1:14">
      <c r="A7720" s="541"/>
      <c r="B7720" s="542"/>
      <c r="C7720" s="542"/>
      <c r="D7720" s="542"/>
      <c r="E7720" s="542"/>
      <c r="F7720" s="542"/>
      <c r="G7720" s="542"/>
      <c r="H7720" s="543"/>
    </row>
    <row r="7721" spans="1:14" ht="15" customHeight="1">
      <c r="A7721" s="541"/>
      <c r="B7721" s="542"/>
      <c r="C7721" s="542"/>
      <c r="D7721" s="542"/>
      <c r="E7721" s="542"/>
      <c r="F7721" s="542"/>
      <c r="G7721" s="542"/>
      <c r="H7721" s="197">
        <f ca="1">TODAY()</f>
        <v>44889</v>
      </c>
      <c r="K7721" t="s">
        <v>4380</v>
      </c>
      <c r="L7721" t="s">
        <v>4381</v>
      </c>
      <c r="M7721" t="s">
        <v>4382</v>
      </c>
      <c r="N7721" t="s">
        <v>4383</v>
      </c>
    </row>
    <row r="7722" spans="1:14" ht="60.75" customHeight="1">
      <c r="A7722" s="209" t="s">
        <v>4211</v>
      </c>
      <c r="B7722" s="544" t="str">
        <f>COSTOS!$D$16</f>
        <v>Luminarias</v>
      </c>
      <c r="C7722" s="544"/>
      <c r="D7722" s="544"/>
      <c r="E7722" s="544"/>
      <c r="F7722" s="544"/>
      <c r="G7722" s="60" t="s">
        <v>4212</v>
      </c>
      <c r="H7722" s="363">
        <v>3.39</v>
      </c>
      <c r="K7722" s="55" t="e">
        <f>H7748</f>
        <v>#VALUE!</v>
      </c>
      <c r="L7722" s="55">
        <f>H7758</f>
        <v>4823.3728000000001</v>
      </c>
      <c r="M7722" s="55" t="e">
        <f>H7731</f>
        <v>#VALUE!</v>
      </c>
      <c r="N7722" s="55" t="e">
        <f>H7752</f>
        <v>#VALUE!</v>
      </c>
    </row>
    <row r="7723" spans="1:14" ht="43.2" customHeight="1">
      <c r="A7723" s="210" t="s">
        <v>4213</v>
      </c>
      <c r="B7723" s="545" t="str">
        <f>VLOOKUP(H7722,COSTOS!C:M,2,0)</f>
        <v>Red subterránea con cable aislado de aluminio S8000 3 x 6AWG (2f+n) + 1 x 6AWG (t) x 500 MTS</v>
      </c>
      <c r="C7723" s="546"/>
      <c r="D7723" s="546"/>
      <c r="E7723" s="547"/>
      <c r="F7723" s="61" t="s">
        <v>0</v>
      </c>
      <c r="G7723" s="328" t="str">
        <f>VLOOKUP(H7722,COSTOS!C:M,8,0)</f>
        <v>Und</v>
      </c>
      <c r="H7723" s="248"/>
      <c r="I7723" s="278"/>
      <c r="J7723" s="280"/>
      <c r="K7723" s="280"/>
      <c r="L7723" s="280"/>
    </row>
    <row r="7724" spans="1:14">
      <c r="A7724" s="211"/>
      <c r="B7724" s="102"/>
      <c r="C7724" s="102"/>
      <c r="D7724" s="102"/>
      <c r="E7724" s="103"/>
      <c r="F7724" s="104" t="s">
        <v>1</v>
      </c>
      <c r="G7724" s="328">
        <f>VLOOKUP(H7722,COSTOS!C:M,9,0)</f>
        <v>0</v>
      </c>
      <c r="H7724" s="329"/>
      <c r="I7724" s="279"/>
    </row>
    <row r="7725" spans="1:14">
      <c r="A7725" s="212" t="s">
        <v>4215</v>
      </c>
      <c r="B7725" s="65"/>
      <c r="C7725" s="65"/>
      <c r="D7725" s="66"/>
      <c r="E7725" s="190"/>
      <c r="F7725" s="191"/>
      <c r="G7725" s="192" t="s">
        <v>4216</v>
      </c>
      <c r="H7725" s="198" t="e">
        <f>H7731+H7748+H7752+H7758</f>
        <v>#VALUE!</v>
      </c>
    </row>
    <row r="7726" spans="1:14" ht="41.4">
      <c r="A7726" s="548" t="s">
        <v>4213</v>
      </c>
      <c r="B7726" s="548"/>
      <c r="C7726" s="548"/>
      <c r="D7726" s="67" t="s">
        <v>0</v>
      </c>
      <c r="E7726" s="188" t="s">
        <v>4217</v>
      </c>
      <c r="F7726" s="189" t="s">
        <v>4204</v>
      </c>
      <c r="G7726" s="64" t="s">
        <v>2</v>
      </c>
      <c r="H7726" s="199" t="s">
        <v>4218</v>
      </c>
      <c r="K7726" s="281"/>
    </row>
    <row r="7727" spans="1:14">
      <c r="A7727" s="517" t="s">
        <v>3946</v>
      </c>
      <c r="B7727" s="549">
        <f>VLOOKUP(A7727,'Equip, Herr y Transp'!$B$2:$E$738,2,0)</f>
        <v>2</v>
      </c>
      <c r="C7727" s="549"/>
      <c r="D7727" s="85">
        <f>VLOOKUP(A7727,'Equip, Herr y Transp'!$B$2:$E$217,2,0)</f>
        <v>2</v>
      </c>
      <c r="E7727" s="85" t="str">
        <f>VLOOKUP(A7727,'Equip, Herr y Transp'!$B$2:$E$217,3,0)</f>
        <v>EQU</v>
      </c>
      <c r="F7727" s="86">
        <f>H7717</f>
        <v>1.46E-2</v>
      </c>
      <c r="G7727" s="112" t="e">
        <f>F7727*E7727</f>
        <v>#VALUE!</v>
      </c>
      <c r="H7727" s="108"/>
    </row>
    <row r="7728" spans="1:14">
      <c r="A7728" s="517" t="s">
        <v>3904</v>
      </c>
      <c r="B7728" s="549">
        <f>VLOOKUP(A7728,'Equip, Herr y Transp'!$B$2:$E$738,2,0)</f>
        <v>2</v>
      </c>
      <c r="C7728" s="549"/>
      <c r="D7728" s="85">
        <f>VLOOKUP(A7728,'Equip, Herr y Transp'!$B$2:$E$217,2,0)</f>
        <v>2</v>
      </c>
      <c r="E7728" s="85" t="str">
        <f>VLOOKUP(A7728,'Equip, Herr y Transp'!$B$2:$E$217,3,0)</f>
        <v>EQU</v>
      </c>
      <c r="F7728" s="86">
        <f>H7717</f>
        <v>1.46E-2</v>
      </c>
      <c r="G7728" s="112" t="e">
        <f>F7728*E7728</f>
        <v>#VALUE!</v>
      </c>
      <c r="H7728" s="107"/>
    </row>
    <row r="7729" spans="1:15">
      <c r="A7729" s="517" t="s">
        <v>8</v>
      </c>
      <c r="B7729" s="549" t="e">
        <f>VLOOKUP(A7729,'Equip, Herr y Transp'!$B$2:$E$738,2,0)</f>
        <v>#N/A</v>
      </c>
      <c r="C7729" s="549"/>
      <c r="D7729" s="85" t="e">
        <f>VLOOKUP(A7729,'Equip, Herr y Transp'!$B$2:$E$217,2,0)</f>
        <v>#N/A</v>
      </c>
      <c r="E7729" s="85" t="e">
        <f>VLOOKUP(A7729,'Equip, Herr y Transp'!$B$2:$E$217,3,0)</f>
        <v>#N/A</v>
      </c>
      <c r="F7729" s="86">
        <f>H7717</f>
        <v>1.46E-2</v>
      </c>
      <c r="G7729" s="112" t="e">
        <f>F7729*E7729</f>
        <v>#N/A</v>
      </c>
      <c r="H7729" s="107"/>
    </row>
    <row r="7730" spans="1:15">
      <c r="A7730" s="517" t="s">
        <v>8</v>
      </c>
      <c r="B7730" s="549" t="e">
        <f>VLOOKUP(A7730,'Equip, Herr y Transp'!$B$2:$E$738,2,0)</f>
        <v>#N/A</v>
      </c>
      <c r="C7730" s="549"/>
      <c r="D7730" s="85" t="e">
        <f>VLOOKUP(A7730,'Equip, Herr y Transp'!$B$2:$E$217,2,0)</f>
        <v>#N/A</v>
      </c>
      <c r="E7730" s="85" t="e">
        <f>VLOOKUP(A7730,'Equip, Herr y Transp'!$B$2:$E$217,3,0)</f>
        <v>#N/A</v>
      </c>
      <c r="F7730" s="86">
        <f>H7717</f>
        <v>1.46E-2</v>
      </c>
      <c r="G7730" s="112" t="e">
        <f>F7730*E7730</f>
        <v>#N/A</v>
      </c>
      <c r="H7730" s="107"/>
    </row>
    <row r="7731" spans="1:15">
      <c r="A7731" s="520" t="s">
        <v>4099</v>
      </c>
      <c r="B7731" s="521"/>
      <c r="C7731" s="521"/>
      <c r="D7731" s="521"/>
      <c r="E7731" s="521"/>
      <c r="F7731" s="521"/>
      <c r="G7731" s="521"/>
      <c r="H7731" s="87" t="e">
        <f>SUM(G7727:G7730)</f>
        <v>#VALUE!</v>
      </c>
    </row>
    <row r="7732" spans="1:15">
      <c r="A7732" s="550" t="s">
        <v>4219</v>
      </c>
      <c r="B7732" s="551"/>
      <c r="C7732" s="551"/>
      <c r="D7732" s="551"/>
      <c r="E7732" s="551"/>
      <c r="F7732" s="551"/>
      <c r="G7732" s="551"/>
      <c r="H7732" s="552"/>
      <c r="K7732" s="50"/>
      <c r="L7732" s="50"/>
      <c r="M7732" s="50"/>
      <c r="N7732" s="50"/>
      <c r="O7732" s="50"/>
    </row>
    <row r="7733" spans="1:15" ht="30" customHeight="1">
      <c r="A7733" s="553" t="s">
        <v>7</v>
      </c>
      <c r="B7733" s="554"/>
      <c r="C7733" s="99" t="s">
        <v>0</v>
      </c>
      <c r="D7733" s="100" t="s">
        <v>4097</v>
      </c>
      <c r="E7733" s="101" t="s">
        <v>1</v>
      </c>
      <c r="F7733" s="555" t="s">
        <v>4207</v>
      </c>
      <c r="G7733" s="555"/>
      <c r="H7733" s="196"/>
      <c r="K7733" s="50"/>
      <c r="L7733" s="50"/>
      <c r="M7733" s="50"/>
      <c r="N7733" s="50"/>
      <c r="O7733" s="50"/>
    </row>
    <row r="7734" spans="1:15">
      <c r="A7734" s="535" t="s">
        <v>4435</v>
      </c>
      <c r="B7734" s="536"/>
      <c r="C7734" s="88">
        <f>VLOOKUP(A7734,'Materiales '!$C$2:$G$396,3,0)</f>
        <v>2</v>
      </c>
      <c r="D7734" s="89" t="str">
        <f>VLOOKUP(A7734,'Materiales '!$C$2:$G$396,4,0)</f>
        <v>Ml</v>
      </c>
      <c r="E7734" s="90">
        <v>3</v>
      </c>
      <c r="F7734" s="508" t="e">
        <f>E7734*D7734</f>
        <v>#VALUE!</v>
      </c>
      <c r="G7734" s="519"/>
      <c r="H7734" s="111"/>
      <c r="I7734">
        <f>E7734*G7724</f>
        <v>0</v>
      </c>
      <c r="J7734" s="57"/>
      <c r="K7734" s="50"/>
      <c r="L7734" s="50"/>
      <c r="M7734" s="50"/>
      <c r="N7734" s="50"/>
      <c r="O7734" s="50"/>
    </row>
    <row r="7735" spans="1:15">
      <c r="A7735" s="535" t="s">
        <v>4458</v>
      </c>
      <c r="B7735" s="536"/>
      <c r="C7735" s="88">
        <f>VLOOKUP(A7735,'Materiales '!$C$2:$G$396,3,0)</f>
        <v>3</v>
      </c>
      <c r="D7735" s="89" t="str">
        <f>VLOOKUP(A7735,'Materiales '!$C$2:$G$396,4,0)</f>
        <v>Rollo</v>
      </c>
      <c r="E7735" s="90">
        <f>1/30</f>
        <v>3.3333333333333333E-2</v>
      </c>
      <c r="F7735" s="508" t="e">
        <f t="shared" ref="F7735:F7741" si="451">E7735*D7735</f>
        <v>#VALUE!</v>
      </c>
      <c r="G7735" s="519"/>
      <c r="H7735" s="111"/>
      <c r="I7735">
        <f>E7735*G7724</f>
        <v>0</v>
      </c>
      <c r="J7735" s="57"/>
      <c r="K7735" s="50"/>
      <c r="L7735" s="50"/>
      <c r="M7735" s="50"/>
      <c r="N7735" s="50"/>
      <c r="O7735" s="50"/>
    </row>
    <row r="7736" spans="1:15">
      <c r="A7736" s="517" t="s">
        <v>8</v>
      </c>
      <c r="B7736" s="518">
        <f>VLOOKUP(A7736,'Materiales '!$C$2:$G$396,3,0)</f>
        <v>0</v>
      </c>
      <c r="C7736" s="88">
        <f>VLOOKUP(A7736,'Materiales '!$C$2:$G$396,3,0)</f>
        <v>0</v>
      </c>
      <c r="D7736" s="89" t="str">
        <f>VLOOKUP(A7736,'Materiales '!$C$2:$G$396,4,0)</f>
        <v>-</v>
      </c>
      <c r="E7736" s="90">
        <f>3/25</f>
        <v>0.12</v>
      </c>
      <c r="F7736" s="508" t="e">
        <f t="shared" si="451"/>
        <v>#VALUE!</v>
      </c>
      <c r="G7736" s="519"/>
      <c r="H7736" s="111"/>
      <c r="I7736">
        <f>E7736*G7724</f>
        <v>0</v>
      </c>
      <c r="J7736" s="58"/>
      <c r="K7736" s="50"/>
      <c r="L7736" s="50"/>
      <c r="M7736" s="50"/>
      <c r="N7736" s="50"/>
      <c r="O7736" s="50"/>
    </row>
    <row r="7737" spans="1:15">
      <c r="A7737" s="517" t="s">
        <v>8</v>
      </c>
      <c r="B7737" s="518">
        <f>VLOOKUP(A7737,'Materiales '!$C$2:$G$396,3,0)</f>
        <v>0</v>
      </c>
      <c r="C7737" s="88">
        <f>VLOOKUP(A7737,'Materiales '!$C$2:$G$396,3,0)</f>
        <v>0</v>
      </c>
      <c r="D7737" s="89" t="str">
        <f>VLOOKUP(A7737,'Materiales '!$C$2:$G$396,4,0)</f>
        <v>-</v>
      </c>
      <c r="E7737" s="90"/>
      <c r="F7737" s="508" t="e">
        <f t="shared" si="451"/>
        <v>#VALUE!</v>
      </c>
      <c r="G7737" s="519"/>
      <c r="H7737" s="111"/>
      <c r="I7737">
        <f>E7737*G7724</f>
        <v>0</v>
      </c>
      <c r="J7737" s="58"/>
      <c r="K7737" s="50"/>
      <c r="L7737" s="50"/>
      <c r="M7737" s="50"/>
      <c r="N7737" s="50"/>
      <c r="O7737" s="50"/>
    </row>
    <row r="7738" spans="1:15">
      <c r="A7738" s="517" t="s">
        <v>8</v>
      </c>
      <c r="B7738" s="518">
        <f>VLOOKUP(A7738,'Materiales '!$C$2:$G$396,3,0)</f>
        <v>0</v>
      </c>
      <c r="C7738" s="88">
        <f>VLOOKUP(A7738,'Materiales '!$C$2:$G$396,3,0)</f>
        <v>0</v>
      </c>
      <c r="D7738" s="89" t="str">
        <f>VLOOKUP(A7738,'Materiales '!$C$2:$G$396,4,0)</f>
        <v>-</v>
      </c>
      <c r="E7738" s="90"/>
      <c r="F7738" s="508" t="e">
        <f t="shared" si="451"/>
        <v>#VALUE!</v>
      </c>
      <c r="G7738" s="519"/>
      <c r="H7738" s="111"/>
      <c r="I7738">
        <f>E7738*G7724</f>
        <v>0</v>
      </c>
      <c r="J7738" s="58"/>
      <c r="K7738" s="50"/>
      <c r="L7738" s="50"/>
      <c r="M7738" s="50"/>
      <c r="N7738" s="50"/>
      <c r="O7738" s="50"/>
    </row>
    <row r="7739" spans="1:15">
      <c r="A7739" s="517" t="s">
        <v>8</v>
      </c>
      <c r="B7739" s="518">
        <f>VLOOKUP(A7739,'Materiales '!$C$2:$G$396,3,0)</f>
        <v>0</v>
      </c>
      <c r="C7739" s="88">
        <f>VLOOKUP(A7739,'Materiales '!$C$2:$G$396,3,0)</f>
        <v>0</v>
      </c>
      <c r="D7739" s="89" t="str">
        <f>VLOOKUP(A7739,'Materiales '!$C$2:$G$396,4,0)</f>
        <v>-</v>
      </c>
      <c r="E7739" s="90"/>
      <c r="F7739" s="508" t="e">
        <f t="shared" si="451"/>
        <v>#VALUE!</v>
      </c>
      <c r="G7739" s="519"/>
      <c r="H7739" s="111"/>
      <c r="I7739">
        <f>E7739*G7724</f>
        <v>0</v>
      </c>
      <c r="J7739" s="58"/>
      <c r="K7739" s="50"/>
      <c r="L7739" s="50"/>
      <c r="M7739" s="50"/>
      <c r="N7739" s="50"/>
      <c r="O7739" s="50"/>
    </row>
    <row r="7740" spans="1:15">
      <c r="A7740" s="517" t="s">
        <v>8</v>
      </c>
      <c r="B7740" s="518">
        <f>VLOOKUP(A7740,'Materiales '!$C$2:$G$396,3,0)</f>
        <v>0</v>
      </c>
      <c r="C7740" s="88">
        <f>VLOOKUP(A7740,'Materiales '!$C$2:$G$396,3,0)</f>
        <v>0</v>
      </c>
      <c r="D7740" s="89" t="str">
        <f>VLOOKUP(A7740,'Materiales '!$C$2:$G$396,4,0)</f>
        <v>-</v>
      </c>
      <c r="E7740" s="90"/>
      <c r="F7740" s="508" t="e">
        <f t="shared" si="451"/>
        <v>#VALUE!</v>
      </c>
      <c r="G7740" s="519"/>
      <c r="H7740" s="111"/>
      <c r="I7740">
        <f>E7740*G7724</f>
        <v>0</v>
      </c>
      <c r="J7740" s="58"/>
      <c r="K7740" s="50"/>
      <c r="L7740" s="50"/>
      <c r="M7740" s="50"/>
      <c r="N7740" s="50"/>
      <c r="O7740" s="50"/>
    </row>
    <row r="7741" spans="1:15" ht="21.75" customHeight="1">
      <c r="A7741" s="517" t="s">
        <v>8</v>
      </c>
      <c r="B7741" s="518">
        <f>VLOOKUP(A7741,'Materiales '!$C$2:$G$396,3,0)</f>
        <v>0</v>
      </c>
      <c r="C7741" s="88">
        <f>VLOOKUP(A7741,'Materiales '!$C$2:$G$396,3,0)</f>
        <v>0</v>
      </c>
      <c r="D7741" s="89" t="str">
        <f>VLOOKUP(A7741,'Materiales '!$C$2:$G$396,4,0)</f>
        <v>-</v>
      </c>
      <c r="E7741" s="90"/>
      <c r="F7741" s="508" t="e">
        <f t="shared" si="451"/>
        <v>#VALUE!</v>
      </c>
      <c r="G7741" s="519"/>
      <c r="H7741" s="111"/>
      <c r="I7741">
        <f>E7741*G7724</f>
        <v>0</v>
      </c>
      <c r="J7741" s="58"/>
      <c r="K7741" s="50"/>
      <c r="L7741" s="50"/>
      <c r="M7741" s="50"/>
      <c r="N7741" s="50"/>
      <c r="O7741" s="50"/>
    </row>
    <row r="7742" spans="1:15">
      <c r="A7742" s="517" t="s">
        <v>8</v>
      </c>
      <c r="B7742" s="518">
        <f>VLOOKUP(A7742,'Materiales '!$C$2:$G$396,3,0)</f>
        <v>0</v>
      </c>
      <c r="C7742" s="88">
        <f>VLOOKUP(A7742,'Materiales '!$C$2:$G$396,3,0)</f>
        <v>0</v>
      </c>
      <c r="D7742" s="89" t="str">
        <f>VLOOKUP(A7742,'Materiales '!$C$2:$G$396,4,0)</f>
        <v>-</v>
      </c>
      <c r="E7742" s="90"/>
      <c r="F7742" s="508" t="e">
        <f>E7742*D7742</f>
        <v>#VALUE!</v>
      </c>
      <c r="G7742" s="519"/>
      <c r="H7742" s="110"/>
      <c r="I7742">
        <f>E7742*G7724</f>
        <v>0</v>
      </c>
      <c r="J7742" s="58"/>
      <c r="K7742" s="50"/>
      <c r="L7742" s="50"/>
      <c r="M7742" s="50"/>
      <c r="N7742" s="50"/>
      <c r="O7742" s="50"/>
    </row>
    <row r="7743" spans="1:15">
      <c r="A7743" s="517" t="s">
        <v>8</v>
      </c>
      <c r="B7743" s="518">
        <f>VLOOKUP(A7743,'Materiales '!$C$2:$G$396,3,0)</f>
        <v>0</v>
      </c>
      <c r="C7743" s="88">
        <f>VLOOKUP(A7743,'Materiales '!$C$2:$G$396,3,0)</f>
        <v>0</v>
      </c>
      <c r="D7743" s="89" t="str">
        <f>VLOOKUP(A7743,'Materiales '!$C$2:$G$396,4,0)</f>
        <v>-</v>
      </c>
      <c r="E7743" s="90"/>
      <c r="F7743" s="508" t="e">
        <f t="shared" ref="F7743:F7746" si="452">E7743*D7743</f>
        <v>#VALUE!</v>
      </c>
      <c r="G7743" s="519"/>
      <c r="H7743" s="111"/>
      <c r="I7743">
        <f>E7743*G7724</f>
        <v>0</v>
      </c>
      <c r="J7743" s="58"/>
      <c r="K7743" s="50"/>
      <c r="L7743" s="50"/>
      <c r="M7743" s="50"/>
      <c r="N7743" s="50"/>
      <c r="O7743" s="50"/>
    </row>
    <row r="7744" spans="1:15">
      <c r="A7744" s="517" t="s">
        <v>8</v>
      </c>
      <c r="B7744" s="518">
        <f>VLOOKUP(A7744,'Materiales '!$C$2:$G$396,3,0)</f>
        <v>0</v>
      </c>
      <c r="C7744" s="88">
        <f>VLOOKUP(A7744,'Materiales '!$C$2:$G$396,3,0)</f>
        <v>0</v>
      </c>
      <c r="D7744" s="89" t="str">
        <f>VLOOKUP(A7744,'Materiales '!$C$2:$G$396,4,0)</f>
        <v>-</v>
      </c>
      <c r="E7744" s="90"/>
      <c r="F7744" s="508" t="e">
        <f t="shared" si="452"/>
        <v>#VALUE!</v>
      </c>
      <c r="G7744" s="519"/>
      <c r="H7744" s="111"/>
      <c r="I7744">
        <f>E7744*G7724</f>
        <v>0</v>
      </c>
      <c r="J7744" s="58"/>
      <c r="K7744" s="50"/>
      <c r="L7744" s="50"/>
      <c r="M7744" s="50"/>
      <c r="N7744" s="50"/>
      <c r="O7744" s="50"/>
    </row>
    <row r="7745" spans="1:15">
      <c r="A7745" s="517" t="s">
        <v>8</v>
      </c>
      <c r="B7745" s="518">
        <f>VLOOKUP(A7745,'Materiales '!$C$2:$G$396,3,0)</f>
        <v>0</v>
      </c>
      <c r="C7745" s="88">
        <f>VLOOKUP(A7745,'Materiales '!$C$2:$G$396,3,0)</f>
        <v>0</v>
      </c>
      <c r="D7745" s="89" t="str">
        <f>VLOOKUP(A7745,'Materiales '!$C$2:$G$396,4,0)</f>
        <v>-</v>
      </c>
      <c r="E7745" s="90"/>
      <c r="F7745" s="508" t="e">
        <f t="shared" si="452"/>
        <v>#VALUE!</v>
      </c>
      <c r="G7745" s="519"/>
      <c r="H7745" s="111"/>
      <c r="I7745">
        <f>E7745*G7724</f>
        <v>0</v>
      </c>
      <c r="J7745" s="58"/>
      <c r="K7745" s="50"/>
      <c r="L7745" s="50"/>
      <c r="M7745" s="50"/>
      <c r="N7745" s="50"/>
      <c r="O7745" s="50"/>
    </row>
    <row r="7746" spans="1:15">
      <c r="A7746" s="517" t="s">
        <v>8</v>
      </c>
      <c r="B7746" s="518">
        <f>VLOOKUP(A7746,'Materiales '!$C$2:$G$396,3,0)</f>
        <v>0</v>
      </c>
      <c r="C7746" s="88">
        <f>VLOOKUP(A7746,'Materiales '!$C$2:$G$396,3,0)</f>
        <v>0</v>
      </c>
      <c r="D7746" s="89" t="str">
        <f>VLOOKUP(A7746,'Materiales '!$C$2:$G$396,4,0)</f>
        <v>-</v>
      </c>
      <c r="E7746" s="90"/>
      <c r="F7746" s="508" t="e">
        <f t="shared" si="452"/>
        <v>#VALUE!</v>
      </c>
      <c r="G7746" s="519"/>
      <c r="H7746" s="111"/>
      <c r="I7746">
        <f>E7746*G7724</f>
        <v>0</v>
      </c>
      <c r="J7746" s="58"/>
      <c r="K7746" s="50"/>
      <c r="L7746" s="50"/>
      <c r="M7746" s="50"/>
      <c r="N7746" s="50"/>
      <c r="O7746" s="50"/>
    </row>
    <row r="7747" spans="1:15">
      <c r="A7747" s="517" t="s">
        <v>8</v>
      </c>
      <c r="B7747" s="518">
        <f>VLOOKUP(A7747,'Materiales '!$C$2:$G$396,3,0)</f>
        <v>0</v>
      </c>
      <c r="C7747" s="88">
        <f>VLOOKUP(A7747,'Materiales '!$C$2:$G$396,3,0)</f>
        <v>0</v>
      </c>
      <c r="D7747" s="89" t="str">
        <f>VLOOKUP(A7747,'Materiales '!$C$2:$G$396,4,0)</f>
        <v>-</v>
      </c>
      <c r="E7747" s="90"/>
      <c r="F7747" s="508" t="e">
        <f>E7747*D7747</f>
        <v>#VALUE!</v>
      </c>
      <c r="G7747" s="519"/>
      <c r="H7747" s="110"/>
      <c r="I7747">
        <f>E7747*G7724</f>
        <v>0</v>
      </c>
      <c r="J7747" s="58"/>
      <c r="K7747" s="50"/>
      <c r="L7747" s="50"/>
      <c r="M7747" s="50"/>
      <c r="N7747" s="50"/>
      <c r="O7747" s="50"/>
    </row>
    <row r="7748" spans="1:15">
      <c r="A7748" s="520" t="s">
        <v>4098</v>
      </c>
      <c r="B7748" s="521"/>
      <c r="C7748" s="521"/>
      <c r="D7748" s="521"/>
      <c r="E7748" s="521"/>
      <c r="F7748" s="521"/>
      <c r="G7748" s="522"/>
      <c r="H7748" s="106" t="e">
        <f>SUM(F7734:F7747)</f>
        <v>#VALUE!</v>
      </c>
      <c r="J7748" s="58"/>
      <c r="K7748" s="50"/>
      <c r="L7748" s="50"/>
      <c r="M7748" s="50"/>
      <c r="N7748" s="50"/>
      <c r="O7748" s="50"/>
    </row>
    <row r="7749" spans="1:15">
      <c r="A7749" s="523" t="s">
        <v>4220</v>
      </c>
      <c r="B7749" s="524"/>
      <c r="C7749" s="524"/>
      <c r="D7749" s="524"/>
      <c r="E7749" s="525"/>
      <c r="F7749" s="524"/>
      <c r="G7749" s="524"/>
      <c r="H7749" s="526"/>
      <c r="J7749" s="58"/>
      <c r="K7749" s="50"/>
      <c r="L7749" s="50"/>
      <c r="M7749" s="50"/>
      <c r="N7749" s="50"/>
      <c r="O7749" s="50"/>
    </row>
    <row r="7750" spans="1:15">
      <c r="A7750" s="527" t="s">
        <v>7</v>
      </c>
      <c r="B7750" s="528"/>
      <c r="C7750" s="98" t="s">
        <v>4221</v>
      </c>
      <c r="D7750" s="97" t="s">
        <v>4222</v>
      </c>
      <c r="E7750" s="187" t="s">
        <v>4223</v>
      </c>
      <c r="F7750" s="529" t="s">
        <v>4207</v>
      </c>
      <c r="G7750" s="529"/>
      <c r="H7750" s="109"/>
      <c r="K7750" s="50"/>
      <c r="L7750" s="50"/>
      <c r="M7750" s="50"/>
      <c r="N7750" s="50"/>
      <c r="O7750" s="50"/>
    </row>
    <row r="7751" spans="1:15">
      <c r="A7751" s="506" t="s">
        <v>3928</v>
      </c>
      <c r="B7751" s="507"/>
      <c r="C7751" s="213">
        <v>1</v>
      </c>
      <c r="D7751" s="92">
        <v>5.0000000000000001E-3</v>
      </c>
      <c r="E7751" s="93" t="str">
        <f>VLOOKUP(A7751,'Equip, Herr y Transp'!$B$2:$E$217,3,0)</f>
        <v>TR</v>
      </c>
      <c r="F7751" s="530" t="e">
        <f>E7751*D7751*C7751</f>
        <v>#VALUE!</v>
      </c>
      <c r="G7751" s="531"/>
      <c r="H7751" s="107"/>
      <c r="M7751" s="50"/>
    </row>
    <row r="7752" spans="1:15">
      <c r="A7752" s="532" t="s">
        <v>4205</v>
      </c>
      <c r="B7752" s="533"/>
      <c r="C7752" s="533"/>
      <c r="D7752" s="533"/>
      <c r="E7752" s="533"/>
      <c r="F7752" s="533"/>
      <c r="G7752" s="533"/>
      <c r="H7752" s="95" t="e">
        <f>F7751</f>
        <v>#VALUE!</v>
      </c>
    </row>
    <row r="7753" spans="1:15">
      <c r="A7753" s="523" t="s">
        <v>4224</v>
      </c>
      <c r="B7753" s="524"/>
      <c r="C7753" s="524"/>
      <c r="D7753" s="524"/>
      <c r="E7753" s="524"/>
      <c r="F7753" s="524"/>
      <c r="G7753" s="524"/>
      <c r="H7753" s="526"/>
    </row>
    <row r="7754" spans="1:15">
      <c r="A7754" s="527" t="s">
        <v>7</v>
      </c>
      <c r="B7754" s="528"/>
      <c r="C7754" s="96" t="s">
        <v>1</v>
      </c>
      <c r="D7754" s="97" t="s">
        <v>4225</v>
      </c>
      <c r="E7754" s="98" t="s">
        <v>4204</v>
      </c>
      <c r="F7754" s="527" t="s">
        <v>5</v>
      </c>
      <c r="G7754" s="534"/>
      <c r="H7754" s="109"/>
    </row>
    <row r="7755" spans="1:15">
      <c r="A7755" s="506" t="s">
        <v>4191</v>
      </c>
      <c r="B7755" s="507"/>
      <c r="C7755" s="91">
        <v>1</v>
      </c>
      <c r="D7755" s="94">
        <f>VLOOKUP(A7755,'Mano Obra'!$B$2:$T$117,19,0)</f>
        <v>152456</v>
      </c>
      <c r="E7755" s="218">
        <f>H7717</f>
        <v>1.46E-2</v>
      </c>
      <c r="F7755" s="508">
        <f>E7755*D7755*C7755</f>
        <v>2225.8575999999998</v>
      </c>
      <c r="G7755" s="509"/>
      <c r="H7755" s="111"/>
      <c r="I7755" s="59"/>
      <c r="J7755" s="117">
        <f>((('Mano Obra'!$M$4/30)*F7755)/D7755)*G7724</f>
        <v>0</v>
      </c>
    </row>
    <row r="7756" spans="1:15">
      <c r="A7756" s="510" t="s">
        <v>4192</v>
      </c>
      <c r="B7756" s="511">
        <f>VLOOKUP(A7756,'Mano Obra'!$B$3:$D$290,2,0)</f>
        <v>1900000</v>
      </c>
      <c r="C7756" s="91">
        <v>1</v>
      </c>
      <c r="D7756" s="94">
        <f>VLOOKUP(A7756,'Mano Obra'!$B$2:$T$117,19,0)</f>
        <v>110488</v>
      </c>
      <c r="E7756" s="218">
        <f>H7717</f>
        <v>1.46E-2</v>
      </c>
      <c r="F7756" s="508">
        <f t="shared" ref="F7756:F7757" si="453">E7756*D7756*C7756</f>
        <v>1613.1248000000001</v>
      </c>
      <c r="G7756" s="509"/>
      <c r="H7756" s="111"/>
      <c r="J7756" s="117">
        <f>((('Mano Obra'!$M$5/30)*F7756)/D7756)*G7724</f>
        <v>0</v>
      </c>
    </row>
    <row r="7757" spans="1:15">
      <c r="A7757" s="510" t="s">
        <v>4181</v>
      </c>
      <c r="B7757" s="511">
        <f>VLOOKUP(A7757,'Mano Obra'!$B$3:$D$290,2,0)</f>
        <v>1000000</v>
      </c>
      <c r="C7757" s="91">
        <v>1</v>
      </c>
      <c r="D7757" s="94">
        <f>VLOOKUP(A7757,'Mano Obra'!$B$2:$T$117,19,0)</f>
        <v>67424</v>
      </c>
      <c r="E7757" s="218">
        <f>H7717</f>
        <v>1.46E-2</v>
      </c>
      <c r="F7757" s="508">
        <f t="shared" si="453"/>
        <v>984.3904</v>
      </c>
      <c r="G7757" s="509"/>
      <c r="H7757" s="110"/>
      <c r="J7757" s="117">
        <f>((('Mano Obra'!$M$6/30)*F7757)/D7757)*G7724</f>
        <v>0</v>
      </c>
    </row>
    <row r="7758" spans="1:15">
      <c r="A7758" s="512" t="s">
        <v>4100</v>
      </c>
      <c r="B7758" s="512"/>
      <c r="C7758" s="512"/>
      <c r="D7758" s="512"/>
      <c r="E7758" s="512"/>
      <c r="F7758" s="512"/>
      <c r="G7758" s="512"/>
      <c r="H7758" s="95">
        <f>SUM(F7755:F7757)</f>
        <v>4823.3728000000001</v>
      </c>
      <c r="J7758" s="117"/>
    </row>
    <row r="7759" spans="1:15">
      <c r="A7759" s="208" t="s">
        <v>4226</v>
      </c>
      <c r="B7759" s="186"/>
      <c r="C7759" s="186"/>
      <c r="D7759" s="183"/>
      <c r="E7759" s="184"/>
      <c r="F7759" s="185"/>
      <c r="G7759" s="184"/>
      <c r="H7759" s="193"/>
    </row>
    <row r="7760" spans="1:15">
      <c r="A7760" s="513" t="s">
        <v>4213</v>
      </c>
      <c r="B7760" s="514"/>
      <c r="C7760" s="514"/>
      <c r="D7760" s="514"/>
      <c r="E7760" s="181"/>
      <c r="F7760" s="182" t="s">
        <v>4227</v>
      </c>
      <c r="G7760" s="181" t="s">
        <v>4228</v>
      </c>
      <c r="H7760" s="194"/>
    </row>
    <row r="7761" spans="1:14">
      <c r="A7761" s="204" t="s">
        <v>4096</v>
      </c>
      <c r="B7761" s="62"/>
      <c r="C7761" s="62"/>
      <c r="D7761" s="63"/>
      <c r="E7761" s="68"/>
      <c r="F7761" s="69">
        <v>0</v>
      </c>
      <c r="G7761" s="70" t="e">
        <f>F7761*H7725</f>
        <v>#VALUE!</v>
      </c>
      <c r="H7761" s="193"/>
    </row>
    <row r="7762" spans="1:14">
      <c r="A7762" s="205" t="s">
        <v>4229</v>
      </c>
      <c r="B7762" s="71"/>
      <c r="C7762" s="71"/>
      <c r="D7762" s="72"/>
      <c r="E7762" s="68"/>
      <c r="F7762" s="69">
        <v>0</v>
      </c>
      <c r="G7762" s="70" t="e">
        <f>F7762*H7725</f>
        <v>#VALUE!</v>
      </c>
      <c r="H7762" s="193"/>
    </row>
    <row r="7763" spans="1:14">
      <c r="A7763" s="205" t="s">
        <v>4</v>
      </c>
      <c r="B7763" s="71"/>
      <c r="C7763" s="71"/>
      <c r="D7763" s="72"/>
      <c r="E7763" s="68"/>
      <c r="F7763" s="69">
        <v>0</v>
      </c>
      <c r="G7763" s="70" t="e">
        <f>F7763*H7725</f>
        <v>#VALUE!</v>
      </c>
      <c r="H7763" s="193"/>
    </row>
    <row r="7764" spans="1:14">
      <c r="A7764" s="206"/>
      <c r="B7764" s="73"/>
      <c r="C7764" s="65"/>
      <c r="D7764" s="74"/>
      <c r="E7764" s="75"/>
      <c r="F7764" s="76"/>
      <c r="G7764" s="77"/>
      <c r="H7764" s="195"/>
    </row>
    <row r="7765" spans="1:14">
      <c r="A7765" s="207"/>
      <c r="B7765" s="73"/>
      <c r="C7765" s="73"/>
      <c r="D7765" s="74"/>
      <c r="E7765" s="78"/>
      <c r="F7765" s="515" t="s">
        <v>4230</v>
      </c>
      <c r="G7765" s="516"/>
      <c r="H7765" s="214" t="e">
        <f>H7725+G7761+G7762+G7763</f>
        <v>#VALUE!</v>
      </c>
    </row>
    <row r="7767" spans="1:14">
      <c r="A7767" s="80"/>
      <c r="B7767" s="80"/>
      <c r="C7767" s="80"/>
      <c r="D7767" s="80"/>
      <c r="E7767" s="80"/>
      <c r="F7767" s="80"/>
      <c r="G7767" s="80"/>
      <c r="H7767" s="353"/>
    </row>
    <row r="7768" spans="1:14">
      <c r="A7768" s="537" t="s">
        <v>4214</v>
      </c>
      <c r="B7768" s="538"/>
      <c r="C7768" s="538"/>
      <c r="D7768" s="538"/>
      <c r="E7768" s="538"/>
      <c r="F7768" s="538"/>
      <c r="G7768" s="538"/>
      <c r="H7768" s="539"/>
    </row>
    <row r="7769" spans="1:14">
      <c r="A7769" s="81"/>
      <c r="B7769" s="82"/>
      <c r="C7769" s="82"/>
      <c r="D7769" s="82"/>
      <c r="E7769" s="82"/>
      <c r="F7769" s="83"/>
      <c r="G7769" s="84"/>
      <c r="H7769" s="352">
        <f>ROUND((7/60)/8,4)</f>
        <v>1.46E-2</v>
      </c>
      <c r="I7769" s="105"/>
    </row>
    <row r="7770" spans="1:14">
      <c r="A7770" s="540" t="s">
        <v>4209</v>
      </c>
      <c r="B7770" s="542" t="str">
        <f>COSTOS!$C$14</f>
        <v>MODERNIZACION A TECNOLOGIA LED</v>
      </c>
      <c r="C7770" s="542"/>
      <c r="D7770" s="542"/>
      <c r="E7770" s="542"/>
      <c r="F7770" s="542"/>
      <c r="G7770" s="542"/>
      <c r="H7770" s="543" t="s">
        <v>4210</v>
      </c>
    </row>
    <row r="7771" spans="1:14">
      <c r="A7771" s="541"/>
      <c r="B7771" s="542"/>
      <c r="C7771" s="542"/>
      <c r="D7771" s="542"/>
      <c r="E7771" s="542"/>
      <c r="F7771" s="542"/>
      <c r="G7771" s="542"/>
      <c r="H7771" s="543"/>
    </row>
    <row r="7772" spans="1:14">
      <c r="A7772" s="541"/>
      <c r="B7772" s="542"/>
      <c r="C7772" s="542"/>
      <c r="D7772" s="542"/>
      <c r="E7772" s="542"/>
      <c r="F7772" s="542"/>
      <c r="G7772" s="542"/>
      <c r="H7772" s="543"/>
    </row>
    <row r="7773" spans="1:14" ht="15" customHeight="1">
      <c r="A7773" s="541"/>
      <c r="B7773" s="542"/>
      <c r="C7773" s="542"/>
      <c r="D7773" s="542"/>
      <c r="E7773" s="542"/>
      <c r="F7773" s="542"/>
      <c r="G7773" s="542"/>
      <c r="H7773" s="197">
        <f ca="1">TODAY()</f>
        <v>44889</v>
      </c>
      <c r="K7773" t="s">
        <v>4380</v>
      </c>
      <c r="L7773" t="s">
        <v>4381</v>
      </c>
      <c r="M7773" t="s">
        <v>4382</v>
      </c>
      <c r="N7773" t="s">
        <v>4383</v>
      </c>
    </row>
    <row r="7774" spans="1:14" ht="60.75" customHeight="1">
      <c r="A7774" s="209" t="s">
        <v>4211</v>
      </c>
      <c r="B7774" s="544" t="str">
        <f>COSTOS!$D$16</f>
        <v>Luminarias</v>
      </c>
      <c r="C7774" s="544"/>
      <c r="D7774" s="544"/>
      <c r="E7774" s="544"/>
      <c r="F7774" s="544"/>
      <c r="G7774" s="60" t="s">
        <v>4212</v>
      </c>
      <c r="H7774" s="363" t="s">
        <v>4992</v>
      </c>
      <c r="K7774" s="55" t="e">
        <f>H7800</f>
        <v>#VALUE!</v>
      </c>
      <c r="L7774" s="55">
        <f>H7810</f>
        <v>4823.3728000000001</v>
      </c>
      <c r="M7774" s="55" t="e">
        <f>H7783</f>
        <v>#VALUE!</v>
      </c>
      <c r="N7774" s="55" t="e">
        <f>H7804</f>
        <v>#VALUE!</v>
      </c>
    </row>
    <row r="7775" spans="1:14" ht="43.2" customHeight="1">
      <c r="A7775" s="210" t="s">
        <v>4213</v>
      </c>
      <c r="B7775" s="545" t="str">
        <f>VLOOKUP(H7774,COSTOS!C:M,2,0)</f>
        <v>Red subterránea de baja tensión con cable aislado de aluminio S8000 3 x 4AWG (2f+n) + 1 x 6AWG (t) x 500 MT</v>
      </c>
      <c r="C7775" s="546"/>
      <c r="D7775" s="546"/>
      <c r="E7775" s="547"/>
      <c r="F7775" s="61" t="s">
        <v>0</v>
      </c>
      <c r="G7775" s="328" t="str">
        <f>VLOOKUP(H7774,COSTOS!C:M,8,0)</f>
        <v>Und</v>
      </c>
      <c r="H7775" s="248"/>
      <c r="I7775" s="278"/>
      <c r="J7775" s="280"/>
      <c r="K7775" s="280"/>
      <c r="L7775" s="280"/>
    </row>
    <row r="7776" spans="1:14">
      <c r="A7776" s="211"/>
      <c r="B7776" s="102"/>
      <c r="C7776" s="102"/>
      <c r="D7776" s="102"/>
      <c r="E7776" s="103"/>
      <c r="F7776" s="104" t="s">
        <v>1</v>
      </c>
      <c r="G7776" s="328">
        <f>VLOOKUP(H7774,COSTOS!C:M,9,0)</f>
        <v>0</v>
      </c>
      <c r="H7776" s="329"/>
      <c r="I7776" s="279"/>
    </row>
    <row r="7777" spans="1:15">
      <c r="A7777" s="212" t="s">
        <v>4215</v>
      </c>
      <c r="B7777" s="65"/>
      <c r="C7777" s="65"/>
      <c r="D7777" s="66"/>
      <c r="E7777" s="190"/>
      <c r="F7777" s="191"/>
      <c r="G7777" s="192" t="s">
        <v>4216</v>
      </c>
      <c r="H7777" s="198" t="e">
        <f>H7783+H7800+H7804+H7810</f>
        <v>#VALUE!</v>
      </c>
    </row>
    <row r="7778" spans="1:15" ht="41.4">
      <c r="A7778" s="548" t="s">
        <v>4213</v>
      </c>
      <c r="B7778" s="548"/>
      <c r="C7778" s="548"/>
      <c r="D7778" s="67" t="s">
        <v>0</v>
      </c>
      <c r="E7778" s="188" t="s">
        <v>4217</v>
      </c>
      <c r="F7778" s="189" t="s">
        <v>4204</v>
      </c>
      <c r="G7778" s="64" t="s">
        <v>2</v>
      </c>
      <c r="H7778" s="199" t="s">
        <v>4218</v>
      </c>
      <c r="K7778" s="281"/>
    </row>
    <row r="7779" spans="1:15">
      <c r="A7779" s="517" t="s">
        <v>3946</v>
      </c>
      <c r="B7779" s="549">
        <f>VLOOKUP(A7779,'Equip, Herr y Transp'!$B$2:$E$738,2,0)</f>
        <v>2</v>
      </c>
      <c r="C7779" s="549"/>
      <c r="D7779" s="85">
        <f>VLOOKUP(A7779,'Equip, Herr y Transp'!$B$2:$E$217,2,0)</f>
        <v>2</v>
      </c>
      <c r="E7779" s="85" t="str">
        <f>VLOOKUP(A7779,'Equip, Herr y Transp'!$B$2:$E$217,3,0)</f>
        <v>EQU</v>
      </c>
      <c r="F7779" s="86">
        <f>H7769</f>
        <v>1.46E-2</v>
      </c>
      <c r="G7779" s="112" t="e">
        <f>F7779*E7779</f>
        <v>#VALUE!</v>
      </c>
      <c r="H7779" s="108"/>
    </row>
    <row r="7780" spans="1:15">
      <c r="A7780" s="517" t="s">
        <v>3904</v>
      </c>
      <c r="B7780" s="549">
        <f>VLOOKUP(A7780,'Equip, Herr y Transp'!$B$2:$E$738,2,0)</f>
        <v>2</v>
      </c>
      <c r="C7780" s="549"/>
      <c r="D7780" s="85">
        <f>VLOOKUP(A7780,'Equip, Herr y Transp'!$B$2:$E$217,2,0)</f>
        <v>2</v>
      </c>
      <c r="E7780" s="85" t="str">
        <f>VLOOKUP(A7780,'Equip, Herr y Transp'!$B$2:$E$217,3,0)</f>
        <v>EQU</v>
      </c>
      <c r="F7780" s="86">
        <f>H7769</f>
        <v>1.46E-2</v>
      </c>
      <c r="G7780" s="112" t="e">
        <f>F7780*E7780</f>
        <v>#VALUE!</v>
      </c>
      <c r="H7780" s="107"/>
    </row>
    <row r="7781" spans="1:15">
      <c r="A7781" s="517" t="s">
        <v>8</v>
      </c>
      <c r="B7781" s="549" t="e">
        <f>VLOOKUP(A7781,'Equip, Herr y Transp'!$B$2:$E$738,2,0)</f>
        <v>#N/A</v>
      </c>
      <c r="C7781" s="549"/>
      <c r="D7781" s="85" t="e">
        <f>VLOOKUP(A7781,'Equip, Herr y Transp'!$B$2:$E$217,2,0)</f>
        <v>#N/A</v>
      </c>
      <c r="E7781" s="85" t="e">
        <f>VLOOKUP(A7781,'Equip, Herr y Transp'!$B$2:$E$217,3,0)</f>
        <v>#N/A</v>
      </c>
      <c r="F7781" s="86">
        <f>H7769</f>
        <v>1.46E-2</v>
      </c>
      <c r="G7781" s="112" t="e">
        <f>F7781*E7781</f>
        <v>#N/A</v>
      </c>
      <c r="H7781" s="107"/>
    </row>
    <row r="7782" spans="1:15">
      <c r="A7782" s="517" t="s">
        <v>8</v>
      </c>
      <c r="B7782" s="549" t="e">
        <f>VLOOKUP(A7782,'Equip, Herr y Transp'!$B$2:$E$738,2,0)</f>
        <v>#N/A</v>
      </c>
      <c r="C7782" s="549"/>
      <c r="D7782" s="85" t="e">
        <f>VLOOKUP(A7782,'Equip, Herr y Transp'!$B$2:$E$217,2,0)</f>
        <v>#N/A</v>
      </c>
      <c r="E7782" s="85" t="e">
        <f>VLOOKUP(A7782,'Equip, Herr y Transp'!$B$2:$E$217,3,0)</f>
        <v>#N/A</v>
      </c>
      <c r="F7782" s="86">
        <f>H7769</f>
        <v>1.46E-2</v>
      </c>
      <c r="G7782" s="112" t="e">
        <f>F7782*E7782</f>
        <v>#N/A</v>
      </c>
      <c r="H7782" s="107"/>
    </row>
    <row r="7783" spans="1:15">
      <c r="A7783" s="520" t="s">
        <v>4099</v>
      </c>
      <c r="B7783" s="521"/>
      <c r="C7783" s="521"/>
      <c r="D7783" s="521"/>
      <c r="E7783" s="521"/>
      <c r="F7783" s="521"/>
      <c r="G7783" s="521"/>
      <c r="H7783" s="87" t="e">
        <f>SUM(G7779:G7782)</f>
        <v>#VALUE!</v>
      </c>
    </row>
    <row r="7784" spans="1:15">
      <c r="A7784" s="550" t="s">
        <v>4219</v>
      </c>
      <c r="B7784" s="551"/>
      <c r="C7784" s="551"/>
      <c r="D7784" s="551"/>
      <c r="E7784" s="551"/>
      <c r="F7784" s="551"/>
      <c r="G7784" s="551"/>
      <c r="H7784" s="552"/>
      <c r="K7784" s="50"/>
      <c r="L7784" s="50"/>
      <c r="M7784" s="50"/>
      <c r="N7784" s="50"/>
      <c r="O7784" s="50"/>
    </row>
    <row r="7785" spans="1:15" ht="30" customHeight="1">
      <c r="A7785" s="553" t="s">
        <v>7</v>
      </c>
      <c r="B7785" s="554"/>
      <c r="C7785" s="99" t="s">
        <v>0</v>
      </c>
      <c r="D7785" s="100" t="s">
        <v>4097</v>
      </c>
      <c r="E7785" s="101" t="s">
        <v>1</v>
      </c>
      <c r="F7785" s="555" t="s">
        <v>4207</v>
      </c>
      <c r="G7785" s="555"/>
      <c r="H7785" s="196"/>
      <c r="K7785" s="50"/>
      <c r="L7785" s="50"/>
      <c r="M7785" s="50"/>
      <c r="N7785" s="50"/>
      <c r="O7785" s="50"/>
    </row>
    <row r="7786" spans="1:15">
      <c r="A7786" s="535" t="s">
        <v>4435</v>
      </c>
      <c r="B7786" s="536"/>
      <c r="C7786" s="88">
        <f>VLOOKUP(A7786,'Materiales '!$C$2:$G$396,3,0)</f>
        <v>2</v>
      </c>
      <c r="D7786" s="89" t="str">
        <f>VLOOKUP(A7786,'Materiales '!$C$2:$G$396,4,0)</f>
        <v>Ml</v>
      </c>
      <c r="E7786" s="90">
        <v>1</v>
      </c>
      <c r="F7786" s="508" t="e">
        <f>E7786*D7786</f>
        <v>#VALUE!</v>
      </c>
      <c r="G7786" s="519"/>
      <c r="H7786" s="111"/>
      <c r="I7786">
        <f>E7786*G7776</f>
        <v>0</v>
      </c>
      <c r="J7786" s="57"/>
      <c r="K7786" s="50"/>
      <c r="L7786" s="50"/>
      <c r="M7786" s="50"/>
      <c r="N7786" s="50"/>
      <c r="O7786" s="50"/>
    </row>
    <row r="7787" spans="1:15">
      <c r="A7787" s="535" t="s">
        <v>4458</v>
      </c>
      <c r="B7787" s="536"/>
      <c r="C7787" s="88">
        <f>VLOOKUP(A7787,'Materiales '!$C$2:$G$396,3,0)</f>
        <v>3</v>
      </c>
      <c r="D7787" s="89" t="str">
        <f>VLOOKUP(A7787,'Materiales '!$C$2:$G$396,4,0)</f>
        <v>Rollo</v>
      </c>
      <c r="E7787" s="90">
        <f>1/30</f>
        <v>3.3333333333333333E-2</v>
      </c>
      <c r="F7787" s="508" t="e">
        <f t="shared" ref="F7787:F7793" si="454">E7787*D7787</f>
        <v>#VALUE!</v>
      </c>
      <c r="G7787" s="519"/>
      <c r="H7787" s="111"/>
      <c r="I7787">
        <f>E7787*G7776</f>
        <v>0</v>
      </c>
      <c r="J7787" s="57"/>
      <c r="K7787" s="50"/>
      <c r="L7787" s="50"/>
      <c r="M7787" s="50"/>
      <c r="N7787" s="50"/>
      <c r="O7787" s="50"/>
    </row>
    <row r="7788" spans="1:15">
      <c r="A7788" s="517" t="s">
        <v>4433</v>
      </c>
      <c r="B7788" s="518">
        <f>VLOOKUP(A7788,'Materiales '!$C$2:$G$396,3,0)</f>
        <v>2</v>
      </c>
      <c r="C7788" s="88">
        <f>VLOOKUP(A7788,'Materiales '!$C$2:$G$396,3,0)</f>
        <v>2</v>
      </c>
      <c r="D7788" s="89" t="str">
        <f>VLOOKUP(A7788,'Materiales '!$C$2:$G$396,4,0)</f>
        <v>Ml</v>
      </c>
      <c r="E7788" s="90">
        <v>3</v>
      </c>
      <c r="F7788" s="508" t="e">
        <f t="shared" si="454"/>
        <v>#VALUE!</v>
      </c>
      <c r="G7788" s="519"/>
      <c r="H7788" s="111"/>
      <c r="I7788">
        <f>E7788*G7776</f>
        <v>0</v>
      </c>
      <c r="J7788" s="58"/>
      <c r="K7788" s="50"/>
      <c r="L7788" s="50"/>
      <c r="M7788" s="50"/>
      <c r="N7788" s="50"/>
      <c r="O7788" s="50"/>
    </row>
    <row r="7789" spans="1:15">
      <c r="A7789" s="517" t="s">
        <v>8</v>
      </c>
      <c r="B7789" s="518">
        <f>VLOOKUP(A7789,'Materiales '!$C$2:$G$396,3,0)</f>
        <v>0</v>
      </c>
      <c r="C7789" s="88">
        <f>VLOOKUP(A7789,'Materiales '!$C$2:$G$396,3,0)</f>
        <v>0</v>
      </c>
      <c r="D7789" s="89" t="str">
        <f>VLOOKUP(A7789,'Materiales '!$C$2:$G$396,4,0)</f>
        <v>-</v>
      </c>
      <c r="E7789" s="90"/>
      <c r="F7789" s="508" t="e">
        <f t="shared" si="454"/>
        <v>#VALUE!</v>
      </c>
      <c r="G7789" s="519"/>
      <c r="H7789" s="111"/>
      <c r="I7789">
        <f>E7789*G7776</f>
        <v>0</v>
      </c>
      <c r="J7789" s="58"/>
      <c r="K7789" s="50"/>
      <c r="L7789" s="50"/>
      <c r="M7789" s="50"/>
      <c r="N7789" s="50"/>
      <c r="O7789" s="50"/>
    </row>
    <row r="7790" spans="1:15">
      <c r="A7790" s="517" t="s">
        <v>8</v>
      </c>
      <c r="B7790" s="518">
        <f>VLOOKUP(A7790,'Materiales '!$C$2:$G$396,3,0)</f>
        <v>0</v>
      </c>
      <c r="C7790" s="88">
        <f>VLOOKUP(A7790,'Materiales '!$C$2:$G$396,3,0)</f>
        <v>0</v>
      </c>
      <c r="D7790" s="89" t="str">
        <f>VLOOKUP(A7790,'Materiales '!$C$2:$G$396,4,0)</f>
        <v>-</v>
      </c>
      <c r="E7790" s="90"/>
      <c r="F7790" s="508" t="e">
        <f t="shared" si="454"/>
        <v>#VALUE!</v>
      </c>
      <c r="G7790" s="519"/>
      <c r="H7790" s="111"/>
      <c r="I7790">
        <f>E7790*G7776</f>
        <v>0</v>
      </c>
      <c r="J7790" s="58"/>
      <c r="K7790" s="50"/>
      <c r="L7790" s="50"/>
      <c r="M7790" s="50"/>
      <c r="N7790" s="50"/>
      <c r="O7790" s="50"/>
    </row>
    <row r="7791" spans="1:15">
      <c r="A7791" s="517" t="s">
        <v>8</v>
      </c>
      <c r="B7791" s="518">
        <f>VLOOKUP(A7791,'Materiales '!$C$2:$G$396,3,0)</f>
        <v>0</v>
      </c>
      <c r="C7791" s="88">
        <f>VLOOKUP(A7791,'Materiales '!$C$2:$G$396,3,0)</f>
        <v>0</v>
      </c>
      <c r="D7791" s="89" t="str">
        <f>VLOOKUP(A7791,'Materiales '!$C$2:$G$396,4,0)</f>
        <v>-</v>
      </c>
      <c r="E7791" s="90"/>
      <c r="F7791" s="508" t="e">
        <f t="shared" si="454"/>
        <v>#VALUE!</v>
      </c>
      <c r="G7791" s="519"/>
      <c r="H7791" s="111"/>
      <c r="I7791">
        <f>E7791*G7776</f>
        <v>0</v>
      </c>
      <c r="J7791" s="58"/>
      <c r="K7791" s="50"/>
      <c r="L7791" s="50"/>
      <c r="M7791" s="50"/>
      <c r="N7791" s="50"/>
      <c r="O7791" s="50"/>
    </row>
    <row r="7792" spans="1:15">
      <c r="A7792" s="517" t="s">
        <v>8</v>
      </c>
      <c r="B7792" s="518">
        <f>VLOOKUP(A7792,'Materiales '!$C$2:$G$396,3,0)</f>
        <v>0</v>
      </c>
      <c r="C7792" s="88">
        <f>VLOOKUP(A7792,'Materiales '!$C$2:$G$396,3,0)</f>
        <v>0</v>
      </c>
      <c r="D7792" s="89" t="str">
        <f>VLOOKUP(A7792,'Materiales '!$C$2:$G$396,4,0)</f>
        <v>-</v>
      </c>
      <c r="E7792" s="90"/>
      <c r="F7792" s="508" t="e">
        <f t="shared" si="454"/>
        <v>#VALUE!</v>
      </c>
      <c r="G7792" s="519"/>
      <c r="H7792" s="111"/>
      <c r="I7792">
        <f>E7792*G7776</f>
        <v>0</v>
      </c>
      <c r="J7792" s="58"/>
      <c r="K7792" s="50"/>
      <c r="L7792" s="50"/>
      <c r="M7792" s="50"/>
      <c r="N7792" s="50"/>
      <c r="O7792" s="50"/>
    </row>
    <row r="7793" spans="1:15" ht="21.75" customHeight="1">
      <c r="A7793" s="517" t="s">
        <v>8</v>
      </c>
      <c r="B7793" s="518">
        <f>VLOOKUP(A7793,'Materiales '!$C$2:$G$396,3,0)</f>
        <v>0</v>
      </c>
      <c r="C7793" s="88">
        <f>VLOOKUP(A7793,'Materiales '!$C$2:$G$396,3,0)</f>
        <v>0</v>
      </c>
      <c r="D7793" s="89" t="str">
        <f>VLOOKUP(A7793,'Materiales '!$C$2:$G$396,4,0)</f>
        <v>-</v>
      </c>
      <c r="E7793" s="90"/>
      <c r="F7793" s="508" t="e">
        <f t="shared" si="454"/>
        <v>#VALUE!</v>
      </c>
      <c r="G7793" s="519"/>
      <c r="H7793" s="111"/>
      <c r="I7793">
        <f>E7793*G7776</f>
        <v>0</v>
      </c>
      <c r="J7793" s="58"/>
      <c r="K7793" s="50"/>
      <c r="L7793" s="50"/>
      <c r="M7793" s="50"/>
      <c r="N7793" s="50"/>
      <c r="O7793" s="50"/>
    </row>
    <row r="7794" spans="1:15">
      <c r="A7794" s="517" t="s">
        <v>8</v>
      </c>
      <c r="B7794" s="518">
        <f>VLOOKUP(A7794,'Materiales '!$C$2:$G$396,3,0)</f>
        <v>0</v>
      </c>
      <c r="C7794" s="88">
        <f>VLOOKUP(A7794,'Materiales '!$C$2:$G$396,3,0)</f>
        <v>0</v>
      </c>
      <c r="D7794" s="89" t="str">
        <f>VLOOKUP(A7794,'Materiales '!$C$2:$G$396,4,0)</f>
        <v>-</v>
      </c>
      <c r="E7794" s="90"/>
      <c r="F7794" s="508" t="e">
        <f>E7794*D7794</f>
        <v>#VALUE!</v>
      </c>
      <c r="G7794" s="519"/>
      <c r="H7794" s="110"/>
      <c r="I7794">
        <f>E7794*G7776</f>
        <v>0</v>
      </c>
      <c r="J7794" s="58"/>
      <c r="K7794" s="50"/>
      <c r="L7794" s="50"/>
      <c r="M7794" s="50"/>
      <c r="N7794" s="50"/>
      <c r="O7794" s="50"/>
    </row>
    <row r="7795" spans="1:15">
      <c r="A7795" s="517" t="s">
        <v>8</v>
      </c>
      <c r="B7795" s="518">
        <f>VLOOKUP(A7795,'Materiales '!$C$2:$G$396,3,0)</f>
        <v>0</v>
      </c>
      <c r="C7795" s="88">
        <f>VLOOKUP(A7795,'Materiales '!$C$2:$G$396,3,0)</f>
        <v>0</v>
      </c>
      <c r="D7795" s="89" t="str">
        <f>VLOOKUP(A7795,'Materiales '!$C$2:$G$396,4,0)</f>
        <v>-</v>
      </c>
      <c r="E7795" s="90"/>
      <c r="F7795" s="508" t="e">
        <f t="shared" ref="F7795:F7798" si="455">E7795*D7795</f>
        <v>#VALUE!</v>
      </c>
      <c r="G7795" s="519"/>
      <c r="H7795" s="111"/>
      <c r="I7795">
        <f>E7795*G7776</f>
        <v>0</v>
      </c>
      <c r="J7795" s="58"/>
      <c r="K7795" s="50"/>
      <c r="L7795" s="50"/>
      <c r="M7795" s="50"/>
      <c r="N7795" s="50"/>
      <c r="O7795" s="50"/>
    </row>
    <row r="7796" spans="1:15">
      <c r="A7796" s="517" t="s">
        <v>8</v>
      </c>
      <c r="B7796" s="518">
        <f>VLOOKUP(A7796,'Materiales '!$C$2:$G$396,3,0)</f>
        <v>0</v>
      </c>
      <c r="C7796" s="88">
        <f>VLOOKUP(A7796,'Materiales '!$C$2:$G$396,3,0)</f>
        <v>0</v>
      </c>
      <c r="D7796" s="89" t="str">
        <f>VLOOKUP(A7796,'Materiales '!$C$2:$G$396,4,0)</f>
        <v>-</v>
      </c>
      <c r="E7796" s="90"/>
      <c r="F7796" s="508" t="e">
        <f t="shared" si="455"/>
        <v>#VALUE!</v>
      </c>
      <c r="G7796" s="519"/>
      <c r="H7796" s="111"/>
      <c r="I7796">
        <f>E7796*G7776</f>
        <v>0</v>
      </c>
      <c r="J7796" s="58"/>
      <c r="K7796" s="50"/>
      <c r="L7796" s="50"/>
      <c r="M7796" s="50"/>
      <c r="N7796" s="50"/>
      <c r="O7796" s="50"/>
    </row>
    <row r="7797" spans="1:15">
      <c r="A7797" s="517" t="s">
        <v>8</v>
      </c>
      <c r="B7797" s="518">
        <f>VLOOKUP(A7797,'Materiales '!$C$2:$G$396,3,0)</f>
        <v>0</v>
      </c>
      <c r="C7797" s="88">
        <f>VLOOKUP(A7797,'Materiales '!$C$2:$G$396,3,0)</f>
        <v>0</v>
      </c>
      <c r="D7797" s="89" t="str">
        <f>VLOOKUP(A7797,'Materiales '!$C$2:$G$396,4,0)</f>
        <v>-</v>
      </c>
      <c r="E7797" s="90"/>
      <c r="F7797" s="508" t="e">
        <f t="shared" si="455"/>
        <v>#VALUE!</v>
      </c>
      <c r="G7797" s="519"/>
      <c r="H7797" s="111"/>
      <c r="I7797">
        <f>E7797*G7776</f>
        <v>0</v>
      </c>
      <c r="J7797" s="58"/>
      <c r="K7797" s="50"/>
      <c r="L7797" s="50"/>
      <c r="M7797" s="50"/>
      <c r="N7797" s="50"/>
      <c r="O7797" s="50"/>
    </row>
    <row r="7798" spans="1:15">
      <c r="A7798" s="517" t="s">
        <v>8</v>
      </c>
      <c r="B7798" s="518">
        <f>VLOOKUP(A7798,'Materiales '!$C$2:$G$396,3,0)</f>
        <v>0</v>
      </c>
      <c r="C7798" s="88">
        <f>VLOOKUP(A7798,'Materiales '!$C$2:$G$396,3,0)</f>
        <v>0</v>
      </c>
      <c r="D7798" s="89" t="str">
        <f>VLOOKUP(A7798,'Materiales '!$C$2:$G$396,4,0)</f>
        <v>-</v>
      </c>
      <c r="E7798" s="90"/>
      <c r="F7798" s="508" t="e">
        <f t="shared" si="455"/>
        <v>#VALUE!</v>
      </c>
      <c r="G7798" s="519"/>
      <c r="H7798" s="111"/>
      <c r="I7798">
        <f>E7798*G7776</f>
        <v>0</v>
      </c>
      <c r="J7798" s="58"/>
      <c r="K7798" s="50"/>
      <c r="L7798" s="50"/>
      <c r="M7798" s="50"/>
      <c r="N7798" s="50"/>
      <c r="O7798" s="50"/>
    </row>
    <row r="7799" spans="1:15">
      <c r="A7799" s="517" t="s">
        <v>8</v>
      </c>
      <c r="B7799" s="518">
        <f>VLOOKUP(A7799,'Materiales '!$C$2:$G$396,3,0)</f>
        <v>0</v>
      </c>
      <c r="C7799" s="88">
        <f>VLOOKUP(A7799,'Materiales '!$C$2:$G$396,3,0)</f>
        <v>0</v>
      </c>
      <c r="D7799" s="89" t="str">
        <f>VLOOKUP(A7799,'Materiales '!$C$2:$G$396,4,0)</f>
        <v>-</v>
      </c>
      <c r="E7799" s="90"/>
      <c r="F7799" s="508" t="e">
        <f>E7799*D7799</f>
        <v>#VALUE!</v>
      </c>
      <c r="G7799" s="519"/>
      <c r="H7799" s="110"/>
      <c r="I7799">
        <f>E7799*G7776</f>
        <v>0</v>
      </c>
      <c r="J7799" s="58"/>
      <c r="K7799" s="50"/>
      <c r="L7799" s="50"/>
      <c r="M7799" s="50"/>
      <c r="N7799" s="50"/>
      <c r="O7799" s="50"/>
    </row>
    <row r="7800" spans="1:15">
      <c r="A7800" s="520" t="s">
        <v>4098</v>
      </c>
      <c r="B7800" s="521"/>
      <c r="C7800" s="521"/>
      <c r="D7800" s="521"/>
      <c r="E7800" s="521"/>
      <c r="F7800" s="521"/>
      <c r="G7800" s="522"/>
      <c r="H7800" s="106" t="e">
        <f>SUM(F7786:F7799)</f>
        <v>#VALUE!</v>
      </c>
      <c r="J7800" s="58"/>
      <c r="K7800" s="50"/>
      <c r="L7800" s="50"/>
      <c r="M7800" s="50"/>
      <c r="N7800" s="50"/>
      <c r="O7800" s="50"/>
    </row>
    <row r="7801" spans="1:15">
      <c r="A7801" s="523" t="s">
        <v>4220</v>
      </c>
      <c r="B7801" s="524"/>
      <c r="C7801" s="524"/>
      <c r="D7801" s="524"/>
      <c r="E7801" s="525"/>
      <c r="F7801" s="524"/>
      <c r="G7801" s="524"/>
      <c r="H7801" s="526"/>
      <c r="J7801" s="58"/>
      <c r="K7801" s="50"/>
      <c r="L7801" s="50"/>
      <c r="M7801" s="50"/>
      <c r="N7801" s="50"/>
      <c r="O7801" s="50"/>
    </row>
    <row r="7802" spans="1:15">
      <c r="A7802" s="527" t="s">
        <v>7</v>
      </c>
      <c r="B7802" s="528"/>
      <c r="C7802" s="98" t="s">
        <v>4221</v>
      </c>
      <c r="D7802" s="97" t="s">
        <v>4222</v>
      </c>
      <c r="E7802" s="187" t="s">
        <v>4223</v>
      </c>
      <c r="F7802" s="529" t="s">
        <v>4207</v>
      </c>
      <c r="G7802" s="529"/>
      <c r="H7802" s="109"/>
      <c r="K7802" s="50"/>
      <c r="L7802" s="50"/>
      <c r="M7802" s="50"/>
      <c r="N7802" s="50"/>
      <c r="O7802" s="50"/>
    </row>
    <row r="7803" spans="1:15">
      <c r="A7803" s="506" t="s">
        <v>3928</v>
      </c>
      <c r="B7803" s="507"/>
      <c r="C7803" s="213">
        <v>1</v>
      </c>
      <c r="D7803" s="92">
        <v>5.0000000000000001E-3</v>
      </c>
      <c r="E7803" s="93" t="str">
        <f>VLOOKUP(A7803,'Equip, Herr y Transp'!$B$2:$E$217,3,0)</f>
        <v>TR</v>
      </c>
      <c r="F7803" s="530" t="e">
        <f>E7803*D7803*C7803</f>
        <v>#VALUE!</v>
      </c>
      <c r="G7803" s="531"/>
      <c r="H7803" s="107"/>
      <c r="M7803" s="50"/>
    </row>
    <row r="7804" spans="1:15">
      <c r="A7804" s="532" t="s">
        <v>4205</v>
      </c>
      <c r="B7804" s="533"/>
      <c r="C7804" s="533"/>
      <c r="D7804" s="533"/>
      <c r="E7804" s="533"/>
      <c r="F7804" s="533"/>
      <c r="G7804" s="533"/>
      <c r="H7804" s="95" t="e">
        <f>F7803</f>
        <v>#VALUE!</v>
      </c>
    </row>
    <row r="7805" spans="1:15">
      <c r="A7805" s="523" t="s">
        <v>4224</v>
      </c>
      <c r="B7805" s="524"/>
      <c r="C7805" s="524"/>
      <c r="D7805" s="524"/>
      <c r="E7805" s="524"/>
      <c r="F7805" s="524"/>
      <c r="G7805" s="524"/>
      <c r="H7805" s="526"/>
    </row>
    <row r="7806" spans="1:15">
      <c r="A7806" s="527" t="s">
        <v>7</v>
      </c>
      <c r="B7806" s="528"/>
      <c r="C7806" s="96" t="s">
        <v>1</v>
      </c>
      <c r="D7806" s="97" t="s">
        <v>4225</v>
      </c>
      <c r="E7806" s="98" t="s">
        <v>4204</v>
      </c>
      <c r="F7806" s="527" t="s">
        <v>5</v>
      </c>
      <c r="G7806" s="534"/>
      <c r="H7806" s="109"/>
    </row>
    <row r="7807" spans="1:15">
      <c r="A7807" s="506" t="s">
        <v>4191</v>
      </c>
      <c r="B7807" s="507"/>
      <c r="C7807" s="91">
        <v>1</v>
      </c>
      <c r="D7807" s="94">
        <f>VLOOKUP(A7807,'Mano Obra'!$B$2:$T$117,19,0)</f>
        <v>152456</v>
      </c>
      <c r="E7807" s="218">
        <f>H7769</f>
        <v>1.46E-2</v>
      </c>
      <c r="F7807" s="508">
        <f>E7807*D7807*C7807</f>
        <v>2225.8575999999998</v>
      </c>
      <c r="G7807" s="509"/>
      <c r="H7807" s="111"/>
      <c r="I7807" s="59"/>
      <c r="J7807" s="117">
        <f>((('Mano Obra'!$M$4/30)*F7807)/D7807)*G7776</f>
        <v>0</v>
      </c>
    </row>
    <row r="7808" spans="1:15">
      <c r="A7808" s="510" t="s">
        <v>4192</v>
      </c>
      <c r="B7808" s="511">
        <f>VLOOKUP(A7808,'Mano Obra'!$B$3:$D$290,2,0)</f>
        <v>1900000</v>
      </c>
      <c r="C7808" s="91">
        <v>1</v>
      </c>
      <c r="D7808" s="94">
        <f>VLOOKUP(A7808,'Mano Obra'!$B$2:$T$117,19,0)</f>
        <v>110488</v>
      </c>
      <c r="E7808" s="218">
        <f>H7769</f>
        <v>1.46E-2</v>
      </c>
      <c r="F7808" s="508">
        <f t="shared" ref="F7808:F7809" si="456">E7808*D7808*C7808</f>
        <v>1613.1248000000001</v>
      </c>
      <c r="G7808" s="509"/>
      <c r="H7808" s="111"/>
      <c r="J7808" s="117">
        <f>((('Mano Obra'!$M$5/30)*F7808)/D7808)*G7776</f>
        <v>0</v>
      </c>
    </row>
    <row r="7809" spans="1:10">
      <c r="A7809" s="510" t="s">
        <v>4181</v>
      </c>
      <c r="B7809" s="511">
        <f>VLOOKUP(A7809,'Mano Obra'!$B$3:$D$290,2,0)</f>
        <v>1000000</v>
      </c>
      <c r="C7809" s="91">
        <v>1</v>
      </c>
      <c r="D7809" s="94">
        <f>VLOOKUP(A7809,'Mano Obra'!$B$2:$T$117,19,0)</f>
        <v>67424</v>
      </c>
      <c r="E7809" s="218">
        <f>H7769</f>
        <v>1.46E-2</v>
      </c>
      <c r="F7809" s="508">
        <f t="shared" si="456"/>
        <v>984.3904</v>
      </c>
      <c r="G7809" s="509"/>
      <c r="H7809" s="110"/>
      <c r="J7809" s="117">
        <f>((('Mano Obra'!$M$6/30)*F7809)/D7809)*G7776</f>
        <v>0</v>
      </c>
    </row>
    <row r="7810" spans="1:10">
      <c r="A7810" s="512" t="s">
        <v>4100</v>
      </c>
      <c r="B7810" s="512"/>
      <c r="C7810" s="512"/>
      <c r="D7810" s="512"/>
      <c r="E7810" s="512"/>
      <c r="F7810" s="512"/>
      <c r="G7810" s="512"/>
      <c r="H7810" s="95">
        <f>SUM(F7807:F7809)</f>
        <v>4823.3728000000001</v>
      </c>
      <c r="J7810" s="117"/>
    </row>
    <row r="7811" spans="1:10">
      <c r="A7811" s="208" t="s">
        <v>4226</v>
      </c>
      <c r="B7811" s="186"/>
      <c r="C7811" s="186"/>
      <c r="D7811" s="183"/>
      <c r="E7811" s="184"/>
      <c r="F7811" s="185"/>
      <c r="G7811" s="184"/>
      <c r="H7811" s="193"/>
    </row>
    <row r="7812" spans="1:10">
      <c r="A7812" s="513" t="s">
        <v>4213</v>
      </c>
      <c r="B7812" s="514"/>
      <c r="C7812" s="514"/>
      <c r="D7812" s="514"/>
      <c r="E7812" s="181"/>
      <c r="F7812" s="182" t="s">
        <v>4227</v>
      </c>
      <c r="G7812" s="181" t="s">
        <v>4228</v>
      </c>
      <c r="H7812" s="194"/>
    </row>
    <row r="7813" spans="1:10">
      <c r="A7813" s="204" t="s">
        <v>4096</v>
      </c>
      <c r="B7813" s="62"/>
      <c r="C7813" s="62"/>
      <c r="D7813" s="63"/>
      <c r="E7813" s="68"/>
      <c r="F7813" s="69">
        <v>0</v>
      </c>
      <c r="G7813" s="70" t="e">
        <f>F7813*H7777</f>
        <v>#VALUE!</v>
      </c>
      <c r="H7813" s="193"/>
    </row>
    <row r="7814" spans="1:10">
      <c r="A7814" s="205" t="s">
        <v>4229</v>
      </c>
      <c r="B7814" s="71"/>
      <c r="C7814" s="71"/>
      <c r="D7814" s="72"/>
      <c r="E7814" s="68"/>
      <c r="F7814" s="69">
        <v>0</v>
      </c>
      <c r="G7814" s="70" t="e">
        <f>F7814*H7777</f>
        <v>#VALUE!</v>
      </c>
      <c r="H7814" s="193"/>
    </row>
    <row r="7815" spans="1:10">
      <c r="A7815" s="205" t="s">
        <v>4</v>
      </c>
      <c r="B7815" s="71"/>
      <c r="C7815" s="71"/>
      <c r="D7815" s="72"/>
      <c r="E7815" s="68"/>
      <c r="F7815" s="69">
        <v>0</v>
      </c>
      <c r="G7815" s="70" t="e">
        <f>F7815*H7777</f>
        <v>#VALUE!</v>
      </c>
      <c r="H7815" s="193"/>
    </row>
    <row r="7816" spans="1:10">
      <c r="A7816" s="206"/>
      <c r="B7816" s="73"/>
      <c r="C7816" s="65"/>
      <c r="D7816" s="74"/>
      <c r="E7816" s="75"/>
      <c r="F7816" s="76"/>
      <c r="G7816" s="77"/>
      <c r="H7816" s="195"/>
    </row>
    <row r="7817" spans="1:10">
      <c r="A7817" s="207"/>
      <c r="B7817" s="73"/>
      <c r="C7817" s="73"/>
      <c r="D7817" s="74"/>
      <c r="E7817" s="78"/>
      <c r="F7817" s="515" t="s">
        <v>4230</v>
      </c>
      <c r="G7817" s="516"/>
      <c r="H7817" s="214" t="e">
        <f>H7777+G7813+G7814+G7815</f>
        <v>#VALUE!</v>
      </c>
    </row>
    <row r="7819" spans="1:10">
      <c r="A7819" s="80"/>
      <c r="B7819" s="80"/>
      <c r="C7819" s="80"/>
      <c r="D7819" s="80"/>
      <c r="E7819" s="80"/>
      <c r="F7819" s="80"/>
      <c r="G7819" s="80"/>
      <c r="H7819" s="353"/>
    </row>
    <row r="7820" spans="1:10">
      <c r="A7820" s="537" t="s">
        <v>4214</v>
      </c>
      <c r="B7820" s="538"/>
      <c r="C7820" s="538"/>
      <c r="D7820" s="538"/>
      <c r="E7820" s="538"/>
      <c r="F7820" s="538"/>
      <c r="G7820" s="538"/>
      <c r="H7820" s="539"/>
    </row>
    <row r="7821" spans="1:10">
      <c r="A7821" s="81"/>
      <c r="B7821" s="82"/>
      <c r="C7821" s="82"/>
      <c r="D7821" s="82"/>
      <c r="E7821" s="82"/>
      <c r="F7821" s="83"/>
      <c r="G7821" s="84"/>
      <c r="H7821" s="352">
        <f>ROUND((9/60)/8,4)</f>
        <v>1.8800000000000001E-2</v>
      </c>
      <c r="I7821" s="105"/>
    </row>
    <row r="7822" spans="1:10">
      <c r="A7822" s="540" t="s">
        <v>4209</v>
      </c>
      <c r="B7822" s="542" t="str">
        <f>COSTOS!$C$14</f>
        <v>MODERNIZACION A TECNOLOGIA LED</v>
      </c>
      <c r="C7822" s="542"/>
      <c r="D7822" s="542"/>
      <c r="E7822" s="542"/>
      <c r="F7822" s="542"/>
      <c r="G7822" s="542"/>
      <c r="H7822" s="543" t="s">
        <v>4210</v>
      </c>
    </row>
    <row r="7823" spans="1:10">
      <c r="A7823" s="541"/>
      <c r="B7823" s="542"/>
      <c r="C7823" s="542"/>
      <c r="D7823" s="542"/>
      <c r="E7823" s="542"/>
      <c r="F7823" s="542"/>
      <c r="G7823" s="542"/>
      <c r="H7823" s="543"/>
    </row>
    <row r="7824" spans="1:10">
      <c r="A7824" s="541"/>
      <c r="B7824" s="542"/>
      <c r="C7824" s="542"/>
      <c r="D7824" s="542"/>
      <c r="E7824" s="542"/>
      <c r="F7824" s="542"/>
      <c r="G7824" s="542"/>
      <c r="H7824" s="543"/>
    </row>
    <row r="7825" spans="1:15" ht="15" customHeight="1">
      <c r="A7825" s="541"/>
      <c r="B7825" s="542"/>
      <c r="C7825" s="542"/>
      <c r="D7825" s="542"/>
      <c r="E7825" s="542"/>
      <c r="F7825" s="542"/>
      <c r="G7825" s="542"/>
      <c r="H7825" s="197">
        <f ca="1">TODAY()</f>
        <v>44889</v>
      </c>
      <c r="K7825" t="s">
        <v>4380</v>
      </c>
      <c r="L7825" t="s">
        <v>4381</v>
      </c>
      <c r="M7825" t="s">
        <v>4382</v>
      </c>
      <c r="N7825" t="s">
        <v>4383</v>
      </c>
    </row>
    <row r="7826" spans="1:15" ht="60.75" customHeight="1">
      <c r="A7826" s="209" t="s">
        <v>4211</v>
      </c>
      <c r="B7826" s="544" t="str">
        <f>COSTOS!$D$16</f>
        <v>Luminarias</v>
      </c>
      <c r="C7826" s="544"/>
      <c r="D7826" s="544"/>
      <c r="E7826" s="544"/>
      <c r="F7826" s="544"/>
      <c r="G7826" s="60" t="s">
        <v>4212</v>
      </c>
      <c r="H7826" s="363">
        <v>3.41</v>
      </c>
      <c r="K7826" s="55" t="e">
        <f>H7852</f>
        <v>#VALUE!</v>
      </c>
      <c r="L7826" s="55">
        <f>H7862</f>
        <v>6210.9184000000005</v>
      </c>
      <c r="M7826" s="55" t="e">
        <f>H7835</f>
        <v>#VALUE!</v>
      </c>
      <c r="N7826" s="55" t="e">
        <f>H7856</f>
        <v>#VALUE!</v>
      </c>
    </row>
    <row r="7827" spans="1:15" ht="43.2" customHeight="1">
      <c r="A7827" s="210" t="s">
        <v>4213</v>
      </c>
      <c r="B7827" s="545" t="str">
        <f>VLOOKUP(H7826,COSTOS!C:M,2,0)</f>
        <v>Red subterránea de baja tensión con cable aislado de aluminio S8000 3 x 1/0AWG (2f+n) + 1 x 4AWG (t) x 500 MTS</v>
      </c>
      <c r="C7827" s="546"/>
      <c r="D7827" s="546"/>
      <c r="E7827" s="547"/>
      <c r="F7827" s="61" t="s">
        <v>0</v>
      </c>
      <c r="G7827" s="328" t="str">
        <f>VLOOKUP(H7826,COSTOS!C:M,8,0)</f>
        <v>Und</v>
      </c>
      <c r="H7827" s="248"/>
      <c r="I7827" s="278"/>
      <c r="J7827" s="280"/>
      <c r="K7827" s="280"/>
      <c r="L7827" s="280"/>
    </row>
    <row r="7828" spans="1:15">
      <c r="A7828" s="211"/>
      <c r="B7828" s="102"/>
      <c r="C7828" s="102"/>
      <c r="D7828" s="102"/>
      <c r="E7828" s="103"/>
      <c r="F7828" s="104" t="s">
        <v>1</v>
      </c>
      <c r="G7828" s="328">
        <f>VLOOKUP(H7826,COSTOS!C:M,9,0)</f>
        <v>0</v>
      </c>
      <c r="H7828" s="329"/>
      <c r="I7828" s="279"/>
    </row>
    <row r="7829" spans="1:15">
      <c r="A7829" s="212" t="s">
        <v>4215</v>
      </c>
      <c r="B7829" s="65"/>
      <c r="C7829" s="65"/>
      <c r="D7829" s="66"/>
      <c r="E7829" s="190"/>
      <c r="F7829" s="191"/>
      <c r="G7829" s="192" t="s">
        <v>4216</v>
      </c>
      <c r="H7829" s="198" t="e">
        <f>H7835+H7852+H7856+H7862</f>
        <v>#VALUE!</v>
      </c>
    </row>
    <row r="7830" spans="1:15" ht="41.4">
      <c r="A7830" s="548" t="s">
        <v>4213</v>
      </c>
      <c r="B7830" s="548"/>
      <c r="C7830" s="548"/>
      <c r="D7830" s="67" t="s">
        <v>0</v>
      </c>
      <c r="E7830" s="188" t="s">
        <v>4217</v>
      </c>
      <c r="F7830" s="189" t="s">
        <v>4204</v>
      </c>
      <c r="G7830" s="64" t="s">
        <v>2</v>
      </c>
      <c r="H7830" s="199" t="s">
        <v>4218</v>
      </c>
      <c r="K7830" s="281"/>
    </row>
    <row r="7831" spans="1:15">
      <c r="A7831" s="517" t="s">
        <v>3946</v>
      </c>
      <c r="B7831" s="549">
        <f>VLOOKUP(A7831,'Equip, Herr y Transp'!$B$2:$E$738,2,0)</f>
        <v>2</v>
      </c>
      <c r="C7831" s="549"/>
      <c r="D7831" s="85">
        <f>VLOOKUP(A7831,'Equip, Herr y Transp'!$B$2:$E$217,2,0)</f>
        <v>2</v>
      </c>
      <c r="E7831" s="85" t="str">
        <f>VLOOKUP(A7831,'Equip, Herr y Transp'!$B$2:$E$217,3,0)</f>
        <v>EQU</v>
      </c>
      <c r="F7831" s="86">
        <f>H7821</f>
        <v>1.8800000000000001E-2</v>
      </c>
      <c r="G7831" s="112" t="e">
        <f>F7831*E7831</f>
        <v>#VALUE!</v>
      </c>
      <c r="H7831" s="108"/>
    </row>
    <row r="7832" spans="1:15">
      <c r="A7832" s="517" t="s">
        <v>3904</v>
      </c>
      <c r="B7832" s="549">
        <f>VLOOKUP(A7832,'Equip, Herr y Transp'!$B$2:$E$738,2,0)</f>
        <v>2</v>
      </c>
      <c r="C7832" s="549"/>
      <c r="D7832" s="85">
        <f>VLOOKUP(A7832,'Equip, Herr y Transp'!$B$2:$E$217,2,0)</f>
        <v>2</v>
      </c>
      <c r="E7832" s="85" t="str">
        <f>VLOOKUP(A7832,'Equip, Herr y Transp'!$B$2:$E$217,3,0)</f>
        <v>EQU</v>
      </c>
      <c r="F7832" s="86">
        <f>H7821</f>
        <v>1.8800000000000001E-2</v>
      </c>
      <c r="G7832" s="112" t="e">
        <f>F7832*E7832</f>
        <v>#VALUE!</v>
      </c>
      <c r="H7832" s="107"/>
    </row>
    <row r="7833" spans="1:15">
      <c r="A7833" s="517" t="s">
        <v>8</v>
      </c>
      <c r="B7833" s="549" t="e">
        <f>VLOOKUP(A7833,'Equip, Herr y Transp'!$B$2:$E$738,2,0)</f>
        <v>#N/A</v>
      </c>
      <c r="C7833" s="549"/>
      <c r="D7833" s="85" t="e">
        <f>VLOOKUP(A7833,'Equip, Herr y Transp'!$B$2:$E$217,2,0)</f>
        <v>#N/A</v>
      </c>
      <c r="E7833" s="85" t="e">
        <f>VLOOKUP(A7833,'Equip, Herr y Transp'!$B$2:$E$217,3,0)</f>
        <v>#N/A</v>
      </c>
      <c r="F7833" s="86">
        <f>H7821</f>
        <v>1.8800000000000001E-2</v>
      </c>
      <c r="G7833" s="112" t="e">
        <f>F7833*E7833</f>
        <v>#N/A</v>
      </c>
      <c r="H7833" s="107"/>
    </row>
    <row r="7834" spans="1:15">
      <c r="A7834" s="517" t="s">
        <v>8</v>
      </c>
      <c r="B7834" s="549" t="e">
        <f>VLOOKUP(A7834,'Equip, Herr y Transp'!$B$2:$E$738,2,0)</f>
        <v>#N/A</v>
      </c>
      <c r="C7834" s="549"/>
      <c r="D7834" s="85" t="e">
        <f>VLOOKUP(A7834,'Equip, Herr y Transp'!$B$2:$E$217,2,0)</f>
        <v>#N/A</v>
      </c>
      <c r="E7834" s="85" t="e">
        <f>VLOOKUP(A7834,'Equip, Herr y Transp'!$B$2:$E$217,3,0)</f>
        <v>#N/A</v>
      </c>
      <c r="F7834" s="86">
        <f>H7821</f>
        <v>1.8800000000000001E-2</v>
      </c>
      <c r="G7834" s="112" t="e">
        <f>F7834*E7834</f>
        <v>#N/A</v>
      </c>
      <c r="H7834" s="107"/>
    </row>
    <row r="7835" spans="1:15">
      <c r="A7835" s="520" t="s">
        <v>4099</v>
      </c>
      <c r="B7835" s="521"/>
      <c r="C7835" s="521"/>
      <c r="D7835" s="521"/>
      <c r="E7835" s="521"/>
      <c r="F7835" s="521"/>
      <c r="G7835" s="521"/>
      <c r="H7835" s="87" t="e">
        <f>SUM(G7831:G7834)</f>
        <v>#VALUE!</v>
      </c>
    </row>
    <row r="7836" spans="1:15">
      <c r="A7836" s="550" t="s">
        <v>4219</v>
      </c>
      <c r="B7836" s="551"/>
      <c r="C7836" s="551"/>
      <c r="D7836" s="551"/>
      <c r="E7836" s="551"/>
      <c r="F7836" s="551"/>
      <c r="G7836" s="551"/>
      <c r="H7836" s="552"/>
      <c r="K7836" s="50"/>
      <c r="L7836" s="50"/>
      <c r="M7836" s="50"/>
      <c r="N7836" s="50"/>
      <c r="O7836" s="50"/>
    </row>
    <row r="7837" spans="1:15" ht="30" customHeight="1">
      <c r="A7837" s="553" t="s">
        <v>7</v>
      </c>
      <c r="B7837" s="554"/>
      <c r="C7837" s="99" t="s">
        <v>0</v>
      </c>
      <c r="D7837" s="100" t="s">
        <v>4097</v>
      </c>
      <c r="E7837" s="101" t="s">
        <v>1</v>
      </c>
      <c r="F7837" s="555" t="s">
        <v>4207</v>
      </c>
      <c r="G7837" s="555"/>
      <c r="H7837" s="196"/>
      <c r="K7837" s="50"/>
      <c r="L7837" s="50"/>
      <c r="M7837" s="50"/>
      <c r="N7837" s="50"/>
      <c r="O7837" s="50"/>
    </row>
    <row r="7838" spans="1:15">
      <c r="A7838" s="535" t="s">
        <v>4794</v>
      </c>
      <c r="B7838" s="536"/>
      <c r="C7838" s="88">
        <f>VLOOKUP(A7838,'Materiales '!$C$2:$G$396,3,0)</f>
        <v>2</v>
      </c>
      <c r="D7838" s="89" t="str">
        <f>VLOOKUP(A7838,'Materiales '!$C$2:$G$396,4,0)</f>
        <v>Ml</v>
      </c>
      <c r="E7838" s="90">
        <v>3</v>
      </c>
      <c r="F7838" s="508" t="e">
        <f>E7838*D7838</f>
        <v>#VALUE!</v>
      </c>
      <c r="G7838" s="519"/>
      <c r="H7838" s="111"/>
      <c r="I7838">
        <f>E7838*G7828</f>
        <v>0</v>
      </c>
      <c r="J7838" s="57"/>
      <c r="K7838" s="50"/>
      <c r="L7838" s="50"/>
      <c r="M7838" s="50"/>
      <c r="N7838" s="50"/>
      <c r="O7838" s="50"/>
    </row>
    <row r="7839" spans="1:15">
      <c r="A7839" s="535" t="s">
        <v>4458</v>
      </c>
      <c r="B7839" s="536"/>
      <c r="C7839" s="88">
        <f>VLOOKUP(A7839,'Materiales '!$C$2:$G$396,3,0)</f>
        <v>3</v>
      </c>
      <c r="D7839" s="89" t="str">
        <f>VLOOKUP(A7839,'Materiales '!$C$2:$G$396,4,0)</f>
        <v>Rollo</v>
      </c>
      <c r="E7839" s="90">
        <f>1/30</f>
        <v>3.3333333333333333E-2</v>
      </c>
      <c r="F7839" s="508" t="e">
        <f t="shared" ref="F7839:F7845" si="457">E7839*D7839</f>
        <v>#VALUE!</v>
      </c>
      <c r="G7839" s="519"/>
      <c r="H7839" s="111"/>
      <c r="I7839">
        <f>E7839*G7828</f>
        <v>0</v>
      </c>
      <c r="J7839" s="57"/>
      <c r="K7839" s="50"/>
      <c r="L7839" s="50"/>
      <c r="M7839" s="50"/>
      <c r="N7839" s="50"/>
      <c r="O7839" s="50"/>
    </row>
    <row r="7840" spans="1:15">
      <c r="A7840" s="517" t="s">
        <v>4433</v>
      </c>
      <c r="B7840" s="518">
        <f>VLOOKUP(A7840,'Materiales '!$C$2:$G$396,3,0)</f>
        <v>2</v>
      </c>
      <c r="C7840" s="88">
        <f>VLOOKUP(A7840,'Materiales '!$C$2:$G$396,3,0)</f>
        <v>2</v>
      </c>
      <c r="D7840" s="89" t="str">
        <f>VLOOKUP(A7840,'Materiales '!$C$2:$G$396,4,0)</f>
        <v>Ml</v>
      </c>
      <c r="E7840" s="90">
        <v>1</v>
      </c>
      <c r="F7840" s="508" t="e">
        <f t="shared" si="457"/>
        <v>#VALUE!</v>
      </c>
      <c r="G7840" s="519"/>
      <c r="H7840" s="111"/>
      <c r="I7840">
        <f>E7840*G7828</f>
        <v>0</v>
      </c>
      <c r="J7840" s="58"/>
      <c r="K7840" s="50"/>
      <c r="L7840" s="50"/>
      <c r="M7840" s="50"/>
      <c r="N7840" s="50"/>
      <c r="O7840" s="50"/>
    </row>
    <row r="7841" spans="1:15">
      <c r="A7841" s="517" t="s">
        <v>8</v>
      </c>
      <c r="B7841" s="518">
        <f>VLOOKUP(A7841,'Materiales '!$C$2:$G$396,3,0)</f>
        <v>0</v>
      </c>
      <c r="C7841" s="88">
        <f>VLOOKUP(A7841,'Materiales '!$C$2:$G$396,3,0)</f>
        <v>0</v>
      </c>
      <c r="D7841" s="89" t="str">
        <f>VLOOKUP(A7841,'Materiales '!$C$2:$G$396,4,0)</f>
        <v>-</v>
      </c>
      <c r="E7841" s="90"/>
      <c r="F7841" s="508" t="e">
        <f t="shared" si="457"/>
        <v>#VALUE!</v>
      </c>
      <c r="G7841" s="519"/>
      <c r="H7841" s="111"/>
      <c r="I7841">
        <f>E7841*G7828</f>
        <v>0</v>
      </c>
      <c r="J7841" s="58"/>
      <c r="K7841" s="50"/>
      <c r="L7841" s="50"/>
      <c r="M7841" s="50"/>
      <c r="N7841" s="50"/>
      <c r="O7841" s="50"/>
    </row>
    <row r="7842" spans="1:15">
      <c r="A7842" s="517" t="s">
        <v>8</v>
      </c>
      <c r="B7842" s="518">
        <f>VLOOKUP(A7842,'Materiales '!$C$2:$G$396,3,0)</f>
        <v>0</v>
      </c>
      <c r="C7842" s="88">
        <f>VLOOKUP(A7842,'Materiales '!$C$2:$G$396,3,0)</f>
        <v>0</v>
      </c>
      <c r="D7842" s="89" t="str">
        <f>VLOOKUP(A7842,'Materiales '!$C$2:$G$396,4,0)</f>
        <v>-</v>
      </c>
      <c r="E7842" s="90"/>
      <c r="F7842" s="508" t="e">
        <f t="shared" si="457"/>
        <v>#VALUE!</v>
      </c>
      <c r="G7842" s="519"/>
      <c r="H7842" s="111"/>
      <c r="I7842">
        <f>E7842*G7828</f>
        <v>0</v>
      </c>
      <c r="J7842" s="58"/>
      <c r="K7842" s="50"/>
      <c r="L7842" s="50"/>
      <c r="M7842" s="50"/>
      <c r="N7842" s="50"/>
      <c r="O7842" s="50"/>
    </row>
    <row r="7843" spans="1:15">
      <c r="A7843" s="517" t="s">
        <v>8</v>
      </c>
      <c r="B7843" s="518">
        <f>VLOOKUP(A7843,'Materiales '!$C$2:$G$396,3,0)</f>
        <v>0</v>
      </c>
      <c r="C7843" s="88">
        <f>VLOOKUP(A7843,'Materiales '!$C$2:$G$396,3,0)</f>
        <v>0</v>
      </c>
      <c r="D7843" s="89" t="str">
        <f>VLOOKUP(A7843,'Materiales '!$C$2:$G$396,4,0)</f>
        <v>-</v>
      </c>
      <c r="E7843" s="90"/>
      <c r="F7843" s="508" t="e">
        <f t="shared" si="457"/>
        <v>#VALUE!</v>
      </c>
      <c r="G7843" s="519"/>
      <c r="H7843" s="111"/>
      <c r="I7843">
        <f>E7843*G7828</f>
        <v>0</v>
      </c>
      <c r="J7843" s="58"/>
      <c r="K7843" s="50"/>
      <c r="L7843" s="50"/>
      <c r="M7843" s="50"/>
      <c r="N7843" s="50"/>
      <c r="O7843" s="50"/>
    </row>
    <row r="7844" spans="1:15">
      <c r="A7844" s="517" t="s">
        <v>8</v>
      </c>
      <c r="B7844" s="518">
        <f>VLOOKUP(A7844,'Materiales '!$C$2:$G$396,3,0)</f>
        <v>0</v>
      </c>
      <c r="C7844" s="88">
        <f>VLOOKUP(A7844,'Materiales '!$C$2:$G$396,3,0)</f>
        <v>0</v>
      </c>
      <c r="D7844" s="89" t="str">
        <f>VLOOKUP(A7844,'Materiales '!$C$2:$G$396,4,0)</f>
        <v>-</v>
      </c>
      <c r="E7844" s="90"/>
      <c r="F7844" s="508" t="e">
        <f t="shared" si="457"/>
        <v>#VALUE!</v>
      </c>
      <c r="G7844" s="519"/>
      <c r="H7844" s="111"/>
      <c r="I7844">
        <f>E7844*G7828</f>
        <v>0</v>
      </c>
      <c r="J7844" s="58"/>
      <c r="K7844" s="50"/>
      <c r="L7844" s="50"/>
      <c r="M7844" s="50"/>
      <c r="N7844" s="50"/>
      <c r="O7844" s="50"/>
    </row>
    <row r="7845" spans="1:15" ht="21.75" customHeight="1">
      <c r="A7845" s="517" t="s">
        <v>8</v>
      </c>
      <c r="B7845" s="518">
        <f>VLOOKUP(A7845,'Materiales '!$C$2:$G$396,3,0)</f>
        <v>0</v>
      </c>
      <c r="C7845" s="88">
        <f>VLOOKUP(A7845,'Materiales '!$C$2:$G$396,3,0)</f>
        <v>0</v>
      </c>
      <c r="D7845" s="89" t="str">
        <f>VLOOKUP(A7845,'Materiales '!$C$2:$G$396,4,0)</f>
        <v>-</v>
      </c>
      <c r="E7845" s="90"/>
      <c r="F7845" s="508" t="e">
        <f t="shared" si="457"/>
        <v>#VALUE!</v>
      </c>
      <c r="G7845" s="519"/>
      <c r="H7845" s="111"/>
      <c r="I7845">
        <f>E7845*G7828</f>
        <v>0</v>
      </c>
      <c r="J7845" s="58"/>
      <c r="K7845" s="50"/>
      <c r="L7845" s="50"/>
      <c r="M7845" s="50"/>
      <c r="N7845" s="50"/>
      <c r="O7845" s="50"/>
    </row>
    <row r="7846" spans="1:15">
      <c r="A7846" s="517" t="s">
        <v>8</v>
      </c>
      <c r="B7846" s="518">
        <f>VLOOKUP(A7846,'Materiales '!$C$2:$G$396,3,0)</f>
        <v>0</v>
      </c>
      <c r="C7846" s="88">
        <f>VLOOKUP(A7846,'Materiales '!$C$2:$G$396,3,0)</f>
        <v>0</v>
      </c>
      <c r="D7846" s="89" t="str">
        <f>VLOOKUP(A7846,'Materiales '!$C$2:$G$396,4,0)</f>
        <v>-</v>
      </c>
      <c r="E7846" s="90"/>
      <c r="F7846" s="508" t="e">
        <f>E7846*D7846</f>
        <v>#VALUE!</v>
      </c>
      <c r="G7846" s="519"/>
      <c r="H7846" s="110"/>
      <c r="I7846">
        <f>E7846*G7828</f>
        <v>0</v>
      </c>
      <c r="J7846" s="58"/>
      <c r="K7846" s="50"/>
      <c r="L7846" s="50"/>
      <c r="M7846" s="50"/>
      <c r="N7846" s="50"/>
      <c r="O7846" s="50"/>
    </row>
    <row r="7847" spans="1:15">
      <c r="A7847" s="517" t="s">
        <v>8</v>
      </c>
      <c r="B7847" s="518">
        <f>VLOOKUP(A7847,'Materiales '!$C$2:$G$396,3,0)</f>
        <v>0</v>
      </c>
      <c r="C7847" s="88">
        <f>VLOOKUP(A7847,'Materiales '!$C$2:$G$396,3,0)</f>
        <v>0</v>
      </c>
      <c r="D7847" s="89" t="str">
        <f>VLOOKUP(A7847,'Materiales '!$C$2:$G$396,4,0)</f>
        <v>-</v>
      </c>
      <c r="E7847" s="90"/>
      <c r="F7847" s="508" t="e">
        <f t="shared" ref="F7847:F7850" si="458">E7847*D7847</f>
        <v>#VALUE!</v>
      </c>
      <c r="G7847" s="519"/>
      <c r="H7847" s="111"/>
      <c r="I7847">
        <f>E7847*G7828</f>
        <v>0</v>
      </c>
      <c r="J7847" s="58"/>
      <c r="K7847" s="50"/>
      <c r="L7847" s="50"/>
      <c r="M7847" s="50"/>
      <c r="N7847" s="50"/>
      <c r="O7847" s="50"/>
    </row>
    <row r="7848" spans="1:15">
      <c r="A7848" s="517" t="s">
        <v>8</v>
      </c>
      <c r="B7848" s="518">
        <f>VLOOKUP(A7848,'Materiales '!$C$2:$G$396,3,0)</f>
        <v>0</v>
      </c>
      <c r="C7848" s="88">
        <f>VLOOKUP(A7848,'Materiales '!$C$2:$G$396,3,0)</f>
        <v>0</v>
      </c>
      <c r="D7848" s="89" t="str">
        <f>VLOOKUP(A7848,'Materiales '!$C$2:$G$396,4,0)</f>
        <v>-</v>
      </c>
      <c r="E7848" s="90"/>
      <c r="F7848" s="508" t="e">
        <f t="shared" si="458"/>
        <v>#VALUE!</v>
      </c>
      <c r="G7848" s="519"/>
      <c r="H7848" s="111"/>
      <c r="I7848">
        <f>E7848*G7828</f>
        <v>0</v>
      </c>
      <c r="J7848" s="58"/>
      <c r="K7848" s="50"/>
      <c r="L7848" s="50"/>
      <c r="M7848" s="50"/>
      <c r="N7848" s="50"/>
      <c r="O7848" s="50"/>
    </row>
    <row r="7849" spans="1:15">
      <c r="A7849" s="517" t="s">
        <v>8</v>
      </c>
      <c r="B7849" s="518">
        <f>VLOOKUP(A7849,'Materiales '!$C$2:$G$396,3,0)</f>
        <v>0</v>
      </c>
      <c r="C7849" s="88">
        <f>VLOOKUP(A7849,'Materiales '!$C$2:$G$396,3,0)</f>
        <v>0</v>
      </c>
      <c r="D7849" s="89" t="str">
        <f>VLOOKUP(A7849,'Materiales '!$C$2:$G$396,4,0)</f>
        <v>-</v>
      </c>
      <c r="E7849" s="90"/>
      <c r="F7849" s="508" t="e">
        <f t="shared" si="458"/>
        <v>#VALUE!</v>
      </c>
      <c r="G7849" s="519"/>
      <c r="H7849" s="111"/>
      <c r="I7849">
        <f>E7849*G7828</f>
        <v>0</v>
      </c>
      <c r="J7849" s="58"/>
      <c r="K7849" s="50"/>
      <c r="L7849" s="50"/>
      <c r="M7849" s="50"/>
      <c r="N7849" s="50"/>
      <c r="O7849" s="50"/>
    </row>
    <row r="7850" spans="1:15">
      <c r="A7850" s="517" t="s">
        <v>8</v>
      </c>
      <c r="B7850" s="518">
        <f>VLOOKUP(A7850,'Materiales '!$C$2:$G$396,3,0)</f>
        <v>0</v>
      </c>
      <c r="C7850" s="88">
        <f>VLOOKUP(A7850,'Materiales '!$C$2:$G$396,3,0)</f>
        <v>0</v>
      </c>
      <c r="D7850" s="89" t="str">
        <f>VLOOKUP(A7850,'Materiales '!$C$2:$G$396,4,0)</f>
        <v>-</v>
      </c>
      <c r="E7850" s="90"/>
      <c r="F7850" s="508" t="e">
        <f t="shared" si="458"/>
        <v>#VALUE!</v>
      </c>
      <c r="G7850" s="519"/>
      <c r="H7850" s="111"/>
      <c r="I7850">
        <f>E7850*G7828</f>
        <v>0</v>
      </c>
      <c r="J7850" s="58"/>
      <c r="K7850" s="50"/>
      <c r="L7850" s="50"/>
      <c r="M7850" s="50"/>
      <c r="N7850" s="50"/>
      <c r="O7850" s="50"/>
    </row>
    <row r="7851" spans="1:15">
      <c r="A7851" s="517" t="s">
        <v>8</v>
      </c>
      <c r="B7851" s="518">
        <f>VLOOKUP(A7851,'Materiales '!$C$2:$G$396,3,0)</f>
        <v>0</v>
      </c>
      <c r="C7851" s="88">
        <f>VLOOKUP(A7851,'Materiales '!$C$2:$G$396,3,0)</f>
        <v>0</v>
      </c>
      <c r="D7851" s="89" t="str">
        <f>VLOOKUP(A7851,'Materiales '!$C$2:$G$396,4,0)</f>
        <v>-</v>
      </c>
      <c r="E7851" s="90"/>
      <c r="F7851" s="508" t="e">
        <f>E7851*D7851</f>
        <v>#VALUE!</v>
      </c>
      <c r="G7851" s="519"/>
      <c r="H7851" s="110"/>
      <c r="I7851">
        <f>E7851*G7828</f>
        <v>0</v>
      </c>
      <c r="J7851" s="58"/>
      <c r="K7851" s="50"/>
      <c r="L7851" s="50"/>
      <c r="M7851" s="50"/>
      <c r="N7851" s="50"/>
      <c r="O7851" s="50"/>
    </row>
    <row r="7852" spans="1:15">
      <c r="A7852" s="520" t="s">
        <v>4098</v>
      </c>
      <c r="B7852" s="521"/>
      <c r="C7852" s="521"/>
      <c r="D7852" s="521"/>
      <c r="E7852" s="521"/>
      <c r="F7852" s="521"/>
      <c r="G7852" s="522"/>
      <c r="H7852" s="106" t="e">
        <f>SUM(F7838:F7851)</f>
        <v>#VALUE!</v>
      </c>
      <c r="J7852" s="58"/>
      <c r="K7852" s="50"/>
      <c r="L7852" s="50"/>
      <c r="M7852" s="50"/>
      <c r="N7852" s="50"/>
      <c r="O7852" s="50"/>
    </row>
    <row r="7853" spans="1:15">
      <c r="A7853" s="523" t="s">
        <v>4220</v>
      </c>
      <c r="B7853" s="524"/>
      <c r="C7853" s="524"/>
      <c r="D7853" s="524"/>
      <c r="E7853" s="525"/>
      <c r="F7853" s="524"/>
      <c r="G7853" s="524"/>
      <c r="H7853" s="526"/>
      <c r="J7853" s="58"/>
      <c r="K7853" s="50"/>
      <c r="L7853" s="50"/>
      <c r="M7853" s="50"/>
      <c r="N7853" s="50"/>
      <c r="O7853" s="50"/>
    </row>
    <row r="7854" spans="1:15">
      <c r="A7854" s="527" t="s">
        <v>7</v>
      </c>
      <c r="B7854" s="528"/>
      <c r="C7854" s="98" t="s">
        <v>4221</v>
      </c>
      <c r="D7854" s="97" t="s">
        <v>4222</v>
      </c>
      <c r="E7854" s="187" t="s">
        <v>4223</v>
      </c>
      <c r="F7854" s="529" t="s">
        <v>4207</v>
      </c>
      <c r="G7854" s="529"/>
      <c r="H7854" s="109"/>
      <c r="K7854" s="50"/>
      <c r="L7854" s="50"/>
      <c r="M7854" s="50"/>
      <c r="N7854" s="50"/>
      <c r="O7854" s="50"/>
    </row>
    <row r="7855" spans="1:15">
      <c r="A7855" s="506" t="s">
        <v>3928</v>
      </c>
      <c r="B7855" s="507"/>
      <c r="C7855" s="213">
        <v>1</v>
      </c>
      <c r="D7855" s="92">
        <v>5.0000000000000001E-3</v>
      </c>
      <c r="E7855" s="93" t="str">
        <f>VLOOKUP(A7855,'Equip, Herr y Transp'!$B$2:$E$217,3,0)</f>
        <v>TR</v>
      </c>
      <c r="F7855" s="530" t="e">
        <f>E7855*D7855*C7855</f>
        <v>#VALUE!</v>
      </c>
      <c r="G7855" s="531"/>
      <c r="H7855" s="107"/>
      <c r="M7855" s="50"/>
    </row>
    <row r="7856" spans="1:15">
      <c r="A7856" s="532" t="s">
        <v>4205</v>
      </c>
      <c r="B7856" s="533"/>
      <c r="C7856" s="533"/>
      <c r="D7856" s="533"/>
      <c r="E7856" s="533"/>
      <c r="F7856" s="533"/>
      <c r="G7856" s="533"/>
      <c r="H7856" s="95" t="e">
        <f>F7855</f>
        <v>#VALUE!</v>
      </c>
    </row>
    <row r="7857" spans="1:10">
      <c r="A7857" s="523" t="s">
        <v>4224</v>
      </c>
      <c r="B7857" s="524"/>
      <c r="C7857" s="524"/>
      <c r="D7857" s="524"/>
      <c r="E7857" s="524"/>
      <c r="F7857" s="524"/>
      <c r="G7857" s="524"/>
      <c r="H7857" s="526"/>
    </row>
    <row r="7858" spans="1:10">
      <c r="A7858" s="527" t="s">
        <v>7</v>
      </c>
      <c r="B7858" s="528"/>
      <c r="C7858" s="96" t="s">
        <v>1</v>
      </c>
      <c r="D7858" s="97" t="s">
        <v>4225</v>
      </c>
      <c r="E7858" s="98" t="s">
        <v>4204</v>
      </c>
      <c r="F7858" s="527" t="s">
        <v>5</v>
      </c>
      <c r="G7858" s="534"/>
      <c r="H7858" s="109"/>
    </row>
    <row r="7859" spans="1:10">
      <c r="A7859" s="506" t="s">
        <v>4191</v>
      </c>
      <c r="B7859" s="507"/>
      <c r="C7859" s="91">
        <v>1</v>
      </c>
      <c r="D7859" s="94">
        <f>VLOOKUP(A7859,'Mano Obra'!$B$2:$T$117,19,0)</f>
        <v>152456</v>
      </c>
      <c r="E7859" s="218">
        <f>H7821</f>
        <v>1.8800000000000001E-2</v>
      </c>
      <c r="F7859" s="508">
        <f>E7859*D7859*C7859</f>
        <v>2866.1728000000003</v>
      </c>
      <c r="G7859" s="509"/>
      <c r="H7859" s="111"/>
      <c r="I7859" s="59"/>
      <c r="J7859" s="117">
        <f>((('Mano Obra'!$M$4/30)*F7859)/D7859)*G7828</f>
        <v>0</v>
      </c>
    </row>
    <row r="7860" spans="1:10">
      <c r="A7860" s="510" t="s">
        <v>4192</v>
      </c>
      <c r="B7860" s="511">
        <f>VLOOKUP(A7860,'Mano Obra'!$B$3:$D$290,2,0)</f>
        <v>1900000</v>
      </c>
      <c r="C7860" s="91">
        <v>1</v>
      </c>
      <c r="D7860" s="94">
        <f>VLOOKUP(A7860,'Mano Obra'!$B$2:$T$117,19,0)</f>
        <v>110488</v>
      </c>
      <c r="E7860" s="218">
        <f>H7821</f>
        <v>1.8800000000000001E-2</v>
      </c>
      <c r="F7860" s="508">
        <f t="shared" ref="F7860:F7861" si="459">E7860*D7860*C7860</f>
        <v>2077.1743999999999</v>
      </c>
      <c r="G7860" s="509"/>
      <c r="H7860" s="111"/>
      <c r="J7860" s="117">
        <f>((('Mano Obra'!$M$5/30)*F7860)/D7860)*G7828</f>
        <v>0</v>
      </c>
    </row>
    <row r="7861" spans="1:10">
      <c r="A7861" s="510" t="s">
        <v>4181</v>
      </c>
      <c r="B7861" s="511">
        <f>VLOOKUP(A7861,'Mano Obra'!$B$3:$D$290,2,0)</f>
        <v>1000000</v>
      </c>
      <c r="C7861" s="91">
        <v>1</v>
      </c>
      <c r="D7861" s="94">
        <f>VLOOKUP(A7861,'Mano Obra'!$B$2:$T$117,19,0)</f>
        <v>67424</v>
      </c>
      <c r="E7861" s="218">
        <f>H7821</f>
        <v>1.8800000000000001E-2</v>
      </c>
      <c r="F7861" s="508">
        <f t="shared" si="459"/>
        <v>1267.5712000000001</v>
      </c>
      <c r="G7861" s="509"/>
      <c r="H7861" s="110"/>
      <c r="J7861" s="117">
        <f>((('Mano Obra'!$M$6/30)*F7861)/D7861)*G7828</f>
        <v>0</v>
      </c>
    </row>
    <row r="7862" spans="1:10">
      <c r="A7862" s="512" t="s">
        <v>4100</v>
      </c>
      <c r="B7862" s="512"/>
      <c r="C7862" s="512"/>
      <c r="D7862" s="512"/>
      <c r="E7862" s="512"/>
      <c r="F7862" s="512"/>
      <c r="G7862" s="512"/>
      <c r="H7862" s="95">
        <f>SUM(F7859:F7861)</f>
        <v>6210.9184000000005</v>
      </c>
      <c r="J7862" s="117"/>
    </row>
    <row r="7863" spans="1:10">
      <c r="A7863" s="208" t="s">
        <v>4226</v>
      </c>
      <c r="B7863" s="186"/>
      <c r="C7863" s="186"/>
      <c r="D7863" s="183"/>
      <c r="E7863" s="184"/>
      <c r="F7863" s="185"/>
      <c r="G7863" s="184"/>
      <c r="H7863" s="193"/>
    </row>
    <row r="7864" spans="1:10">
      <c r="A7864" s="513" t="s">
        <v>4213</v>
      </c>
      <c r="B7864" s="514"/>
      <c r="C7864" s="514"/>
      <c r="D7864" s="514"/>
      <c r="E7864" s="181"/>
      <c r="F7864" s="182" t="s">
        <v>4227</v>
      </c>
      <c r="G7864" s="181" t="s">
        <v>4228</v>
      </c>
      <c r="H7864" s="194"/>
    </row>
    <row r="7865" spans="1:10">
      <c r="A7865" s="204" t="s">
        <v>4096</v>
      </c>
      <c r="B7865" s="62"/>
      <c r="C7865" s="62"/>
      <c r="D7865" s="63"/>
      <c r="E7865" s="68"/>
      <c r="F7865" s="69">
        <v>0</v>
      </c>
      <c r="G7865" s="70" t="e">
        <f>F7865*H7829</f>
        <v>#VALUE!</v>
      </c>
      <c r="H7865" s="193"/>
    </row>
    <row r="7866" spans="1:10">
      <c r="A7866" s="205" t="s">
        <v>4229</v>
      </c>
      <c r="B7866" s="71"/>
      <c r="C7866" s="71"/>
      <c r="D7866" s="72"/>
      <c r="E7866" s="68"/>
      <c r="F7866" s="69">
        <v>0</v>
      </c>
      <c r="G7866" s="70" t="e">
        <f>F7866*H7829</f>
        <v>#VALUE!</v>
      </c>
      <c r="H7866" s="193"/>
    </row>
    <row r="7867" spans="1:10">
      <c r="A7867" s="205" t="s">
        <v>4</v>
      </c>
      <c r="B7867" s="71"/>
      <c r="C7867" s="71"/>
      <c r="D7867" s="72"/>
      <c r="E7867" s="68"/>
      <c r="F7867" s="69">
        <v>0</v>
      </c>
      <c r="G7867" s="70" t="e">
        <f>F7867*H7829</f>
        <v>#VALUE!</v>
      </c>
      <c r="H7867" s="193"/>
    </row>
    <row r="7868" spans="1:10">
      <c r="A7868" s="206"/>
      <c r="B7868" s="73"/>
      <c r="C7868" s="65"/>
      <c r="D7868" s="74"/>
      <c r="E7868" s="75"/>
      <c r="F7868" s="76"/>
      <c r="G7868" s="77"/>
      <c r="H7868" s="195"/>
    </row>
    <row r="7869" spans="1:10">
      <c r="A7869" s="207"/>
      <c r="B7869" s="73"/>
      <c r="C7869" s="73"/>
      <c r="D7869" s="74"/>
      <c r="E7869" s="78"/>
      <c r="F7869" s="515" t="s">
        <v>4230</v>
      </c>
      <c r="G7869" s="516"/>
      <c r="H7869" s="214" t="e">
        <f>H7829+G7865+G7866+G7867</f>
        <v>#VALUE!</v>
      </c>
    </row>
    <row r="7871" spans="1:10">
      <c r="A7871" s="80"/>
      <c r="B7871" s="80"/>
      <c r="C7871" s="80"/>
      <c r="D7871" s="80"/>
      <c r="E7871" s="80"/>
      <c r="F7871" s="80"/>
      <c r="G7871" s="80"/>
      <c r="H7871" s="353"/>
    </row>
    <row r="7872" spans="1:10">
      <c r="A7872" s="537" t="s">
        <v>4214</v>
      </c>
      <c r="B7872" s="538"/>
      <c r="C7872" s="538"/>
      <c r="D7872" s="538"/>
      <c r="E7872" s="538"/>
      <c r="F7872" s="538"/>
      <c r="G7872" s="538"/>
      <c r="H7872" s="539"/>
    </row>
    <row r="7873" spans="1:15">
      <c r="A7873" s="81"/>
      <c r="B7873" s="82"/>
      <c r="C7873" s="82"/>
      <c r="D7873" s="82"/>
      <c r="E7873" s="82"/>
      <c r="F7873" s="83"/>
      <c r="G7873" s="84"/>
      <c r="H7873" s="352">
        <f>ROUND((11/60)/8,4)</f>
        <v>2.29E-2</v>
      </c>
      <c r="I7873" s="105"/>
    </row>
    <row r="7874" spans="1:15">
      <c r="A7874" s="540" t="s">
        <v>4209</v>
      </c>
      <c r="B7874" s="542" t="str">
        <f>COSTOS!$C$14</f>
        <v>MODERNIZACION A TECNOLOGIA LED</v>
      </c>
      <c r="C7874" s="542"/>
      <c r="D7874" s="542"/>
      <c r="E7874" s="542"/>
      <c r="F7874" s="542"/>
      <c r="G7874" s="542"/>
      <c r="H7874" s="543" t="s">
        <v>4210</v>
      </c>
    </row>
    <row r="7875" spans="1:15">
      <c r="A7875" s="541"/>
      <c r="B7875" s="542"/>
      <c r="C7875" s="542"/>
      <c r="D7875" s="542"/>
      <c r="E7875" s="542"/>
      <c r="F7875" s="542"/>
      <c r="G7875" s="542"/>
      <c r="H7875" s="543"/>
    </row>
    <row r="7876" spans="1:15">
      <c r="A7876" s="541"/>
      <c r="B7876" s="542"/>
      <c r="C7876" s="542"/>
      <c r="D7876" s="542"/>
      <c r="E7876" s="542"/>
      <c r="F7876" s="542"/>
      <c r="G7876" s="542"/>
      <c r="H7876" s="543"/>
    </row>
    <row r="7877" spans="1:15" ht="15" customHeight="1">
      <c r="A7877" s="541"/>
      <c r="B7877" s="542"/>
      <c r="C7877" s="542"/>
      <c r="D7877" s="542"/>
      <c r="E7877" s="542"/>
      <c r="F7877" s="542"/>
      <c r="G7877" s="542"/>
      <c r="H7877" s="197">
        <f ca="1">TODAY()</f>
        <v>44889</v>
      </c>
      <c r="K7877" t="s">
        <v>4380</v>
      </c>
      <c r="L7877" t="s">
        <v>4381</v>
      </c>
      <c r="M7877" t="s">
        <v>4382</v>
      </c>
      <c r="N7877" t="s">
        <v>4383</v>
      </c>
    </row>
    <row r="7878" spans="1:15" ht="60.75" customHeight="1">
      <c r="A7878" s="209" t="s">
        <v>4211</v>
      </c>
      <c r="B7878" s="544" t="str">
        <f>COSTOS!$D$16</f>
        <v>Luminarias</v>
      </c>
      <c r="C7878" s="544"/>
      <c r="D7878" s="544"/>
      <c r="E7878" s="544"/>
      <c r="F7878" s="544"/>
      <c r="G7878" s="60" t="s">
        <v>4212</v>
      </c>
      <c r="H7878" s="363">
        <v>3.42</v>
      </c>
      <c r="K7878" s="55" t="e">
        <f>H7904</f>
        <v>#VALUE!</v>
      </c>
      <c r="L7878" s="55">
        <f>H7914</f>
        <v>7565.427200000001</v>
      </c>
      <c r="M7878" s="55" t="e">
        <f>H7887</f>
        <v>#VALUE!</v>
      </c>
      <c r="N7878" s="55" t="e">
        <f>H7908</f>
        <v>#VALUE!</v>
      </c>
    </row>
    <row r="7879" spans="1:15" ht="43.2" customHeight="1">
      <c r="A7879" s="210" t="s">
        <v>4213</v>
      </c>
      <c r="B7879" s="545" t="str">
        <f>VLOOKUP(H7878,COSTOS!C:M,2,0)</f>
        <v>Red subterránea de baja tensión con cable aislado de aluminio S8000 3 x 4/0AWG (2f+n) + 1 x 2AWG (t) x 500 MTS</v>
      </c>
      <c r="C7879" s="546"/>
      <c r="D7879" s="546"/>
      <c r="E7879" s="547"/>
      <c r="F7879" s="61" t="s">
        <v>0</v>
      </c>
      <c r="G7879" s="328" t="str">
        <f>VLOOKUP(H7878,COSTOS!C:M,8,0)</f>
        <v>Und</v>
      </c>
      <c r="H7879" s="248"/>
      <c r="I7879" s="278"/>
      <c r="J7879" s="280"/>
      <c r="K7879" s="280"/>
      <c r="L7879" s="280"/>
    </row>
    <row r="7880" spans="1:15">
      <c r="A7880" s="211"/>
      <c r="B7880" s="102"/>
      <c r="C7880" s="102"/>
      <c r="D7880" s="102"/>
      <c r="E7880" s="103"/>
      <c r="F7880" s="104" t="s">
        <v>1</v>
      </c>
      <c r="G7880" s="328">
        <f>VLOOKUP(H7878,COSTOS!C:M,9,0)</f>
        <v>0</v>
      </c>
      <c r="H7880" s="329"/>
      <c r="I7880" s="279"/>
    </row>
    <row r="7881" spans="1:15">
      <c r="A7881" s="212" t="s">
        <v>4215</v>
      </c>
      <c r="B7881" s="65"/>
      <c r="C7881" s="65"/>
      <c r="D7881" s="66"/>
      <c r="E7881" s="190"/>
      <c r="F7881" s="191"/>
      <c r="G7881" s="192" t="s">
        <v>4216</v>
      </c>
      <c r="H7881" s="198" t="e">
        <f>H7887+H7904+H7908+H7914</f>
        <v>#VALUE!</v>
      </c>
    </row>
    <row r="7882" spans="1:15" ht="41.4">
      <c r="A7882" s="548" t="s">
        <v>4213</v>
      </c>
      <c r="B7882" s="548"/>
      <c r="C7882" s="548"/>
      <c r="D7882" s="67" t="s">
        <v>0</v>
      </c>
      <c r="E7882" s="188" t="s">
        <v>4217</v>
      </c>
      <c r="F7882" s="189" t="s">
        <v>4204</v>
      </c>
      <c r="G7882" s="64" t="s">
        <v>2</v>
      </c>
      <c r="H7882" s="199" t="s">
        <v>4218</v>
      </c>
      <c r="K7882" s="281"/>
    </row>
    <row r="7883" spans="1:15">
      <c r="A7883" s="517" t="s">
        <v>3946</v>
      </c>
      <c r="B7883" s="549">
        <f>VLOOKUP(A7883,'Equip, Herr y Transp'!$B$2:$E$738,2,0)</f>
        <v>2</v>
      </c>
      <c r="C7883" s="549"/>
      <c r="D7883" s="85">
        <f>VLOOKUP(A7883,'Equip, Herr y Transp'!$B$2:$E$217,2,0)</f>
        <v>2</v>
      </c>
      <c r="E7883" s="85" t="str">
        <f>VLOOKUP(A7883,'Equip, Herr y Transp'!$B$2:$E$217,3,0)</f>
        <v>EQU</v>
      </c>
      <c r="F7883" s="86">
        <f>H7873</f>
        <v>2.29E-2</v>
      </c>
      <c r="G7883" s="112" t="e">
        <f>F7883*E7883</f>
        <v>#VALUE!</v>
      </c>
      <c r="H7883" s="108"/>
    </row>
    <row r="7884" spans="1:15">
      <c r="A7884" s="517" t="s">
        <v>3904</v>
      </c>
      <c r="B7884" s="549">
        <f>VLOOKUP(A7884,'Equip, Herr y Transp'!$B$2:$E$738,2,0)</f>
        <v>2</v>
      </c>
      <c r="C7884" s="549"/>
      <c r="D7884" s="85">
        <f>VLOOKUP(A7884,'Equip, Herr y Transp'!$B$2:$E$217,2,0)</f>
        <v>2</v>
      </c>
      <c r="E7884" s="85" t="str">
        <f>VLOOKUP(A7884,'Equip, Herr y Transp'!$B$2:$E$217,3,0)</f>
        <v>EQU</v>
      </c>
      <c r="F7884" s="86">
        <f>H7873</f>
        <v>2.29E-2</v>
      </c>
      <c r="G7884" s="112" t="e">
        <f>F7884*E7884</f>
        <v>#VALUE!</v>
      </c>
      <c r="H7884" s="107"/>
    </row>
    <row r="7885" spans="1:15">
      <c r="A7885" s="517" t="s">
        <v>8</v>
      </c>
      <c r="B7885" s="549" t="e">
        <f>VLOOKUP(A7885,'Equip, Herr y Transp'!$B$2:$E$738,2,0)</f>
        <v>#N/A</v>
      </c>
      <c r="C7885" s="549"/>
      <c r="D7885" s="85" t="e">
        <f>VLOOKUP(A7885,'Equip, Herr y Transp'!$B$2:$E$217,2,0)</f>
        <v>#N/A</v>
      </c>
      <c r="E7885" s="85" t="e">
        <f>VLOOKUP(A7885,'Equip, Herr y Transp'!$B$2:$E$217,3,0)</f>
        <v>#N/A</v>
      </c>
      <c r="F7885" s="86">
        <f>H7873</f>
        <v>2.29E-2</v>
      </c>
      <c r="G7885" s="112" t="e">
        <f>F7885*E7885</f>
        <v>#N/A</v>
      </c>
      <c r="H7885" s="107"/>
    </row>
    <row r="7886" spans="1:15">
      <c r="A7886" s="517" t="s">
        <v>8</v>
      </c>
      <c r="B7886" s="549" t="e">
        <f>VLOOKUP(A7886,'Equip, Herr y Transp'!$B$2:$E$738,2,0)</f>
        <v>#N/A</v>
      </c>
      <c r="C7886" s="549"/>
      <c r="D7886" s="85" t="e">
        <f>VLOOKUP(A7886,'Equip, Herr y Transp'!$B$2:$E$217,2,0)</f>
        <v>#N/A</v>
      </c>
      <c r="E7886" s="85" t="e">
        <f>VLOOKUP(A7886,'Equip, Herr y Transp'!$B$2:$E$217,3,0)</f>
        <v>#N/A</v>
      </c>
      <c r="F7886" s="86">
        <f>H7873</f>
        <v>2.29E-2</v>
      </c>
      <c r="G7886" s="112" t="e">
        <f>F7886*E7886</f>
        <v>#N/A</v>
      </c>
      <c r="H7886" s="107"/>
    </row>
    <row r="7887" spans="1:15">
      <c r="A7887" s="520" t="s">
        <v>4099</v>
      </c>
      <c r="B7887" s="521"/>
      <c r="C7887" s="521"/>
      <c r="D7887" s="521"/>
      <c r="E7887" s="521"/>
      <c r="F7887" s="521"/>
      <c r="G7887" s="521"/>
      <c r="H7887" s="87" t="e">
        <f>SUM(G7883:G7886)</f>
        <v>#VALUE!</v>
      </c>
    </row>
    <row r="7888" spans="1:15">
      <c r="A7888" s="550" t="s">
        <v>4219</v>
      </c>
      <c r="B7888" s="551"/>
      <c r="C7888" s="551"/>
      <c r="D7888" s="551"/>
      <c r="E7888" s="551"/>
      <c r="F7888" s="551"/>
      <c r="G7888" s="551"/>
      <c r="H7888" s="552"/>
      <c r="K7888" s="50"/>
      <c r="L7888" s="50"/>
      <c r="M7888" s="50"/>
      <c r="N7888" s="50"/>
      <c r="O7888" s="50"/>
    </row>
    <row r="7889" spans="1:15" ht="30" customHeight="1">
      <c r="A7889" s="553" t="s">
        <v>7</v>
      </c>
      <c r="B7889" s="554"/>
      <c r="C7889" s="99" t="s">
        <v>0</v>
      </c>
      <c r="D7889" s="100" t="s">
        <v>4097</v>
      </c>
      <c r="E7889" s="101" t="s">
        <v>1</v>
      </c>
      <c r="F7889" s="555" t="s">
        <v>4207</v>
      </c>
      <c r="G7889" s="555"/>
      <c r="H7889" s="196"/>
      <c r="K7889" s="50"/>
      <c r="L7889" s="50"/>
      <c r="M7889" s="50"/>
      <c r="N7889" s="50"/>
      <c r="O7889" s="50"/>
    </row>
    <row r="7890" spans="1:15">
      <c r="A7890" s="535" t="s">
        <v>4997</v>
      </c>
      <c r="B7890" s="536"/>
      <c r="C7890" s="88">
        <f>VLOOKUP(A7890,'Materiales '!$C$2:$G$396,3,0)</f>
        <v>2</v>
      </c>
      <c r="D7890" s="89" t="str">
        <f>VLOOKUP(A7890,'Materiales '!$C$2:$G$396,4,0)</f>
        <v>Ml</v>
      </c>
      <c r="E7890" s="90">
        <v>3</v>
      </c>
      <c r="F7890" s="508" t="e">
        <f>E7890*D7890</f>
        <v>#VALUE!</v>
      </c>
      <c r="G7890" s="519"/>
      <c r="H7890" s="111"/>
      <c r="I7890">
        <f>E7890*G7880</f>
        <v>0</v>
      </c>
      <c r="J7890" s="57"/>
      <c r="K7890" s="50"/>
      <c r="L7890" s="50"/>
      <c r="M7890" s="50"/>
      <c r="N7890" s="50"/>
      <c r="O7890" s="50"/>
    </row>
    <row r="7891" spans="1:15">
      <c r="A7891" s="535" t="s">
        <v>4458</v>
      </c>
      <c r="B7891" s="536"/>
      <c r="C7891" s="88">
        <f>VLOOKUP(A7891,'Materiales '!$C$2:$G$396,3,0)</f>
        <v>3</v>
      </c>
      <c r="D7891" s="89" t="str">
        <f>VLOOKUP(A7891,'Materiales '!$C$2:$G$396,4,0)</f>
        <v>Rollo</v>
      </c>
      <c r="E7891" s="90">
        <f>1/30</f>
        <v>3.3333333333333333E-2</v>
      </c>
      <c r="F7891" s="508" t="e">
        <f t="shared" ref="F7891:F7897" si="460">E7891*D7891</f>
        <v>#VALUE!</v>
      </c>
      <c r="G7891" s="519"/>
      <c r="H7891" s="111"/>
      <c r="I7891">
        <f>E7891*G7880</f>
        <v>0</v>
      </c>
      <c r="J7891" s="57"/>
      <c r="K7891" s="50"/>
      <c r="L7891" s="50"/>
      <c r="M7891" s="50"/>
      <c r="N7891" s="50"/>
      <c r="O7891" s="50"/>
    </row>
    <row r="7892" spans="1:15">
      <c r="A7892" s="517" t="s">
        <v>4434</v>
      </c>
      <c r="B7892" s="518">
        <f>VLOOKUP(A7892,'Materiales '!$C$2:$G$396,3,0)</f>
        <v>2</v>
      </c>
      <c r="C7892" s="88">
        <f>VLOOKUP(A7892,'Materiales '!$C$2:$G$396,3,0)</f>
        <v>2</v>
      </c>
      <c r="D7892" s="89" t="str">
        <f>VLOOKUP(A7892,'Materiales '!$C$2:$G$396,4,0)</f>
        <v>Ml</v>
      </c>
      <c r="E7892" s="90">
        <v>1</v>
      </c>
      <c r="F7892" s="508" t="e">
        <f t="shared" si="460"/>
        <v>#VALUE!</v>
      </c>
      <c r="G7892" s="519"/>
      <c r="H7892" s="111"/>
      <c r="I7892">
        <f>E7892*G7880</f>
        <v>0</v>
      </c>
      <c r="J7892" s="58"/>
      <c r="K7892" s="50"/>
      <c r="L7892" s="50"/>
      <c r="M7892" s="50"/>
      <c r="N7892" s="50"/>
      <c r="O7892" s="50"/>
    </row>
    <row r="7893" spans="1:15">
      <c r="A7893" s="517" t="s">
        <v>8</v>
      </c>
      <c r="B7893" s="518">
        <f>VLOOKUP(A7893,'Materiales '!$C$2:$G$396,3,0)</f>
        <v>0</v>
      </c>
      <c r="C7893" s="88">
        <f>VLOOKUP(A7893,'Materiales '!$C$2:$G$396,3,0)</f>
        <v>0</v>
      </c>
      <c r="D7893" s="89" t="str">
        <f>VLOOKUP(A7893,'Materiales '!$C$2:$G$396,4,0)</f>
        <v>-</v>
      </c>
      <c r="E7893" s="90"/>
      <c r="F7893" s="508" t="e">
        <f t="shared" si="460"/>
        <v>#VALUE!</v>
      </c>
      <c r="G7893" s="519"/>
      <c r="H7893" s="111"/>
      <c r="I7893">
        <f>E7893*G7880</f>
        <v>0</v>
      </c>
      <c r="J7893" s="58"/>
      <c r="K7893" s="50"/>
      <c r="L7893" s="50"/>
      <c r="M7893" s="50"/>
      <c r="N7893" s="50"/>
      <c r="O7893" s="50"/>
    </row>
    <row r="7894" spans="1:15">
      <c r="A7894" s="517" t="s">
        <v>8</v>
      </c>
      <c r="B7894" s="518">
        <f>VLOOKUP(A7894,'Materiales '!$C$2:$G$396,3,0)</f>
        <v>0</v>
      </c>
      <c r="C7894" s="88">
        <f>VLOOKUP(A7894,'Materiales '!$C$2:$G$396,3,0)</f>
        <v>0</v>
      </c>
      <c r="D7894" s="89" t="str">
        <f>VLOOKUP(A7894,'Materiales '!$C$2:$G$396,4,0)</f>
        <v>-</v>
      </c>
      <c r="E7894" s="90"/>
      <c r="F7894" s="508" t="e">
        <f t="shared" si="460"/>
        <v>#VALUE!</v>
      </c>
      <c r="G7894" s="519"/>
      <c r="H7894" s="111"/>
      <c r="I7894">
        <f>E7894*G7880</f>
        <v>0</v>
      </c>
      <c r="J7894" s="58"/>
      <c r="K7894" s="50"/>
      <c r="L7894" s="50"/>
      <c r="M7894" s="50"/>
      <c r="N7894" s="50"/>
      <c r="O7894" s="50"/>
    </row>
    <row r="7895" spans="1:15">
      <c r="A7895" s="517" t="s">
        <v>8</v>
      </c>
      <c r="B7895" s="518">
        <f>VLOOKUP(A7895,'Materiales '!$C$2:$G$396,3,0)</f>
        <v>0</v>
      </c>
      <c r="C7895" s="88">
        <f>VLOOKUP(A7895,'Materiales '!$C$2:$G$396,3,0)</f>
        <v>0</v>
      </c>
      <c r="D7895" s="89" t="str">
        <f>VLOOKUP(A7895,'Materiales '!$C$2:$G$396,4,0)</f>
        <v>-</v>
      </c>
      <c r="E7895" s="90"/>
      <c r="F7895" s="508" t="e">
        <f t="shared" si="460"/>
        <v>#VALUE!</v>
      </c>
      <c r="G7895" s="519"/>
      <c r="H7895" s="111"/>
      <c r="I7895">
        <f>E7895*G7880</f>
        <v>0</v>
      </c>
      <c r="J7895" s="58"/>
      <c r="K7895" s="50"/>
      <c r="L7895" s="50"/>
      <c r="M7895" s="50"/>
      <c r="N7895" s="50"/>
      <c r="O7895" s="50"/>
    </row>
    <row r="7896" spans="1:15">
      <c r="A7896" s="517" t="s">
        <v>8</v>
      </c>
      <c r="B7896" s="518">
        <f>VLOOKUP(A7896,'Materiales '!$C$2:$G$396,3,0)</f>
        <v>0</v>
      </c>
      <c r="C7896" s="88">
        <f>VLOOKUP(A7896,'Materiales '!$C$2:$G$396,3,0)</f>
        <v>0</v>
      </c>
      <c r="D7896" s="89" t="str">
        <f>VLOOKUP(A7896,'Materiales '!$C$2:$G$396,4,0)</f>
        <v>-</v>
      </c>
      <c r="E7896" s="90"/>
      <c r="F7896" s="508" t="e">
        <f t="shared" si="460"/>
        <v>#VALUE!</v>
      </c>
      <c r="G7896" s="519"/>
      <c r="H7896" s="111"/>
      <c r="I7896">
        <f>E7896*G7880</f>
        <v>0</v>
      </c>
      <c r="J7896" s="58"/>
      <c r="K7896" s="50"/>
      <c r="L7896" s="50"/>
      <c r="M7896" s="50"/>
      <c r="N7896" s="50"/>
      <c r="O7896" s="50"/>
    </row>
    <row r="7897" spans="1:15" ht="21.75" customHeight="1">
      <c r="A7897" s="517" t="s">
        <v>8</v>
      </c>
      <c r="B7897" s="518">
        <f>VLOOKUP(A7897,'Materiales '!$C$2:$G$396,3,0)</f>
        <v>0</v>
      </c>
      <c r="C7897" s="88">
        <f>VLOOKUP(A7897,'Materiales '!$C$2:$G$396,3,0)</f>
        <v>0</v>
      </c>
      <c r="D7897" s="89" t="str">
        <f>VLOOKUP(A7897,'Materiales '!$C$2:$G$396,4,0)</f>
        <v>-</v>
      </c>
      <c r="E7897" s="90"/>
      <c r="F7897" s="508" t="e">
        <f t="shared" si="460"/>
        <v>#VALUE!</v>
      </c>
      <c r="G7897" s="519"/>
      <c r="H7897" s="111"/>
      <c r="I7897">
        <f>E7897*G7880</f>
        <v>0</v>
      </c>
      <c r="J7897" s="58"/>
      <c r="K7897" s="50"/>
      <c r="L7897" s="50"/>
      <c r="M7897" s="50"/>
      <c r="N7897" s="50"/>
      <c r="O7897" s="50"/>
    </row>
    <row r="7898" spans="1:15">
      <c r="A7898" s="517" t="s">
        <v>8</v>
      </c>
      <c r="B7898" s="518">
        <f>VLOOKUP(A7898,'Materiales '!$C$2:$G$396,3,0)</f>
        <v>0</v>
      </c>
      <c r="C7898" s="88">
        <f>VLOOKUP(A7898,'Materiales '!$C$2:$G$396,3,0)</f>
        <v>0</v>
      </c>
      <c r="D7898" s="89" t="str">
        <f>VLOOKUP(A7898,'Materiales '!$C$2:$G$396,4,0)</f>
        <v>-</v>
      </c>
      <c r="E7898" s="90"/>
      <c r="F7898" s="508" t="e">
        <f>E7898*D7898</f>
        <v>#VALUE!</v>
      </c>
      <c r="G7898" s="519"/>
      <c r="H7898" s="110"/>
      <c r="I7898">
        <f>E7898*G7880</f>
        <v>0</v>
      </c>
      <c r="J7898" s="58"/>
      <c r="K7898" s="50"/>
      <c r="L7898" s="50"/>
      <c r="M7898" s="50"/>
      <c r="N7898" s="50"/>
      <c r="O7898" s="50"/>
    </row>
    <row r="7899" spans="1:15">
      <c r="A7899" s="517" t="s">
        <v>8</v>
      </c>
      <c r="B7899" s="518">
        <f>VLOOKUP(A7899,'Materiales '!$C$2:$G$396,3,0)</f>
        <v>0</v>
      </c>
      <c r="C7899" s="88">
        <f>VLOOKUP(A7899,'Materiales '!$C$2:$G$396,3,0)</f>
        <v>0</v>
      </c>
      <c r="D7899" s="89" t="str">
        <f>VLOOKUP(A7899,'Materiales '!$C$2:$G$396,4,0)</f>
        <v>-</v>
      </c>
      <c r="E7899" s="90"/>
      <c r="F7899" s="508" t="e">
        <f t="shared" ref="F7899:F7902" si="461">E7899*D7899</f>
        <v>#VALUE!</v>
      </c>
      <c r="G7899" s="519"/>
      <c r="H7899" s="111"/>
      <c r="I7899">
        <f>E7899*G7880</f>
        <v>0</v>
      </c>
      <c r="J7899" s="58"/>
      <c r="K7899" s="50"/>
      <c r="L7899" s="50"/>
      <c r="M7899" s="50"/>
      <c r="N7899" s="50"/>
      <c r="O7899" s="50"/>
    </row>
    <row r="7900" spans="1:15">
      <c r="A7900" s="517" t="s">
        <v>8</v>
      </c>
      <c r="B7900" s="518">
        <f>VLOOKUP(A7900,'Materiales '!$C$2:$G$396,3,0)</f>
        <v>0</v>
      </c>
      <c r="C7900" s="88">
        <f>VLOOKUP(A7900,'Materiales '!$C$2:$G$396,3,0)</f>
        <v>0</v>
      </c>
      <c r="D7900" s="89" t="str">
        <f>VLOOKUP(A7900,'Materiales '!$C$2:$G$396,4,0)</f>
        <v>-</v>
      </c>
      <c r="E7900" s="90"/>
      <c r="F7900" s="508" t="e">
        <f t="shared" si="461"/>
        <v>#VALUE!</v>
      </c>
      <c r="G7900" s="519"/>
      <c r="H7900" s="111"/>
      <c r="I7900">
        <f>E7900*G7880</f>
        <v>0</v>
      </c>
      <c r="J7900" s="58"/>
      <c r="K7900" s="50"/>
      <c r="L7900" s="50"/>
      <c r="M7900" s="50"/>
      <c r="N7900" s="50"/>
      <c r="O7900" s="50"/>
    </row>
    <row r="7901" spans="1:15">
      <c r="A7901" s="517" t="s">
        <v>8</v>
      </c>
      <c r="B7901" s="518">
        <f>VLOOKUP(A7901,'Materiales '!$C$2:$G$396,3,0)</f>
        <v>0</v>
      </c>
      <c r="C7901" s="88">
        <f>VLOOKUP(A7901,'Materiales '!$C$2:$G$396,3,0)</f>
        <v>0</v>
      </c>
      <c r="D7901" s="89" t="str">
        <f>VLOOKUP(A7901,'Materiales '!$C$2:$G$396,4,0)</f>
        <v>-</v>
      </c>
      <c r="E7901" s="90"/>
      <c r="F7901" s="508" t="e">
        <f t="shared" si="461"/>
        <v>#VALUE!</v>
      </c>
      <c r="G7901" s="519"/>
      <c r="H7901" s="111"/>
      <c r="I7901">
        <f>E7901*G7880</f>
        <v>0</v>
      </c>
      <c r="J7901" s="58"/>
      <c r="K7901" s="50"/>
      <c r="L7901" s="50"/>
      <c r="M7901" s="50"/>
      <c r="N7901" s="50"/>
      <c r="O7901" s="50"/>
    </row>
    <row r="7902" spans="1:15">
      <c r="A7902" s="517" t="s">
        <v>8</v>
      </c>
      <c r="B7902" s="518">
        <f>VLOOKUP(A7902,'Materiales '!$C$2:$G$396,3,0)</f>
        <v>0</v>
      </c>
      <c r="C7902" s="88">
        <f>VLOOKUP(A7902,'Materiales '!$C$2:$G$396,3,0)</f>
        <v>0</v>
      </c>
      <c r="D7902" s="89" t="str">
        <f>VLOOKUP(A7902,'Materiales '!$C$2:$G$396,4,0)</f>
        <v>-</v>
      </c>
      <c r="E7902" s="90"/>
      <c r="F7902" s="508" t="e">
        <f t="shared" si="461"/>
        <v>#VALUE!</v>
      </c>
      <c r="G7902" s="519"/>
      <c r="H7902" s="111"/>
      <c r="I7902">
        <f>E7902*G7880</f>
        <v>0</v>
      </c>
      <c r="J7902" s="58"/>
      <c r="K7902" s="50"/>
      <c r="L7902" s="50"/>
      <c r="M7902" s="50"/>
      <c r="N7902" s="50"/>
      <c r="O7902" s="50"/>
    </row>
    <row r="7903" spans="1:15">
      <c r="A7903" s="517" t="s">
        <v>8</v>
      </c>
      <c r="B7903" s="518">
        <f>VLOOKUP(A7903,'Materiales '!$C$2:$G$396,3,0)</f>
        <v>0</v>
      </c>
      <c r="C7903" s="88">
        <f>VLOOKUP(A7903,'Materiales '!$C$2:$G$396,3,0)</f>
        <v>0</v>
      </c>
      <c r="D7903" s="89" t="str">
        <f>VLOOKUP(A7903,'Materiales '!$C$2:$G$396,4,0)</f>
        <v>-</v>
      </c>
      <c r="E7903" s="90"/>
      <c r="F7903" s="508" t="e">
        <f>E7903*D7903</f>
        <v>#VALUE!</v>
      </c>
      <c r="G7903" s="519"/>
      <c r="H7903" s="110"/>
      <c r="I7903">
        <f>E7903*G7880</f>
        <v>0</v>
      </c>
      <c r="J7903" s="58"/>
      <c r="K7903" s="50"/>
      <c r="L7903" s="50"/>
      <c r="M7903" s="50"/>
      <c r="N7903" s="50"/>
      <c r="O7903" s="50"/>
    </row>
    <row r="7904" spans="1:15">
      <c r="A7904" s="520" t="s">
        <v>4098</v>
      </c>
      <c r="B7904" s="521"/>
      <c r="C7904" s="521"/>
      <c r="D7904" s="521"/>
      <c r="E7904" s="521"/>
      <c r="F7904" s="521"/>
      <c r="G7904" s="522"/>
      <c r="H7904" s="106" t="e">
        <f>SUM(F7890:F7903)</f>
        <v>#VALUE!</v>
      </c>
      <c r="J7904" s="58"/>
      <c r="K7904" s="50"/>
      <c r="L7904" s="50"/>
      <c r="M7904" s="50"/>
      <c r="N7904" s="50"/>
      <c r="O7904" s="50"/>
    </row>
    <row r="7905" spans="1:15">
      <c r="A7905" s="523" t="s">
        <v>4220</v>
      </c>
      <c r="B7905" s="524"/>
      <c r="C7905" s="524"/>
      <c r="D7905" s="524"/>
      <c r="E7905" s="525"/>
      <c r="F7905" s="524"/>
      <c r="G7905" s="524"/>
      <c r="H7905" s="526"/>
      <c r="J7905" s="58"/>
      <c r="K7905" s="50"/>
      <c r="L7905" s="50"/>
      <c r="M7905" s="50"/>
      <c r="N7905" s="50"/>
      <c r="O7905" s="50"/>
    </row>
    <row r="7906" spans="1:15">
      <c r="A7906" s="527" t="s">
        <v>7</v>
      </c>
      <c r="B7906" s="528"/>
      <c r="C7906" s="98" t="s">
        <v>4221</v>
      </c>
      <c r="D7906" s="97" t="s">
        <v>4222</v>
      </c>
      <c r="E7906" s="187" t="s">
        <v>4223</v>
      </c>
      <c r="F7906" s="529" t="s">
        <v>4207</v>
      </c>
      <c r="G7906" s="529"/>
      <c r="H7906" s="109"/>
      <c r="K7906" s="50"/>
      <c r="L7906" s="50"/>
      <c r="M7906" s="50"/>
      <c r="N7906" s="50"/>
      <c r="O7906" s="50"/>
    </row>
    <row r="7907" spans="1:15">
      <c r="A7907" s="506" t="s">
        <v>3928</v>
      </c>
      <c r="B7907" s="507"/>
      <c r="C7907" s="213">
        <v>1</v>
      </c>
      <c r="D7907" s="92">
        <v>5.0000000000000001E-3</v>
      </c>
      <c r="E7907" s="93" t="str">
        <f>VLOOKUP(A7907,'Equip, Herr y Transp'!$B$2:$E$217,3,0)</f>
        <v>TR</v>
      </c>
      <c r="F7907" s="530" t="e">
        <f>E7907*D7907*C7907</f>
        <v>#VALUE!</v>
      </c>
      <c r="G7907" s="531"/>
      <c r="H7907" s="107"/>
      <c r="M7907" s="50"/>
    </row>
    <row r="7908" spans="1:15">
      <c r="A7908" s="532" t="s">
        <v>4205</v>
      </c>
      <c r="B7908" s="533"/>
      <c r="C7908" s="533"/>
      <c r="D7908" s="533"/>
      <c r="E7908" s="533"/>
      <c r="F7908" s="533"/>
      <c r="G7908" s="533"/>
      <c r="H7908" s="95" t="e">
        <f>F7907</f>
        <v>#VALUE!</v>
      </c>
    </row>
    <row r="7909" spans="1:15">
      <c r="A7909" s="523" t="s">
        <v>4224</v>
      </c>
      <c r="B7909" s="524"/>
      <c r="C7909" s="524"/>
      <c r="D7909" s="524"/>
      <c r="E7909" s="524"/>
      <c r="F7909" s="524"/>
      <c r="G7909" s="524"/>
      <c r="H7909" s="526"/>
    </row>
    <row r="7910" spans="1:15">
      <c r="A7910" s="527" t="s">
        <v>7</v>
      </c>
      <c r="B7910" s="528"/>
      <c r="C7910" s="96" t="s">
        <v>1</v>
      </c>
      <c r="D7910" s="97" t="s">
        <v>4225</v>
      </c>
      <c r="E7910" s="98" t="s">
        <v>4204</v>
      </c>
      <c r="F7910" s="527" t="s">
        <v>5</v>
      </c>
      <c r="G7910" s="534"/>
      <c r="H7910" s="109"/>
    </row>
    <row r="7911" spans="1:15">
      <c r="A7911" s="506" t="s">
        <v>4191</v>
      </c>
      <c r="B7911" s="507"/>
      <c r="C7911" s="91">
        <v>1</v>
      </c>
      <c r="D7911" s="94">
        <f>VLOOKUP(A7911,'Mano Obra'!$B$2:$T$117,19,0)</f>
        <v>152456</v>
      </c>
      <c r="E7911" s="218">
        <f>H7873</f>
        <v>2.29E-2</v>
      </c>
      <c r="F7911" s="508">
        <f>E7911*D7911*C7911</f>
        <v>3491.2424000000001</v>
      </c>
      <c r="G7911" s="509"/>
      <c r="H7911" s="111"/>
      <c r="I7911" s="59"/>
      <c r="J7911" s="117">
        <f>((('Mano Obra'!$M$4/30)*F7911)/D7911)*G7880</f>
        <v>0</v>
      </c>
    </row>
    <row r="7912" spans="1:15">
      <c r="A7912" s="510" t="s">
        <v>4192</v>
      </c>
      <c r="B7912" s="511">
        <f>VLOOKUP(A7912,'Mano Obra'!$B$3:$D$290,2,0)</f>
        <v>1900000</v>
      </c>
      <c r="C7912" s="91">
        <v>1</v>
      </c>
      <c r="D7912" s="94">
        <f>VLOOKUP(A7912,'Mano Obra'!$B$2:$T$117,19,0)</f>
        <v>110488</v>
      </c>
      <c r="E7912" s="218">
        <f>H7873</f>
        <v>2.29E-2</v>
      </c>
      <c r="F7912" s="508">
        <f t="shared" ref="F7912:F7913" si="462">E7912*D7912*C7912</f>
        <v>2530.1752000000001</v>
      </c>
      <c r="G7912" s="509"/>
      <c r="H7912" s="111"/>
      <c r="J7912" s="117">
        <f>((('Mano Obra'!$M$5/30)*F7912)/D7912)*G7880</f>
        <v>0</v>
      </c>
    </row>
    <row r="7913" spans="1:15">
      <c r="A7913" s="510" t="s">
        <v>4181</v>
      </c>
      <c r="B7913" s="511">
        <f>VLOOKUP(A7913,'Mano Obra'!$B$3:$D$290,2,0)</f>
        <v>1000000</v>
      </c>
      <c r="C7913" s="91">
        <v>1</v>
      </c>
      <c r="D7913" s="94">
        <f>VLOOKUP(A7913,'Mano Obra'!$B$2:$T$117,19,0)</f>
        <v>67424</v>
      </c>
      <c r="E7913" s="218">
        <f>H7873</f>
        <v>2.29E-2</v>
      </c>
      <c r="F7913" s="508">
        <f t="shared" si="462"/>
        <v>1544.0096000000001</v>
      </c>
      <c r="G7913" s="509"/>
      <c r="H7913" s="110"/>
      <c r="J7913" s="117">
        <f>((('Mano Obra'!$M$6/30)*F7913)/D7913)*G7880</f>
        <v>0</v>
      </c>
    </row>
    <row r="7914" spans="1:15">
      <c r="A7914" s="512" t="s">
        <v>4100</v>
      </c>
      <c r="B7914" s="512"/>
      <c r="C7914" s="512"/>
      <c r="D7914" s="512"/>
      <c r="E7914" s="512"/>
      <c r="F7914" s="512"/>
      <c r="G7914" s="512"/>
      <c r="H7914" s="95">
        <f>SUM(F7911:F7913)</f>
        <v>7565.427200000001</v>
      </c>
      <c r="J7914" s="117"/>
    </row>
    <row r="7915" spans="1:15">
      <c r="A7915" s="208" t="s">
        <v>4226</v>
      </c>
      <c r="B7915" s="186"/>
      <c r="C7915" s="186"/>
      <c r="D7915" s="183"/>
      <c r="E7915" s="184"/>
      <c r="F7915" s="185"/>
      <c r="G7915" s="184"/>
      <c r="H7915" s="193"/>
    </row>
    <row r="7916" spans="1:15">
      <c r="A7916" s="513" t="s">
        <v>4213</v>
      </c>
      <c r="B7916" s="514"/>
      <c r="C7916" s="514"/>
      <c r="D7916" s="514"/>
      <c r="E7916" s="181"/>
      <c r="F7916" s="182" t="s">
        <v>4227</v>
      </c>
      <c r="G7916" s="181" t="s">
        <v>4228</v>
      </c>
      <c r="H7916" s="194"/>
    </row>
    <row r="7917" spans="1:15">
      <c r="A7917" s="204" t="s">
        <v>4096</v>
      </c>
      <c r="B7917" s="62"/>
      <c r="C7917" s="62"/>
      <c r="D7917" s="63"/>
      <c r="E7917" s="68"/>
      <c r="F7917" s="69">
        <v>0</v>
      </c>
      <c r="G7917" s="70" t="e">
        <f>F7917*H7881</f>
        <v>#VALUE!</v>
      </c>
      <c r="H7917" s="193"/>
    </row>
    <row r="7918" spans="1:15">
      <c r="A7918" s="205" t="s">
        <v>4229</v>
      </c>
      <c r="B7918" s="71"/>
      <c r="C7918" s="71"/>
      <c r="D7918" s="72"/>
      <c r="E7918" s="68"/>
      <c r="F7918" s="69">
        <v>0</v>
      </c>
      <c r="G7918" s="70" t="e">
        <f>F7918*H7881</f>
        <v>#VALUE!</v>
      </c>
      <c r="H7918" s="193"/>
    </row>
    <row r="7919" spans="1:15">
      <c r="A7919" s="205" t="s">
        <v>4</v>
      </c>
      <c r="B7919" s="71"/>
      <c r="C7919" s="71"/>
      <c r="D7919" s="72"/>
      <c r="E7919" s="68"/>
      <c r="F7919" s="69">
        <v>0</v>
      </c>
      <c r="G7919" s="70" t="e">
        <f>F7919*H7881</f>
        <v>#VALUE!</v>
      </c>
      <c r="H7919" s="193"/>
    </row>
    <row r="7920" spans="1:15">
      <c r="A7920" s="206"/>
      <c r="B7920" s="73"/>
      <c r="C7920" s="65"/>
      <c r="D7920" s="74"/>
      <c r="E7920" s="75"/>
      <c r="F7920" s="76"/>
      <c r="G7920" s="77"/>
      <c r="H7920" s="195"/>
    </row>
    <row r="7921" spans="1:14">
      <c r="A7921" s="207"/>
      <c r="B7921" s="73"/>
      <c r="C7921" s="73"/>
      <c r="D7921" s="74"/>
      <c r="E7921" s="78"/>
      <c r="F7921" s="515" t="s">
        <v>4230</v>
      </c>
      <c r="G7921" s="516"/>
      <c r="H7921" s="214" t="e">
        <f>H7881+G7917+G7918+G7919</f>
        <v>#VALUE!</v>
      </c>
    </row>
    <row r="7923" spans="1:14">
      <c r="A7923" s="80"/>
      <c r="B7923" s="80"/>
      <c r="C7923" s="80"/>
      <c r="D7923" s="80"/>
      <c r="E7923" s="80"/>
      <c r="F7923" s="80"/>
      <c r="G7923" s="80"/>
      <c r="H7923" s="353"/>
    </row>
    <row r="7924" spans="1:14">
      <c r="A7924" s="537" t="s">
        <v>4214</v>
      </c>
      <c r="B7924" s="538"/>
      <c r="C7924" s="538"/>
      <c r="D7924" s="538"/>
      <c r="E7924" s="538"/>
      <c r="F7924" s="538"/>
      <c r="G7924" s="538"/>
      <c r="H7924" s="539"/>
    </row>
    <row r="7925" spans="1:14">
      <c r="A7925" s="81"/>
      <c r="B7925" s="82"/>
      <c r="C7925" s="82"/>
      <c r="D7925" s="82"/>
      <c r="E7925" s="82"/>
      <c r="F7925" s="83"/>
      <c r="G7925" s="84"/>
      <c r="H7925" s="352">
        <f>ROUND((4/60)/8,4)</f>
        <v>8.3000000000000001E-3</v>
      </c>
      <c r="I7925" s="105"/>
    </row>
    <row r="7926" spans="1:14">
      <c r="A7926" s="540" t="s">
        <v>4209</v>
      </c>
      <c r="B7926" s="542" t="str">
        <f>COSTOS!$C$14</f>
        <v>MODERNIZACION A TECNOLOGIA LED</v>
      </c>
      <c r="C7926" s="542"/>
      <c r="D7926" s="542"/>
      <c r="E7926" s="542"/>
      <c r="F7926" s="542"/>
      <c r="G7926" s="542"/>
      <c r="H7926" s="543" t="s">
        <v>4210</v>
      </c>
    </row>
    <row r="7927" spans="1:14">
      <c r="A7927" s="541"/>
      <c r="B7927" s="542"/>
      <c r="C7927" s="542"/>
      <c r="D7927" s="542"/>
      <c r="E7927" s="542"/>
      <c r="F7927" s="542"/>
      <c r="G7927" s="542"/>
      <c r="H7927" s="543"/>
    </row>
    <row r="7928" spans="1:14">
      <c r="A7928" s="541"/>
      <c r="B7928" s="542"/>
      <c r="C7928" s="542"/>
      <c r="D7928" s="542"/>
      <c r="E7928" s="542"/>
      <c r="F7928" s="542"/>
      <c r="G7928" s="542"/>
      <c r="H7928" s="543"/>
    </row>
    <row r="7929" spans="1:14" ht="15" customHeight="1">
      <c r="A7929" s="541"/>
      <c r="B7929" s="542"/>
      <c r="C7929" s="542"/>
      <c r="D7929" s="542"/>
      <c r="E7929" s="542"/>
      <c r="F7929" s="542"/>
      <c r="G7929" s="542"/>
      <c r="H7929" s="197">
        <f ca="1">TODAY()</f>
        <v>44889</v>
      </c>
      <c r="K7929" t="s">
        <v>4380</v>
      </c>
      <c r="L7929" t="s">
        <v>4381</v>
      </c>
      <c r="M7929" t="s">
        <v>4382</v>
      </c>
      <c r="N7929" t="s">
        <v>4383</v>
      </c>
    </row>
    <row r="7930" spans="1:14" ht="60.75" customHeight="1">
      <c r="A7930" s="209" t="s">
        <v>4211</v>
      </c>
      <c r="B7930" s="544" t="str">
        <f>COSTOS!$D$16</f>
        <v>Luminarias</v>
      </c>
      <c r="C7930" s="544"/>
      <c r="D7930" s="544"/>
      <c r="E7930" s="544"/>
      <c r="F7930" s="544"/>
      <c r="G7930" s="60" t="s">
        <v>4212</v>
      </c>
      <c r="H7930" s="363">
        <v>3.43</v>
      </c>
      <c r="K7930" s="55" t="e">
        <f>H7956</f>
        <v>#VALUE!</v>
      </c>
      <c r="L7930" s="55">
        <f>H7966</f>
        <v>2742.0544</v>
      </c>
      <c r="M7930" s="55" t="e">
        <f>H7939</f>
        <v>#VALUE!</v>
      </c>
      <c r="N7930" s="55" t="e">
        <f>H7960</f>
        <v>#VALUE!</v>
      </c>
    </row>
    <row r="7931" spans="1:14" ht="43.2" customHeight="1">
      <c r="A7931" s="210" t="s">
        <v>4213</v>
      </c>
      <c r="B7931" s="545" t="str">
        <f>VLOOKUP(H7930,COSTOS!C:M,2,0)</f>
        <v>Cable encauchetado 3 x 14AWG  x 500 MT</v>
      </c>
      <c r="C7931" s="546"/>
      <c r="D7931" s="546"/>
      <c r="E7931" s="547"/>
      <c r="F7931" s="61" t="s">
        <v>0</v>
      </c>
      <c r="G7931" s="328" t="str">
        <f>VLOOKUP(H7930,COSTOS!C:M,8,0)</f>
        <v>Und</v>
      </c>
      <c r="H7931" s="248"/>
      <c r="I7931" s="278"/>
      <c r="J7931" s="280"/>
      <c r="K7931" s="280"/>
      <c r="L7931" s="280"/>
    </row>
    <row r="7932" spans="1:14">
      <c r="A7932" s="211"/>
      <c r="B7932" s="102"/>
      <c r="C7932" s="102"/>
      <c r="D7932" s="102"/>
      <c r="E7932" s="103"/>
      <c r="F7932" s="104" t="s">
        <v>1</v>
      </c>
      <c r="G7932" s="328">
        <f>VLOOKUP(H7930,COSTOS!C:M,9,0)</f>
        <v>0</v>
      </c>
      <c r="H7932" s="329"/>
      <c r="I7932" s="279"/>
    </row>
    <row r="7933" spans="1:14">
      <c r="A7933" s="212" t="s">
        <v>4215</v>
      </c>
      <c r="B7933" s="65"/>
      <c r="C7933" s="65"/>
      <c r="D7933" s="66"/>
      <c r="E7933" s="190"/>
      <c r="F7933" s="191"/>
      <c r="G7933" s="192" t="s">
        <v>4216</v>
      </c>
      <c r="H7933" s="198" t="e">
        <f>H7939+H7956+H7960+H7966</f>
        <v>#VALUE!</v>
      </c>
    </row>
    <row r="7934" spans="1:14" ht="41.4">
      <c r="A7934" s="548" t="s">
        <v>4213</v>
      </c>
      <c r="B7934" s="548"/>
      <c r="C7934" s="548"/>
      <c r="D7934" s="67" t="s">
        <v>0</v>
      </c>
      <c r="E7934" s="188" t="s">
        <v>4217</v>
      </c>
      <c r="F7934" s="189" t="s">
        <v>4204</v>
      </c>
      <c r="G7934" s="64" t="s">
        <v>2</v>
      </c>
      <c r="H7934" s="199" t="s">
        <v>4218</v>
      </c>
      <c r="K7934" s="281"/>
    </row>
    <row r="7935" spans="1:14">
      <c r="A7935" s="517" t="s">
        <v>3946</v>
      </c>
      <c r="B7935" s="549">
        <f>VLOOKUP(A7935,'Equip, Herr y Transp'!$B$2:$E$738,2,0)</f>
        <v>2</v>
      </c>
      <c r="C7935" s="549"/>
      <c r="D7935" s="85">
        <f>VLOOKUP(A7935,'Equip, Herr y Transp'!$B$2:$E$217,2,0)</f>
        <v>2</v>
      </c>
      <c r="E7935" s="85" t="str">
        <f>VLOOKUP(A7935,'Equip, Herr y Transp'!$B$2:$E$217,3,0)</f>
        <v>EQU</v>
      </c>
      <c r="F7935" s="86">
        <f>H7925</f>
        <v>8.3000000000000001E-3</v>
      </c>
      <c r="G7935" s="112" t="e">
        <f>F7935*E7935</f>
        <v>#VALUE!</v>
      </c>
      <c r="H7935" s="108"/>
    </row>
    <row r="7936" spans="1:14">
      <c r="A7936" s="517" t="s">
        <v>3904</v>
      </c>
      <c r="B7936" s="549">
        <f>VLOOKUP(A7936,'Equip, Herr y Transp'!$B$2:$E$738,2,0)</f>
        <v>2</v>
      </c>
      <c r="C7936" s="549"/>
      <c r="D7936" s="85">
        <f>VLOOKUP(A7936,'Equip, Herr y Transp'!$B$2:$E$217,2,0)</f>
        <v>2</v>
      </c>
      <c r="E7936" s="85" t="str">
        <f>VLOOKUP(A7936,'Equip, Herr y Transp'!$B$2:$E$217,3,0)</f>
        <v>EQU</v>
      </c>
      <c r="F7936" s="86">
        <f>H7925</f>
        <v>8.3000000000000001E-3</v>
      </c>
      <c r="G7936" s="112" t="e">
        <f>F7936*E7936</f>
        <v>#VALUE!</v>
      </c>
      <c r="H7936" s="107"/>
    </row>
    <row r="7937" spans="1:15">
      <c r="A7937" s="517" t="s">
        <v>8</v>
      </c>
      <c r="B7937" s="549" t="e">
        <f>VLOOKUP(A7937,'Equip, Herr y Transp'!$B$2:$E$738,2,0)</f>
        <v>#N/A</v>
      </c>
      <c r="C7937" s="549"/>
      <c r="D7937" s="85" t="e">
        <f>VLOOKUP(A7937,'Equip, Herr y Transp'!$B$2:$E$217,2,0)</f>
        <v>#N/A</v>
      </c>
      <c r="E7937" s="85" t="e">
        <f>VLOOKUP(A7937,'Equip, Herr y Transp'!$B$2:$E$217,3,0)</f>
        <v>#N/A</v>
      </c>
      <c r="F7937" s="86">
        <f>H7925</f>
        <v>8.3000000000000001E-3</v>
      </c>
      <c r="G7937" s="112" t="e">
        <f>F7937*E7937</f>
        <v>#N/A</v>
      </c>
      <c r="H7937" s="107"/>
    </row>
    <row r="7938" spans="1:15">
      <c r="A7938" s="517" t="s">
        <v>8</v>
      </c>
      <c r="B7938" s="549" t="e">
        <f>VLOOKUP(A7938,'Equip, Herr y Transp'!$B$2:$E$738,2,0)</f>
        <v>#N/A</v>
      </c>
      <c r="C7938" s="549"/>
      <c r="D7938" s="85" t="e">
        <f>VLOOKUP(A7938,'Equip, Herr y Transp'!$B$2:$E$217,2,0)</f>
        <v>#N/A</v>
      </c>
      <c r="E7938" s="85" t="e">
        <f>VLOOKUP(A7938,'Equip, Herr y Transp'!$B$2:$E$217,3,0)</f>
        <v>#N/A</v>
      </c>
      <c r="F7938" s="86">
        <f>H7925</f>
        <v>8.3000000000000001E-3</v>
      </c>
      <c r="G7938" s="112" t="e">
        <f>F7938*E7938</f>
        <v>#N/A</v>
      </c>
      <c r="H7938" s="107"/>
    </row>
    <row r="7939" spans="1:15">
      <c r="A7939" s="520" t="s">
        <v>4099</v>
      </c>
      <c r="B7939" s="521"/>
      <c r="C7939" s="521"/>
      <c r="D7939" s="521"/>
      <c r="E7939" s="521"/>
      <c r="F7939" s="521"/>
      <c r="G7939" s="521"/>
      <c r="H7939" s="87" t="e">
        <f>SUM(G7935:G7938)</f>
        <v>#VALUE!</v>
      </c>
    </row>
    <row r="7940" spans="1:15">
      <c r="A7940" s="550" t="s">
        <v>4219</v>
      </c>
      <c r="B7940" s="551"/>
      <c r="C7940" s="551"/>
      <c r="D7940" s="551"/>
      <c r="E7940" s="551"/>
      <c r="F7940" s="551"/>
      <c r="G7940" s="551"/>
      <c r="H7940" s="552"/>
      <c r="K7940" s="50"/>
      <c r="L7940" s="50"/>
      <c r="M7940" s="50"/>
      <c r="N7940" s="50"/>
      <c r="O7940" s="50"/>
    </row>
    <row r="7941" spans="1:15" ht="30" customHeight="1">
      <c r="A7941" s="553" t="s">
        <v>7</v>
      </c>
      <c r="B7941" s="554"/>
      <c r="C7941" s="99" t="s">
        <v>0</v>
      </c>
      <c r="D7941" s="100" t="s">
        <v>4097</v>
      </c>
      <c r="E7941" s="101" t="s">
        <v>1</v>
      </c>
      <c r="F7941" s="555" t="s">
        <v>4207</v>
      </c>
      <c r="G7941" s="555"/>
      <c r="H7941" s="196"/>
      <c r="K7941" s="50"/>
      <c r="L7941" s="50"/>
      <c r="M7941" s="50"/>
      <c r="N7941" s="50"/>
      <c r="O7941" s="50"/>
    </row>
    <row r="7942" spans="1:15">
      <c r="A7942" s="535" t="s">
        <v>4439</v>
      </c>
      <c r="B7942" s="536"/>
      <c r="C7942" s="88">
        <f>VLOOKUP(A7942,'Materiales '!$C$2:$G$396,3,0)</f>
        <v>2</v>
      </c>
      <c r="D7942" s="89" t="str">
        <f>VLOOKUP(A7942,'Materiales '!$C$2:$G$396,4,0)</f>
        <v>Ml</v>
      </c>
      <c r="E7942" s="90">
        <v>1</v>
      </c>
      <c r="F7942" s="508" t="e">
        <f>E7942*D7942</f>
        <v>#VALUE!</v>
      </c>
      <c r="G7942" s="519"/>
      <c r="H7942" s="111"/>
      <c r="I7942">
        <f>E7942*G7932</f>
        <v>0</v>
      </c>
      <c r="J7942" s="57"/>
      <c r="K7942" s="50"/>
      <c r="L7942" s="50"/>
      <c r="M7942" s="50"/>
      <c r="N7942" s="50"/>
      <c r="O7942" s="50"/>
    </row>
    <row r="7943" spans="1:15">
      <c r="A7943" s="535" t="s">
        <v>8</v>
      </c>
      <c r="B7943" s="536"/>
      <c r="C7943" s="88">
        <f>VLOOKUP(A7943,'Materiales '!$C$2:$G$396,3,0)</f>
        <v>0</v>
      </c>
      <c r="D7943" s="89" t="str">
        <f>VLOOKUP(A7943,'Materiales '!$C$2:$G$396,4,0)</f>
        <v>-</v>
      </c>
      <c r="E7943" s="90">
        <f>3/25</f>
        <v>0.12</v>
      </c>
      <c r="F7943" s="508" t="e">
        <f t="shared" ref="F7943:F7949" si="463">E7943*D7943</f>
        <v>#VALUE!</v>
      </c>
      <c r="G7943" s="519"/>
      <c r="H7943" s="111"/>
      <c r="I7943">
        <f>E7943*G7932</f>
        <v>0</v>
      </c>
      <c r="J7943" s="57"/>
      <c r="K7943" s="50"/>
      <c r="L7943" s="50"/>
      <c r="M7943" s="50"/>
      <c r="N7943" s="50"/>
      <c r="O7943" s="50"/>
    </row>
    <row r="7944" spans="1:15">
      <c r="A7944" s="517" t="s">
        <v>8</v>
      </c>
      <c r="B7944" s="518">
        <f>VLOOKUP(A7944,'Materiales '!$C$2:$G$396,3,0)</f>
        <v>0</v>
      </c>
      <c r="C7944" s="88">
        <f>VLOOKUP(A7944,'Materiales '!$C$2:$G$396,3,0)</f>
        <v>0</v>
      </c>
      <c r="D7944" s="89" t="str">
        <f>VLOOKUP(A7944,'Materiales '!$C$2:$G$396,4,0)</f>
        <v>-</v>
      </c>
      <c r="E7944" s="90">
        <f>3/25</f>
        <v>0.12</v>
      </c>
      <c r="F7944" s="508" t="e">
        <f t="shared" si="463"/>
        <v>#VALUE!</v>
      </c>
      <c r="G7944" s="519"/>
      <c r="H7944" s="111"/>
      <c r="I7944">
        <f>E7944*G7932</f>
        <v>0</v>
      </c>
      <c r="J7944" s="58"/>
      <c r="K7944" s="50"/>
      <c r="L7944" s="50"/>
      <c r="M7944" s="50"/>
      <c r="N7944" s="50"/>
      <c r="O7944" s="50"/>
    </row>
    <row r="7945" spans="1:15">
      <c r="A7945" s="517" t="s">
        <v>8</v>
      </c>
      <c r="B7945" s="518">
        <f>VLOOKUP(A7945,'Materiales '!$C$2:$G$396,3,0)</f>
        <v>0</v>
      </c>
      <c r="C7945" s="88">
        <f>VLOOKUP(A7945,'Materiales '!$C$2:$G$396,3,0)</f>
        <v>0</v>
      </c>
      <c r="D7945" s="89" t="str">
        <f>VLOOKUP(A7945,'Materiales '!$C$2:$G$396,4,0)</f>
        <v>-</v>
      </c>
      <c r="E7945" s="90"/>
      <c r="F7945" s="508" t="e">
        <f t="shared" si="463"/>
        <v>#VALUE!</v>
      </c>
      <c r="G7945" s="519"/>
      <c r="H7945" s="111"/>
      <c r="I7945">
        <f>E7945*G7932</f>
        <v>0</v>
      </c>
      <c r="J7945" s="58"/>
      <c r="K7945" s="50"/>
      <c r="L7945" s="50"/>
      <c r="M7945" s="50"/>
      <c r="N7945" s="50"/>
      <c r="O7945" s="50"/>
    </row>
    <row r="7946" spans="1:15">
      <c r="A7946" s="517" t="s">
        <v>8</v>
      </c>
      <c r="B7946" s="518">
        <f>VLOOKUP(A7946,'Materiales '!$C$2:$G$396,3,0)</f>
        <v>0</v>
      </c>
      <c r="C7946" s="88">
        <f>VLOOKUP(A7946,'Materiales '!$C$2:$G$396,3,0)</f>
        <v>0</v>
      </c>
      <c r="D7946" s="89" t="str">
        <f>VLOOKUP(A7946,'Materiales '!$C$2:$G$396,4,0)</f>
        <v>-</v>
      </c>
      <c r="E7946" s="90"/>
      <c r="F7946" s="508" t="e">
        <f t="shared" si="463"/>
        <v>#VALUE!</v>
      </c>
      <c r="G7946" s="519"/>
      <c r="H7946" s="111"/>
      <c r="I7946">
        <f>E7946*G7932</f>
        <v>0</v>
      </c>
      <c r="J7946" s="58"/>
      <c r="K7946" s="50"/>
      <c r="L7946" s="50"/>
      <c r="M7946" s="50"/>
      <c r="N7946" s="50"/>
      <c r="O7946" s="50"/>
    </row>
    <row r="7947" spans="1:15">
      <c r="A7947" s="517" t="s">
        <v>8</v>
      </c>
      <c r="B7947" s="518">
        <f>VLOOKUP(A7947,'Materiales '!$C$2:$G$396,3,0)</f>
        <v>0</v>
      </c>
      <c r="C7947" s="88">
        <f>VLOOKUP(A7947,'Materiales '!$C$2:$G$396,3,0)</f>
        <v>0</v>
      </c>
      <c r="D7947" s="89" t="str">
        <f>VLOOKUP(A7947,'Materiales '!$C$2:$G$396,4,0)</f>
        <v>-</v>
      </c>
      <c r="E7947" s="90"/>
      <c r="F7947" s="508" t="e">
        <f t="shared" si="463"/>
        <v>#VALUE!</v>
      </c>
      <c r="G7947" s="519"/>
      <c r="H7947" s="111"/>
      <c r="I7947">
        <f>E7947*G7932</f>
        <v>0</v>
      </c>
      <c r="J7947" s="58"/>
      <c r="K7947" s="50"/>
      <c r="L7947" s="50"/>
      <c r="M7947" s="50"/>
      <c r="N7947" s="50"/>
      <c r="O7947" s="50"/>
    </row>
    <row r="7948" spans="1:15">
      <c r="A7948" s="517" t="s">
        <v>8</v>
      </c>
      <c r="B7948" s="518">
        <f>VLOOKUP(A7948,'Materiales '!$C$2:$G$396,3,0)</f>
        <v>0</v>
      </c>
      <c r="C7948" s="88">
        <f>VLOOKUP(A7948,'Materiales '!$C$2:$G$396,3,0)</f>
        <v>0</v>
      </c>
      <c r="D7948" s="89" t="str">
        <f>VLOOKUP(A7948,'Materiales '!$C$2:$G$396,4,0)</f>
        <v>-</v>
      </c>
      <c r="E7948" s="90"/>
      <c r="F7948" s="508" t="e">
        <f t="shared" si="463"/>
        <v>#VALUE!</v>
      </c>
      <c r="G7948" s="519"/>
      <c r="H7948" s="111"/>
      <c r="I7948">
        <f>E7948*G7932</f>
        <v>0</v>
      </c>
      <c r="J7948" s="58"/>
      <c r="K7948" s="50"/>
      <c r="L7948" s="50"/>
      <c r="M7948" s="50"/>
      <c r="N7948" s="50"/>
      <c r="O7948" s="50"/>
    </row>
    <row r="7949" spans="1:15" ht="21.75" customHeight="1">
      <c r="A7949" s="517" t="s">
        <v>8</v>
      </c>
      <c r="B7949" s="518">
        <f>VLOOKUP(A7949,'Materiales '!$C$2:$G$396,3,0)</f>
        <v>0</v>
      </c>
      <c r="C7949" s="88">
        <f>VLOOKUP(A7949,'Materiales '!$C$2:$G$396,3,0)</f>
        <v>0</v>
      </c>
      <c r="D7949" s="89" t="str">
        <f>VLOOKUP(A7949,'Materiales '!$C$2:$G$396,4,0)</f>
        <v>-</v>
      </c>
      <c r="E7949" s="90"/>
      <c r="F7949" s="508" t="e">
        <f t="shared" si="463"/>
        <v>#VALUE!</v>
      </c>
      <c r="G7949" s="519"/>
      <c r="H7949" s="111"/>
      <c r="I7949">
        <f>E7949*G7932</f>
        <v>0</v>
      </c>
      <c r="J7949" s="58"/>
      <c r="K7949" s="50"/>
      <c r="L7949" s="50"/>
      <c r="M7949" s="50"/>
      <c r="N7949" s="50"/>
      <c r="O7949" s="50"/>
    </row>
    <row r="7950" spans="1:15">
      <c r="A7950" s="517" t="s">
        <v>8</v>
      </c>
      <c r="B7950" s="518">
        <f>VLOOKUP(A7950,'Materiales '!$C$2:$G$396,3,0)</f>
        <v>0</v>
      </c>
      <c r="C7950" s="88">
        <f>VLOOKUP(A7950,'Materiales '!$C$2:$G$396,3,0)</f>
        <v>0</v>
      </c>
      <c r="D7950" s="89" t="str">
        <f>VLOOKUP(A7950,'Materiales '!$C$2:$G$396,4,0)</f>
        <v>-</v>
      </c>
      <c r="E7950" s="90"/>
      <c r="F7950" s="508" t="e">
        <f>E7950*D7950</f>
        <v>#VALUE!</v>
      </c>
      <c r="G7950" s="519"/>
      <c r="H7950" s="110"/>
      <c r="I7950">
        <f>E7950*G7932</f>
        <v>0</v>
      </c>
      <c r="J7950" s="58"/>
      <c r="K7950" s="50"/>
      <c r="L7950" s="50"/>
      <c r="M7950" s="50"/>
      <c r="N7950" s="50"/>
      <c r="O7950" s="50"/>
    </row>
    <row r="7951" spans="1:15">
      <c r="A7951" s="517" t="s">
        <v>8</v>
      </c>
      <c r="B7951" s="518">
        <f>VLOOKUP(A7951,'Materiales '!$C$2:$G$396,3,0)</f>
        <v>0</v>
      </c>
      <c r="C7951" s="88">
        <f>VLOOKUP(A7951,'Materiales '!$C$2:$G$396,3,0)</f>
        <v>0</v>
      </c>
      <c r="D7951" s="89" t="str">
        <f>VLOOKUP(A7951,'Materiales '!$C$2:$G$396,4,0)</f>
        <v>-</v>
      </c>
      <c r="E7951" s="90"/>
      <c r="F7951" s="508" t="e">
        <f t="shared" ref="F7951:F7954" si="464">E7951*D7951</f>
        <v>#VALUE!</v>
      </c>
      <c r="G7951" s="519"/>
      <c r="H7951" s="111"/>
      <c r="I7951">
        <f>E7951*G7932</f>
        <v>0</v>
      </c>
      <c r="J7951" s="58"/>
      <c r="K7951" s="50"/>
      <c r="L7951" s="50"/>
      <c r="M7951" s="50"/>
      <c r="N7951" s="50"/>
      <c r="O7951" s="50"/>
    </row>
    <row r="7952" spans="1:15">
      <c r="A7952" s="517" t="s">
        <v>8</v>
      </c>
      <c r="B7952" s="518">
        <f>VLOOKUP(A7952,'Materiales '!$C$2:$G$396,3,0)</f>
        <v>0</v>
      </c>
      <c r="C7952" s="88">
        <f>VLOOKUP(A7952,'Materiales '!$C$2:$G$396,3,0)</f>
        <v>0</v>
      </c>
      <c r="D7952" s="89" t="str">
        <f>VLOOKUP(A7952,'Materiales '!$C$2:$G$396,4,0)</f>
        <v>-</v>
      </c>
      <c r="E7952" s="90"/>
      <c r="F7952" s="508" t="e">
        <f t="shared" si="464"/>
        <v>#VALUE!</v>
      </c>
      <c r="G7952" s="519"/>
      <c r="H7952" s="111"/>
      <c r="I7952">
        <f>E7952*G7932</f>
        <v>0</v>
      </c>
      <c r="J7952" s="58"/>
      <c r="K7952" s="50"/>
      <c r="L7952" s="50"/>
      <c r="M7952" s="50"/>
      <c r="N7952" s="50"/>
      <c r="O7952" s="50"/>
    </row>
    <row r="7953" spans="1:15">
      <c r="A7953" s="517" t="s">
        <v>8</v>
      </c>
      <c r="B7953" s="518">
        <f>VLOOKUP(A7953,'Materiales '!$C$2:$G$396,3,0)</f>
        <v>0</v>
      </c>
      <c r="C7953" s="88">
        <f>VLOOKUP(A7953,'Materiales '!$C$2:$G$396,3,0)</f>
        <v>0</v>
      </c>
      <c r="D7953" s="89" t="str">
        <f>VLOOKUP(A7953,'Materiales '!$C$2:$G$396,4,0)</f>
        <v>-</v>
      </c>
      <c r="E7953" s="90"/>
      <c r="F7953" s="508" t="e">
        <f t="shared" si="464"/>
        <v>#VALUE!</v>
      </c>
      <c r="G7953" s="519"/>
      <c r="H7953" s="111"/>
      <c r="I7953">
        <f>E7953*G7932</f>
        <v>0</v>
      </c>
      <c r="J7953" s="58"/>
      <c r="K7953" s="50"/>
      <c r="L7953" s="50"/>
      <c r="M7953" s="50"/>
      <c r="N7953" s="50"/>
      <c r="O7953" s="50"/>
    </row>
    <row r="7954" spans="1:15">
      <c r="A7954" s="517" t="s">
        <v>8</v>
      </c>
      <c r="B7954" s="518">
        <f>VLOOKUP(A7954,'Materiales '!$C$2:$G$396,3,0)</f>
        <v>0</v>
      </c>
      <c r="C7954" s="88">
        <f>VLOOKUP(A7954,'Materiales '!$C$2:$G$396,3,0)</f>
        <v>0</v>
      </c>
      <c r="D7954" s="89" t="str">
        <f>VLOOKUP(A7954,'Materiales '!$C$2:$G$396,4,0)</f>
        <v>-</v>
      </c>
      <c r="E7954" s="90"/>
      <c r="F7954" s="508" t="e">
        <f t="shared" si="464"/>
        <v>#VALUE!</v>
      </c>
      <c r="G7954" s="519"/>
      <c r="H7954" s="111"/>
      <c r="I7954">
        <f>E7954*G7932</f>
        <v>0</v>
      </c>
      <c r="J7954" s="58"/>
      <c r="K7954" s="50"/>
      <c r="L7954" s="50"/>
      <c r="M7954" s="50"/>
      <c r="N7954" s="50"/>
      <c r="O7954" s="50"/>
    </row>
    <row r="7955" spans="1:15">
      <c r="A7955" s="517" t="s">
        <v>8</v>
      </c>
      <c r="B7955" s="518">
        <f>VLOOKUP(A7955,'Materiales '!$C$2:$G$396,3,0)</f>
        <v>0</v>
      </c>
      <c r="C7955" s="88">
        <f>VLOOKUP(A7955,'Materiales '!$C$2:$G$396,3,0)</f>
        <v>0</v>
      </c>
      <c r="D7955" s="89" t="str">
        <f>VLOOKUP(A7955,'Materiales '!$C$2:$G$396,4,0)</f>
        <v>-</v>
      </c>
      <c r="E7955" s="90"/>
      <c r="F7955" s="508" t="e">
        <f>E7955*D7955</f>
        <v>#VALUE!</v>
      </c>
      <c r="G7955" s="519"/>
      <c r="H7955" s="110"/>
      <c r="I7955">
        <f>E7955*G7932</f>
        <v>0</v>
      </c>
      <c r="J7955" s="58"/>
      <c r="K7955" s="50"/>
      <c r="L7955" s="50"/>
      <c r="M7955" s="50"/>
      <c r="N7955" s="50"/>
      <c r="O7955" s="50"/>
    </row>
    <row r="7956" spans="1:15">
      <c r="A7956" s="520" t="s">
        <v>4098</v>
      </c>
      <c r="B7956" s="521"/>
      <c r="C7956" s="521"/>
      <c r="D7956" s="521"/>
      <c r="E7956" s="521"/>
      <c r="F7956" s="521"/>
      <c r="G7956" s="522"/>
      <c r="H7956" s="106" t="e">
        <f>SUM(F7942:F7955)</f>
        <v>#VALUE!</v>
      </c>
      <c r="J7956" s="58"/>
      <c r="K7956" s="50"/>
      <c r="L7956" s="50"/>
      <c r="M7956" s="50"/>
      <c r="N7956" s="50"/>
      <c r="O7956" s="50"/>
    </row>
    <row r="7957" spans="1:15">
      <c r="A7957" s="523" t="s">
        <v>4220</v>
      </c>
      <c r="B7957" s="524"/>
      <c r="C7957" s="524"/>
      <c r="D7957" s="524"/>
      <c r="E7957" s="525"/>
      <c r="F7957" s="524"/>
      <c r="G7957" s="524"/>
      <c r="H7957" s="526"/>
      <c r="J7957" s="58"/>
      <c r="K7957" s="50"/>
      <c r="L7957" s="50"/>
      <c r="M7957" s="50"/>
      <c r="N7957" s="50"/>
      <c r="O7957" s="50"/>
    </row>
    <row r="7958" spans="1:15">
      <c r="A7958" s="527" t="s">
        <v>7</v>
      </c>
      <c r="B7958" s="528"/>
      <c r="C7958" s="98" t="s">
        <v>4221</v>
      </c>
      <c r="D7958" s="97" t="s">
        <v>4222</v>
      </c>
      <c r="E7958" s="187" t="s">
        <v>4223</v>
      </c>
      <c r="F7958" s="529" t="s">
        <v>4207</v>
      </c>
      <c r="G7958" s="529"/>
      <c r="H7958" s="109"/>
      <c r="K7958" s="50"/>
      <c r="L7958" s="50"/>
      <c r="M7958" s="50"/>
      <c r="N7958" s="50"/>
      <c r="O7958" s="50"/>
    </row>
    <row r="7959" spans="1:15">
      <c r="A7959" s="506" t="s">
        <v>3928</v>
      </c>
      <c r="B7959" s="507"/>
      <c r="C7959" s="213">
        <v>1</v>
      </c>
      <c r="D7959" s="92">
        <v>5.0000000000000001E-3</v>
      </c>
      <c r="E7959" s="93" t="str">
        <f>VLOOKUP(A7959,'Equip, Herr y Transp'!$B$2:$E$217,3,0)</f>
        <v>TR</v>
      </c>
      <c r="F7959" s="530" t="e">
        <f>E7959*D7959*C7959</f>
        <v>#VALUE!</v>
      </c>
      <c r="G7959" s="531"/>
      <c r="H7959" s="107"/>
      <c r="M7959" s="50"/>
    </row>
    <row r="7960" spans="1:15">
      <c r="A7960" s="532" t="s">
        <v>4205</v>
      </c>
      <c r="B7960" s="533"/>
      <c r="C7960" s="533"/>
      <c r="D7960" s="533"/>
      <c r="E7960" s="533"/>
      <c r="F7960" s="533"/>
      <c r="G7960" s="533"/>
      <c r="H7960" s="95" t="e">
        <f>F7959</f>
        <v>#VALUE!</v>
      </c>
    </row>
    <row r="7961" spans="1:15">
      <c r="A7961" s="523" t="s">
        <v>4224</v>
      </c>
      <c r="B7961" s="524"/>
      <c r="C7961" s="524"/>
      <c r="D7961" s="524"/>
      <c r="E7961" s="524"/>
      <c r="F7961" s="524"/>
      <c r="G7961" s="524"/>
      <c r="H7961" s="526"/>
    </row>
    <row r="7962" spans="1:15">
      <c r="A7962" s="527" t="s">
        <v>7</v>
      </c>
      <c r="B7962" s="528"/>
      <c r="C7962" s="96" t="s">
        <v>1</v>
      </c>
      <c r="D7962" s="97" t="s">
        <v>4225</v>
      </c>
      <c r="E7962" s="98" t="s">
        <v>4204</v>
      </c>
      <c r="F7962" s="527" t="s">
        <v>5</v>
      </c>
      <c r="G7962" s="534"/>
      <c r="H7962" s="109"/>
    </row>
    <row r="7963" spans="1:15">
      <c r="A7963" s="506" t="s">
        <v>4191</v>
      </c>
      <c r="B7963" s="507"/>
      <c r="C7963" s="91">
        <v>1</v>
      </c>
      <c r="D7963" s="94">
        <f>VLOOKUP(A7963,'Mano Obra'!$B$2:$T$117,19,0)</f>
        <v>152456</v>
      </c>
      <c r="E7963" s="218">
        <f>H7925</f>
        <v>8.3000000000000001E-3</v>
      </c>
      <c r="F7963" s="508">
        <f>E7963*D7963*C7963</f>
        <v>1265.3848</v>
      </c>
      <c r="G7963" s="509"/>
      <c r="H7963" s="111"/>
      <c r="I7963" s="59"/>
      <c r="J7963" s="117">
        <f>((('Mano Obra'!$M$4/30)*F7963)/D7963)*G7932</f>
        <v>0</v>
      </c>
    </row>
    <row r="7964" spans="1:15">
      <c r="A7964" s="510" t="s">
        <v>4192</v>
      </c>
      <c r="B7964" s="511">
        <f>VLOOKUP(A7964,'Mano Obra'!$B$3:$D$290,2,0)</f>
        <v>1900000</v>
      </c>
      <c r="C7964" s="91">
        <v>1</v>
      </c>
      <c r="D7964" s="94">
        <f>VLOOKUP(A7964,'Mano Obra'!$B$2:$T$117,19,0)</f>
        <v>110488</v>
      </c>
      <c r="E7964" s="218">
        <f>H7925</f>
        <v>8.3000000000000001E-3</v>
      </c>
      <c r="F7964" s="508">
        <f t="shared" ref="F7964:F7965" si="465">E7964*D7964*C7964</f>
        <v>917.05039999999997</v>
      </c>
      <c r="G7964" s="509"/>
      <c r="H7964" s="111"/>
      <c r="J7964" s="117">
        <f>((('Mano Obra'!$M$5/30)*F7964)/D7964)*G7932</f>
        <v>0</v>
      </c>
    </row>
    <row r="7965" spans="1:15">
      <c r="A7965" s="510" t="s">
        <v>4181</v>
      </c>
      <c r="B7965" s="511">
        <f>VLOOKUP(A7965,'Mano Obra'!$B$3:$D$290,2,0)</f>
        <v>1000000</v>
      </c>
      <c r="C7965" s="91">
        <v>1</v>
      </c>
      <c r="D7965" s="94">
        <f>VLOOKUP(A7965,'Mano Obra'!$B$2:$T$117,19,0)</f>
        <v>67424</v>
      </c>
      <c r="E7965" s="218">
        <f>H7925</f>
        <v>8.3000000000000001E-3</v>
      </c>
      <c r="F7965" s="508">
        <f t="shared" si="465"/>
        <v>559.61919999999998</v>
      </c>
      <c r="G7965" s="509"/>
      <c r="H7965" s="110"/>
      <c r="J7965" s="117">
        <f>((('Mano Obra'!$M$6/30)*F7965)/D7965)*G7932</f>
        <v>0</v>
      </c>
    </row>
    <row r="7966" spans="1:15">
      <c r="A7966" s="512" t="s">
        <v>4100</v>
      </c>
      <c r="B7966" s="512"/>
      <c r="C7966" s="512"/>
      <c r="D7966" s="512"/>
      <c r="E7966" s="512"/>
      <c r="F7966" s="512"/>
      <c r="G7966" s="512"/>
      <c r="H7966" s="95">
        <f>SUM(F7963:F7965)</f>
        <v>2742.0544</v>
      </c>
      <c r="J7966" s="117"/>
    </row>
    <row r="7967" spans="1:15">
      <c r="A7967" s="208" t="s">
        <v>4226</v>
      </c>
      <c r="B7967" s="186"/>
      <c r="C7967" s="186"/>
      <c r="D7967" s="183"/>
      <c r="E7967" s="184"/>
      <c r="F7967" s="185"/>
      <c r="G7967" s="184"/>
      <c r="H7967" s="193"/>
    </row>
    <row r="7968" spans="1:15">
      <c r="A7968" s="513" t="s">
        <v>4213</v>
      </c>
      <c r="B7968" s="514"/>
      <c r="C7968" s="514"/>
      <c r="D7968" s="514"/>
      <c r="E7968" s="181"/>
      <c r="F7968" s="182" t="s">
        <v>4227</v>
      </c>
      <c r="G7968" s="181" t="s">
        <v>4228</v>
      </c>
      <c r="H7968" s="194"/>
    </row>
    <row r="7969" spans="1:14">
      <c r="A7969" s="204" t="s">
        <v>4096</v>
      </c>
      <c r="B7969" s="62"/>
      <c r="C7969" s="62"/>
      <c r="D7969" s="63"/>
      <c r="E7969" s="68"/>
      <c r="F7969" s="69">
        <v>0</v>
      </c>
      <c r="G7969" s="70" t="e">
        <f>F7969*H7933</f>
        <v>#VALUE!</v>
      </c>
      <c r="H7969" s="193"/>
    </row>
    <row r="7970" spans="1:14">
      <c r="A7970" s="205" t="s">
        <v>4229</v>
      </c>
      <c r="B7970" s="71"/>
      <c r="C7970" s="71"/>
      <c r="D7970" s="72"/>
      <c r="E7970" s="68"/>
      <c r="F7970" s="69">
        <v>0</v>
      </c>
      <c r="G7970" s="70" t="e">
        <f>F7970*H7933</f>
        <v>#VALUE!</v>
      </c>
      <c r="H7970" s="193"/>
    </row>
    <row r="7971" spans="1:14">
      <c r="A7971" s="205" t="s">
        <v>4</v>
      </c>
      <c r="B7971" s="71"/>
      <c r="C7971" s="71"/>
      <c r="D7971" s="72"/>
      <c r="E7971" s="68"/>
      <c r="F7971" s="69">
        <v>0</v>
      </c>
      <c r="G7971" s="70" t="e">
        <f>F7971*H7933</f>
        <v>#VALUE!</v>
      </c>
      <c r="H7971" s="193"/>
    </row>
    <row r="7972" spans="1:14">
      <c r="A7972" s="206"/>
      <c r="B7972" s="73"/>
      <c r="C7972" s="65"/>
      <c r="D7972" s="74"/>
      <c r="E7972" s="75"/>
      <c r="F7972" s="76"/>
      <c r="G7972" s="77"/>
      <c r="H7972" s="195"/>
    </row>
    <row r="7973" spans="1:14">
      <c r="A7973" s="207"/>
      <c r="B7973" s="73"/>
      <c r="C7973" s="73"/>
      <c r="D7973" s="74"/>
      <c r="E7973" s="78"/>
      <c r="F7973" s="515" t="s">
        <v>4230</v>
      </c>
      <c r="G7973" s="516"/>
      <c r="H7973" s="214" t="e">
        <f>H7933+G7969+G7970+G7971</f>
        <v>#VALUE!</v>
      </c>
    </row>
    <row r="7975" spans="1:14">
      <c r="A7975" s="80"/>
      <c r="B7975" s="80"/>
      <c r="C7975" s="80"/>
      <c r="D7975" s="80"/>
      <c r="E7975" s="80"/>
      <c r="F7975" s="80"/>
      <c r="G7975" s="80"/>
      <c r="H7975" s="353"/>
    </row>
    <row r="7976" spans="1:14">
      <c r="A7976" s="537" t="s">
        <v>4214</v>
      </c>
      <c r="B7976" s="538"/>
      <c r="C7976" s="538"/>
      <c r="D7976" s="538"/>
      <c r="E7976" s="538"/>
      <c r="F7976" s="538"/>
      <c r="G7976" s="538"/>
      <c r="H7976" s="539"/>
    </row>
    <row r="7977" spans="1:14">
      <c r="A7977" s="81"/>
      <c r="B7977" s="82"/>
      <c r="C7977" s="82"/>
      <c r="D7977" s="82"/>
      <c r="E7977" s="82"/>
      <c r="F7977" s="83"/>
      <c r="G7977" s="84"/>
      <c r="H7977" s="352">
        <f>ROUND((10/60)/8,4)</f>
        <v>2.0799999999999999E-2</v>
      </c>
      <c r="I7977" s="105"/>
    </row>
    <row r="7978" spans="1:14">
      <c r="A7978" s="540" t="s">
        <v>4209</v>
      </c>
      <c r="B7978" s="542" t="str">
        <f>COSTOS!$C$14</f>
        <v>MODERNIZACION A TECNOLOGIA LED</v>
      </c>
      <c r="C7978" s="542"/>
      <c r="D7978" s="542"/>
      <c r="E7978" s="542"/>
      <c r="F7978" s="542"/>
      <c r="G7978" s="542"/>
      <c r="H7978" s="543" t="s">
        <v>4210</v>
      </c>
    </row>
    <row r="7979" spans="1:14">
      <c r="A7979" s="541"/>
      <c r="B7979" s="542"/>
      <c r="C7979" s="542"/>
      <c r="D7979" s="542"/>
      <c r="E7979" s="542"/>
      <c r="F7979" s="542"/>
      <c r="G7979" s="542"/>
      <c r="H7979" s="543"/>
    </row>
    <row r="7980" spans="1:14">
      <c r="A7980" s="541"/>
      <c r="B7980" s="542"/>
      <c r="C7980" s="542"/>
      <c r="D7980" s="542"/>
      <c r="E7980" s="542"/>
      <c r="F7980" s="542"/>
      <c r="G7980" s="542"/>
      <c r="H7980" s="543"/>
    </row>
    <row r="7981" spans="1:14" ht="15" customHeight="1">
      <c r="A7981" s="541"/>
      <c r="B7981" s="542"/>
      <c r="C7981" s="542"/>
      <c r="D7981" s="542"/>
      <c r="E7981" s="542"/>
      <c r="F7981" s="542"/>
      <c r="G7981" s="542"/>
      <c r="H7981" s="197">
        <f ca="1">TODAY()</f>
        <v>44889</v>
      </c>
      <c r="K7981" t="s">
        <v>4380</v>
      </c>
      <c r="L7981" t="s">
        <v>4381</v>
      </c>
      <c r="M7981" t="s">
        <v>4382</v>
      </c>
      <c r="N7981" t="s">
        <v>4383</v>
      </c>
    </row>
    <row r="7982" spans="1:14" ht="60.75" customHeight="1">
      <c r="A7982" s="209" t="s">
        <v>4211</v>
      </c>
      <c r="B7982" s="544" t="str">
        <f>COSTOS!$D$16</f>
        <v>Luminarias</v>
      </c>
      <c r="C7982" s="544"/>
      <c r="D7982" s="544"/>
      <c r="E7982" s="544"/>
      <c r="F7982" s="544"/>
      <c r="G7982" s="60" t="s">
        <v>4212</v>
      </c>
      <c r="H7982" s="359">
        <v>3.44</v>
      </c>
      <c r="K7982" s="55" t="e">
        <f>H8008</f>
        <v>#VALUE!</v>
      </c>
      <c r="L7982" s="55">
        <f>H8018</f>
        <v>6871.6543999999994</v>
      </c>
      <c r="M7982" s="55" t="e">
        <f>H7991</f>
        <v>#VALUE!</v>
      </c>
      <c r="N7982" s="55" t="e">
        <f>H8012</f>
        <v>#VALUE!</v>
      </c>
    </row>
    <row r="7983" spans="1:14" ht="43.2" customHeight="1">
      <c r="A7983" s="210" t="s">
        <v>4213</v>
      </c>
      <c r="B7983" s="545" t="str">
        <f>VLOOKUP(H7982,COSTOS!C:M,2,0)</f>
        <v>Red aérea de media tensión con cable AAAC 3 x 1/0 AWG x 500 MTS</v>
      </c>
      <c r="C7983" s="546"/>
      <c r="D7983" s="546"/>
      <c r="E7983" s="547"/>
      <c r="F7983" s="61" t="s">
        <v>0</v>
      </c>
      <c r="G7983" s="328" t="str">
        <f>VLOOKUP(H7982,COSTOS!C:M,8,0)</f>
        <v>Und</v>
      </c>
      <c r="H7983" s="248"/>
      <c r="I7983" s="278"/>
      <c r="J7983" s="280"/>
      <c r="K7983" s="280"/>
      <c r="L7983" s="280"/>
    </row>
    <row r="7984" spans="1:14">
      <c r="A7984" s="211"/>
      <c r="B7984" s="102"/>
      <c r="C7984" s="102"/>
      <c r="D7984" s="102"/>
      <c r="E7984" s="103"/>
      <c r="F7984" s="104" t="s">
        <v>1</v>
      </c>
      <c r="G7984" s="328">
        <f>VLOOKUP(H7982,COSTOS!C:M,9,0)</f>
        <v>0</v>
      </c>
      <c r="H7984" s="329"/>
      <c r="I7984" s="279"/>
    </row>
    <row r="7985" spans="1:15">
      <c r="A7985" s="212" t="s">
        <v>4215</v>
      </c>
      <c r="B7985" s="65"/>
      <c r="C7985" s="65"/>
      <c r="D7985" s="66"/>
      <c r="E7985" s="190"/>
      <c r="F7985" s="191"/>
      <c r="G7985" s="192" t="s">
        <v>4216</v>
      </c>
      <c r="H7985" s="198" t="e">
        <f>H7991+H8008+H8012+H8018</f>
        <v>#VALUE!</v>
      </c>
    </row>
    <row r="7986" spans="1:15" ht="41.4">
      <c r="A7986" s="548" t="s">
        <v>4213</v>
      </c>
      <c r="B7986" s="548"/>
      <c r="C7986" s="548"/>
      <c r="D7986" s="67" t="s">
        <v>0</v>
      </c>
      <c r="E7986" s="188" t="s">
        <v>4217</v>
      </c>
      <c r="F7986" s="189" t="s">
        <v>4204</v>
      </c>
      <c r="G7986" s="64" t="s">
        <v>2</v>
      </c>
      <c r="H7986" s="199" t="s">
        <v>4218</v>
      </c>
      <c r="K7986" s="281"/>
    </row>
    <row r="7987" spans="1:15">
      <c r="A7987" s="517" t="s">
        <v>3946</v>
      </c>
      <c r="B7987" s="549">
        <f>VLOOKUP(A7987,'Equip, Herr y Transp'!$B$2:$E$738,2,0)</f>
        <v>2</v>
      </c>
      <c r="C7987" s="549"/>
      <c r="D7987" s="85">
        <f>VLOOKUP(A7987,'Equip, Herr y Transp'!$B$2:$E$217,2,0)</f>
        <v>2</v>
      </c>
      <c r="E7987" s="85" t="str">
        <f>VLOOKUP(A7987,'Equip, Herr y Transp'!$B$2:$E$217,3,0)</f>
        <v>EQU</v>
      </c>
      <c r="F7987" s="86">
        <f>H7977</f>
        <v>2.0799999999999999E-2</v>
      </c>
      <c r="G7987" s="112" t="e">
        <f>F7987*E7987</f>
        <v>#VALUE!</v>
      </c>
      <c r="H7987" s="108"/>
    </row>
    <row r="7988" spans="1:15">
      <c r="A7988" s="517" t="s">
        <v>3904</v>
      </c>
      <c r="B7988" s="549">
        <f>VLOOKUP(A7988,'Equip, Herr y Transp'!$B$2:$E$738,2,0)</f>
        <v>2</v>
      </c>
      <c r="C7988" s="549"/>
      <c r="D7988" s="85">
        <f>VLOOKUP(A7988,'Equip, Herr y Transp'!$B$2:$E$217,2,0)</f>
        <v>2</v>
      </c>
      <c r="E7988" s="85" t="str">
        <f>VLOOKUP(A7988,'Equip, Herr y Transp'!$B$2:$E$217,3,0)</f>
        <v>EQU</v>
      </c>
      <c r="F7988" s="86">
        <f>H7977</f>
        <v>2.0799999999999999E-2</v>
      </c>
      <c r="G7988" s="112" t="e">
        <f>F7988*E7988</f>
        <v>#VALUE!</v>
      </c>
      <c r="H7988" s="107"/>
    </row>
    <row r="7989" spans="1:15">
      <c r="A7989" s="517" t="s">
        <v>8</v>
      </c>
      <c r="B7989" s="549" t="e">
        <f>VLOOKUP(A7989,'Equip, Herr y Transp'!$B$2:$E$738,2,0)</f>
        <v>#N/A</v>
      </c>
      <c r="C7989" s="549"/>
      <c r="D7989" s="85" t="e">
        <f>VLOOKUP(A7989,'Equip, Herr y Transp'!$B$2:$E$217,2,0)</f>
        <v>#N/A</v>
      </c>
      <c r="E7989" s="85" t="e">
        <f>VLOOKUP(A7989,'Equip, Herr y Transp'!$B$2:$E$217,3,0)</f>
        <v>#N/A</v>
      </c>
      <c r="F7989" s="86">
        <f>H7977</f>
        <v>2.0799999999999999E-2</v>
      </c>
      <c r="G7989" s="112" t="e">
        <f>F7989*E7989</f>
        <v>#N/A</v>
      </c>
      <c r="H7989" s="107"/>
    </row>
    <row r="7990" spans="1:15">
      <c r="A7990" s="517" t="s">
        <v>8</v>
      </c>
      <c r="B7990" s="549" t="e">
        <f>VLOOKUP(A7990,'Equip, Herr y Transp'!$B$2:$E$738,2,0)</f>
        <v>#N/A</v>
      </c>
      <c r="C7990" s="549"/>
      <c r="D7990" s="85" t="e">
        <f>VLOOKUP(A7990,'Equip, Herr y Transp'!$B$2:$E$217,2,0)</f>
        <v>#N/A</v>
      </c>
      <c r="E7990" s="85" t="e">
        <f>VLOOKUP(A7990,'Equip, Herr y Transp'!$B$2:$E$217,3,0)</f>
        <v>#N/A</v>
      </c>
      <c r="F7990" s="86">
        <f>H7977</f>
        <v>2.0799999999999999E-2</v>
      </c>
      <c r="G7990" s="112" t="e">
        <f>F7990*E7990</f>
        <v>#N/A</v>
      </c>
      <c r="H7990" s="107"/>
    </row>
    <row r="7991" spans="1:15">
      <c r="A7991" s="520" t="s">
        <v>4099</v>
      </c>
      <c r="B7991" s="521"/>
      <c r="C7991" s="521"/>
      <c r="D7991" s="521"/>
      <c r="E7991" s="521"/>
      <c r="F7991" s="521"/>
      <c r="G7991" s="521"/>
      <c r="H7991" s="87" t="e">
        <f>SUM(G7987:G7990)</f>
        <v>#VALUE!</v>
      </c>
    </row>
    <row r="7992" spans="1:15">
      <c r="A7992" s="550" t="s">
        <v>4219</v>
      </c>
      <c r="B7992" s="551"/>
      <c r="C7992" s="551"/>
      <c r="D7992" s="551"/>
      <c r="E7992" s="551"/>
      <c r="F7992" s="551"/>
      <c r="G7992" s="551"/>
      <c r="H7992" s="552"/>
      <c r="K7992" s="50"/>
      <c r="L7992" s="50"/>
      <c r="M7992" s="50"/>
      <c r="N7992" s="50"/>
      <c r="O7992" s="50"/>
    </row>
    <row r="7993" spans="1:15" ht="30" customHeight="1">
      <c r="A7993" s="553" t="s">
        <v>7</v>
      </c>
      <c r="B7993" s="554"/>
      <c r="C7993" s="99" t="s">
        <v>0</v>
      </c>
      <c r="D7993" s="100" t="s">
        <v>4097</v>
      </c>
      <c r="E7993" s="101" t="s">
        <v>1</v>
      </c>
      <c r="F7993" s="555" t="s">
        <v>4207</v>
      </c>
      <c r="G7993" s="555"/>
      <c r="H7993" s="196"/>
      <c r="K7993" s="50"/>
      <c r="L7993" s="50"/>
      <c r="M7993" s="50"/>
      <c r="N7993" s="50"/>
      <c r="O7993" s="50"/>
    </row>
    <row r="7994" spans="1:15">
      <c r="A7994" s="535" t="s">
        <v>4431</v>
      </c>
      <c r="B7994" s="536"/>
      <c r="C7994" s="88">
        <f>VLOOKUP(A7994,'Materiales '!$C$2:$G$396,3,0)</f>
        <v>2</v>
      </c>
      <c r="D7994" s="89" t="str">
        <f>VLOOKUP(A7994,'Materiales '!$C$2:$G$396,4,0)</f>
        <v>Ml</v>
      </c>
      <c r="E7994" s="90">
        <v>3</v>
      </c>
      <c r="F7994" s="508" t="e">
        <f>E7994*D7994</f>
        <v>#VALUE!</v>
      </c>
      <c r="G7994" s="519"/>
      <c r="H7994" s="111"/>
      <c r="I7994">
        <f>E7994*G7984</f>
        <v>0</v>
      </c>
      <c r="J7994" s="57"/>
      <c r="K7994" s="50"/>
      <c r="L7994" s="50"/>
      <c r="M7994" s="50"/>
      <c r="N7994" s="50"/>
      <c r="O7994" s="50"/>
    </row>
    <row r="7995" spans="1:15">
      <c r="A7995" s="535" t="s">
        <v>4406</v>
      </c>
      <c r="B7995" s="536"/>
      <c r="C7995" s="88">
        <f>VLOOKUP(A7995,'Materiales '!$C$2:$G$396,3,0)</f>
        <v>4</v>
      </c>
      <c r="D7995" s="89" t="str">
        <f>VLOOKUP(A7995,'Materiales '!$C$2:$G$396,4,0)</f>
        <v>Und</v>
      </c>
      <c r="E7995" s="90">
        <f>2/25</f>
        <v>0.08</v>
      </c>
      <c r="F7995" s="508" t="e">
        <f t="shared" ref="F7995:F8001" si="466">E7995*D7995</f>
        <v>#VALUE!</v>
      </c>
      <c r="G7995" s="519"/>
      <c r="H7995" s="111"/>
      <c r="I7995">
        <f>E7995*G7984</f>
        <v>0</v>
      </c>
      <c r="J7995" s="57"/>
      <c r="K7995" s="50"/>
      <c r="L7995" s="50"/>
      <c r="M7995" s="50"/>
      <c r="N7995" s="50"/>
      <c r="O7995" s="50"/>
    </row>
    <row r="7996" spans="1:15">
      <c r="A7996" s="517" t="s">
        <v>4542</v>
      </c>
      <c r="B7996" s="518">
        <f>VLOOKUP(A7996,'Materiales '!$C$2:$G$396,3,0)</f>
        <v>4</v>
      </c>
      <c r="C7996" s="88">
        <f>VLOOKUP(A7996,'Materiales '!$C$2:$G$396,3,0)</f>
        <v>4</v>
      </c>
      <c r="D7996" s="89" t="str">
        <f>VLOOKUP(A7996,'Materiales '!$C$2:$G$396,4,0)</f>
        <v>Und</v>
      </c>
      <c r="E7996" s="90">
        <f>2/25</f>
        <v>0.08</v>
      </c>
      <c r="F7996" s="508" t="e">
        <f t="shared" si="466"/>
        <v>#VALUE!</v>
      </c>
      <c r="G7996" s="519"/>
      <c r="H7996" s="111"/>
      <c r="I7996">
        <f>E7996*G7984</f>
        <v>0</v>
      </c>
      <c r="J7996" s="58"/>
      <c r="K7996" s="50"/>
      <c r="L7996" s="50"/>
      <c r="M7996" s="50"/>
      <c r="N7996" s="50"/>
      <c r="O7996" s="50"/>
    </row>
    <row r="7997" spans="1:15">
      <c r="A7997" s="517" t="s">
        <v>8</v>
      </c>
      <c r="B7997" s="518">
        <f>VLOOKUP(A7997,'Materiales '!$C$2:$G$396,3,0)</f>
        <v>0</v>
      </c>
      <c r="C7997" s="88">
        <f>VLOOKUP(A7997,'Materiales '!$C$2:$G$396,3,0)</f>
        <v>0</v>
      </c>
      <c r="D7997" s="89" t="str">
        <f>VLOOKUP(A7997,'Materiales '!$C$2:$G$396,4,0)</f>
        <v>-</v>
      </c>
      <c r="E7997" s="90"/>
      <c r="F7997" s="508" t="e">
        <f t="shared" si="466"/>
        <v>#VALUE!</v>
      </c>
      <c r="G7997" s="519"/>
      <c r="H7997" s="111"/>
      <c r="I7997">
        <f>E7997*G7984</f>
        <v>0</v>
      </c>
      <c r="J7997" s="58"/>
      <c r="K7997" s="50"/>
      <c r="L7997" s="50"/>
      <c r="M7997" s="50"/>
      <c r="N7997" s="50"/>
      <c r="O7997" s="50"/>
    </row>
    <row r="7998" spans="1:15">
      <c r="A7998" s="517" t="s">
        <v>8</v>
      </c>
      <c r="B7998" s="518">
        <f>VLOOKUP(A7998,'Materiales '!$C$2:$G$396,3,0)</f>
        <v>0</v>
      </c>
      <c r="C7998" s="88">
        <f>VLOOKUP(A7998,'Materiales '!$C$2:$G$396,3,0)</f>
        <v>0</v>
      </c>
      <c r="D7998" s="89" t="str">
        <f>VLOOKUP(A7998,'Materiales '!$C$2:$G$396,4,0)</f>
        <v>-</v>
      </c>
      <c r="E7998" s="90"/>
      <c r="F7998" s="508" t="e">
        <f t="shared" si="466"/>
        <v>#VALUE!</v>
      </c>
      <c r="G7998" s="519"/>
      <c r="H7998" s="111"/>
      <c r="I7998">
        <f>E7998*G7984</f>
        <v>0</v>
      </c>
      <c r="J7998" s="58"/>
      <c r="K7998" s="50"/>
      <c r="L7998" s="50"/>
      <c r="M7998" s="50"/>
      <c r="N7998" s="50"/>
      <c r="O7998" s="50"/>
    </row>
    <row r="7999" spans="1:15">
      <c r="A7999" s="517" t="s">
        <v>8</v>
      </c>
      <c r="B7999" s="518">
        <f>VLOOKUP(A7999,'Materiales '!$C$2:$G$396,3,0)</f>
        <v>0</v>
      </c>
      <c r="C7999" s="88">
        <f>VLOOKUP(A7999,'Materiales '!$C$2:$G$396,3,0)</f>
        <v>0</v>
      </c>
      <c r="D7999" s="89" t="str">
        <f>VLOOKUP(A7999,'Materiales '!$C$2:$G$396,4,0)</f>
        <v>-</v>
      </c>
      <c r="E7999" s="90"/>
      <c r="F7999" s="508" t="e">
        <f t="shared" si="466"/>
        <v>#VALUE!</v>
      </c>
      <c r="G7999" s="519"/>
      <c r="H7999" s="111"/>
      <c r="I7999">
        <f>E7999*G7984</f>
        <v>0</v>
      </c>
      <c r="J7999" s="58"/>
      <c r="K7999" s="50"/>
      <c r="L7999" s="50"/>
      <c r="M7999" s="50"/>
      <c r="N7999" s="50"/>
      <c r="O7999" s="50"/>
    </row>
    <row r="8000" spans="1:15">
      <c r="A8000" s="517" t="s">
        <v>8</v>
      </c>
      <c r="B8000" s="518">
        <f>VLOOKUP(A8000,'Materiales '!$C$2:$G$396,3,0)</f>
        <v>0</v>
      </c>
      <c r="C8000" s="88">
        <f>VLOOKUP(A8000,'Materiales '!$C$2:$G$396,3,0)</f>
        <v>0</v>
      </c>
      <c r="D8000" s="89" t="str">
        <f>VLOOKUP(A8000,'Materiales '!$C$2:$G$396,4,0)</f>
        <v>-</v>
      </c>
      <c r="E8000" s="90"/>
      <c r="F8000" s="508" t="e">
        <f t="shared" si="466"/>
        <v>#VALUE!</v>
      </c>
      <c r="G8000" s="519"/>
      <c r="H8000" s="111"/>
      <c r="I8000">
        <f>E8000*G7984</f>
        <v>0</v>
      </c>
      <c r="J8000" s="58"/>
      <c r="K8000" s="50"/>
      <c r="L8000" s="50"/>
      <c r="M8000" s="50"/>
      <c r="N8000" s="50"/>
      <c r="O8000" s="50"/>
    </row>
    <row r="8001" spans="1:15" ht="21.75" customHeight="1">
      <c r="A8001" s="517" t="s">
        <v>8</v>
      </c>
      <c r="B8001" s="518">
        <f>VLOOKUP(A8001,'Materiales '!$C$2:$G$396,3,0)</f>
        <v>0</v>
      </c>
      <c r="C8001" s="88">
        <f>VLOOKUP(A8001,'Materiales '!$C$2:$G$396,3,0)</f>
        <v>0</v>
      </c>
      <c r="D8001" s="89" t="str">
        <f>VLOOKUP(A8001,'Materiales '!$C$2:$G$396,4,0)</f>
        <v>-</v>
      </c>
      <c r="E8001" s="90"/>
      <c r="F8001" s="508" t="e">
        <f t="shared" si="466"/>
        <v>#VALUE!</v>
      </c>
      <c r="G8001" s="519"/>
      <c r="H8001" s="111"/>
      <c r="I8001">
        <f>E8001*G7984</f>
        <v>0</v>
      </c>
      <c r="J8001" s="58"/>
      <c r="K8001" s="50"/>
      <c r="L8001" s="50"/>
      <c r="M8001" s="50"/>
      <c r="N8001" s="50"/>
      <c r="O8001" s="50"/>
    </row>
    <row r="8002" spans="1:15">
      <c r="A8002" s="517" t="s">
        <v>8</v>
      </c>
      <c r="B8002" s="518">
        <f>VLOOKUP(A8002,'Materiales '!$C$2:$G$396,3,0)</f>
        <v>0</v>
      </c>
      <c r="C8002" s="88">
        <f>VLOOKUP(A8002,'Materiales '!$C$2:$G$396,3,0)</f>
        <v>0</v>
      </c>
      <c r="D8002" s="89" t="str">
        <f>VLOOKUP(A8002,'Materiales '!$C$2:$G$396,4,0)</f>
        <v>-</v>
      </c>
      <c r="E8002" s="90"/>
      <c r="F8002" s="508" t="e">
        <f>E8002*D8002</f>
        <v>#VALUE!</v>
      </c>
      <c r="G8002" s="519"/>
      <c r="H8002" s="110"/>
      <c r="I8002">
        <f>E8002*G7984</f>
        <v>0</v>
      </c>
      <c r="J8002" s="58"/>
      <c r="K8002" s="50"/>
      <c r="L8002" s="50"/>
      <c r="M8002" s="50"/>
      <c r="N8002" s="50"/>
      <c r="O8002" s="50"/>
    </row>
    <row r="8003" spans="1:15">
      <c r="A8003" s="517" t="s">
        <v>8</v>
      </c>
      <c r="B8003" s="518">
        <f>VLOOKUP(A8003,'Materiales '!$C$2:$G$396,3,0)</f>
        <v>0</v>
      </c>
      <c r="C8003" s="88">
        <f>VLOOKUP(A8003,'Materiales '!$C$2:$G$396,3,0)</f>
        <v>0</v>
      </c>
      <c r="D8003" s="89" t="str">
        <f>VLOOKUP(A8003,'Materiales '!$C$2:$G$396,4,0)</f>
        <v>-</v>
      </c>
      <c r="E8003" s="90"/>
      <c r="F8003" s="508" t="e">
        <f t="shared" ref="F8003:F8006" si="467">E8003*D8003</f>
        <v>#VALUE!</v>
      </c>
      <c r="G8003" s="519"/>
      <c r="H8003" s="111"/>
      <c r="I8003">
        <f>E8003*G7984</f>
        <v>0</v>
      </c>
      <c r="J8003" s="58"/>
      <c r="K8003" s="50"/>
      <c r="L8003" s="50"/>
      <c r="M8003" s="50"/>
      <c r="N8003" s="50"/>
      <c r="O8003" s="50"/>
    </row>
    <row r="8004" spans="1:15">
      <c r="A8004" s="517" t="s">
        <v>8</v>
      </c>
      <c r="B8004" s="518">
        <f>VLOOKUP(A8004,'Materiales '!$C$2:$G$396,3,0)</f>
        <v>0</v>
      </c>
      <c r="C8004" s="88">
        <f>VLOOKUP(A8004,'Materiales '!$C$2:$G$396,3,0)</f>
        <v>0</v>
      </c>
      <c r="D8004" s="89" t="str">
        <f>VLOOKUP(A8004,'Materiales '!$C$2:$G$396,4,0)</f>
        <v>-</v>
      </c>
      <c r="E8004" s="90"/>
      <c r="F8004" s="508" t="e">
        <f t="shared" si="467"/>
        <v>#VALUE!</v>
      </c>
      <c r="G8004" s="519"/>
      <c r="H8004" s="111"/>
      <c r="I8004">
        <f>E8004*G7984</f>
        <v>0</v>
      </c>
      <c r="J8004" s="58"/>
      <c r="K8004" s="50"/>
      <c r="L8004" s="50"/>
      <c r="M8004" s="50"/>
      <c r="N8004" s="50"/>
      <c r="O8004" s="50"/>
    </row>
    <row r="8005" spans="1:15">
      <c r="A8005" s="517" t="s">
        <v>8</v>
      </c>
      <c r="B8005" s="518">
        <f>VLOOKUP(A8005,'Materiales '!$C$2:$G$396,3,0)</f>
        <v>0</v>
      </c>
      <c r="C8005" s="88">
        <f>VLOOKUP(A8005,'Materiales '!$C$2:$G$396,3,0)</f>
        <v>0</v>
      </c>
      <c r="D8005" s="89" t="str">
        <f>VLOOKUP(A8005,'Materiales '!$C$2:$G$396,4,0)</f>
        <v>-</v>
      </c>
      <c r="E8005" s="90"/>
      <c r="F8005" s="508" t="e">
        <f t="shared" si="467"/>
        <v>#VALUE!</v>
      </c>
      <c r="G8005" s="519"/>
      <c r="H8005" s="111"/>
      <c r="I8005">
        <f>E8005*G7984</f>
        <v>0</v>
      </c>
      <c r="J8005" s="58"/>
      <c r="K8005" s="50"/>
      <c r="L8005" s="50"/>
      <c r="M8005" s="50"/>
      <c r="N8005" s="50"/>
      <c r="O8005" s="50"/>
    </row>
    <row r="8006" spans="1:15">
      <c r="A8006" s="517" t="s">
        <v>8</v>
      </c>
      <c r="B8006" s="518">
        <f>VLOOKUP(A8006,'Materiales '!$C$2:$G$396,3,0)</f>
        <v>0</v>
      </c>
      <c r="C8006" s="88">
        <f>VLOOKUP(A8006,'Materiales '!$C$2:$G$396,3,0)</f>
        <v>0</v>
      </c>
      <c r="D8006" s="89" t="str">
        <f>VLOOKUP(A8006,'Materiales '!$C$2:$G$396,4,0)</f>
        <v>-</v>
      </c>
      <c r="E8006" s="90"/>
      <c r="F8006" s="508" t="e">
        <f t="shared" si="467"/>
        <v>#VALUE!</v>
      </c>
      <c r="G8006" s="519"/>
      <c r="H8006" s="111"/>
      <c r="I8006">
        <f>E8006*G7984</f>
        <v>0</v>
      </c>
      <c r="J8006" s="58"/>
      <c r="K8006" s="50"/>
      <c r="L8006" s="50"/>
      <c r="M8006" s="50"/>
      <c r="N8006" s="50"/>
      <c r="O8006" s="50"/>
    </row>
    <row r="8007" spans="1:15">
      <c r="A8007" s="517" t="s">
        <v>8</v>
      </c>
      <c r="B8007" s="518">
        <f>VLOOKUP(A8007,'Materiales '!$C$2:$G$396,3,0)</f>
        <v>0</v>
      </c>
      <c r="C8007" s="88">
        <f>VLOOKUP(A8007,'Materiales '!$C$2:$G$396,3,0)</f>
        <v>0</v>
      </c>
      <c r="D8007" s="89" t="str">
        <f>VLOOKUP(A8007,'Materiales '!$C$2:$G$396,4,0)</f>
        <v>-</v>
      </c>
      <c r="E8007" s="90"/>
      <c r="F8007" s="508" t="e">
        <f>E8007*D8007</f>
        <v>#VALUE!</v>
      </c>
      <c r="G8007" s="519"/>
      <c r="H8007" s="110"/>
      <c r="I8007">
        <f>E8007*G7984</f>
        <v>0</v>
      </c>
      <c r="J8007" s="58"/>
      <c r="K8007" s="50"/>
      <c r="L8007" s="50"/>
      <c r="M8007" s="50"/>
      <c r="N8007" s="50"/>
      <c r="O8007" s="50"/>
    </row>
    <row r="8008" spans="1:15">
      <c r="A8008" s="520" t="s">
        <v>4098</v>
      </c>
      <c r="B8008" s="521"/>
      <c r="C8008" s="521"/>
      <c r="D8008" s="521"/>
      <c r="E8008" s="521"/>
      <c r="F8008" s="521"/>
      <c r="G8008" s="522"/>
      <c r="H8008" s="106" t="e">
        <f>SUM(F7994:F8007)</f>
        <v>#VALUE!</v>
      </c>
      <c r="J8008" s="58"/>
      <c r="K8008" s="50"/>
      <c r="L8008" s="50"/>
      <c r="M8008" s="50"/>
      <c r="N8008" s="50"/>
      <c r="O8008" s="50"/>
    </row>
    <row r="8009" spans="1:15">
      <c r="A8009" s="523" t="s">
        <v>4220</v>
      </c>
      <c r="B8009" s="524"/>
      <c r="C8009" s="524"/>
      <c r="D8009" s="524"/>
      <c r="E8009" s="525"/>
      <c r="F8009" s="524"/>
      <c r="G8009" s="524"/>
      <c r="H8009" s="526"/>
      <c r="J8009" s="58"/>
      <c r="K8009" s="50"/>
      <c r="L8009" s="50"/>
      <c r="M8009" s="50"/>
      <c r="N8009" s="50"/>
      <c r="O8009" s="50"/>
    </row>
    <row r="8010" spans="1:15">
      <c r="A8010" s="527" t="s">
        <v>7</v>
      </c>
      <c r="B8010" s="528"/>
      <c r="C8010" s="98" t="s">
        <v>4221</v>
      </c>
      <c r="D8010" s="97" t="s">
        <v>4222</v>
      </c>
      <c r="E8010" s="187" t="s">
        <v>4223</v>
      </c>
      <c r="F8010" s="529" t="s">
        <v>4207</v>
      </c>
      <c r="G8010" s="529"/>
      <c r="H8010" s="109"/>
      <c r="K8010" s="50"/>
      <c r="L8010" s="50"/>
      <c r="M8010" s="50"/>
      <c r="N8010" s="50"/>
      <c r="O8010" s="50"/>
    </row>
    <row r="8011" spans="1:15">
      <c r="A8011" s="506" t="s">
        <v>3928</v>
      </c>
      <c r="B8011" s="507"/>
      <c r="C8011" s="213">
        <v>1</v>
      </c>
      <c r="D8011" s="92">
        <v>5.0000000000000001E-3</v>
      </c>
      <c r="E8011" s="93" t="str">
        <f>VLOOKUP(A8011,'Equip, Herr y Transp'!$B$2:$E$217,3,0)</f>
        <v>TR</v>
      </c>
      <c r="F8011" s="530" t="e">
        <f>E8011*D8011*C8011</f>
        <v>#VALUE!</v>
      </c>
      <c r="G8011" s="531"/>
      <c r="H8011" s="107"/>
      <c r="M8011" s="50"/>
    </row>
    <row r="8012" spans="1:15">
      <c r="A8012" s="532" t="s">
        <v>4205</v>
      </c>
      <c r="B8012" s="533"/>
      <c r="C8012" s="533"/>
      <c r="D8012" s="533"/>
      <c r="E8012" s="533"/>
      <c r="F8012" s="533"/>
      <c r="G8012" s="533"/>
      <c r="H8012" s="95" t="e">
        <f>F8011</f>
        <v>#VALUE!</v>
      </c>
    </row>
    <row r="8013" spans="1:15">
      <c r="A8013" s="523" t="s">
        <v>4224</v>
      </c>
      <c r="B8013" s="524"/>
      <c r="C8013" s="524"/>
      <c r="D8013" s="524"/>
      <c r="E8013" s="524"/>
      <c r="F8013" s="524"/>
      <c r="G8013" s="524"/>
      <c r="H8013" s="526"/>
    </row>
    <row r="8014" spans="1:15">
      <c r="A8014" s="527" t="s">
        <v>7</v>
      </c>
      <c r="B8014" s="528"/>
      <c r="C8014" s="96" t="s">
        <v>1</v>
      </c>
      <c r="D8014" s="97" t="s">
        <v>4225</v>
      </c>
      <c r="E8014" s="98" t="s">
        <v>4204</v>
      </c>
      <c r="F8014" s="527" t="s">
        <v>5</v>
      </c>
      <c r="G8014" s="534"/>
      <c r="H8014" s="109"/>
    </row>
    <row r="8015" spans="1:15">
      <c r="A8015" s="506" t="s">
        <v>4191</v>
      </c>
      <c r="B8015" s="507"/>
      <c r="C8015" s="91">
        <v>1</v>
      </c>
      <c r="D8015" s="94">
        <f>VLOOKUP(A8015,'Mano Obra'!$B$2:$T$117,19,0)</f>
        <v>152456</v>
      </c>
      <c r="E8015" s="218">
        <f>H7977</f>
        <v>2.0799999999999999E-2</v>
      </c>
      <c r="F8015" s="508">
        <f>E8015*D8015*C8015</f>
        <v>3171.0847999999996</v>
      </c>
      <c r="G8015" s="509"/>
      <c r="H8015" s="111"/>
      <c r="I8015" s="59"/>
      <c r="J8015" s="117">
        <f>((('Mano Obra'!$M$4/30)*F8015)/D8015)*G7984</f>
        <v>0</v>
      </c>
    </row>
    <row r="8016" spans="1:15">
      <c r="A8016" s="510" t="s">
        <v>4192</v>
      </c>
      <c r="B8016" s="511">
        <f>VLOOKUP(A8016,'Mano Obra'!$B$3:$D$290,2,0)</f>
        <v>1900000</v>
      </c>
      <c r="C8016" s="91">
        <v>1</v>
      </c>
      <c r="D8016" s="94">
        <f>VLOOKUP(A8016,'Mano Obra'!$B$2:$T$117,19,0)</f>
        <v>110488</v>
      </c>
      <c r="E8016" s="218">
        <f>H7977</f>
        <v>2.0799999999999999E-2</v>
      </c>
      <c r="F8016" s="508">
        <f t="shared" ref="F8016:F8017" si="468">E8016*D8016*C8016</f>
        <v>2298.1504</v>
      </c>
      <c r="G8016" s="509"/>
      <c r="H8016" s="111"/>
      <c r="J8016" s="117">
        <f>((('Mano Obra'!$M$5/30)*F8016)/D8016)*G7984</f>
        <v>0</v>
      </c>
    </row>
    <row r="8017" spans="1:10">
      <c r="A8017" s="510" t="s">
        <v>4181</v>
      </c>
      <c r="B8017" s="511">
        <f>VLOOKUP(A8017,'Mano Obra'!$B$3:$D$290,2,0)</f>
        <v>1000000</v>
      </c>
      <c r="C8017" s="91">
        <v>1</v>
      </c>
      <c r="D8017" s="94">
        <f>VLOOKUP(A8017,'Mano Obra'!$B$2:$T$117,19,0)</f>
        <v>67424</v>
      </c>
      <c r="E8017" s="218">
        <f>H7977</f>
        <v>2.0799999999999999E-2</v>
      </c>
      <c r="F8017" s="508">
        <f t="shared" si="468"/>
        <v>1402.4192</v>
      </c>
      <c r="G8017" s="509"/>
      <c r="H8017" s="110"/>
      <c r="J8017" s="117">
        <f>((('Mano Obra'!$M$6/30)*F8017)/D8017)*G7984</f>
        <v>0</v>
      </c>
    </row>
    <row r="8018" spans="1:10">
      <c r="A8018" s="512" t="s">
        <v>4100</v>
      </c>
      <c r="B8018" s="512"/>
      <c r="C8018" s="512"/>
      <c r="D8018" s="512"/>
      <c r="E8018" s="512"/>
      <c r="F8018" s="512"/>
      <c r="G8018" s="512"/>
      <c r="H8018" s="95">
        <f>SUM(F8015:F8017)</f>
        <v>6871.6543999999994</v>
      </c>
      <c r="J8018" s="117"/>
    </row>
    <row r="8019" spans="1:10">
      <c r="A8019" s="208" t="s">
        <v>4226</v>
      </c>
      <c r="B8019" s="186"/>
      <c r="C8019" s="186"/>
      <c r="D8019" s="183"/>
      <c r="E8019" s="184"/>
      <c r="F8019" s="185"/>
      <c r="G8019" s="184"/>
      <c r="H8019" s="193"/>
    </row>
    <row r="8020" spans="1:10">
      <c r="A8020" s="513" t="s">
        <v>4213</v>
      </c>
      <c r="B8020" s="514"/>
      <c r="C8020" s="514"/>
      <c r="D8020" s="514"/>
      <c r="E8020" s="181"/>
      <c r="F8020" s="182" t="s">
        <v>4227</v>
      </c>
      <c r="G8020" s="181" t="s">
        <v>4228</v>
      </c>
      <c r="H8020" s="194"/>
    </row>
    <row r="8021" spans="1:10">
      <c r="A8021" s="204" t="s">
        <v>4096</v>
      </c>
      <c r="B8021" s="62"/>
      <c r="C8021" s="62"/>
      <c r="D8021" s="63"/>
      <c r="E8021" s="68"/>
      <c r="F8021" s="69">
        <v>0</v>
      </c>
      <c r="G8021" s="70" t="e">
        <f>F8021*H7985</f>
        <v>#VALUE!</v>
      </c>
      <c r="H8021" s="193"/>
    </row>
    <row r="8022" spans="1:10">
      <c r="A8022" s="205" t="s">
        <v>4229</v>
      </c>
      <c r="B8022" s="71"/>
      <c r="C8022" s="71"/>
      <c r="D8022" s="72"/>
      <c r="E8022" s="68"/>
      <c r="F8022" s="69">
        <v>0</v>
      </c>
      <c r="G8022" s="70" t="e">
        <f>F8022*H7985</f>
        <v>#VALUE!</v>
      </c>
      <c r="H8022" s="193"/>
    </row>
    <row r="8023" spans="1:10">
      <c r="A8023" s="205" t="s">
        <v>4</v>
      </c>
      <c r="B8023" s="71"/>
      <c r="C8023" s="71"/>
      <c r="D8023" s="72"/>
      <c r="E8023" s="68"/>
      <c r="F8023" s="69">
        <v>0</v>
      </c>
      <c r="G8023" s="70" t="e">
        <f>F8023*H7985</f>
        <v>#VALUE!</v>
      </c>
      <c r="H8023" s="193"/>
    </row>
    <row r="8024" spans="1:10">
      <c r="A8024" s="206"/>
      <c r="B8024" s="73"/>
      <c r="C8024" s="65"/>
      <c r="D8024" s="74"/>
      <c r="E8024" s="75"/>
      <c r="F8024" s="76"/>
      <c r="G8024" s="77"/>
      <c r="H8024" s="195"/>
    </row>
    <row r="8025" spans="1:10">
      <c r="A8025" s="207"/>
      <c r="B8025" s="73"/>
      <c r="C8025" s="73"/>
      <c r="D8025" s="74"/>
      <c r="E8025" s="78"/>
      <c r="F8025" s="515" t="s">
        <v>4230</v>
      </c>
      <c r="G8025" s="516"/>
      <c r="H8025" s="214" t="e">
        <f>H7985+G8021+G8022+G8023</f>
        <v>#VALUE!</v>
      </c>
    </row>
    <row r="8027" spans="1:10">
      <c r="A8027" s="80"/>
      <c r="B8027" s="80"/>
      <c r="C8027" s="80"/>
      <c r="D8027" s="80"/>
      <c r="E8027" s="80"/>
      <c r="F8027" s="80"/>
      <c r="G8027" s="80"/>
      <c r="H8027" s="353"/>
    </row>
    <row r="8028" spans="1:10">
      <c r="A8028" s="537" t="s">
        <v>4214</v>
      </c>
      <c r="B8028" s="538"/>
      <c r="C8028" s="538"/>
      <c r="D8028" s="538"/>
      <c r="E8028" s="538"/>
      <c r="F8028" s="538"/>
      <c r="G8028" s="538"/>
      <c r="H8028" s="539"/>
    </row>
    <row r="8029" spans="1:10">
      <c r="A8029" s="81"/>
      <c r="B8029" s="82"/>
      <c r="C8029" s="82"/>
      <c r="D8029" s="82"/>
      <c r="E8029" s="82"/>
      <c r="F8029" s="83"/>
      <c r="G8029" s="84"/>
      <c r="H8029" s="352">
        <f>ROUND((150/60)/8,4)</f>
        <v>0.3125</v>
      </c>
      <c r="I8029" s="105"/>
    </row>
    <row r="8030" spans="1:10">
      <c r="A8030" s="540" t="s">
        <v>4209</v>
      </c>
      <c r="B8030" s="542" t="str">
        <f>COSTOS!$C$14</f>
        <v>MODERNIZACION A TECNOLOGIA LED</v>
      </c>
      <c r="C8030" s="542"/>
      <c r="D8030" s="542"/>
      <c r="E8030" s="542"/>
      <c r="F8030" s="542"/>
      <c r="G8030" s="542"/>
      <c r="H8030" s="543" t="s">
        <v>4210</v>
      </c>
    </row>
    <row r="8031" spans="1:10">
      <c r="A8031" s="541"/>
      <c r="B8031" s="542"/>
      <c r="C8031" s="542"/>
      <c r="D8031" s="542"/>
      <c r="E8031" s="542"/>
      <c r="F8031" s="542"/>
      <c r="G8031" s="542"/>
      <c r="H8031" s="543"/>
    </row>
    <row r="8032" spans="1:10">
      <c r="A8032" s="541"/>
      <c r="B8032" s="542"/>
      <c r="C8032" s="542"/>
      <c r="D8032" s="542"/>
      <c r="E8032" s="542"/>
      <c r="F8032" s="542"/>
      <c r="G8032" s="542"/>
      <c r="H8032" s="543"/>
    </row>
    <row r="8033" spans="1:15" ht="15" customHeight="1">
      <c r="A8033" s="541"/>
      <c r="B8033" s="542"/>
      <c r="C8033" s="542"/>
      <c r="D8033" s="542"/>
      <c r="E8033" s="542"/>
      <c r="F8033" s="542"/>
      <c r="G8033" s="542"/>
      <c r="H8033" s="197">
        <f ca="1">TODAY()</f>
        <v>44889</v>
      </c>
      <c r="K8033" t="s">
        <v>4380</v>
      </c>
      <c r="L8033" t="s">
        <v>4381</v>
      </c>
      <c r="M8033" t="s">
        <v>4382</v>
      </c>
      <c r="N8033" t="s">
        <v>4383</v>
      </c>
    </row>
    <row r="8034" spans="1:15" ht="60.75" customHeight="1">
      <c r="A8034" s="209" t="s">
        <v>4211</v>
      </c>
      <c r="B8034" s="544" t="str">
        <f>COSTOS!$D$16</f>
        <v>Luminarias</v>
      </c>
      <c r="C8034" s="544"/>
      <c r="D8034" s="544"/>
      <c r="E8034" s="544"/>
      <c r="F8034" s="544"/>
      <c r="G8034" s="60" t="s">
        <v>4212</v>
      </c>
      <c r="H8034" s="359">
        <v>4.0999999999999996</v>
      </c>
      <c r="K8034" s="55" t="e">
        <f>H8063</f>
        <v>#VALUE!</v>
      </c>
      <c r="L8034" s="55">
        <f>H8073</f>
        <v>158837.5</v>
      </c>
      <c r="M8034" s="55" t="e">
        <f>H8043</f>
        <v>#VALUE!</v>
      </c>
      <c r="N8034" s="55" t="e">
        <f>H8067</f>
        <v>#VALUE!</v>
      </c>
    </row>
    <row r="8035" spans="1:15" ht="43.2" customHeight="1">
      <c r="A8035" s="210" t="s">
        <v>4213</v>
      </c>
      <c r="B8035" s="545" t="str">
        <f>VLOOKUP(H8034,COSTOS!C:M,2,0)</f>
        <v>Instalacion de CENTRO DE TRANSFORMACION, MONOFASICO, 5KVA, 13200-480/240 a Red de Media tension , TIPO HORIZONTAL, en poste existente</v>
      </c>
      <c r="C8035" s="546"/>
      <c r="D8035" s="546"/>
      <c r="E8035" s="547"/>
      <c r="F8035" s="61" t="s">
        <v>0</v>
      </c>
      <c r="G8035" s="328" t="str">
        <f>VLOOKUP(H8034,COSTOS!C:M,8,0)</f>
        <v>Und</v>
      </c>
      <c r="H8035" s="248"/>
      <c r="I8035" s="278"/>
      <c r="J8035" s="280"/>
      <c r="K8035" s="280"/>
      <c r="L8035" s="280"/>
    </row>
    <row r="8036" spans="1:15">
      <c r="A8036" s="211"/>
      <c r="B8036" s="102"/>
      <c r="C8036" s="102"/>
      <c r="D8036" s="102"/>
      <c r="E8036" s="103"/>
      <c r="F8036" s="104" t="s">
        <v>1</v>
      </c>
      <c r="G8036" s="328">
        <f>VLOOKUP(H8034,COSTOS!C:M,9,0)</f>
        <v>0</v>
      </c>
      <c r="H8036" s="329"/>
      <c r="I8036" s="279"/>
    </row>
    <row r="8037" spans="1:15">
      <c r="A8037" s="212" t="s">
        <v>4215</v>
      </c>
      <c r="B8037" s="65"/>
      <c r="C8037" s="65"/>
      <c r="D8037" s="66"/>
      <c r="E8037" s="190"/>
      <c r="F8037" s="191"/>
      <c r="G8037" s="192" t="s">
        <v>4216</v>
      </c>
      <c r="H8037" s="198" t="e">
        <f>H8043+H8063+H8067+H8073</f>
        <v>#VALUE!</v>
      </c>
    </row>
    <row r="8038" spans="1:15" ht="41.4">
      <c r="A8038" s="548" t="s">
        <v>4213</v>
      </c>
      <c r="B8038" s="548"/>
      <c r="C8038" s="548"/>
      <c r="D8038" s="67" t="s">
        <v>0</v>
      </c>
      <c r="E8038" s="188" t="s">
        <v>4217</v>
      </c>
      <c r="F8038" s="189" t="s">
        <v>4204</v>
      </c>
      <c r="G8038" s="64" t="s">
        <v>2</v>
      </c>
      <c r="H8038" s="199" t="s">
        <v>4218</v>
      </c>
      <c r="K8038" s="281"/>
    </row>
    <row r="8039" spans="1:15">
      <c r="A8039" s="517" t="s">
        <v>3946</v>
      </c>
      <c r="B8039" s="549">
        <f>VLOOKUP(A8039,'Equip, Herr y Transp'!$B$2:$E$738,2,0)</f>
        <v>2</v>
      </c>
      <c r="C8039" s="549"/>
      <c r="D8039" s="85">
        <f>VLOOKUP(A8039,'Equip, Herr y Transp'!$B$2:$E$217,2,0)</f>
        <v>2</v>
      </c>
      <c r="E8039" s="85" t="str">
        <f>VLOOKUP(A8039,'Equip, Herr y Transp'!$B$2:$E$217,3,0)</f>
        <v>EQU</v>
      </c>
      <c r="F8039" s="86">
        <f>H8029</f>
        <v>0.3125</v>
      </c>
      <c r="G8039" s="112" t="e">
        <f>F8039*E8039</f>
        <v>#VALUE!</v>
      </c>
      <c r="H8039" s="108"/>
    </row>
    <row r="8040" spans="1:15">
      <c r="A8040" s="517" t="s">
        <v>3894</v>
      </c>
      <c r="B8040" s="549">
        <f>VLOOKUP(A8040,'Equip, Herr y Transp'!$B$2:$E$738,2,0)</f>
        <v>4</v>
      </c>
      <c r="C8040" s="549"/>
      <c r="D8040" s="85">
        <f>VLOOKUP(A8040,'Equip, Herr y Transp'!$B$2:$E$217,2,0)</f>
        <v>4</v>
      </c>
      <c r="E8040" s="85" t="str">
        <f>VLOOKUP(A8040,'Equip, Herr y Transp'!$B$2:$E$217,3,0)</f>
        <v>TR</v>
      </c>
      <c r="F8040" s="86">
        <f>H8029</f>
        <v>0.3125</v>
      </c>
      <c r="G8040" s="112" t="e">
        <f>F8040*E8040</f>
        <v>#VALUE!</v>
      </c>
      <c r="H8040" s="107"/>
    </row>
    <row r="8041" spans="1:15">
      <c r="A8041" s="517" t="s">
        <v>3895</v>
      </c>
      <c r="B8041" s="549">
        <f>VLOOKUP(A8041,'Equip, Herr y Transp'!$B$2:$E$738,2,0)</f>
        <v>4</v>
      </c>
      <c r="C8041" s="549"/>
      <c r="D8041" s="85">
        <f>VLOOKUP(A8041,'Equip, Herr y Transp'!$B$2:$E$217,2,0)</f>
        <v>4</v>
      </c>
      <c r="E8041" s="85" t="str">
        <f>VLOOKUP(A8041,'Equip, Herr y Transp'!$B$2:$E$217,3,0)</f>
        <v>TR</v>
      </c>
      <c r="F8041" s="86">
        <f>H8029</f>
        <v>0.3125</v>
      </c>
      <c r="G8041" s="112" t="e">
        <f>F8041*E8041</f>
        <v>#VALUE!</v>
      </c>
      <c r="H8041" s="107"/>
    </row>
    <row r="8042" spans="1:15">
      <c r="A8042" s="517" t="s">
        <v>8</v>
      </c>
      <c r="B8042" s="549" t="e">
        <f>VLOOKUP(A8042,'Equip, Herr y Transp'!$B$2:$E$738,2,0)</f>
        <v>#N/A</v>
      </c>
      <c r="C8042" s="549"/>
      <c r="D8042" s="85" t="e">
        <f>VLOOKUP(A8042,'Equip, Herr y Transp'!$B$2:$E$217,2,0)</f>
        <v>#N/A</v>
      </c>
      <c r="E8042" s="85" t="e">
        <f>VLOOKUP(A8042,'Equip, Herr y Transp'!$B$2:$E$217,3,0)</f>
        <v>#N/A</v>
      </c>
      <c r="F8042" s="86">
        <f>H8029</f>
        <v>0.3125</v>
      </c>
      <c r="G8042" s="112" t="e">
        <f>F8042*E8042</f>
        <v>#N/A</v>
      </c>
      <c r="H8042" s="107"/>
    </row>
    <row r="8043" spans="1:15">
      <c r="A8043" s="520" t="s">
        <v>4099</v>
      </c>
      <c r="B8043" s="521"/>
      <c r="C8043" s="521"/>
      <c r="D8043" s="521"/>
      <c r="E8043" s="521"/>
      <c r="F8043" s="521"/>
      <c r="G8043" s="521"/>
      <c r="H8043" s="87" t="e">
        <f>SUM(G8039:G8042)</f>
        <v>#VALUE!</v>
      </c>
    </row>
    <row r="8044" spans="1:15">
      <c r="A8044" s="550" t="s">
        <v>4219</v>
      </c>
      <c r="B8044" s="551"/>
      <c r="C8044" s="551"/>
      <c r="D8044" s="551"/>
      <c r="E8044" s="551"/>
      <c r="F8044" s="551"/>
      <c r="G8044" s="551"/>
      <c r="H8044" s="552"/>
      <c r="K8044" s="50"/>
      <c r="L8044" s="50"/>
      <c r="M8044" s="50"/>
      <c r="N8044" s="50"/>
      <c r="O8044" s="50"/>
    </row>
    <row r="8045" spans="1:15" ht="30" customHeight="1">
      <c r="A8045" s="553" t="s">
        <v>7</v>
      </c>
      <c r="B8045" s="554"/>
      <c r="C8045" s="99" t="s">
        <v>0</v>
      </c>
      <c r="D8045" s="100" t="s">
        <v>4097</v>
      </c>
      <c r="E8045" s="101" t="s">
        <v>1</v>
      </c>
      <c r="F8045" s="555" t="s">
        <v>4207</v>
      </c>
      <c r="G8045" s="555"/>
      <c r="H8045" s="196"/>
      <c r="K8045" s="50"/>
      <c r="L8045" s="50"/>
      <c r="M8045" s="50"/>
      <c r="N8045" s="50"/>
      <c r="O8045" s="50"/>
    </row>
    <row r="8046" spans="1:15">
      <c r="A8046" s="535" t="s">
        <v>4502</v>
      </c>
      <c r="B8046" s="536"/>
      <c r="C8046" s="88">
        <f>VLOOKUP(A8046,'Materiales '!$C$2:$G$396,3,0)</f>
        <v>4</v>
      </c>
      <c r="D8046" s="89" t="str">
        <f>VLOOKUP(A8046,'Materiales '!$C$2:$G$396,4,0)</f>
        <v>Und</v>
      </c>
      <c r="E8046" s="90">
        <v>2</v>
      </c>
      <c r="F8046" s="508" t="e">
        <f>E8046*D8046</f>
        <v>#VALUE!</v>
      </c>
      <c r="G8046" s="519"/>
      <c r="H8046" s="111"/>
      <c r="I8046">
        <f>E8046*G8036</f>
        <v>0</v>
      </c>
      <c r="J8046" s="57"/>
      <c r="K8046" s="50"/>
      <c r="L8046" s="50"/>
      <c r="M8046" s="50"/>
      <c r="N8046" s="50"/>
      <c r="O8046" s="50"/>
    </row>
    <row r="8047" spans="1:15">
      <c r="A8047" s="535" t="s">
        <v>4503</v>
      </c>
      <c r="B8047" s="536"/>
      <c r="C8047" s="88">
        <f>VLOOKUP(A8047,'Materiales '!$C$2:$G$396,3,0)</f>
        <v>4</v>
      </c>
      <c r="D8047" s="89" t="str">
        <f>VLOOKUP(A8047,'Materiales '!$C$2:$G$396,4,0)</f>
        <v>Und</v>
      </c>
      <c r="E8047" s="90">
        <v>2</v>
      </c>
      <c r="F8047" s="508" t="e">
        <f t="shared" ref="F8047:F8053" si="469">E8047*D8047</f>
        <v>#VALUE!</v>
      </c>
      <c r="G8047" s="519"/>
      <c r="H8047" s="111"/>
      <c r="I8047">
        <f>E8047*G8036</f>
        <v>0</v>
      </c>
      <c r="J8047" s="57"/>
      <c r="K8047" s="50"/>
      <c r="L8047" s="50"/>
      <c r="M8047" s="50"/>
      <c r="N8047" s="50"/>
      <c r="O8047" s="50"/>
    </row>
    <row r="8048" spans="1:15">
      <c r="A8048" s="517" t="s">
        <v>4545</v>
      </c>
      <c r="B8048" s="518">
        <f>VLOOKUP(A8048,'Materiales '!$C$2:$G$396,3,0)</f>
        <v>4</v>
      </c>
      <c r="C8048" s="88">
        <f>VLOOKUP(A8048,'Materiales '!$C$2:$G$396,3,0)</f>
        <v>4</v>
      </c>
      <c r="D8048" s="89" t="str">
        <f>VLOOKUP(A8048,'Materiales '!$C$2:$G$396,4,0)</f>
        <v>Und</v>
      </c>
      <c r="E8048" s="90">
        <v>2</v>
      </c>
      <c r="F8048" s="508" t="e">
        <f t="shared" si="469"/>
        <v>#VALUE!</v>
      </c>
      <c r="G8048" s="519"/>
      <c r="H8048" s="111"/>
      <c r="I8048">
        <f>E8048*G8036</f>
        <v>0</v>
      </c>
      <c r="J8048" s="58"/>
      <c r="K8048" s="50"/>
      <c r="L8048" s="50"/>
      <c r="M8048" s="50"/>
      <c r="N8048" s="50"/>
      <c r="O8048" s="50"/>
    </row>
    <row r="8049" spans="1:15">
      <c r="A8049" s="517" t="s">
        <v>4447</v>
      </c>
      <c r="B8049" s="518">
        <f>VLOOKUP(A8049,'Materiales '!$C$2:$G$396,3,0)</f>
        <v>2</v>
      </c>
      <c r="C8049" s="88">
        <f>VLOOKUP(A8049,'Materiales '!$C$2:$G$396,3,0)</f>
        <v>2</v>
      </c>
      <c r="D8049" s="89" t="str">
        <f>VLOOKUP(A8049,'Materiales '!$C$2:$G$396,4,0)</f>
        <v>Ml</v>
      </c>
      <c r="E8049" s="90">
        <v>20</v>
      </c>
      <c r="F8049" s="508" t="e">
        <f t="shared" si="469"/>
        <v>#VALUE!</v>
      </c>
      <c r="G8049" s="519"/>
      <c r="H8049" s="111"/>
      <c r="I8049">
        <f>E8049*G8036</f>
        <v>0</v>
      </c>
      <c r="J8049" s="58"/>
      <c r="K8049" s="50"/>
      <c r="L8049" s="50"/>
      <c r="M8049" s="50"/>
      <c r="N8049" s="50"/>
      <c r="O8049" s="50"/>
    </row>
    <row r="8050" spans="1:15">
      <c r="A8050" s="517" t="s">
        <v>4434</v>
      </c>
      <c r="B8050" s="518">
        <f>VLOOKUP(A8050,'Materiales '!$C$2:$G$396,3,0)</f>
        <v>2</v>
      </c>
      <c r="C8050" s="88">
        <f>VLOOKUP(A8050,'Materiales '!$C$2:$G$396,3,0)</f>
        <v>2</v>
      </c>
      <c r="D8050" s="89" t="str">
        <f>VLOOKUP(A8050,'Materiales '!$C$2:$G$396,4,0)</f>
        <v>Ml</v>
      </c>
      <c r="E8050" s="90">
        <v>15</v>
      </c>
      <c r="F8050" s="508" t="e">
        <f t="shared" si="469"/>
        <v>#VALUE!</v>
      </c>
      <c r="G8050" s="519"/>
      <c r="H8050" s="111"/>
      <c r="I8050">
        <f>E8050*G8036</f>
        <v>0</v>
      </c>
      <c r="J8050" s="58"/>
      <c r="K8050" s="50"/>
      <c r="L8050" s="50"/>
      <c r="M8050" s="50"/>
      <c r="N8050" s="50"/>
      <c r="O8050" s="50"/>
    </row>
    <row r="8051" spans="1:15">
      <c r="A8051" s="517" t="s">
        <v>4511</v>
      </c>
      <c r="B8051" s="518">
        <f>VLOOKUP(A8051,'Materiales '!$C$2:$G$396,3,0)</f>
        <v>4</v>
      </c>
      <c r="C8051" s="88">
        <f>VLOOKUP(A8051,'Materiales '!$C$2:$G$396,3,0)</f>
        <v>4</v>
      </c>
      <c r="D8051" s="89" t="str">
        <f>VLOOKUP(A8051,'Materiales '!$C$2:$G$396,4,0)</f>
        <v>Und</v>
      </c>
      <c r="E8051" s="90">
        <v>2</v>
      </c>
      <c r="F8051" s="508" t="e">
        <f t="shared" si="469"/>
        <v>#VALUE!</v>
      </c>
      <c r="G8051" s="519"/>
      <c r="H8051" s="111"/>
      <c r="I8051">
        <f>E8051*G8036</f>
        <v>0</v>
      </c>
      <c r="J8051" s="58"/>
      <c r="K8051" s="50"/>
      <c r="L8051" s="50"/>
      <c r="M8051" s="50"/>
      <c r="N8051" s="50"/>
      <c r="O8051" s="50"/>
    </row>
    <row r="8052" spans="1:15">
      <c r="A8052" s="517" t="s">
        <v>4521</v>
      </c>
      <c r="B8052" s="518">
        <f>VLOOKUP(A8052,'Materiales '!$C$2:$G$396,3,0)</f>
        <v>4</v>
      </c>
      <c r="C8052" s="88">
        <f>VLOOKUP(A8052,'Materiales '!$C$2:$G$396,3,0)</f>
        <v>4</v>
      </c>
      <c r="D8052" s="89" t="str">
        <f>VLOOKUP(A8052,'Materiales '!$C$2:$G$396,4,0)</f>
        <v>Und</v>
      </c>
      <c r="E8052" s="90">
        <v>2</v>
      </c>
      <c r="F8052" s="508" t="e">
        <f t="shared" si="469"/>
        <v>#VALUE!</v>
      </c>
      <c r="G8052" s="519"/>
      <c r="H8052" s="111"/>
      <c r="I8052">
        <f>E8052*G8036</f>
        <v>0</v>
      </c>
      <c r="J8052" s="58"/>
      <c r="K8052" s="50"/>
      <c r="L8052" s="50"/>
      <c r="M8052" s="50"/>
      <c r="N8052" s="50"/>
      <c r="O8052" s="50"/>
    </row>
    <row r="8053" spans="1:15" ht="21.75" customHeight="1">
      <c r="A8053" s="517" t="s">
        <v>4517</v>
      </c>
      <c r="B8053" s="518">
        <f>VLOOKUP(A8053,'Materiales '!$C$2:$G$396,3,0)</f>
        <v>4</v>
      </c>
      <c r="C8053" s="88">
        <f>VLOOKUP(A8053,'Materiales '!$C$2:$G$396,3,0)</f>
        <v>4</v>
      </c>
      <c r="D8053" s="89" t="str">
        <f>VLOOKUP(A8053,'Materiales '!$C$2:$G$396,4,0)</f>
        <v>Und</v>
      </c>
      <c r="E8053" s="90">
        <v>2</v>
      </c>
      <c r="F8053" s="508" t="e">
        <f t="shared" si="469"/>
        <v>#VALUE!</v>
      </c>
      <c r="G8053" s="519"/>
      <c r="H8053" s="111"/>
      <c r="I8053">
        <f>E8053*G8036</f>
        <v>0</v>
      </c>
      <c r="J8053" s="58"/>
      <c r="K8053" s="50"/>
      <c r="L8053" s="50"/>
      <c r="M8053" s="50"/>
      <c r="N8053" s="50"/>
      <c r="O8053" s="50"/>
    </row>
    <row r="8054" spans="1:15">
      <c r="A8054" s="517" t="s">
        <v>4578</v>
      </c>
      <c r="B8054" s="518">
        <f>VLOOKUP(A8054,'Materiales '!$C$2:$G$396,3,0)</f>
        <v>4</v>
      </c>
      <c r="C8054" s="88">
        <f>VLOOKUP(A8054,'Materiales '!$C$2:$G$396,3,0)</f>
        <v>4</v>
      </c>
      <c r="D8054" s="89" t="str">
        <f>VLOOKUP(A8054,'Materiales '!$C$2:$G$396,4,0)</f>
        <v>Und</v>
      </c>
      <c r="E8054" s="90">
        <v>1</v>
      </c>
      <c r="F8054" s="508" t="e">
        <f>E8054*D8054</f>
        <v>#VALUE!</v>
      </c>
      <c r="G8054" s="519"/>
      <c r="H8054" s="110"/>
      <c r="I8054">
        <f>E8054*G8036</f>
        <v>0</v>
      </c>
      <c r="J8054" s="58"/>
      <c r="K8054" s="50"/>
      <c r="L8054" s="50"/>
      <c r="M8054" s="50"/>
      <c r="N8054" s="50"/>
      <c r="O8054" s="50"/>
    </row>
    <row r="8055" spans="1:15">
      <c r="A8055" s="517" t="s">
        <v>4474</v>
      </c>
      <c r="B8055" s="518">
        <f>VLOOKUP(A8055,'Materiales '!$C$2:$G$396,3,0)</f>
        <v>4</v>
      </c>
      <c r="C8055" s="88">
        <f>VLOOKUP(A8055,'Materiales '!$C$2:$G$396,3,0)</f>
        <v>4</v>
      </c>
      <c r="D8055" s="89" t="str">
        <f>VLOOKUP(A8055,'Materiales '!$C$2:$G$396,4,0)</f>
        <v>Und</v>
      </c>
      <c r="E8055" s="90">
        <v>2</v>
      </c>
      <c r="F8055" s="508" t="e">
        <f t="shared" ref="F8055:F8060" si="470">E8055*D8055</f>
        <v>#VALUE!</v>
      </c>
      <c r="G8055" s="519"/>
      <c r="H8055" s="111"/>
      <c r="I8055">
        <f>E8055*G8036</f>
        <v>0</v>
      </c>
      <c r="J8055" s="58"/>
      <c r="K8055" s="50"/>
      <c r="L8055" s="50"/>
      <c r="M8055" s="50"/>
      <c r="N8055" s="50"/>
      <c r="O8055" s="50"/>
    </row>
    <row r="8056" spans="1:15">
      <c r="A8056" s="517" t="s">
        <v>4488</v>
      </c>
      <c r="B8056" s="518">
        <f>VLOOKUP(A8056,'Materiales '!$C$2:$G$396,3,0)</f>
        <v>4</v>
      </c>
      <c r="C8056" s="88">
        <f>VLOOKUP(A8056,'Materiales '!$C$2:$G$396,3,0)</f>
        <v>4</v>
      </c>
      <c r="D8056" s="89" t="str">
        <f>VLOOKUP(A8056,'Materiales '!$C$2:$G$396,4,0)</f>
        <v>Und</v>
      </c>
      <c r="E8056" s="90">
        <v>1</v>
      </c>
      <c r="F8056" s="508" t="e">
        <f t="shared" si="470"/>
        <v>#VALUE!</v>
      </c>
      <c r="G8056" s="519"/>
      <c r="H8056" s="111"/>
      <c r="I8056">
        <f>E8056*G8036</f>
        <v>0</v>
      </c>
      <c r="J8056" s="58"/>
      <c r="K8056" s="50"/>
      <c r="L8056" s="50"/>
      <c r="M8056" s="50"/>
      <c r="N8056" s="50"/>
      <c r="O8056" s="50"/>
    </row>
    <row r="8057" spans="1:15">
      <c r="A8057" s="517" t="s">
        <v>4534</v>
      </c>
      <c r="B8057" s="518">
        <f>VLOOKUP(A8057,'Materiales '!$C$2:$G$396,3,0)</f>
        <v>4</v>
      </c>
      <c r="C8057" s="88">
        <f>VLOOKUP(A8057,'Materiales '!$C$2:$G$396,3,0)</f>
        <v>4</v>
      </c>
      <c r="D8057" s="89" t="str">
        <f>VLOOKUP(A8057,'Materiales '!$C$2:$G$396,4,0)</f>
        <v>Und</v>
      </c>
      <c r="E8057" s="90">
        <v>1</v>
      </c>
      <c r="F8057" s="508" t="e">
        <f t="shared" si="470"/>
        <v>#VALUE!</v>
      </c>
      <c r="G8057" s="519"/>
      <c r="H8057" s="111"/>
      <c r="I8057">
        <f>E8057*G8036</f>
        <v>0</v>
      </c>
      <c r="J8057" s="58"/>
      <c r="K8057" s="50"/>
      <c r="L8057" s="50"/>
      <c r="M8057" s="50"/>
      <c r="N8057" s="50"/>
      <c r="O8057" s="50"/>
    </row>
    <row r="8058" spans="1:15">
      <c r="A8058" s="517" t="s">
        <v>4574</v>
      </c>
      <c r="B8058" s="518">
        <f>VLOOKUP(A8058,'Materiales '!$C$2:$G$396,3,0)</f>
        <v>4</v>
      </c>
      <c r="C8058" s="88">
        <f>VLOOKUP(A8058,'Materiales '!$C$2:$G$396,3,0)</f>
        <v>4</v>
      </c>
      <c r="D8058" s="89" t="str">
        <f>VLOOKUP(A8058,'Materiales '!$C$2:$G$396,4,0)</f>
        <v>Und</v>
      </c>
      <c r="E8058" s="90">
        <v>1</v>
      </c>
      <c r="F8058" s="508" t="e">
        <f t="shared" ref="F8058" si="471">E8058*D8058</f>
        <v>#VALUE!</v>
      </c>
      <c r="G8058" s="519"/>
      <c r="H8058" s="111"/>
      <c r="I8058">
        <f>E8058*G8036</f>
        <v>0</v>
      </c>
      <c r="J8058" s="58"/>
      <c r="K8058" s="50"/>
      <c r="L8058" s="50"/>
      <c r="M8058" s="50"/>
      <c r="N8058" s="50"/>
      <c r="O8058" s="50"/>
    </row>
    <row r="8059" spans="1:15">
      <c r="A8059" s="517" t="s">
        <v>4537</v>
      </c>
      <c r="B8059" s="518">
        <f>VLOOKUP(A8059,'Materiales '!$C$2:$G$396,3,0)</f>
        <v>4</v>
      </c>
      <c r="C8059" s="88">
        <f>VLOOKUP(A8059,'Materiales '!$C$2:$G$396,3,0)</f>
        <v>4</v>
      </c>
      <c r="D8059" s="89" t="str">
        <f>VLOOKUP(A8059,'Materiales '!$C$2:$G$396,4,0)</f>
        <v>Und</v>
      </c>
      <c r="E8059" s="90">
        <v>1</v>
      </c>
      <c r="F8059" s="508" t="e">
        <f t="shared" si="470"/>
        <v>#VALUE!</v>
      </c>
      <c r="G8059" s="519"/>
      <c r="H8059" s="111"/>
      <c r="I8059">
        <f>E8059*G8036</f>
        <v>0</v>
      </c>
      <c r="J8059" s="58"/>
      <c r="K8059" s="50"/>
      <c r="L8059" s="50"/>
      <c r="M8059" s="50"/>
      <c r="N8059" s="50"/>
      <c r="O8059" s="50"/>
    </row>
    <row r="8060" spans="1:15">
      <c r="A8060" s="517" t="s">
        <v>4510</v>
      </c>
      <c r="B8060" s="518">
        <f>VLOOKUP(A8060,'Materiales '!$C$2:$G$396,3,0)</f>
        <v>4</v>
      </c>
      <c r="C8060" s="88">
        <f>VLOOKUP(A8060,'Materiales '!$C$2:$G$396,3,0)</f>
        <v>4</v>
      </c>
      <c r="D8060" s="89" t="str">
        <f>VLOOKUP(A8060,'Materiales '!$C$2:$G$396,4,0)</f>
        <v>Und</v>
      </c>
      <c r="E8060" s="90">
        <v>1</v>
      </c>
      <c r="F8060" s="508" t="e">
        <f t="shared" si="470"/>
        <v>#VALUE!</v>
      </c>
      <c r="G8060" s="519"/>
      <c r="H8060" s="111"/>
      <c r="I8060">
        <f>E8060*G8036</f>
        <v>0</v>
      </c>
      <c r="J8060" s="58"/>
      <c r="K8060" s="50"/>
      <c r="L8060" s="50"/>
      <c r="M8060" s="50"/>
      <c r="N8060" s="50"/>
      <c r="O8060" s="50"/>
    </row>
    <row r="8061" spans="1:15">
      <c r="A8061" s="517" t="s">
        <v>4485</v>
      </c>
      <c r="B8061" s="518">
        <f>VLOOKUP(A8061,'Materiales '!$C$2:$G$396,3,0)</f>
        <v>2</v>
      </c>
      <c r="C8061" s="88">
        <f>VLOOKUP(A8061,'Materiales '!$C$2:$G$396,3,0)</f>
        <v>2</v>
      </c>
      <c r="D8061" s="89" t="str">
        <f>VLOOKUP(A8061,'Materiales '!$C$2:$G$396,4,0)</f>
        <v>Ml</v>
      </c>
      <c r="E8061" s="90">
        <v>2</v>
      </c>
      <c r="F8061" s="508" t="e">
        <f>E8061*D8061</f>
        <v>#VALUE!</v>
      </c>
      <c r="G8061" s="519"/>
      <c r="H8061" s="110"/>
      <c r="I8061">
        <f>E8061*G8036</f>
        <v>0</v>
      </c>
      <c r="J8061" s="58"/>
      <c r="K8061" s="50"/>
      <c r="L8061" s="50"/>
      <c r="M8061" s="50"/>
      <c r="N8061" s="50"/>
      <c r="O8061" s="50"/>
    </row>
    <row r="8062" spans="1:15">
      <c r="A8062" s="517" t="s">
        <v>4483</v>
      </c>
      <c r="B8062" s="518">
        <f>VLOOKUP(A8062,'Materiales '!$C$2:$G$396,3,0)</f>
        <v>4</v>
      </c>
      <c r="C8062" s="88">
        <f>VLOOKUP(A8062,'Materiales '!$C$2:$G$396,3,0)</f>
        <v>4</v>
      </c>
      <c r="D8062" s="89" t="str">
        <f>VLOOKUP(A8062,'Materiales '!$C$2:$G$396,4,0)</f>
        <v>Und</v>
      </c>
      <c r="E8062" s="90">
        <v>2</v>
      </c>
      <c r="F8062" s="508" t="e">
        <f>E8062*D8062</f>
        <v>#VALUE!</v>
      </c>
      <c r="G8062" s="519"/>
      <c r="H8062" s="110"/>
      <c r="I8062">
        <f>E8062*G8036</f>
        <v>0</v>
      </c>
      <c r="J8062" s="58"/>
      <c r="K8062" s="50"/>
      <c r="L8062" s="50"/>
      <c r="M8062" s="50"/>
      <c r="N8062" s="50"/>
      <c r="O8062" s="50"/>
    </row>
    <row r="8063" spans="1:15">
      <c r="A8063" s="520" t="s">
        <v>4098</v>
      </c>
      <c r="B8063" s="521"/>
      <c r="C8063" s="521"/>
      <c r="D8063" s="521"/>
      <c r="E8063" s="521"/>
      <c r="F8063" s="521"/>
      <c r="G8063" s="522"/>
      <c r="H8063" s="106" t="e">
        <f>SUM(F8046:F8062)</f>
        <v>#VALUE!</v>
      </c>
      <c r="J8063" s="58"/>
      <c r="K8063" s="50"/>
      <c r="L8063" s="50"/>
      <c r="M8063" s="50"/>
      <c r="N8063" s="50"/>
      <c r="O8063" s="50"/>
    </row>
    <row r="8064" spans="1:15">
      <c r="A8064" s="523" t="s">
        <v>4220</v>
      </c>
      <c r="B8064" s="524"/>
      <c r="C8064" s="524"/>
      <c r="D8064" s="524"/>
      <c r="E8064" s="525"/>
      <c r="F8064" s="524"/>
      <c r="G8064" s="524"/>
      <c r="H8064" s="526"/>
      <c r="J8064" s="58"/>
      <c r="K8064" s="50"/>
      <c r="L8064" s="50"/>
      <c r="M8064" s="50"/>
      <c r="N8064" s="50"/>
      <c r="O8064" s="50"/>
    </row>
    <row r="8065" spans="1:15">
      <c r="A8065" s="527" t="s">
        <v>7</v>
      </c>
      <c r="B8065" s="528"/>
      <c r="C8065" s="98" t="s">
        <v>4221</v>
      </c>
      <c r="D8065" s="97" t="s">
        <v>4222</v>
      </c>
      <c r="E8065" s="187" t="s">
        <v>4223</v>
      </c>
      <c r="F8065" s="529" t="s">
        <v>4207</v>
      </c>
      <c r="G8065" s="529"/>
      <c r="H8065" s="109"/>
      <c r="K8065" s="50"/>
      <c r="L8065" s="50"/>
      <c r="M8065" s="50"/>
      <c r="N8065" s="50"/>
      <c r="O8065" s="50"/>
    </row>
    <row r="8066" spans="1:15">
      <c r="A8066" s="506" t="s">
        <v>3928</v>
      </c>
      <c r="B8066" s="507"/>
      <c r="C8066" s="213">
        <v>1</v>
      </c>
      <c r="D8066" s="92">
        <v>0.1</v>
      </c>
      <c r="E8066" s="93" t="str">
        <f>VLOOKUP(A8066,'Equip, Herr y Transp'!$B$2:$E$217,3,0)</f>
        <v>TR</v>
      </c>
      <c r="F8066" s="530" t="e">
        <f>E8066*D8066*C8066</f>
        <v>#VALUE!</v>
      </c>
      <c r="G8066" s="531"/>
      <c r="H8066" s="107"/>
      <c r="M8066" s="50"/>
    </row>
    <row r="8067" spans="1:15">
      <c r="A8067" s="532" t="s">
        <v>4205</v>
      </c>
      <c r="B8067" s="533"/>
      <c r="C8067" s="533"/>
      <c r="D8067" s="533"/>
      <c r="E8067" s="533"/>
      <c r="F8067" s="533"/>
      <c r="G8067" s="533"/>
      <c r="H8067" s="95" t="e">
        <f>F8066</f>
        <v>#VALUE!</v>
      </c>
    </row>
    <row r="8068" spans="1:15">
      <c r="A8068" s="523" t="s">
        <v>4224</v>
      </c>
      <c r="B8068" s="524"/>
      <c r="C8068" s="524"/>
      <c r="D8068" s="524"/>
      <c r="E8068" s="524"/>
      <c r="F8068" s="524"/>
      <c r="G8068" s="524"/>
      <c r="H8068" s="526"/>
    </row>
    <row r="8069" spans="1:15">
      <c r="A8069" s="527" t="s">
        <v>7</v>
      </c>
      <c r="B8069" s="528"/>
      <c r="C8069" s="96" t="s">
        <v>1</v>
      </c>
      <c r="D8069" s="97" t="s">
        <v>4225</v>
      </c>
      <c r="E8069" s="98" t="s">
        <v>4204</v>
      </c>
      <c r="F8069" s="527" t="s">
        <v>5</v>
      </c>
      <c r="G8069" s="534"/>
      <c r="H8069" s="109"/>
    </row>
    <row r="8070" spans="1:15">
      <c r="A8070" s="506" t="s">
        <v>4191</v>
      </c>
      <c r="B8070" s="507"/>
      <c r="C8070" s="91">
        <v>1</v>
      </c>
      <c r="D8070" s="94">
        <f>VLOOKUP(A8070,'Mano Obra'!$B$2:$T$117,19,0)</f>
        <v>152456</v>
      </c>
      <c r="E8070" s="218">
        <f>H8029</f>
        <v>0.3125</v>
      </c>
      <c r="F8070" s="508">
        <f>E8070*D8070*C8070</f>
        <v>47642.5</v>
      </c>
      <c r="G8070" s="509"/>
      <c r="H8070" s="111"/>
      <c r="I8070" s="59"/>
      <c r="J8070" s="117">
        <f>((('Mano Obra'!$M$4/30)*F8070)/D8070)*G8036</f>
        <v>0</v>
      </c>
    </row>
    <row r="8071" spans="1:15">
      <c r="A8071" s="510" t="s">
        <v>4192</v>
      </c>
      <c r="B8071" s="511">
        <f>VLOOKUP(A8071,'Mano Obra'!$B$3:$D$290,2,0)</f>
        <v>1900000</v>
      </c>
      <c r="C8071" s="91">
        <v>2</v>
      </c>
      <c r="D8071" s="94">
        <f>VLOOKUP(A8071,'Mano Obra'!$B$2:$T$117,19,0)</f>
        <v>110488</v>
      </c>
      <c r="E8071" s="218">
        <f>H8029</f>
        <v>0.3125</v>
      </c>
      <c r="F8071" s="508">
        <f t="shared" ref="F8071:F8072" si="472">E8071*D8071*C8071</f>
        <v>69055</v>
      </c>
      <c r="G8071" s="509"/>
      <c r="H8071" s="111"/>
      <c r="J8071" s="117">
        <f>((('Mano Obra'!$M$5/30)*F8071)/D8071)*G8036</f>
        <v>0</v>
      </c>
    </row>
    <row r="8072" spans="1:15">
      <c r="A8072" s="510" t="s">
        <v>4181</v>
      </c>
      <c r="B8072" s="511">
        <f>VLOOKUP(A8072,'Mano Obra'!$B$3:$D$290,2,0)</f>
        <v>1000000</v>
      </c>
      <c r="C8072" s="91">
        <v>2</v>
      </c>
      <c r="D8072" s="94">
        <f>VLOOKUP(A8072,'Mano Obra'!$B$2:$T$117,19,0)</f>
        <v>67424</v>
      </c>
      <c r="E8072" s="218">
        <f>H8029</f>
        <v>0.3125</v>
      </c>
      <c r="F8072" s="508">
        <f t="shared" si="472"/>
        <v>42140</v>
      </c>
      <c r="G8072" s="509"/>
      <c r="H8072" s="110"/>
      <c r="J8072" s="117">
        <f>((('Mano Obra'!$M$6/30)*F8072)/D8072)*G8036</f>
        <v>0</v>
      </c>
    </row>
    <row r="8073" spans="1:15">
      <c r="A8073" s="512" t="s">
        <v>4100</v>
      </c>
      <c r="B8073" s="512"/>
      <c r="C8073" s="512"/>
      <c r="D8073" s="512"/>
      <c r="E8073" s="512"/>
      <c r="F8073" s="512"/>
      <c r="G8073" s="512"/>
      <c r="H8073" s="95">
        <f>SUM(F8070:F8072)</f>
        <v>158837.5</v>
      </c>
      <c r="J8073" s="117"/>
    </row>
    <row r="8074" spans="1:15">
      <c r="A8074" s="208" t="s">
        <v>4226</v>
      </c>
      <c r="B8074" s="186"/>
      <c r="C8074" s="186"/>
      <c r="D8074" s="183"/>
      <c r="E8074" s="184"/>
      <c r="F8074" s="185"/>
      <c r="G8074" s="184"/>
      <c r="H8074" s="193"/>
    </row>
    <row r="8075" spans="1:15">
      <c r="A8075" s="513" t="s">
        <v>4213</v>
      </c>
      <c r="B8075" s="514"/>
      <c r="C8075" s="514"/>
      <c r="D8075" s="514"/>
      <c r="E8075" s="181"/>
      <c r="F8075" s="182" t="s">
        <v>4227</v>
      </c>
      <c r="G8075" s="181" t="s">
        <v>4228</v>
      </c>
      <c r="H8075" s="194"/>
    </row>
    <row r="8076" spans="1:15">
      <c r="A8076" s="204" t="s">
        <v>4096</v>
      </c>
      <c r="B8076" s="62"/>
      <c r="C8076" s="62"/>
      <c r="D8076" s="63"/>
      <c r="E8076" s="68"/>
      <c r="F8076" s="69">
        <v>0</v>
      </c>
      <c r="G8076" s="70" t="e">
        <f>F8076*H8037</f>
        <v>#VALUE!</v>
      </c>
      <c r="H8076" s="193"/>
    </row>
    <row r="8077" spans="1:15">
      <c r="A8077" s="205" t="s">
        <v>4229</v>
      </c>
      <c r="B8077" s="71"/>
      <c r="C8077" s="71"/>
      <c r="D8077" s="72"/>
      <c r="E8077" s="68"/>
      <c r="F8077" s="69">
        <v>0</v>
      </c>
      <c r="G8077" s="70" t="e">
        <f>F8077*H8037</f>
        <v>#VALUE!</v>
      </c>
      <c r="H8077" s="193"/>
    </row>
    <row r="8078" spans="1:15">
      <c r="A8078" s="205" t="s">
        <v>4</v>
      </c>
      <c r="B8078" s="71"/>
      <c r="C8078" s="71"/>
      <c r="D8078" s="72"/>
      <c r="E8078" s="68"/>
      <c r="F8078" s="69">
        <v>0</v>
      </c>
      <c r="G8078" s="70" t="e">
        <f>F8078*H8037</f>
        <v>#VALUE!</v>
      </c>
      <c r="H8078" s="193"/>
    </row>
    <row r="8079" spans="1:15">
      <c r="A8079" s="206"/>
      <c r="B8079" s="73"/>
      <c r="C8079" s="65"/>
      <c r="D8079" s="74"/>
      <c r="E8079" s="75"/>
      <c r="F8079" s="76"/>
      <c r="G8079" s="77"/>
      <c r="H8079" s="195"/>
    </row>
    <row r="8080" spans="1:15">
      <c r="A8080" s="207"/>
      <c r="B8080" s="73"/>
      <c r="C8080" s="73"/>
      <c r="D8080" s="74"/>
      <c r="E8080" s="78"/>
      <c r="F8080" s="515" t="s">
        <v>4230</v>
      </c>
      <c r="G8080" s="516"/>
      <c r="H8080" s="214" t="e">
        <f>H8037+G8076+G8077+G8078</f>
        <v>#VALUE!</v>
      </c>
    </row>
    <row r="8081" spans="1:14">
      <c r="A8081" s="73"/>
      <c r="B8081" s="73"/>
      <c r="C8081" s="73"/>
      <c r="D8081" s="74"/>
      <c r="E8081" s="360"/>
      <c r="F8081" s="361"/>
      <c r="G8081" s="361"/>
      <c r="H8081" s="362"/>
    </row>
    <row r="8082" spans="1:14">
      <c r="A8082" s="80"/>
      <c r="B8082" s="80"/>
      <c r="C8082" s="80"/>
      <c r="D8082" s="80"/>
      <c r="E8082" s="80"/>
      <c r="F8082" s="80"/>
      <c r="G8082" s="80"/>
      <c r="H8082" s="353"/>
    </row>
    <row r="8083" spans="1:14">
      <c r="A8083" s="537" t="s">
        <v>4214</v>
      </c>
      <c r="B8083" s="538"/>
      <c r="C8083" s="538"/>
      <c r="D8083" s="538"/>
      <c r="E8083" s="538"/>
      <c r="F8083" s="538"/>
      <c r="G8083" s="538"/>
      <c r="H8083" s="539"/>
    </row>
    <row r="8084" spans="1:14">
      <c r="A8084" s="81"/>
      <c r="B8084" s="82"/>
      <c r="C8084" s="82"/>
      <c r="D8084" s="82"/>
      <c r="E8084" s="82"/>
      <c r="F8084" s="83"/>
      <c r="G8084" s="84"/>
      <c r="H8084" s="352">
        <f>ROUND((60/60)/8,4)</f>
        <v>0.125</v>
      </c>
      <c r="I8084" s="105"/>
    </row>
    <row r="8085" spans="1:14">
      <c r="A8085" s="540" t="s">
        <v>4209</v>
      </c>
      <c r="B8085" s="542" t="str">
        <f>COSTOS!$C$14</f>
        <v>MODERNIZACION A TECNOLOGIA LED</v>
      </c>
      <c r="C8085" s="542"/>
      <c r="D8085" s="542"/>
      <c r="E8085" s="542"/>
      <c r="F8085" s="542"/>
      <c r="G8085" s="542"/>
      <c r="H8085" s="543" t="s">
        <v>4210</v>
      </c>
    </row>
    <row r="8086" spans="1:14">
      <c r="A8086" s="541"/>
      <c r="B8086" s="542"/>
      <c r="C8086" s="542"/>
      <c r="D8086" s="542"/>
      <c r="E8086" s="542"/>
      <c r="F8086" s="542"/>
      <c r="G8086" s="542"/>
      <c r="H8086" s="543"/>
    </row>
    <row r="8087" spans="1:14">
      <c r="A8087" s="541"/>
      <c r="B8087" s="542"/>
      <c r="C8087" s="542"/>
      <c r="D8087" s="542"/>
      <c r="E8087" s="542"/>
      <c r="F8087" s="542"/>
      <c r="G8087" s="542"/>
      <c r="H8087" s="543"/>
    </row>
    <row r="8088" spans="1:14" ht="15" customHeight="1">
      <c r="A8088" s="541"/>
      <c r="B8088" s="542"/>
      <c r="C8088" s="542"/>
      <c r="D8088" s="542"/>
      <c r="E8088" s="542"/>
      <c r="F8088" s="542"/>
      <c r="G8088" s="542"/>
      <c r="H8088" s="197">
        <f ca="1">TODAY()</f>
        <v>44889</v>
      </c>
      <c r="K8088" t="s">
        <v>4380</v>
      </c>
      <c r="L8088" t="s">
        <v>4381</v>
      </c>
      <c r="M8088" t="s">
        <v>4382</v>
      </c>
      <c r="N8088" t="s">
        <v>4383</v>
      </c>
    </row>
    <row r="8089" spans="1:14" ht="60.75" customHeight="1">
      <c r="A8089" s="209" t="s">
        <v>4211</v>
      </c>
      <c r="B8089" s="544" t="str">
        <f>COSTOS!$D$16</f>
        <v>Luminarias</v>
      </c>
      <c r="C8089" s="544"/>
      <c r="D8089" s="544"/>
      <c r="E8089" s="544"/>
      <c r="F8089" s="544"/>
      <c r="G8089" s="60" t="s">
        <v>4212</v>
      </c>
      <c r="H8089" s="359">
        <v>4.2</v>
      </c>
      <c r="K8089" s="55" t="e">
        <f>H8110</f>
        <v>#VALUE!</v>
      </c>
      <c r="L8089" s="55">
        <f>H8120</f>
        <v>49724</v>
      </c>
      <c r="M8089" s="55" t="e">
        <f>H8098</f>
        <v>#VALUE!</v>
      </c>
      <c r="N8089" s="55" t="e">
        <f>H8114</f>
        <v>#VALUE!</v>
      </c>
    </row>
    <row r="8090" spans="1:14" ht="43.2" customHeight="1">
      <c r="A8090" s="210" t="s">
        <v>4213</v>
      </c>
      <c r="B8090" s="545" t="str">
        <f>VLOOKUP(H8089,COSTOS!C:M,2,0)</f>
        <v>Medidor 1f 3h 480/240</v>
      </c>
      <c r="C8090" s="546"/>
      <c r="D8090" s="546"/>
      <c r="E8090" s="547"/>
      <c r="F8090" s="61" t="s">
        <v>0</v>
      </c>
      <c r="G8090" s="328" t="str">
        <f>VLOOKUP(H8089,COSTOS!C:M,8,0)</f>
        <v>Und</v>
      </c>
      <c r="H8090" s="248"/>
      <c r="I8090" s="278"/>
      <c r="J8090" s="280"/>
      <c r="K8090" s="280"/>
      <c r="L8090" s="280"/>
    </row>
    <row r="8091" spans="1:14">
      <c r="A8091" s="211"/>
      <c r="B8091" s="102"/>
      <c r="C8091" s="102"/>
      <c r="D8091" s="102"/>
      <c r="E8091" s="103"/>
      <c r="F8091" s="104" t="s">
        <v>1</v>
      </c>
      <c r="G8091" s="328">
        <f>VLOOKUP(H8089,COSTOS!C:M,9,0)</f>
        <v>0</v>
      </c>
      <c r="H8091" s="329"/>
      <c r="I8091" s="279"/>
    </row>
    <row r="8092" spans="1:14">
      <c r="A8092" s="212" t="s">
        <v>4215</v>
      </c>
      <c r="B8092" s="65"/>
      <c r="C8092" s="65"/>
      <c r="D8092" s="66"/>
      <c r="E8092" s="190"/>
      <c r="F8092" s="191"/>
      <c r="G8092" s="192" t="s">
        <v>4216</v>
      </c>
      <c r="H8092" s="198" t="e">
        <f>H8098+H8110+H8114+H8120</f>
        <v>#VALUE!</v>
      </c>
    </row>
    <row r="8093" spans="1:14" ht="41.4">
      <c r="A8093" s="548" t="s">
        <v>4213</v>
      </c>
      <c r="B8093" s="548"/>
      <c r="C8093" s="548"/>
      <c r="D8093" s="67" t="s">
        <v>0</v>
      </c>
      <c r="E8093" s="188" t="s">
        <v>4217</v>
      </c>
      <c r="F8093" s="189" t="s">
        <v>4204</v>
      </c>
      <c r="G8093" s="64" t="s">
        <v>2</v>
      </c>
      <c r="H8093" s="199" t="s">
        <v>4218</v>
      </c>
      <c r="K8093" s="281"/>
    </row>
    <row r="8094" spans="1:14">
      <c r="A8094" s="517" t="s">
        <v>3946</v>
      </c>
      <c r="B8094" s="549">
        <f>VLOOKUP(A8094,'Equip, Herr y Transp'!$B$2:$E$738,2,0)</f>
        <v>2</v>
      </c>
      <c r="C8094" s="549"/>
      <c r="D8094" s="85">
        <f>VLOOKUP(A8094,'Equip, Herr y Transp'!$B$2:$E$217,2,0)</f>
        <v>2</v>
      </c>
      <c r="E8094" s="85" t="str">
        <f>VLOOKUP(A8094,'Equip, Herr y Transp'!$B$2:$E$217,3,0)</f>
        <v>EQU</v>
      </c>
      <c r="F8094" s="86">
        <f>H8084</f>
        <v>0.125</v>
      </c>
      <c r="G8094" s="112" t="e">
        <f>F8094*E8094</f>
        <v>#VALUE!</v>
      </c>
      <c r="H8094" s="108"/>
    </row>
    <row r="8095" spans="1:14">
      <c r="A8095" s="517" t="s">
        <v>3904</v>
      </c>
      <c r="B8095" s="549">
        <f>VLOOKUP(A8095,'Equip, Herr y Transp'!$B$2:$E$738,2,0)</f>
        <v>2</v>
      </c>
      <c r="C8095" s="549"/>
      <c r="D8095" s="85">
        <f>VLOOKUP(A8095,'Equip, Herr y Transp'!$B$2:$E$217,2,0)</f>
        <v>2</v>
      </c>
      <c r="E8095" s="85" t="str">
        <f>VLOOKUP(A8095,'Equip, Herr y Transp'!$B$2:$E$217,3,0)</f>
        <v>EQU</v>
      </c>
      <c r="F8095" s="86">
        <f>H8084</f>
        <v>0.125</v>
      </c>
      <c r="G8095" s="112" t="e">
        <f>F8095*E8095</f>
        <v>#VALUE!</v>
      </c>
      <c r="H8095" s="107"/>
    </row>
    <row r="8096" spans="1:14">
      <c r="A8096" s="517" t="s">
        <v>3909</v>
      </c>
      <c r="B8096" s="549">
        <f>VLOOKUP(A8096,'Equip, Herr y Transp'!$B$2:$E$738,2,0)</f>
        <v>1</v>
      </c>
      <c r="C8096" s="549"/>
      <c r="D8096" s="85">
        <f>VLOOKUP(A8096,'Equip, Herr y Transp'!$B$2:$E$217,2,0)</f>
        <v>1</v>
      </c>
      <c r="E8096" s="85" t="str">
        <f>VLOOKUP(A8096,'Equip, Herr y Transp'!$B$2:$E$217,3,0)</f>
        <v>ELEC</v>
      </c>
      <c r="F8096" s="86">
        <f>H8084</f>
        <v>0.125</v>
      </c>
      <c r="G8096" s="112" t="e">
        <f>F8096*E8096</f>
        <v>#VALUE!</v>
      </c>
      <c r="H8096" s="107"/>
    </row>
    <row r="8097" spans="1:15">
      <c r="A8097" s="517" t="s">
        <v>8</v>
      </c>
      <c r="B8097" s="549" t="e">
        <f>VLOOKUP(A8097,'Equip, Herr y Transp'!$B$2:$E$738,2,0)</f>
        <v>#N/A</v>
      </c>
      <c r="C8097" s="549"/>
      <c r="D8097" s="85" t="e">
        <f>VLOOKUP(A8097,'Equip, Herr y Transp'!$B$2:$E$217,2,0)</f>
        <v>#N/A</v>
      </c>
      <c r="E8097" s="85" t="e">
        <f>VLOOKUP(A8097,'Equip, Herr y Transp'!$B$2:$E$217,3,0)</f>
        <v>#N/A</v>
      </c>
      <c r="F8097" s="86">
        <f>H8084</f>
        <v>0.125</v>
      </c>
      <c r="G8097" s="112" t="e">
        <f>F8097*E8097</f>
        <v>#N/A</v>
      </c>
      <c r="H8097" s="107"/>
    </row>
    <row r="8098" spans="1:15">
      <c r="A8098" s="520" t="s">
        <v>4099</v>
      </c>
      <c r="B8098" s="521"/>
      <c r="C8098" s="521"/>
      <c r="D8098" s="521"/>
      <c r="E8098" s="521"/>
      <c r="F8098" s="521"/>
      <c r="G8098" s="521"/>
      <c r="H8098" s="87" t="e">
        <f>SUM(G8094:G8097)</f>
        <v>#VALUE!</v>
      </c>
    </row>
    <row r="8099" spans="1:15">
      <c r="A8099" s="550" t="s">
        <v>4219</v>
      </c>
      <c r="B8099" s="551"/>
      <c r="C8099" s="551"/>
      <c r="D8099" s="551"/>
      <c r="E8099" s="551"/>
      <c r="F8099" s="551"/>
      <c r="G8099" s="551"/>
      <c r="H8099" s="552"/>
      <c r="K8099" s="50"/>
      <c r="L8099" s="50"/>
      <c r="M8099" s="50"/>
      <c r="N8099" s="50"/>
      <c r="O8099" s="50"/>
    </row>
    <row r="8100" spans="1:15" ht="30" customHeight="1">
      <c r="A8100" s="553" t="s">
        <v>7</v>
      </c>
      <c r="B8100" s="554"/>
      <c r="C8100" s="99" t="s">
        <v>0</v>
      </c>
      <c r="D8100" s="100" t="s">
        <v>4097</v>
      </c>
      <c r="E8100" s="101" t="s">
        <v>1</v>
      </c>
      <c r="F8100" s="555" t="s">
        <v>4207</v>
      </c>
      <c r="G8100" s="555"/>
      <c r="H8100" s="196"/>
      <c r="K8100" s="50"/>
      <c r="L8100" s="50"/>
      <c r="M8100" s="50"/>
      <c r="N8100" s="50"/>
      <c r="O8100" s="50"/>
    </row>
    <row r="8101" spans="1:15">
      <c r="A8101" s="535" t="s">
        <v>4534</v>
      </c>
      <c r="B8101" s="536"/>
      <c r="C8101" s="88">
        <f>VLOOKUP(A8101,'Materiales '!$C$2:$G$396,3,0)</f>
        <v>4</v>
      </c>
      <c r="D8101" s="89" t="str">
        <f>VLOOKUP(A8101,'Materiales '!$C$2:$G$396,4,0)</f>
        <v>Und</v>
      </c>
      <c r="E8101" s="90">
        <v>1</v>
      </c>
      <c r="F8101" s="508" t="e">
        <f>E8101*D8101</f>
        <v>#VALUE!</v>
      </c>
      <c r="G8101" s="519"/>
      <c r="H8101" s="111"/>
      <c r="I8101">
        <f>E8101*G8091</f>
        <v>0</v>
      </c>
      <c r="J8101" s="57"/>
      <c r="K8101" s="50"/>
      <c r="L8101" s="50"/>
      <c r="M8101" s="50"/>
      <c r="N8101" s="50"/>
      <c r="O8101" s="50"/>
    </row>
    <row r="8102" spans="1:15">
      <c r="A8102" s="535" t="s">
        <v>8</v>
      </c>
      <c r="B8102" s="536"/>
      <c r="C8102" s="88">
        <f>VLOOKUP(A8102,'Materiales '!$C$2:$G$396,3,0)</f>
        <v>0</v>
      </c>
      <c r="D8102" s="89" t="str">
        <f>VLOOKUP(A8102,'Materiales '!$C$2:$G$396,4,0)</f>
        <v>-</v>
      </c>
      <c r="E8102" s="90">
        <v>2</v>
      </c>
      <c r="F8102" s="508" t="e">
        <f t="shared" ref="F8102:F8106" si="473">E8102*D8102</f>
        <v>#VALUE!</v>
      </c>
      <c r="G8102" s="519"/>
      <c r="H8102" s="111"/>
      <c r="I8102">
        <f>E8102*G8091</f>
        <v>0</v>
      </c>
      <c r="J8102" s="57"/>
      <c r="K8102" s="50"/>
      <c r="L8102" s="50"/>
      <c r="M8102" s="50"/>
      <c r="N8102" s="50"/>
      <c r="O8102" s="50"/>
    </row>
    <row r="8103" spans="1:15">
      <c r="A8103" s="517" t="s">
        <v>8</v>
      </c>
      <c r="B8103" s="518">
        <f>VLOOKUP(A8103,'Materiales '!$C$2:$G$396,3,0)</f>
        <v>0</v>
      </c>
      <c r="C8103" s="88">
        <f>VLOOKUP(A8103,'Materiales '!$C$2:$G$396,3,0)</f>
        <v>0</v>
      </c>
      <c r="D8103" s="89" t="str">
        <f>VLOOKUP(A8103,'Materiales '!$C$2:$G$396,4,0)</f>
        <v>-</v>
      </c>
      <c r="E8103" s="90">
        <v>2</v>
      </c>
      <c r="F8103" s="508" t="e">
        <f t="shared" si="473"/>
        <v>#VALUE!</v>
      </c>
      <c r="G8103" s="519"/>
      <c r="H8103" s="111"/>
      <c r="I8103">
        <f>E8103*G8091</f>
        <v>0</v>
      </c>
      <c r="J8103" s="58"/>
      <c r="K8103" s="50"/>
      <c r="L8103" s="50"/>
      <c r="M8103" s="50"/>
      <c r="N8103" s="50"/>
      <c r="O8103" s="50"/>
    </row>
    <row r="8104" spans="1:15">
      <c r="A8104" s="517" t="s">
        <v>8</v>
      </c>
      <c r="B8104" s="518">
        <f>VLOOKUP(A8104,'Materiales '!$C$2:$G$396,3,0)</f>
        <v>0</v>
      </c>
      <c r="C8104" s="88">
        <f>VLOOKUP(A8104,'Materiales '!$C$2:$G$396,3,0)</f>
        <v>0</v>
      </c>
      <c r="D8104" s="89" t="str">
        <f>VLOOKUP(A8104,'Materiales '!$C$2:$G$396,4,0)</f>
        <v>-</v>
      </c>
      <c r="E8104" s="90">
        <v>20</v>
      </c>
      <c r="F8104" s="508" t="e">
        <f t="shared" si="473"/>
        <v>#VALUE!</v>
      </c>
      <c r="G8104" s="519"/>
      <c r="H8104" s="111"/>
      <c r="I8104">
        <f>E8104*G8091</f>
        <v>0</v>
      </c>
      <c r="J8104" s="58"/>
      <c r="K8104" s="50"/>
      <c r="L8104" s="50"/>
      <c r="M8104" s="50"/>
      <c r="N8104" s="50"/>
      <c r="O8104" s="50"/>
    </row>
    <row r="8105" spans="1:15">
      <c r="A8105" s="517" t="s">
        <v>8</v>
      </c>
      <c r="B8105" s="518">
        <f>VLOOKUP(A8105,'Materiales '!$C$2:$G$396,3,0)</f>
        <v>0</v>
      </c>
      <c r="C8105" s="88">
        <f>VLOOKUP(A8105,'Materiales '!$C$2:$G$396,3,0)</f>
        <v>0</v>
      </c>
      <c r="D8105" s="89" t="str">
        <f>VLOOKUP(A8105,'Materiales '!$C$2:$G$396,4,0)</f>
        <v>-</v>
      </c>
      <c r="E8105" s="90">
        <v>15</v>
      </c>
      <c r="F8105" s="508" t="e">
        <f t="shared" si="473"/>
        <v>#VALUE!</v>
      </c>
      <c r="G8105" s="519"/>
      <c r="H8105" s="111"/>
      <c r="I8105">
        <f>E8105*G8091</f>
        <v>0</v>
      </c>
      <c r="J8105" s="58"/>
      <c r="K8105" s="50"/>
      <c r="L8105" s="50"/>
      <c r="M8105" s="50"/>
      <c r="N8105" s="50"/>
      <c r="O8105" s="50"/>
    </row>
    <row r="8106" spans="1:15">
      <c r="A8106" s="517" t="s">
        <v>8</v>
      </c>
      <c r="B8106" s="518">
        <f>VLOOKUP(A8106,'Materiales '!$C$2:$G$396,3,0)</f>
        <v>0</v>
      </c>
      <c r="C8106" s="88">
        <f>VLOOKUP(A8106,'Materiales '!$C$2:$G$396,3,0)</f>
        <v>0</v>
      </c>
      <c r="D8106" s="89" t="str">
        <f>VLOOKUP(A8106,'Materiales '!$C$2:$G$396,4,0)</f>
        <v>-</v>
      </c>
      <c r="E8106" s="90">
        <v>2</v>
      </c>
      <c r="F8106" s="508" t="e">
        <f t="shared" si="473"/>
        <v>#VALUE!</v>
      </c>
      <c r="G8106" s="519"/>
      <c r="H8106" s="111"/>
      <c r="I8106">
        <f>E8106*G8091</f>
        <v>0</v>
      </c>
      <c r="J8106" s="58"/>
      <c r="K8106" s="50"/>
      <c r="L8106" s="50"/>
      <c r="M8106" s="50"/>
      <c r="N8106" s="50"/>
      <c r="O8106" s="50"/>
    </row>
    <row r="8107" spans="1:15">
      <c r="A8107" s="517" t="s">
        <v>8</v>
      </c>
      <c r="B8107" s="518">
        <f>VLOOKUP(A8107,'Materiales '!$C$2:$G$396,3,0)</f>
        <v>0</v>
      </c>
      <c r="C8107" s="88">
        <f>VLOOKUP(A8107,'Materiales '!$C$2:$G$396,3,0)</f>
        <v>0</v>
      </c>
      <c r="D8107" s="89" t="str">
        <f>VLOOKUP(A8107,'Materiales '!$C$2:$G$396,4,0)</f>
        <v>-</v>
      </c>
      <c r="E8107" s="90">
        <v>1</v>
      </c>
      <c r="F8107" s="508" t="e">
        <f t="shared" ref="F8107:F8108" si="474">E8107*D8107</f>
        <v>#VALUE!</v>
      </c>
      <c r="G8107" s="519"/>
      <c r="H8107" s="111"/>
      <c r="I8107">
        <f>E8107*G8091</f>
        <v>0</v>
      </c>
      <c r="J8107" s="58"/>
      <c r="K8107" s="50"/>
      <c r="L8107" s="50"/>
      <c r="M8107" s="50"/>
      <c r="N8107" s="50"/>
      <c r="O8107" s="50"/>
    </row>
    <row r="8108" spans="1:15">
      <c r="A8108" s="517" t="s">
        <v>8</v>
      </c>
      <c r="B8108" s="518">
        <f>VLOOKUP(A8108,'Materiales '!$C$2:$G$396,3,0)</f>
        <v>0</v>
      </c>
      <c r="C8108" s="88">
        <f>VLOOKUP(A8108,'Materiales '!$C$2:$G$396,3,0)</f>
        <v>0</v>
      </c>
      <c r="D8108" s="89" t="str">
        <f>VLOOKUP(A8108,'Materiales '!$C$2:$G$396,4,0)</f>
        <v>-</v>
      </c>
      <c r="E8108" s="90">
        <v>1</v>
      </c>
      <c r="F8108" s="508" t="e">
        <f t="shared" si="474"/>
        <v>#VALUE!</v>
      </c>
      <c r="G8108" s="519"/>
      <c r="H8108" s="111"/>
      <c r="I8108">
        <f>E8108*G8091</f>
        <v>0</v>
      </c>
      <c r="J8108" s="58"/>
      <c r="K8108" s="50"/>
      <c r="L8108" s="50"/>
      <c r="M8108" s="50"/>
      <c r="N8108" s="50"/>
      <c r="O8108" s="50"/>
    </row>
    <row r="8109" spans="1:15">
      <c r="A8109" s="517" t="s">
        <v>8</v>
      </c>
      <c r="B8109" s="518">
        <f>VLOOKUP(A8109,'Materiales '!$C$2:$G$396,3,0)</f>
        <v>0</v>
      </c>
      <c r="C8109" s="88">
        <f>VLOOKUP(A8109,'Materiales '!$C$2:$G$396,3,0)</f>
        <v>0</v>
      </c>
      <c r="D8109" s="89" t="str">
        <f>VLOOKUP(A8109,'Materiales '!$C$2:$G$396,4,0)</f>
        <v>-</v>
      </c>
      <c r="E8109" s="90">
        <v>2</v>
      </c>
      <c r="F8109" s="508" t="e">
        <f>E8109*D8109</f>
        <v>#VALUE!</v>
      </c>
      <c r="G8109" s="519"/>
      <c r="H8109" s="110"/>
      <c r="I8109">
        <f>E8109*G8091</f>
        <v>0</v>
      </c>
      <c r="J8109" s="58"/>
      <c r="K8109" s="50"/>
      <c r="L8109" s="50"/>
      <c r="M8109" s="50"/>
      <c r="N8109" s="50"/>
      <c r="O8109" s="50"/>
    </row>
    <row r="8110" spans="1:15">
      <c r="A8110" s="520" t="s">
        <v>4098</v>
      </c>
      <c r="B8110" s="521"/>
      <c r="C8110" s="521"/>
      <c r="D8110" s="521"/>
      <c r="E8110" s="521"/>
      <c r="F8110" s="521"/>
      <c r="G8110" s="522"/>
      <c r="H8110" s="106" t="e">
        <f>SUM(F8101:F8109)</f>
        <v>#VALUE!</v>
      </c>
      <c r="J8110" s="58"/>
      <c r="K8110" s="50"/>
      <c r="L8110" s="50"/>
      <c r="M8110" s="50"/>
      <c r="N8110" s="50"/>
      <c r="O8110" s="50"/>
    </row>
    <row r="8111" spans="1:15">
      <c r="A8111" s="523" t="s">
        <v>4220</v>
      </c>
      <c r="B8111" s="524"/>
      <c r="C8111" s="524"/>
      <c r="D8111" s="524"/>
      <c r="E8111" s="525"/>
      <c r="F8111" s="524"/>
      <c r="G8111" s="524"/>
      <c r="H8111" s="526"/>
      <c r="J8111" s="58"/>
      <c r="K8111" s="50"/>
      <c r="L8111" s="50"/>
      <c r="M8111" s="50"/>
      <c r="N8111" s="50"/>
      <c r="O8111" s="50"/>
    </row>
    <row r="8112" spans="1:15">
      <c r="A8112" s="527" t="s">
        <v>7</v>
      </c>
      <c r="B8112" s="528"/>
      <c r="C8112" s="98" t="s">
        <v>4221</v>
      </c>
      <c r="D8112" s="97" t="s">
        <v>4222</v>
      </c>
      <c r="E8112" s="187" t="s">
        <v>4223</v>
      </c>
      <c r="F8112" s="529" t="s">
        <v>4207</v>
      </c>
      <c r="G8112" s="529"/>
      <c r="H8112" s="109"/>
      <c r="K8112" s="50"/>
      <c r="L8112" s="50"/>
      <c r="M8112" s="50"/>
      <c r="N8112" s="50"/>
      <c r="O8112" s="50"/>
    </row>
    <row r="8113" spans="1:13">
      <c r="A8113" s="506" t="s">
        <v>3928</v>
      </c>
      <c r="B8113" s="507"/>
      <c r="C8113" s="213">
        <v>1</v>
      </c>
      <c r="D8113" s="92">
        <v>0.1</v>
      </c>
      <c r="E8113" s="93" t="str">
        <f>VLOOKUP(A8113,'Equip, Herr y Transp'!$B$2:$E$217,3,0)</f>
        <v>TR</v>
      </c>
      <c r="F8113" s="530" t="e">
        <f>E8113*D8113*C8113</f>
        <v>#VALUE!</v>
      </c>
      <c r="G8113" s="531"/>
      <c r="H8113" s="107"/>
      <c r="M8113" s="50"/>
    </row>
    <row r="8114" spans="1:13">
      <c r="A8114" s="532" t="s">
        <v>4205</v>
      </c>
      <c r="B8114" s="533"/>
      <c r="C8114" s="533"/>
      <c r="D8114" s="533"/>
      <c r="E8114" s="533"/>
      <c r="F8114" s="533"/>
      <c r="G8114" s="533"/>
      <c r="H8114" s="95" t="e">
        <f>F8113</f>
        <v>#VALUE!</v>
      </c>
    </row>
    <row r="8115" spans="1:13">
      <c r="A8115" s="523" t="s">
        <v>4224</v>
      </c>
      <c r="B8115" s="524"/>
      <c r="C8115" s="524"/>
      <c r="D8115" s="524"/>
      <c r="E8115" s="524"/>
      <c r="F8115" s="524"/>
      <c r="G8115" s="524"/>
      <c r="H8115" s="526"/>
    </row>
    <row r="8116" spans="1:13">
      <c r="A8116" s="527" t="s">
        <v>7</v>
      </c>
      <c r="B8116" s="528"/>
      <c r="C8116" s="96" t="s">
        <v>1</v>
      </c>
      <c r="D8116" s="97" t="s">
        <v>4225</v>
      </c>
      <c r="E8116" s="98" t="s">
        <v>4204</v>
      </c>
      <c r="F8116" s="527" t="s">
        <v>5</v>
      </c>
      <c r="G8116" s="534"/>
      <c r="H8116" s="109"/>
    </row>
    <row r="8117" spans="1:13">
      <c r="A8117" s="506" t="s">
        <v>4191</v>
      </c>
      <c r="B8117" s="507"/>
      <c r="C8117" s="91">
        <v>1</v>
      </c>
      <c r="D8117" s="94">
        <f>VLOOKUP(A8117,'Mano Obra'!$B$2:$T$117,19,0)</f>
        <v>152456</v>
      </c>
      <c r="E8117" s="218">
        <f>H8084</f>
        <v>0.125</v>
      </c>
      <c r="F8117" s="508">
        <f>E8117*D8117*C8117</f>
        <v>19057</v>
      </c>
      <c r="G8117" s="509"/>
      <c r="H8117" s="111"/>
      <c r="I8117" s="59"/>
      <c r="J8117" s="117">
        <f>((('Mano Obra'!$M$4/30)*F8117)/D8117)*G8091</f>
        <v>0</v>
      </c>
    </row>
    <row r="8118" spans="1:13">
      <c r="A8118" s="510" t="s">
        <v>4192</v>
      </c>
      <c r="B8118" s="511">
        <f>VLOOKUP(A8118,'Mano Obra'!$B$3:$D$290,2,0)</f>
        <v>1900000</v>
      </c>
      <c r="C8118" s="91">
        <v>1</v>
      </c>
      <c r="D8118" s="94">
        <f>VLOOKUP(A8118,'Mano Obra'!$B$2:$T$117,19,0)</f>
        <v>110488</v>
      </c>
      <c r="E8118" s="218">
        <f>H8084</f>
        <v>0.125</v>
      </c>
      <c r="F8118" s="508">
        <f t="shared" ref="F8118:F8119" si="475">E8118*D8118*C8118</f>
        <v>13811</v>
      </c>
      <c r="G8118" s="509"/>
      <c r="H8118" s="111"/>
      <c r="J8118" s="117">
        <f>((('Mano Obra'!$M$5/30)*F8118)/D8118)*G8091</f>
        <v>0</v>
      </c>
    </row>
    <row r="8119" spans="1:13">
      <c r="A8119" s="510" t="s">
        <v>4181</v>
      </c>
      <c r="B8119" s="511">
        <f>VLOOKUP(A8119,'Mano Obra'!$B$3:$D$290,2,0)</f>
        <v>1000000</v>
      </c>
      <c r="C8119" s="91">
        <v>2</v>
      </c>
      <c r="D8119" s="94">
        <f>VLOOKUP(A8119,'Mano Obra'!$B$2:$T$117,19,0)</f>
        <v>67424</v>
      </c>
      <c r="E8119" s="218">
        <f>H8084</f>
        <v>0.125</v>
      </c>
      <c r="F8119" s="508">
        <f t="shared" si="475"/>
        <v>16856</v>
      </c>
      <c r="G8119" s="509"/>
      <c r="H8119" s="110"/>
      <c r="J8119" s="117">
        <f>((('Mano Obra'!$M$6/30)*F8119)/D8119)*G8091</f>
        <v>0</v>
      </c>
    </row>
    <row r="8120" spans="1:13">
      <c r="A8120" s="512" t="s">
        <v>4100</v>
      </c>
      <c r="B8120" s="512"/>
      <c r="C8120" s="512"/>
      <c r="D8120" s="512"/>
      <c r="E8120" s="512"/>
      <c r="F8120" s="512"/>
      <c r="G8120" s="512"/>
      <c r="H8120" s="95">
        <f>SUM(F8117:F8119)</f>
        <v>49724</v>
      </c>
      <c r="J8120" s="117"/>
    </row>
    <row r="8121" spans="1:13">
      <c r="A8121" s="208" t="s">
        <v>4226</v>
      </c>
      <c r="B8121" s="186"/>
      <c r="C8121" s="186"/>
      <c r="D8121" s="183"/>
      <c r="E8121" s="184"/>
      <c r="F8121" s="185"/>
      <c r="G8121" s="184"/>
      <c r="H8121" s="193"/>
    </row>
    <row r="8122" spans="1:13">
      <c r="A8122" s="513" t="s">
        <v>4213</v>
      </c>
      <c r="B8122" s="514"/>
      <c r="C8122" s="514"/>
      <c r="D8122" s="514"/>
      <c r="E8122" s="181"/>
      <c r="F8122" s="182" t="s">
        <v>4227</v>
      </c>
      <c r="G8122" s="181" t="s">
        <v>4228</v>
      </c>
      <c r="H8122" s="194"/>
    </row>
    <row r="8123" spans="1:13">
      <c r="A8123" s="204" t="s">
        <v>4096</v>
      </c>
      <c r="B8123" s="62"/>
      <c r="C8123" s="62"/>
      <c r="D8123" s="63"/>
      <c r="E8123" s="68"/>
      <c r="F8123" s="69">
        <v>0</v>
      </c>
      <c r="G8123" s="70" t="e">
        <f>F8123*H8092</f>
        <v>#VALUE!</v>
      </c>
      <c r="H8123" s="193"/>
    </row>
    <row r="8124" spans="1:13">
      <c r="A8124" s="205" t="s">
        <v>4229</v>
      </c>
      <c r="B8124" s="71"/>
      <c r="C8124" s="71"/>
      <c r="D8124" s="72"/>
      <c r="E8124" s="68"/>
      <c r="F8124" s="69">
        <v>0</v>
      </c>
      <c r="G8124" s="70" t="e">
        <f>F8124*H8092</f>
        <v>#VALUE!</v>
      </c>
      <c r="H8124" s="193"/>
    </row>
    <row r="8125" spans="1:13">
      <c r="A8125" s="205" t="s">
        <v>4</v>
      </c>
      <c r="B8125" s="71"/>
      <c r="C8125" s="71"/>
      <c r="D8125" s="72"/>
      <c r="E8125" s="68"/>
      <c r="F8125" s="69">
        <v>0</v>
      </c>
      <c r="G8125" s="70" t="e">
        <f>F8125*H8092</f>
        <v>#VALUE!</v>
      </c>
      <c r="H8125" s="193"/>
    </row>
    <row r="8126" spans="1:13">
      <c r="A8126" s="206"/>
      <c r="B8126" s="73"/>
      <c r="C8126" s="65"/>
      <c r="D8126" s="74"/>
      <c r="E8126" s="75"/>
      <c r="F8126" s="76"/>
      <c r="G8126" s="77"/>
      <c r="H8126" s="195"/>
    </row>
    <row r="8127" spans="1:13">
      <c r="A8127" s="207"/>
      <c r="B8127" s="73"/>
      <c r="C8127" s="73"/>
      <c r="D8127" s="74"/>
      <c r="E8127" s="78"/>
      <c r="F8127" s="515" t="s">
        <v>4230</v>
      </c>
      <c r="G8127" s="516"/>
      <c r="H8127" s="214" t="e">
        <f>H8092+G8123+G8124+G8125</f>
        <v>#VALUE!</v>
      </c>
    </row>
    <row r="8128" spans="1:13">
      <c r="A8128" s="73"/>
      <c r="B8128" s="73"/>
      <c r="C8128" s="73"/>
      <c r="D8128" s="74"/>
      <c r="E8128" s="360"/>
      <c r="F8128" s="361"/>
      <c r="G8128" s="361"/>
      <c r="H8128" s="362"/>
    </row>
    <row r="8129" spans="1:14">
      <c r="A8129" s="80"/>
      <c r="B8129" s="80"/>
      <c r="C8129" s="80"/>
      <c r="D8129" s="80"/>
      <c r="E8129" s="80"/>
      <c r="F8129" s="80"/>
      <c r="G8129" s="80"/>
      <c r="H8129" s="353"/>
    </row>
    <row r="8130" spans="1:14">
      <c r="A8130" s="537" t="s">
        <v>4214</v>
      </c>
      <c r="B8130" s="538"/>
      <c r="C8130" s="538"/>
      <c r="D8130" s="538"/>
      <c r="E8130" s="538"/>
      <c r="F8130" s="538"/>
      <c r="G8130" s="538"/>
      <c r="H8130" s="539"/>
    </row>
    <row r="8131" spans="1:14">
      <c r="A8131" s="81"/>
      <c r="B8131" s="82"/>
      <c r="C8131" s="82"/>
      <c r="D8131" s="82"/>
      <c r="E8131" s="82"/>
      <c r="F8131" s="83"/>
      <c r="G8131" s="84"/>
      <c r="H8131" s="352">
        <f>ROUND((60/60)/8,4)</f>
        <v>0.125</v>
      </c>
      <c r="I8131" s="105"/>
    </row>
    <row r="8132" spans="1:14">
      <c r="A8132" s="540" t="s">
        <v>4209</v>
      </c>
      <c r="B8132" s="542" t="str">
        <f>COSTOS!$C$14</f>
        <v>MODERNIZACION A TECNOLOGIA LED</v>
      </c>
      <c r="C8132" s="542"/>
      <c r="D8132" s="542"/>
      <c r="E8132" s="542"/>
      <c r="F8132" s="542"/>
      <c r="G8132" s="542"/>
      <c r="H8132" s="543" t="s">
        <v>4210</v>
      </c>
    </row>
    <row r="8133" spans="1:14">
      <c r="A8133" s="541"/>
      <c r="B8133" s="542"/>
      <c r="C8133" s="542"/>
      <c r="D8133" s="542"/>
      <c r="E8133" s="542"/>
      <c r="F8133" s="542"/>
      <c r="G8133" s="542"/>
      <c r="H8133" s="543"/>
    </row>
    <row r="8134" spans="1:14">
      <c r="A8134" s="541"/>
      <c r="B8134" s="542"/>
      <c r="C8134" s="542"/>
      <c r="D8134" s="542"/>
      <c r="E8134" s="542"/>
      <c r="F8134" s="542"/>
      <c r="G8134" s="542"/>
      <c r="H8134" s="543"/>
    </row>
    <row r="8135" spans="1:14" ht="15" customHeight="1">
      <c r="A8135" s="541"/>
      <c r="B8135" s="542"/>
      <c r="C8135" s="542"/>
      <c r="D8135" s="542"/>
      <c r="E8135" s="542"/>
      <c r="F8135" s="542"/>
      <c r="G8135" s="542"/>
      <c r="H8135" s="197">
        <f ca="1">TODAY()</f>
        <v>44889</v>
      </c>
      <c r="K8135" t="s">
        <v>4380</v>
      </c>
      <c r="L8135" t="s">
        <v>4381</v>
      </c>
      <c r="M8135" t="s">
        <v>4382</v>
      </c>
      <c r="N8135" t="s">
        <v>4383</v>
      </c>
    </row>
    <row r="8136" spans="1:14" ht="60.75" customHeight="1">
      <c r="A8136" s="209" t="s">
        <v>4211</v>
      </c>
      <c r="B8136" s="544" t="str">
        <f>COSTOS!$D$16</f>
        <v>Luminarias</v>
      </c>
      <c r="C8136" s="544"/>
      <c r="D8136" s="544"/>
      <c r="E8136" s="544"/>
      <c r="F8136" s="544"/>
      <c r="G8136" s="60" t="s">
        <v>4212</v>
      </c>
      <c r="H8136" s="359">
        <v>4.3</v>
      </c>
      <c r="K8136" s="55" t="e">
        <f>H8157</f>
        <v>#VALUE!</v>
      </c>
      <c r="L8136" s="55">
        <f>H8167</f>
        <v>49724</v>
      </c>
      <c r="M8136" s="55" t="e">
        <f>H8145</f>
        <v>#VALUE!</v>
      </c>
      <c r="N8136" s="55" t="e">
        <f>H8161</f>
        <v>#VALUE!</v>
      </c>
    </row>
    <row r="8137" spans="1:14" ht="43.2" customHeight="1">
      <c r="A8137" s="210" t="s">
        <v>4213</v>
      </c>
      <c r="B8137" s="545" t="str">
        <f>VLOOKUP(H8136,COSTOS!C:M,2,0)</f>
        <v>Medidor 2f 3h 480/240</v>
      </c>
      <c r="C8137" s="546"/>
      <c r="D8137" s="546"/>
      <c r="E8137" s="547"/>
      <c r="F8137" s="61" t="s">
        <v>0</v>
      </c>
      <c r="G8137" s="328" t="str">
        <f>VLOOKUP(H8136,COSTOS!C:M,8,0)</f>
        <v>Und</v>
      </c>
      <c r="H8137" s="248"/>
      <c r="I8137" s="278"/>
      <c r="J8137" s="280"/>
      <c r="K8137" s="280"/>
      <c r="L8137" s="280"/>
    </row>
    <row r="8138" spans="1:14">
      <c r="A8138" s="211"/>
      <c r="B8138" s="102"/>
      <c r="C8138" s="102"/>
      <c r="D8138" s="102"/>
      <c r="E8138" s="103"/>
      <c r="F8138" s="104" t="s">
        <v>1</v>
      </c>
      <c r="G8138" s="328">
        <f>VLOOKUP(H8136,COSTOS!C:M,9,0)</f>
        <v>0</v>
      </c>
      <c r="H8138" s="329"/>
      <c r="I8138" s="279"/>
    </row>
    <row r="8139" spans="1:14">
      <c r="A8139" s="212" t="s">
        <v>4215</v>
      </c>
      <c r="B8139" s="65"/>
      <c r="C8139" s="65"/>
      <c r="D8139" s="66"/>
      <c r="E8139" s="190"/>
      <c r="F8139" s="191"/>
      <c r="G8139" s="192" t="s">
        <v>4216</v>
      </c>
      <c r="H8139" s="198" t="e">
        <f>H8145+H8157+H8161+H8167</f>
        <v>#VALUE!</v>
      </c>
    </row>
    <row r="8140" spans="1:14" ht="41.4">
      <c r="A8140" s="548" t="s">
        <v>4213</v>
      </c>
      <c r="B8140" s="548"/>
      <c r="C8140" s="548"/>
      <c r="D8140" s="67" t="s">
        <v>0</v>
      </c>
      <c r="E8140" s="188" t="s">
        <v>4217</v>
      </c>
      <c r="F8140" s="189" t="s">
        <v>4204</v>
      </c>
      <c r="G8140" s="64" t="s">
        <v>2</v>
      </c>
      <c r="H8140" s="199" t="s">
        <v>4218</v>
      </c>
      <c r="K8140" s="281"/>
    </row>
    <row r="8141" spans="1:14">
      <c r="A8141" s="517" t="s">
        <v>3946</v>
      </c>
      <c r="B8141" s="549">
        <f>VLOOKUP(A8141,'Equip, Herr y Transp'!$B$2:$E$738,2,0)</f>
        <v>2</v>
      </c>
      <c r="C8141" s="549"/>
      <c r="D8141" s="85">
        <f>VLOOKUP(A8141,'Equip, Herr y Transp'!$B$2:$E$217,2,0)</f>
        <v>2</v>
      </c>
      <c r="E8141" s="85" t="str">
        <f>VLOOKUP(A8141,'Equip, Herr y Transp'!$B$2:$E$217,3,0)</f>
        <v>EQU</v>
      </c>
      <c r="F8141" s="86">
        <f>H8131</f>
        <v>0.125</v>
      </c>
      <c r="G8141" s="112" t="e">
        <f>F8141*E8141</f>
        <v>#VALUE!</v>
      </c>
      <c r="H8141" s="108"/>
    </row>
    <row r="8142" spans="1:14">
      <c r="A8142" s="517" t="s">
        <v>3904</v>
      </c>
      <c r="B8142" s="549">
        <f>VLOOKUP(A8142,'Equip, Herr y Transp'!$B$2:$E$738,2,0)</f>
        <v>2</v>
      </c>
      <c r="C8142" s="549"/>
      <c r="D8142" s="85">
        <f>VLOOKUP(A8142,'Equip, Herr y Transp'!$B$2:$E$217,2,0)</f>
        <v>2</v>
      </c>
      <c r="E8142" s="85" t="str">
        <f>VLOOKUP(A8142,'Equip, Herr y Transp'!$B$2:$E$217,3,0)</f>
        <v>EQU</v>
      </c>
      <c r="F8142" s="86">
        <f>H8131</f>
        <v>0.125</v>
      </c>
      <c r="G8142" s="112" t="e">
        <f>F8142*E8142</f>
        <v>#VALUE!</v>
      </c>
      <c r="H8142" s="107"/>
    </row>
    <row r="8143" spans="1:14">
      <c r="A8143" s="517" t="s">
        <v>3909</v>
      </c>
      <c r="B8143" s="549">
        <f>VLOOKUP(A8143,'Equip, Herr y Transp'!$B$2:$E$738,2,0)</f>
        <v>1</v>
      </c>
      <c r="C8143" s="549"/>
      <c r="D8143" s="85">
        <f>VLOOKUP(A8143,'Equip, Herr y Transp'!$B$2:$E$217,2,0)</f>
        <v>1</v>
      </c>
      <c r="E8143" s="85" t="str">
        <f>VLOOKUP(A8143,'Equip, Herr y Transp'!$B$2:$E$217,3,0)</f>
        <v>ELEC</v>
      </c>
      <c r="F8143" s="86">
        <f>H8131</f>
        <v>0.125</v>
      </c>
      <c r="G8143" s="112" t="e">
        <f>F8143*E8143</f>
        <v>#VALUE!</v>
      </c>
      <c r="H8143" s="107"/>
    </row>
    <row r="8144" spans="1:14">
      <c r="A8144" s="517" t="s">
        <v>8</v>
      </c>
      <c r="B8144" s="549" t="e">
        <f>VLOOKUP(A8144,'Equip, Herr y Transp'!$B$2:$E$738,2,0)</f>
        <v>#N/A</v>
      </c>
      <c r="C8144" s="549"/>
      <c r="D8144" s="85" t="e">
        <f>VLOOKUP(A8144,'Equip, Herr y Transp'!$B$2:$E$217,2,0)</f>
        <v>#N/A</v>
      </c>
      <c r="E8144" s="85" t="e">
        <f>VLOOKUP(A8144,'Equip, Herr y Transp'!$B$2:$E$217,3,0)</f>
        <v>#N/A</v>
      </c>
      <c r="F8144" s="86">
        <f>H8131</f>
        <v>0.125</v>
      </c>
      <c r="G8144" s="112" t="e">
        <f>F8144*E8144</f>
        <v>#N/A</v>
      </c>
      <c r="H8144" s="107"/>
    </row>
    <row r="8145" spans="1:15">
      <c r="A8145" s="520" t="s">
        <v>4099</v>
      </c>
      <c r="B8145" s="521"/>
      <c r="C8145" s="521"/>
      <c r="D8145" s="521"/>
      <c r="E8145" s="521"/>
      <c r="F8145" s="521"/>
      <c r="G8145" s="521"/>
      <c r="H8145" s="87" t="e">
        <f>SUM(G8141:G8144)</f>
        <v>#VALUE!</v>
      </c>
    </row>
    <row r="8146" spans="1:15">
      <c r="A8146" s="550" t="s">
        <v>4219</v>
      </c>
      <c r="B8146" s="551"/>
      <c r="C8146" s="551"/>
      <c r="D8146" s="551"/>
      <c r="E8146" s="551"/>
      <c r="F8146" s="551"/>
      <c r="G8146" s="551"/>
      <c r="H8146" s="552"/>
      <c r="K8146" s="50"/>
      <c r="L8146" s="50"/>
      <c r="M8146" s="50"/>
      <c r="N8146" s="50"/>
      <c r="O8146" s="50"/>
    </row>
    <row r="8147" spans="1:15" ht="30" customHeight="1">
      <c r="A8147" s="553" t="s">
        <v>7</v>
      </c>
      <c r="B8147" s="554"/>
      <c r="C8147" s="99" t="s">
        <v>0</v>
      </c>
      <c r="D8147" s="100" t="s">
        <v>4097</v>
      </c>
      <c r="E8147" s="101" t="s">
        <v>1</v>
      </c>
      <c r="F8147" s="555" t="s">
        <v>4207</v>
      </c>
      <c r="G8147" s="555"/>
      <c r="H8147" s="196"/>
      <c r="K8147" s="50"/>
      <c r="L8147" s="50"/>
      <c r="M8147" s="50"/>
      <c r="N8147" s="50"/>
      <c r="O8147" s="50"/>
    </row>
    <row r="8148" spans="1:15">
      <c r="A8148" s="535" t="s">
        <v>4535</v>
      </c>
      <c r="B8148" s="536"/>
      <c r="C8148" s="88">
        <f>VLOOKUP(A8148,'Materiales '!$C$2:$G$396,3,0)</f>
        <v>4</v>
      </c>
      <c r="D8148" s="89" t="str">
        <f>VLOOKUP(A8148,'Materiales '!$C$2:$G$396,4,0)</f>
        <v>Und</v>
      </c>
      <c r="E8148" s="90">
        <v>1</v>
      </c>
      <c r="F8148" s="508" t="e">
        <f>E8148*D8148</f>
        <v>#VALUE!</v>
      </c>
      <c r="G8148" s="519"/>
      <c r="H8148" s="111"/>
      <c r="I8148">
        <f>E8148*G8138</f>
        <v>0</v>
      </c>
      <c r="J8148" s="57"/>
      <c r="K8148" s="50"/>
      <c r="L8148" s="50"/>
      <c r="M8148" s="50"/>
      <c r="N8148" s="50"/>
      <c r="O8148" s="50"/>
    </row>
    <row r="8149" spans="1:15">
      <c r="A8149" s="535" t="s">
        <v>8</v>
      </c>
      <c r="B8149" s="536"/>
      <c r="C8149" s="88">
        <f>VLOOKUP(A8149,'Materiales '!$C$2:$G$396,3,0)</f>
        <v>0</v>
      </c>
      <c r="D8149" s="89" t="str">
        <f>VLOOKUP(A8149,'Materiales '!$C$2:$G$396,4,0)</f>
        <v>-</v>
      </c>
      <c r="E8149" s="90">
        <v>2</v>
      </c>
      <c r="F8149" s="508" t="e">
        <f t="shared" ref="F8149:F8155" si="476">E8149*D8149</f>
        <v>#VALUE!</v>
      </c>
      <c r="G8149" s="519"/>
      <c r="H8149" s="111"/>
      <c r="I8149">
        <f>E8149*G8138</f>
        <v>0</v>
      </c>
      <c r="J8149" s="57"/>
      <c r="K8149" s="50"/>
      <c r="L8149" s="50"/>
      <c r="M8149" s="50"/>
      <c r="N8149" s="50"/>
      <c r="O8149" s="50"/>
    </row>
    <row r="8150" spans="1:15">
      <c r="A8150" s="517" t="s">
        <v>8</v>
      </c>
      <c r="B8150" s="518">
        <f>VLOOKUP(A8150,'Materiales '!$C$2:$G$396,3,0)</f>
        <v>0</v>
      </c>
      <c r="C8150" s="88">
        <f>VLOOKUP(A8150,'Materiales '!$C$2:$G$396,3,0)</f>
        <v>0</v>
      </c>
      <c r="D8150" s="89" t="str">
        <f>VLOOKUP(A8150,'Materiales '!$C$2:$G$396,4,0)</f>
        <v>-</v>
      </c>
      <c r="E8150" s="90">
        <v>2</v>
      </c>
      <c r="F8150" s="508" t="e">
        <f t="shared" si="476"/>
        <v>#VALUE!</v>
      </c>
      <c r="G8150" s="519"/>
      <c r="H8150" s="111"/>
      <c r="I8150">
        <f>E8150*G8138</f>
        <v>0</v>
      </c>
      <c r="J8150" s="58"/>
      <c r="K8150" s="50"/>
      <c r="L8150" s="50"/>
      <c r="M8150" s="50"/>
      <c r="N8150" s="50"/>
      <c r="O8150" s="50"/>
    </row>
    <row r="8151" spans="1:15">
      <c r="A8151" s="517" t="s">
        <v>8</v>
      </c>
      <c r="B8151" s="518">
        <f>VLOOKUP(A8151,'Materiales '!$C$2:$G$396,3,0)</f>
        <v>0</v>
      </c>
      <c r="C8151" s="88">
        <f>VLOOKUP(A8151,'Materiales '!$C$2:$G$396,3,0)</f>
        <v>0</v>
      </c>
      <c r="D8151" s="89" t="str">
        <f>VLOOKUP(A8151,'Materiales '!$C$2:$G$396,4,0)</f>
        <v>-</v>
      </c>
      <c r="E8151" s="90">
        <v>20</v>
      </c>
      <c r="F8151" s="508" t="e">
        <f t="shared" si="476"/>
        <v>#VALUE!</v>
      </c>
      <c r="G8151" s="519"/>
      <c r="H8151" s="111"/>
      <c r="I8151">
        <f>E8151*G8138</f>
        <v>0</v>
      </c>
      <c r="J8151" s="58"/>
      <c r="K8151" s="50"/>
      <c r="L8151" s="50"/>
      <c r="M8151" s="50"/>
      <c r="N8151" s="50"/>
      <c r="O8151" s="50"/>
    </row>
    <row r="8152" spans="1:15">
      <c r="A8152" s="517" t="s">
        <v>8</v>
      </c>
      <c r="B8152" s="518">
        <f>VLOOKUP(A8152,'Materiales '!$C$2:$G$396,3,0)</f>
        <v>0</v>
      </c>
      <c r="C8152" s="88">
        <f>VLOOKUP(A8152,'Materiales '!$C$2:$G$396,3,0)</f>
        <v>0</v>
      </c>
      <c r="D8152" s="89" t="str">
        <f>VLOOKUP(A8152,'Materiales '!$C$2:$G$396,4,0)</f>
        <v>-</v>
      </c>
      <c r="E8152" s="90">
        <v>15</v>
      </c>
      <c r="F8152" s="508" t="e">
        <f t="shared" si="476"/>
        <v>#VALUE!</v>
      </c>
      <c r="G8152" s="519"/>
      <c r="H8152" s="111"/>
      <c r="I8152">
        <f>E8152*G8138</f>
        <v>0</v>
      </c>
      <c r="J8152" s="58"/>
      <c r="K8152" s="50"/>
      <c r="L8152" s="50"/>
      <c r="M8152" s="50"/>
      <c r="N8152" s="50"/>
      <c r="O8152" s="50"/>
    </row>
    <row r="8153" spans="1:15">
      <c r="A8153" s="517" t="s">
        <v>8</v>
      </c>
      <c r="B8153" s="518">
        <f>VLOOKUP(A8153,'Materiales '!$C$2:$G$396,3,0)</f>
        <v>0</v>
      </c>
      <c r="C8153" s="88">
        <f>VLOOKUP(A8153,'Materiales '!$C$2:$G$396,3,0)</f>
        <v>0</v>
      </c>
      <c r="D8153" s="89" t="str">
        <f>VLOOKUP(A8153,'Materiales '!$C$2:$G$396,4,0)</f>
        <v>-</v>
      </c>
      <c r="E8153" s="90">
        <v>2</v>
      </c>
      <c r="F8153" s="508" t="e">
        <f t="shared" si="476"/>
        <v>#VALUE!</v>
      </c>
      <c r="G8153" s="519"/>
      <c r="H8153" s="111"/>
      <c r="I8153">
        <f>E8153*G8138</f>
        <v>0</v>
      </c>
      <c r="J8153" s="58"/>
      <c r="K8153" s="50"/>
      <c r="L8153" s="50"/>
      <c r="M8153" s="50"/>
      <c r="N8153" s="50"/>
      <c r="O8153" s="50"/>
    </row>
    <row r="8154" spans="1:15">
      <c r="A8154" s="517" t="s">
        <v>8</v>
      </c>
      <c r="B8154" s="518">
        <f>VLOOKUP(A8154,'Materiales '!$C$2:$G$396,3,0)</f>
        <v>0</v>
      </c>
      <c r="C8154" s="88">
        <f>VLOOKUP(A8154,'Materiales '!$C$2:$G$396,3,0)</f>
        <v>0</v>
      </c>
      <c r="D8154" s="89" t="str">
        <f>VLOOKUP(A8154,'Materiales '!$C$2:$G$396,4,0)</f>
        <v>-</v>
      </c>
      <c r="E8154" s="90">
        <v>1</v>
      </c>
      <c r="F8154" s="508" t="e">
        <f t="shared" si="476"/>
        <v>#VALUE!</v>
      </c>
      <c r="G8154" s="519"/>
      <c r="H8154" s="111"/>
      <c r="I8154">
        <f>E8154*G8138</f>
        <v>0</v>
      </c>
      <c r="J8154" s="58"/>
      <c r="K8154" s="50"/>
      <c r="L8154" s="50"/>
      <c r="M8154" s="50"/>
      <c r="N8154" s="50"/>
      <c r="O8154" s="50"/>
    </row>
    <row r="8155" spans="1:15">
      <c r="A8155" s="517" t="s">
        <v>8</v>
      </c>
      <c r="B8155" s="518">
        <f>VLOOKUP(A8155,'Materiales '!$C$2:$G$396,3,0)</f>
        <v>0</v>
      </c>
      <c r="C8155" s="88">
        <f>VLOOKUP(A8155,'Materiales '!$C$2:$G$396,3,0)</f>
        <v>0</v>
      </c>
      <c r="D8155" s="89" t="str">
        <f>VLOOKUP(A8155,'Materiales '!$C$2:$G$396,4,0)</f>
        <v>-</v>
      </c>
      <c r="E8155" s="90">
        <v>1</v>
      </c>
      <c r="F8155" s="508" t="e">
        <f t="shared" si="476"/>
        <v>#VALUE!</v>
      </c>
      <c r="G8155" s="519"/>
      <c r="H8155" s="111"/>
      <c r="I8155">
        <f>E8155*G8138</f>
        <v>0</v>
      </c>
      <c r="J8155" s="58"/>
      <c r="K8155" s="50"/>
      <c r="L8155" s="50"/>
      <c r="M8155" s="50"/>
      <c r="N8155" s="50"/>
      <c r="O8155" s="50"/>
    </row>
    <row r="8156" spans="1:15">
      <c r="A8156" s="517" t="s">
        <v>8</v>
      </c>
      <c r="B8156" s="518">
        <f>VLOOKUP(A8156,'Materiales '!$C$2:$G$396,3,0)</f>
        <v>0</v>
      </c>
      <c r="C8156" s="88">
        <f>VLOOKUP(A8156,'Materiales '!$C$2:$G$396,3,0)</f>
        <v>0</v>
      </c>
      <c r="D8156" s="89" t="str">
        <f>VLOOKUP(A8156,'Materiales '!$C$2:$G$396,4,0)</f>
        <v>-</v>
      </c>
      <c r="E8156" s="90">
        <v>2</v>
      </c>
      <c r="F8156" s="508" t="e">
        <f>E8156*D8156</f>
        <v>#VALUE!</v>
      </c>
      <c r="G8156" s="519"/>
      <c r="H8156" s="110"/>
      <c r="I8156">
        <f>E8156*G8138</f>
        <v>0</v>
      </c>
      <c r="J8156" s="58"/>
      <c r="K8156" s="50"/>
      <c r="L8156" s="50"/>
      <c r="M8156" s="50"/>
      <c r="N8156" s="50"/>
      <c r="O8156" s="50"/>
    </row>
    <row r="8157" spans="1:15">
      <c r="A8157" s="520" t="s">
        <v>4098</v>
      </c>
      <c r="B8157" s="521"/>
      <c r="C8157" s="521"/>
      <c r="D8157" s="521"/>
      <c r="E8157" s="521"/>
      <c r="F8157" s="521"/>
      <c r="G8157" s="522"/>
      <c r="H8157" s="106" t="e">
        <f>SUM(F8148:F8156)</f>
        <v>#VALUE!</v>
      </c>
      <c r="J8157" s="58"/>
      <c r="K8157" s="50"/>
      <c r="L8157" s="50"/>
      <c r="M8157" s="50"/>
      <c r="N8157" s="50"/>
      <c r="O8157" s="50"/>
    </row>
    <row r="8158" spans="1:15">
      <c r="A8158" s="523" t="s">
        <v>4220</v>
      </c>
      <c r="B8158" s="524"/>
      <c r="C8158" s="524"/>
      <c r="D8158" s="524"/>
      <c r="E8158" s="525"/>
      <c r="F8158" s="524"/>
      <c r="G8158" s="524"/>
      <c r="H8158" s="526"/>
      <c r="J8158" s="58"/>
      <c r="K8158" s="50"/>
      <c r="L8158" s="50"/>
      <c r="M8158" s="50"/>
      <c r="N8158" s="50"/>
      <c r="O8158" s="50"/>
    </row>
    <row r="8159" spans="1:15">
      <c r="A8159" s="527" t="s">
        <v>7</v>
      </c>
      <c r="B8159" s="528"/>
      <c r="C8159" s="98" t="s">
        <v>4221</v>
      </c>
      <c r="D8159" s="97" t="s">
        <v>4222</v>
      </c>
      <c r="E8159" s="187" t="s">
        <v>4223</v>
      </c>
      <c r="F8159" s="529" t="s">
        <v>4207</v>
      </c>
      <c r="G8159" s="529"/>
      <c r="H8159" s="109"/>
      <c r="K8159" s="50"/>
      <c r="L8159" s="50"/>
      <c r="M8159" s="50"/>
      <c r="N8159" s="50"/>
      <c r="O8159" s="50"/>
    </row>
    <row r="8160" spans="1:15">
      <c r="A8160" s="506" t="s">
        <v>3928</v>
      </c>
      <c r="B8160" s="507"/>
      <c r="C8160" s="213">
        <v>1</v>
      </c>
      <c r="D8160" s="92">
        <v>0.1</v>
      </c>
      <c r="E8160" s="93" t="str">
        <f>VLOOKUP(A8160,'Equip, Herr y Transp'!$B$2:$E$217,3,0)</f>
        <v>TR</v>
      </c>
      <c r="F8160" s="530" t="e">
        <f>E8160*D8160*C8160</f>
        <v>#VALUE!</v>
      </c>
      <c r="G8160" s="531"/>
      <c r="H8160" s="107"/>
      <c r="M8160" s="50"/>
    </row>
    <row r="8161" spans="1:10">
      <c r="A8161" s="532" t="s">
        <v>4205</v>
      </c>
      <c r="B8161" s="533"/>
      <c r="C8161" s="533"/>
      <c r="D8161" s="533"/>
      <c r="E8161" s="533"/>
      <c r="F8161" s="533"/>
      <c r="G8161" s="533"/>
      <c r="H8161" s="95" t="e">
        <f>F8160</f>
        <v>#VALUE!</v>
      </c>
    </row>
    <row r="8162" spans="1:10">
      <c r="A8162" s="523" t="s">
        <v>4224</v>
      </c>
      <c r="B8162" s="524"/>
      <c r="C8162" s="524"/>
      <c r="D8162" s="524"/>
      <c r="E8162" s="524"/>
      <c r="F8162" s="524"/>
      <c r="G8162" s="524"/>
      <c r="H8162" s="526"/>
    </row>
    <row r="8163" spans="1:10">
      <c r="A8163" s="527" t="s">
        <v>7</v>
      </c>
      <c r="B8163" s="528"/>
      <c r="C8163" s="96" t="s">
        <v>1</v>
      </c>
      <c r="D8163" s="97" t="s">
        <v>4225</v>
      </c>
      <c r="E8163" s="98" t="s">
        <v>4204</v>
      </c>
      <c r="F8163" s="527" t="s">
        <v>5</v>
      </c>
      <c r="G8163" s="534"/>
      <c r="H8163" s="109"/>
    </row>
    <row r="8164" spans="1:10">
      <c r="A8164" s="506" t="s">
        <v>4191</v>
      </c>
      <c r="B8164" s="507"/>
      <c r="C8164" s="91">
        <v>1</v>
      </c>
      <c r="D8164" s="94">
        <f>VLOOKUP(A8164,'Mano Obra'!$B$2:$T$117,19,0)</f>
        <v>152456</v>
      </c>
      <c r="E8164" s="218">
        <f>H8131</f>
        <v>0.125</v>
      </c>
      <c r="F8164" s="508">
        <f>E8164*D8164*C8164</f>
        <v>19057</v>
      </c>
      <c r="G8164" s="509"/>
      <c r="H8164" s="111"/>
      <c r="I8164" s="59"/>
      <c r="J8164" s="117">
        <f>((('Mano Obra'!$M$4/30)*F8164)/D8164)*G8138</f>
        <v>0</v>
      </c>
    </row>
    <row r="8165" spans="1:10">
      <c r="A8165" s="510" t="s">
        <v>4192</v>
      </c>
      <c r="B8165" s="511">
        <f>VLOOKUP(A8165,'Mano Obra'!$B$3:$D$290,2,0)</f>
        <v>1900000</v>
      </c>
      <c r="C8165" s="91">
        <v>1</v>
      </c>
      <c r="D8165" s="94">
        <f>VLOOKUP(A8165,'Mano Obra'!$B$2:$T$117,19,0)</f>
        <v>110488</v>
      </c>
      <c r="E8165" s="218">
        <f>H8131</f>
        <v>0.125</v>
      </c>
      <c r="F8165" s="508">
        <f t="shared" ref="F8165:F8166" si="477">E8165*D8165*C8165</f>
        <v>13811</v>
      </c>
      <c r="G8165" s="509"/>
      <c r="H8165" s="111"/>
      <c r="J8165" s="117">
        <f>((('Mano Obra'!$M$5/30)*F8165)/D8165)*G8138</f>
        <v>0</v>
      </c>
    </row>
    <row r="8166" spans="1:10">
      <c r="A8166" s="510" t="s">
        <v>4181</v>
      </c>
      <c r="B8166" s="511">
        <f>VLOOKUP(A8166,'Mano Obra'!$B$3:$D$290,2,0)</f>
        <v>1000000</v>
      </c>
      <c r="C8166" s="91">
        <v>2</v>
      </c>
      <c r="D8166" s="94">
        <f>VLOOKUP(A8166,'Mano Obra'!$B$2:$T$117,19,0)</f>
        <v>67424</v>
      </c>
      <c r="E8166" s="218">
        <f>H8131</f>
        <v>0.125</v>
      </c>
      <c r="F8166" s="508">
        <f t="shared" si="477"/>
        <v>16856</v>
      </c>
      <c r="G8166" s="509"/>
      <c r="H8166" s="110"/>
      <c r="J8166" s="117">
        <f>((('Mano Obra'!$M$6/30)*F8166)/D8166)*G8138</f>
        <v>0</v>
      </c>
    </row>
    <row r="8167" spans="1:10">
      <c r="A8167" s="512" t="s">
        <v>4100</v>
      </c>
      <c r="B8167" s="512"/>
      <c r="C8167" s="512"/>
      <c r="D8167" s="512"/>
      <c r="E8167" s="512"/>
      <c r="F8167" s="512"/>
      <c r="G8167" s="512"/>
      <c r="H8167" s="95">
        <f>SUM(F8164:F8166)</f>
        <v>49724</v>
      </c>
      <c r="J8167" s="117"/>
    </row>
    <row r="8168" spans="1:10">
      <c r="A8168" s="208" t="s">
        <v>4226</v>
      </c>
      <c r="B8168" s="186"/>
      <c r="C8168" s="186"/>
      <c r="D8168" s="183"/>
      <c r="E8168" s="184"/>
      <c r="F8168" s="185"/>
      <c r="G8168" s="184"/>
      <c r="H8168" s="193"/>
    </row>
    <row r="8169" spans="1:10">
      <c r="A8169" s="513" t="s">
        <v>4213</v>
      </c>
      <c r="B8169" s="514"/>
      <c r="C8169" s="514"/>
      <c r="D8169" s="514"/>
      <c r="E8169" s="181"/>
      <c r="F8169" s="182" t="s">
        <v>4227</v>
      </c>
      <c r="G8169" s="181" t="s">
        <v>4228</v>
      </c>
      <c r="H8169" s="194"/>
    </row>
    <row r="8170" spans="1:10">
      <c r="A8170" s="204" t="s">
        <v>4096</v>
      </c>
      <c r="B8170" s="62"/>
      <c r="C8170" s="62"/>
      <c r="D8170" s="63"/>
      <c r="E8170" s="68"/>
      <c r="F8170" s="69">
        <v>0</v>
      </c>
      <c r="G8170" s="70" t="e">
        <f>F8170*H8139</f>
        <v>#VALUE!</v>
      </c>
      <c r="H8170" s="193"/>
    </row>
    <row r="8171" spans="1:10">
      <c r="A8171" s="205" t="s">
        <v>4229</v>
      </c>
      <c r="B8171" s="71"/>
      <c r="C8171" s="71"/>
      <c r="D8171" s="72"/>
      <c r="E8171" s="68"/>
      <c r="F8171" s="69">
        <v>0</v>
      </c>
      <c r="G8171" s="70" t="e">
        <f>F8171*H8139</f>
        <v>#VALUE!</v>
      </c>
      <c r="H8171" s="193"/>
    </row>
    <row r="8172" spans="1:10">
      <c r="A8172" s="205" t="s">
        <v>4</v>
      </c>
      <c r="B8172" s="71"/>
      <c r="C8172" s="71"/>
      <c r="D8172" s="72"/>
      <c r="E8172" s="68"/>
      <c r="F8172" s="69">
        <v>0</v>
      </c>
      <c r="G8172" s="70" t="e">
        <f>F8172*H8139</f>
        <v>#VALUE!</v>
      </c>
      <c r="H8172" s="193"/>
    </row>
    <row r="8173" spans="1:10">
      <c r="A8173" s="206"/>
      <c r="B8173" s="73"/>
      <c r="C8173" s="65"/>
      <c r="D8173" s="74"/>
      <c r="E8173" s="75"/>
      <c r="F8173" s="76"/>
      <c r="G8173" s="77"/>
      <c r="H8173" s="195"/>
    </row>
    <row r="8174" spans="1:10">
      <c r="A8174" s="207"/>
      <c r="B8174" s="73"/>
      <c r="C8174" s="73"/>
      <c r="D8174" s="74"/>
      <c r="E8174" s="78"/>
      <c r="F8174" s="515" t="s">
        <v>4230</v>
      </c>
      <c r="G8174" s="516"/>
      <c r="H8174" s="214" t="e">
        <f>H8139+G8170+G8171+G8172</f>
        <v>#VALUE!</v>
      </c>
    </row>
    <row r="8175" spans="1:10">
      <c r="A8175" s="73"/>
      <c r="B8175" s="73"/>
      <c r="C8175" s="73"/>
      <c r="D8175" s="74"/>
      <c r="E8175" s="360"/>
      <c r="F8175" s="361"/>
      <c r="G8175" s="361"/>
      <c r="H8175" s="362"/>
    </row>
    <row r="8176" spans="1:10">
      <c r="A8176" s="80"/>
      <c r="B8176" s="80"/>
      <c r="C8176" s="80"/>
      <c r="D8176" s="80"/>
      <c r="E8176" s="80"/>
      <c r="F8176" s="80"/>
      <c r="G8176" s="80"/>
      <c r="H8176" s="353"/>
    </row>
    <row r="8177" spans="1:14">
      <c r="A8177" s="537" t="s">
        <v>4214</v>
      </c>
      <c r="B8177" s="538"/>
      <c r="C8177" s="538"/>
      <c r="D8177" s="538"/>
      <c r="E8177" s="538"/>
      <c r="F8177" s="538"/>
      <c r="G8177" s="538"/>
      <c r="H8177" s="539"/>
    </row>
    <row r="8178" spans="1:14">
      <c r="A8178" s="81"/>
      <c r="B8178" s="82"/>
      <c r="C8178" s="82"/>
      <c r="D8178" s="82"/>
      <c r="E8178" s="82"/>
      <c r="F8178" s="83"/>
      <c r="G8178" s="84"/>
      <c r="H8178" s="352">
        <f>ROUND((150/60)/8,4)</f>
        <v>0.3125</v>
      </c>
      <c r="I8178" s="105"/>
    </row>
    <row r="8179" spans="1:14">
      <c r="A8179" s="540" t="s">
        <v>4209</v>
      </c>
      <c r="B8179" s="542" t="str">
        <f>COSTOS!$C$14</f>
        <v>MODERNIZACION A TECNOLOGIA LED</v>
      </c>
      <c r="C8179" s="542"/>
      <c r="D8179" s="542"/>
      <c r="E8179" s="542"/>
      <c r="F8179" s="542"/>
      <c r="G8179" s="542"/>
      <c r="H8179" s="543" t="s">
        <v>4210</v>
      </c>
    </row>
    <row r="8180" spans="1:14">
      <c r="A8180" s="541"/>
      <c r="B8180" s="542"/>
      <c r="C8180" s="542"/>
      <c r="D8180" s="542"/>
      <c r="E8180" s="542"/>
      <c r="F8180" s="542"/>
      <c r="G8180" s="542"/>
      <c r="H8180" s="543"/>
    </row>
    <row r="8181" spans="1:14">
      <c r="A8181" s="541"/>
      <c r="B8181" s="542"/>
      <c r="C8181" s="542"/>
      <c r="D8181" s="542"/>
      <c r="E8181" s="542"/>
      <c r="F8181" s="542"/>
      <c r="G8181" s="542"/>
      <c r="H8181" s="543"/>
    </row>
    <row r="8182" spans="1:14" ht="15" customHeight="1">
      <c r="A8182" s="541"/>
      <c r="B8182" s="542"/>
      <c r="C8182" s="542"/>
      <c r="D8182" s="542"/>
      <c r="E8182" s="542"/>
      <c r="F8182" s="542"/>
      <c r="G8182" s="542"/>
      <c r="H8182" s="197">
        <f ca="1">TODAY()</f>
        <v>44889</v>
      </c>
      <c r="K8182" t="s">
        <v>4380</v>
      </c>
      <c r="L8182" t="s">
        <v>4381</v>
      </c>
      <c r="M8182" t="s">
        <v>4382</v>
      </c>
      <c r="N8182" t="s">
        <v>4383</v>
      </c>
    </row>
    <row r="8183" spans="1:14" ht="60.75" customHeight="1">
      <c r="A8183" s="209" t="s">
        <v>4211</v>
      </c>
      <c r="B8183" s="544" t="str">
        <f>COSTOS!$D$16</f>
        <v>Luminarias</v>
      </c>
      <c r="C8183" s="544"/>
      <c r="D8183" s="544"/>
      <c r="E8183" s="544"/>
      <c r="F8183" s="544"/>
      <c r="G8183" s="60" t="s">
        <v>4212</v>
      </c>
      <c r="H8183" s="359">
        <v>4.4000000000000004</v>
      </c>
      <c r="K8183" s="55" t="e">
        <f>H8212</f>
        <v>#VALUE!</v>
      </c>
      <c r="L8183" s="55">
        <f>H8222</f>
        <v>158837.5</v>
      </c>
      <c r="M8183" s="55" t="e">
        <f>H8192</f>
        <v>#VALUE!</v>
      </c>
      <c r="N8183" s="55" t="e">
        <f>H8216</f>
        <v>#VALUE!</v>
      </c>
    </row>
    <row r="8184" spans="1:14" ht="43.2" customHeight="1">
      <c r="A8184" s="210" t="s">
        <v>4213</v>
      </c>
      <c r="B8184" s="545" t="str">
        <f>VLOOKUP(H8183,COSTOS!C:M,2,0)</f>
        <v>Instalacion de CENTRO DE TRANSFORMACION, MONOFASICO, 10KVA, 13200-480/240 a Red de Media tension , TIPO HORIZONTAL, en poste existente</v>
      </c>
      <c r="C8184" s="546"/>
      <c r="D8184" s="546"/>
      <c r="E8184" s="547"/>
      <c r="F8184" s="61" t="s">
        <v>0</v>
      </c>
      <c r="G8184" s="328" t="str">
        <f>VLOOKUP(H8183,COSTOS!C:M,8,0)</f>
        <v>Und</v>
      </c>
      <c r="H8184" s="248"/>
      <c r="I8184" s="278"/>
      <c r="J8184" s="280"/>
      <c r="K8184" s="280"/>
      <c r="L8184" s="280"/>
    </row>
    <row r="8185" spans="1:14">
      <c r="A8185" s="211"/>
      <c r="B8185" s="102"/>
      <c r="C8185" s="102"/>
      <c r="D8185" s="102"/>
      <c r="E8185" s="103"/>
      <c r="F8185" s="104" t="s">
        <v>1</v>
      </c>
      <c r="G8185" s="328">
        <f>VLOOKUP(H8183,COSTOS!C:M,9,0)</f>
        <v>0</v>
      </c>
      <c r="H8185" s="329"/>
      <c r="I8185" s="279"/>
    </row>
    <row r="8186" spans="1:14">
      <c r="A8186" s="212" t="s">
        <v>4215</v>
      </c>
      <c r="B8186" s="65"/>
      <c r="C8186" s="65"/>
      <c r="D8186" s="66"/>
      <c r="E8186" s="190"/>
      <c r="F8186" s="191"/>
      <c r="G8186" s="192" t="s">
        <v>4216</v>
      </c>
      <c r="H8186" s="198" t="e">
        <f>H8192+H8212+H8216+H8222</f>
        <v>#VALUE!</v>
      </c>
    </row>
    <row r="8187" spans="1:14" ht="41.4">
      <c r="A8187" s="548" t="s">
        <v>4213</v>
      </c>
      <c r="B8187" s="548"/>
      <c r="C8187" s="548"/>
      <c r="D8187" s="67" t="s">
        <v>0</v>
      </c>
      <c r="E8187" s="188" t="s">
        <v>4217</v>
      </c>
      <c r="F8187" s="189" t="s">
        <v>4204</v>
      </c>
      <c r="G8187" s="64" t="s">
        <v>2</v>
      </c>
      <c r="H8187" s="199" t="s">
        <v>4218</v>
      </c>
      <c r="K8187" s="281"/>
    </row>
    <row r="8188" spans="1:14">
      <c r="A8188" s="517" t="s">
        <v>3946</v>
      </c>
      <c r="B8188" s="549">
        <f>VLOOKUP(A8188,'Equip, Herr y Transp'!$B$2:$E$738,2,0)</f>
        <v>2</v>
      </c>
      <c r="C8188" s="549"/>
      <c r="D8188" s="85">
        <f>VLOOKUP(A8188,'Equip, Herr y Transp'!$B$2:$E$217,2,0)</f>
        <v>2</v>
      </c>
      <c r="E8188" s="85" t="str">
        <f>VLOOKUP(A8188,'Equip, Herr y Transp'!$B$2:$E$217,3,0)</f>
        <v>EQU</v>
      </c>
      <c r="F8188" s="86">
        <f>H8178</f>
        <v>0.3125</v>
      </c>
      <c r="G8188" s="112" t="e">
        <f>F8188*E8188</f>
        <v>#VALUE!</v>
      </c>
      <c r="H8188" s="108"/>
    </row>
    <row r="8189" spans="1:14">
      <c r="A8189" s="517" t="s">
        <v>3894</v>
      </c>
      <c r="B8189" s="549">
        <f>VLOOKUP(A8189,'Equip, Herr y Transp'!$B$2:$E$738,2,0)</f>
        <v>4</v>
      </c>
      <c r="C8189" s="549"/>
      <c r="D8189" s="85">
        <f>VLOOKUP(A8189,'Equip, Herr y Transp'!$B$2:$E$217,2,0)</f>
        <v>4</v>
      </c>
      <c r="E8189" s="85" t="str">
        <f>VLOOKUP(A8189,'Equip, Herr y Transp'!$B$2:$E$217,3,0)</f>
        <v>TR</v>
      </c>
      <c r="F8189" s="86">
        <f>H8178</f>
        <v>0.3125</v>
      </c>
      <c r="G8189" s="112" t="e">
        <f>F8189*E8189</f>
        <v>#VALUE!</v>
      </c>
      <c r="H8189" s="107"/>
    </row>
    <row r="8190" spans="1:14">
      <c r="A8190" s="517" t="s">
        <v>3895</v>
      </c>
      <c r="B8190" s="549">
        <f>VLOOKUP(A8190,'Equip, Herr y Transp'!$B$2:$E$738,2,0)</f>
        <v>4</v>
      </c>
      <c r="C8190" s="549"/>
      <c r="D8190" s="85">
        <f>VLOOKUP(A8190,'Equip, Herr y Transp'!$B$2:$E$217,2,0)</f>
        <v>4</v>
      </c>
      <c r="E8190" s="85" t="str">
        <f>VLOOKUP(A8190,'Equip, Herr y Transp'!$B$2:$E$217,3,0)</f>
        <v>TR</v>
      </c>
      <c r="F8190" s="86">
        <f>H8178</f>
        <v>0.3125</v>
      </c>
      <c r="G8190" s="112" t="e">
        <f>F8190*E8190</f>
        <v>#VALUE!</v>
      </c>
      <c r="H8190" s="107"/>
    </row>
    <row r="8191" spans="1:14">
      <c r="A8191" s="517" t="s">
        <v>8</v>
      </c>
      <c r="B8191" s="549" t="e">
        <f>VLOOKUP(A8191,'Equip, Herr y Transp'!$B$2:$E$738,2,0)</f>
        <v>#N/A</v>
      </c>
      <c r="C8191" s="549"/>
      <c r="D8191" s="85" t="e">
        <f>VLOOKUP(A8191,'Equip, Herr y Transp'!$B$2:$E$217,2,0)</f>
        <v>#N/A</v>
      </c>
      <c r="E8191" s="85" t="e">
        <f>VLOOKUP(A8191,'Equip, Herr y Transp'!$B$2:$E$217,3,0)</f>
        <v>#N/A</v>
      </c>
      <c r="F8191" s="86">
        <f>H8178</f>
        <v>0.3125</v>
      </c>
      <c r="G8191" s="112" t="e">
        <f>F8191*E8191</f>
        <v>#N/A</v>
      </c>
      <c r="H8191" s="107"/>
    </row>
    <row r="8192" spans="1:14">
      <c r="A8192" s="520" t="s">
        <v>4099</v>
      </c>
      <c r="B8192" s="521"/>
      <c r="C8192" s="521"/>
      <c r="D8192" s="521"/>
      <c r="E8192" s="521"/>
      <c r="F8192" s="521"/>
      <c r="G8192" s="521"/>
      <c r="H8192" s="87" t="e">
        <f>SUM(G8188:G8191)</f>
        <v>#VALUE!</v>
      </c>
    </row>
    <row r="8193" spans="1:15">
      <c r="A8193" s="550" t="s">
        <v>4219</v>
      </c>
      <c r="B8193" s="551"/>
      <c r="C8193" s="551"/>
      <c r="D8193" s="551"/>
      <c r="E8193" s="551"/>
      <c r="F8193" s="551"/>
      <c r="G8193" s="551"/>
      <c r="H8193" s="552"/>
      <c r="K8193" s="50"/>
      <c r="L8193" s="50"/>
      <c r="M8193" s="50"/>
      <c r="N8193" s="50"/>
      <c r="O8193" s="50"/>
    </row>
    <row r="8194" spans="1:15" ht="30" customHeight="1">
      <c r="A8194" s="553" t="s">
        <v>7</v>
      </c>
      <c r="B8194" s="554"/>
      <c r="C8194" s="99" t="s">
        <v>0</v>
      </c>
      <c r="D8194" s="100" t="s">
        <v>4097</v>
      </c>
      <c r="E8194" s="101" t="s">
        <v>1</v>
      </c>
      <c r="F8194" s="555" t="s">
        <v>4207</v>
      </c>
      <c r="G8194" s="555"/>
      <c r="H8194" s="196"/>
      <c r="K8194" s="50"/>
      <c r="L8194" s="50"/>
      <c r="M8194" s="50"/>
      <c r="N8194" s="50"/>
      <c r="O8194" s="50"/>
    </row>
    <row r="8195" spans="1:15">
      <c r="A8195" s="535" t="s">
        <v>4502</v>
      </c>
      <c r="B8195" s="536"/>
      <c r="C8195" s="88">
        <f>VLOOKUP(A8195,'Materiales '!$C$2:$G$396,3,0)</f>
        <v>4</v>
      </c>
      <c r="D8195" s="89" t="str">
        <f>VLOOKUP(A8195,'Materiales '!$C$2:$G$396,4,0)</f>
        <v>Und</v>
      </c>
      <c r="E8195" s="90">
        <v>2</v>
      </c>
      <c r="F8195" s="508" t="e">
        <f>E8195*D8195</f>
        <v>#VALUE!</v>
      </c>
      <c r="G8195" s="519"/>
      <c r="H8195" s="111"/>
      <c r="I8195">
        <f>E8195*G8185</f>
        <v>0</v>
      </c>
      <c r="J8195" s="57"/>
      <c r="K8195" s="50"/>
      <c r="L8195" s="50"/>
      <c r="M8195" s="50"/>
      <c r="N8195" s="50"/>
      <c r="O8195" s="50"/>
    </row>
    <row r="8196" spans="1:15">
      <c r="A8196" s="535" t="s">
        <v>4503</v>
      </c>
      <c r="B8196" s="536"/>
      <c r="C8196" s="88">
        <f>VLOOKUP(A8196,'Materiales '!$C$2:$G$396,3,0)</f>
        <v>4</v>
      </c>
      <c r="D8196" s="89" t="str">
        <f>VLOOKUP(A8196,'Materiales '!$C$2:$G$396,4,0)</f>
        <v>Und</v>
      </c>
      <c r="E8196" s="90">
        <v>2</v>
      </c>
      <c r="F8196" s="508" t="e">
        <f t="shared" ref="F8196:F8202" si="478">E8196*D8196</f>
        <v>#VALUE!</v>
      </c>
      <c r="G8196" s="519"/>
      <c r="H8196" s="111"/>
      <c r="I8196">
        <f>E8196*G8185</f>
        <v>0</v>
      </c>
      <c r="J8196" s="57"/>
      <c r="K8196" s="50"/>
      <c r="L8196" s="50"/>
      <c r="M8196" s="50"/>
      <c r="N8196" s="50"/>
      <c r="O8196" s="50"/>
    </row>
    <row r="8197" spans="1:15">
      <c r="A8197" s="517" t="s">
        <v>4545</v>
      </c>
      <c r="B8197" s="518">
        <f>VLOOKUP(A8197,'Materiales '!$C$2:$G$396,3,0)</f>
        <v>4</v>
      </c>
      <c r="C8197" s="88">
        <f>VLOOKUP(A8197,'Materiales '!$C$2:$G$396,3,0)</f>
        <v>4</v>
      </c>
      <c r="D8197" s="89" t="str">
        <f>VLOOKUP(A8197,'Materiales '!$C$2:$G$396,4,0)</f>
        <v>Und</v>
      </c>
      <c r="E8197" s="90">
        <v>2</v>
      </c>
      <c r="F8197" s="508" t="e">
        <f t="shared" si="478"/>
        <v>#VALUE!</v>
      </c>
      <c r="G8197" s="519"/>
      <c r="H8197" s="111"/>
      <c r="I8197">
        <f>E8197*G8185</f>
        <v>0</v>
      </c>
      <c r="J8197" s="58"/>
      <c r="K8197" s="50"/>
      <c r="L8197" s="50"/>
      <c r="M8197" s="50"/>
      <c r="N8197" s="50"/>
      <c r="O8197" s="50"/>
    </row>
    <row r="8198" spans="1:15">
      <c r="A8198" s="517" t="s">
        <v>4447</v>
      </c>
      <c r="B8198" s="518">
        <f>VLOOKUP(A8198,'Materiales '!$C$2:$G$396,3,0)</f>
        <v>2</v>
      </c>
      <c r="C8198" s="88">
        <f>VLOOKUP(A8198,'Materiales '!$C$2:$G$396,3,0)</f>
        <v>2</v>
      </c>
      <c r="D8198" s="89" t="str">
        <f>VLOOKUP(A8198,'Materiales '!$C$2:$G$396,4,0)</f>
        <v>Ml</v>
      </c>
      <c r="E8198" s="90">
        <v>20</v>
      </c>
      <c r="F8198" s="508" t="e">
        <f t="shared" si="478"/>
        <v>#VALUE!</v>
      </c>
      <c r="G8198" s="519"/>
      <c r="H8198" s="111"/>
      <c r="I8198">
        <f>E8198*G8185</f>
        <v>0</v>
      </c>
      <c r="J8198" s="58"/>
      <c r="K8198" s="50"/>
      <c r="L8198" s="50"/>
      <c r="M8198" s="50"/>
      <c r="N8198" s="50"/>
      <c r="O8198" s="50"/>
    </row>
    <row r="8199" spans="1:15">
      <c r="A8199" s="517" t="s">
        <v>4434</v>
      </c>
      <c r="B8199" s="518">
        <f>VLOOKUP(A8199,'Materiales '!$C$2:$G$396,3,0)</f>
        <v>2</v>
      </c>
      <c r="C8199" s="88">
        <f>VLOOKUP(A8199,'Materiales '!$C$2:$G$396,3,0)</f>
        <v>2</v>
      </c>
      <c r="D8199" s="89" t="str">
        <f>VLOOKUP(A8199,'Materiales '!$C$2:$G$396,4,0)</f>
        <v>Ml</v>
      </c>
      <c r="E8199" s="90">
        <v>15</v>
      </c>
      <c r="F8199" s="508" t="e">
        <f t="shared" si="478"/>
        <v>#VALUE!</v>
      </c>
      <c r="G8199" s="519"/>
      <c r="H8199" s="111"/>
      <c r="I8199">
        <f>E8199*G8185</f>
        <v>0</v>
      </c>
      <c r="J8199" s="58"/>
      <c r="K8199" s="50"/>
      <c r="L8199" s="50"/>
      <c r="M8199" s="50"/>
      <c r="N8199" s="50"/>
      <c r="O8199" s="50"/>
    </row>
    <row r="8200" spans="1:15">
      <c r="A8200" s="517" t="s">
        <v>4511</v>
      </c>
      <c r="B8200" s="518">
        <f>VLOOKUP(A8200,'Materiales '!$C$2:$G$396,3,0)</f>
        <v>4</v>
      </c>
      <c r="C8200" s="88">
        <f>VLOOKUP(A8200,'Materiales '!$C$2:$G$396,3,0)</f>
        <v>4</v>
      </c>
      <c r="D8200" s="89" t="str">
        <f>VLOOKUP(A8200,'Materiales '!$C$2:$G$396,4,0)</f>
        <v>Und</v>
      </c>
      <c r="E8200" s="90">
        <v>2</v>
      </c>
      <c r="F8200" s="508" t="e">
        <f t="shared" si="478"/>
        <v>#VALUE!</v>
      </c>
      <c r="G8200" s="519"/>
      <c r="H8200" s="111"/>
      <c r="I8200">
        <f>E8200*G8185</f>
        <v>0</v>
      </c>
      <c r="J8200" s="58"/>
      <c r="K8200" s="50"/>
      <c r="L8200" s="50"/>
      <c r="M8200" s="50"/>
      <c r="N8200" s="50"/>
      <c r="O8200" s="50"/>
    </row>
    <row r="8201" spans="1:15">
      <c r="A8201" s="517" t="s">
        <v>4521</v>
      </c>
      <c r="B8201" s="518">
        <f>VLOOKUP(A8201,'Materiales '!$C$2:$G$396,3,0)</f>
        <v>4</v>
      </c>
      <c r="C8201" s="88">
        <f>VLOOKUP(A8201,'Materiales '!$C$2:$G$396,3,0)</f>
        <v>4</v>
      </c>
      <c r="D8201" s="89" t="str">
        <f>VLOOKUP(A8201,'Materiales '!$C$2:$G$396,4,0)</f>
        <v>Und</v>
      </c>
      <c r="E8201" s="90">
        <v>2</v>
      </c>
      <c r="F8201" s="508" t="e">
        <f t="shared" si="478"/>
        <v>#VALUE!</v>
      </c>
      <c r="G8201" s="519"/>
      <c r="H8201" s="111"/>
      <c r="I8201">
        <f>E8201*G8185</f>
        <v>0</v>
      </c>
      <c r="J8201" s="58"/>
      <c r="K8201" s="50"/>
      <c r="L8201" s="50"/>
      <c r="M8201" s="50"/>
      <c r="N8201" s="50"/>
      <c r="O8201" s="50"/>
    </row>
    <row r="8202" spans="1:15" ht="21.75" customHeight="1">
      <c r="A8202" s="517" t="s">
        <v>4517</v>
      </c>
      <c r="B8202" s="518">
        <f>VLOOKUP(A8202,'Materiales '!$C$2:$G$396,3,0)</f>
        <v>4</v>
      </c>
      <c r="C8202" s="88">
        <f>VLOOKUP(A8202,'Materiales '!$C$2:$G$396,3,0)</f>
        <v>4</v>
      </c>
      <c r="D8202" s="89" t="str">
        <f>VLOOKUP(A8202,'Materiales '!$C$2:$G$396,4,0)</f>
        <v>Und</v>
      </c>
      <c r="E8202" s="90">
        <v>2</v>
      </c>
      <c r="F8202" s="508" t="e">
        <f t="shared" si="478"/>
        <v>#VALUE!</v>
      </c>
      <c r="G8202" s="519"/>
      <c r="H8202" s="111"/>
      <c r="I8202">
        <f>E8202*G8185</f>
        <v>0</v>
      </c>
      <c r="J8202" s="58"/>
      <c r="K8202" s="50"/>
      <c r="L8202" s="50"/>
      <c r="M8202" s="50"/>
      <c r="N8202" s="50"/>
      <c r="O8202" s="50"/>
    </row>
    <row r="8203" spans="1:15">
      <c r="A8203" s="517" t="s">
        <v>4579</v>
      </c>
      <c r="B8203" s="518">
        <f>VLOOKUP(A8203,'Materiales '!$C$2:$G$396,3,0)</f>
        <v>4</v>
      </c>
      <c r="C8203" s="88">
        <f>VLOOKUP(A8203,'Materiales '!$C$2:$G$396,3,0)</f>
        <v>4</v>
      </c>
      <c r="D8203" s="89" t="str">
        <f>VLOOKUP(A8203,'Materiales '!$C$2:$G$396,4,0)</f>
        <v>Und</v>
      </c>
      <c r="E8203" s="90">
        <v>1</v>
      </c>
      <c r="F8203" s="508" t="e">
        <f>E8203*D8203</f>
        <v>#VALUE!</v>
      </c>
      <c r="G8203" s="519"/>
      <c r="H8203" s="110"/>
      <c r="I8203">
        <f>E8203*G8185</f>
        <v>0</v>
      </c>
      <c r="J8203" s="58"/>
      <c r="K8203" s="50"/>
      <c r="L8203" s="50"/>
      <c r="M8203" s="50"/>
      <c r="N8203" s="50"/>
      <c r="O8203" s="50"/>
    </row>
    <row r="8204" spans="1:15">
      <c r="A8204" s="517" t="s">
        <v>4474</v>
      </c>
      <c r="B8204" s="518">
        <f>VLOOKUP(A8204,'Materiales '!$C$2:$G$396,3,0)</f>
        <v>4</v>
      </c>
      <c r="C8204" s="88">
        <f>VLOOKUP(A8204,'Materiales '!$C$2:$G$396,3,0)</f>
        <v>4</v>
      </c>
      <c r="D8204" s="89" t="str">
        <f>VLOOKUP(A8204,'Materiales '!$C$2:$G$396,4,0)</f>
        <v>Und</v>
      </c>
      <c r="E8204" s="90">
        <v>2</v>
      </c>
      <c r="F8204" s="508" t="e">
        <f t="shared" ref="F8204:F8209" si="479">E8204*D8204</f>
        <v>#VALUE!</v>
      </c>
      <c r="G8204" s="519"/>
      <c r="H8204" s="111"/>
      <c r="I8204">
        <f>E8204*G8185</f>
        <v>0</v>
      </c>
      <c r="J8204" s="58"/>
      <c r="K8204" s="50"/>
      <c r="L8204" s="50"/>
      <c r="M8204" s="50"/>
      <c r="N8204" s="50"/>
      <c r="O8204" s="50"/>
    </row>
    <row r="8205" spans="1:15">
      <c r="A8205" s="517" t="s">
        <v>4488</v>
      </c>
      <c r="B8205" s="518">
        <f>VLOOKUP(A8205,'Materiales '!$C$2:$G$396,3,0)</f>
        <v>4</v>
      </c>
      <c r="C8205" s="88">
        <f>VLOOKUP(A8205,'Materiales '!$C$2:$G$396,3,0)</f>
        <v>4</v>
      </c>
      <c r="D8205" s="89" t="str">
        <f>VLOOKUP(A8205,'Materiales '!$C$2:$G$396,4,0)</f>
        <v>Und</v>
      </c>
      <c r="E8205" s="90">
        <v>1</v>
      </c>
      <c r="F8205" s="508" t="e">
        <f t="shared" si="479"/>
        <v>#VALUE!</v>
      </c>
      <c r="G8205" s="519"/>
      <c r="H8205" s="111"/>
      <c r="I8205">
        <f>E8205*G8185</f>
        <v>0</v>
      </c>
      <c r="J8205" s="58"/>
      <c r="K8205" s="50"/>
      <c r="L8205" s="50"/>
      <c r="M8205" s="50"/>
      <c r="N8205" s="50"/>
      <c r="O8205" s="50"/>
    </row>
    <row r="8206" spans="1:15">
      <c r="A8206" s="517" t="s">
        <v>4534</v>
      </c>
      <c r="B8206" s="518">
        <f>VLOOKUP(A8206,'Materiales '!$C$2:$G$396,3,0)</f>
        <v>4</v>
      </c>
      <c r="C8206" s="88">
        <f>VLOOKUP(A8206,'Materiales '!$C$2:$G$396,3,0)</f>
        <v>4</v>
      </c>
      <c r="D8206" s="89" t="str">
        <f>VLOOKUP(A8206,'Materiales '!$C$2:$G$396,4,0)</f>
        <v>Und</v>
      </c>
      <c r="E8206" s="90">
        <v>1</v>
      </c>
      <c r="F8206" s="508" t="e">
        <f t="shared" si="479"/>
        <v>#VALUE!</v>
      </c>
      <c r="G8206" s="519"/>
      <c r="H8206" s="111"/>
      <c r="I8206">
        <f>E8206*G8185</f>
        <v>0</v>
      </c>
      <c r="J8206" s="58"/>
      <c r="K8206" s="50"/>
      <c r="L8206" s="50"/>
      <c r="M8206" s="50"/>
      <c r="N8206" s="50"/>
      <c r="O8206" s="50"/>
    </row>
    <row r="8207" spans="1:15">
      <c r="A8207" s="517" t="s">
        <v>4574</v>
      </c>
      <c r="B8207" s="518">
        <f>VLOOKUP(A8207,'Materiales '!$C$2:$G$396,3,0)</f>
        <v>4</v>
      </c>
      <c r="C8207" s="88">
        <f>VLOOKUP(A8207,'Materiales '!$C$2:$G$396,3,0)</f>
        <v>4</v>
      </c>
      <c r="D8207" s="89" t="str">
        <f>VLOOKUP(A8207,'Materiales '!$C$2:$G$396,4,0)</f>
        <v>Und</v>
      </c>
      <c r="E8207" s="90">
        <v>1</v>
      </c>
      <c r="F8207" s="508" t="e">
        <f t="shared" si="479"/>
        <v>#VALUE!</v>
      </c>
      <c r="G8207" s="519"/>
      <c r="H8207" s="111"/>
      <c r="I8207">
        <f>E8207*G8185</f>
        <v>0</v>
      </c>
      <c r="J8207" s="58"/>
      <c r="K8207" s="50"/>
      <c r="L8207" s="50"/>
      <c r="M8207" s="50"/>
      <c r="N8207" s="50"/>
      <c r="O8207" s="50"/>
    </row>
    <row r="8208" spans="1:15">
      <c r="A8208" s="517" t="s">
        <v>4537</v>
      </c>
      <c r="B8208" s="518">
        <f>VLOOKUP(A8208,'Materiales '!$C$2:$G$396,3,0)</f>
        <v>4</v>
      </c>
      <c r="C8208" s="88">
        <f>VLOOKUP(A8208,'Materiales '!$C$2:$G$396,3,0)</f>
        <v>4</v>
      </c>
      <c r="D8208" s="89" t="str">
        <f>VLOOKUP(A8208,'Materiales '!$C$2:$G$396,4,0)</f>
        <v>Und</v>
      </c>
      <c r="E8208" s="90">
        <v>1</v>
      </c>
      <c r="F8208" s="508" t="e">
        <f t="shared" si="479"/>
        <v>#VALUE!</v>
      </c>
      <c r="G8208" s="519"/>
      <c r="H8208" s="111"/>
      <c r="I8208">
        <f>E8208*G8185</f>
        <v>0</v>
      </c>
      <c r="J8208" s="58"/>
      <c r="K8208" s="50"/>
      <c r="L8208" s="50"/>
      <c r="M8208" s="50"/>
      <c r="N8208" s="50"/>
      <c r="O8208" s="50"/>
    </row>
    <row r="8209" spans="1:15">
      <c r="A8209" s="517" t="s">
        <v>4510</v>
      </c>
      <c r="B8209" s="518">
        <f>VLOOKUP(A8209,'Materiales '!$C$2:$G$396,3,0)</f>
        <v>4</v>
      </c>
      <c r="C8209" s="88">
        <f>VLOOKUP(A8209,'Materiales '!$C$2:$G$396,3,0)</f>
        <v>4</v>
      </c>
      <c r="D8209" s="89" t="str">
        <f>VLOOKUP(A8209,'Materiales '!$C$2:$G$396,4,0)</f>
        <v>Und</v>
      </c>
      <c r="E8209" s="90">
        <v>1</v>
      </c>
      <c r="F8209" s="508" t="e">
        <f t="shared" si="479"/>
        <v>#VALUE!</v>
      </c>
      <c r="G8209" s="519"/>
      <c r="H8209" s="111"/>
      <c r="I8209">
        <f>E8209*G8185</f>
        <v>0</v>
      </c>
      <c r="J8209" s="58"/>
      <c r="K8209" s="50"/>
      <c r="L8209" s="50"/>
      <c r="M8209" s="50"/>
      <c r="N8209" s="50"/>
      <c r="O8209" s="50"/>
    </row>
    <row r="8210" spans="1:15">
      <c r="A8210" s="517" t="s">
        <v>4485</v>
      </c>
      <c r="B8210" s="518">
        <f>VLOOKUP(A8210,'Materiales '!$C$2:$G$396,3,0)</f>
        <v>2</v>
      </c>
      <c r="C8210" s="88">
        <f>VLOOKUP(A8210,'Materiales '!$C$2:$G$396,3,0)</f>
        <v>2</v>
      </c>
      <c r="D8210" s="89" t="str">
        <f>VLOOKUP(A8210,'Materiales '!$C$2:$G$396,4,0)</f>
        <v>Ml</v>
      </c>
      <c r="E8210" s="90">
        <v>2</v>
      </c>
      <c r="F8210" s="508" t="e">
        <f>E8210*D8210</f>
        <v>#VALUE!</v>
      </c>
      <c r="G8210" s="519"/>
      <c r="H8210" s="110"/>
      <c r="I8210">
        <f>E8210*G8185</f>
        <v>0</v>
      </c>
      <c r="J8210" s="58"/>
      <c r="K8210" s="50"/>
      <c r="L8210" s="50"/>
      <c r="M8210" s="50"/>
      <c r="N8210" s="50"/>
      <c r="O8210" s="50"/>
    </row>
    <row r="8211" spans="1:15">
      <c r="A8211" s="517" t="s">
        <v>4483</v>
      </c>
      <c r="B8211" s="518">
        <f>VLOOKUP(A8211,'Materiales '!$C$2:$G$396,3,0)</f>
        <v>4</v>
      </c>
      <c r="C8211" s="88">
        <f>VLOOKUP(A8211,'Materiales '!$C$2:$G$396,3,0)</f>
        <v>4</v>
      </c>
      <c r="D8211" s="89" t="str">
        <f>VLOOKUP(A8211,'Materiales '!$C$2:$G$396,4,0)</f>
        <v>Und</v>
      </c>
      <c r="E8211" s="90">
        <v>2</v>
      </c>
      <c r="F8211" s="508" t="e">
        <f>E8211*D8211</f>
        <v>#VALUE!</v>
      </c>
      <c r="G8211" s="519"/>
      <c r="H8211" s="110"/>
      <c r="I8211">
        <f>E8211*G8185</f>
        <v>0</v>
      </c>
      <c r="J8211" s="58"/>
      <c r="K8211" s="50"/>
      <c r="L8211" s="50"/>
      <c r="M8211" s="50"/>
      <c r="N8211" s="50"/>
      <c r="O8211" s="50"/>
    </row>
    <row r="8212" spans="1:15">
      <c r="A8212" s="520" t="s">
        <v>4098</v>
      </c>
      <c r="B8212" s="521"/>
      <c r="C8212" s="521"/>
      <c r="D8212" s="521"/>
      <c r="E8212" s="521"/>
      <c r="F8212" s="521"/>
      <c r="G8212" s="522"/>
      <c r="H8212" s="106" t="e">
        <f>SUM(F8195:F8211)</f>
        <v>#VALUE!</v>
      </c>
      <c r="J8212" s="58"/>
      <c r="K8212" s="50"/>
      <c r="L8212" s="50"/>
      <c r="M8212" s="50"/>
      <c r="N8212" s="50"/>
      <c r="O8212" s="50"/>
    </row>
    <row r="8213" spans="1:15">
      <c r="A8213" s="523" t="s">
        <v>4220</v>
      </c>
      <c r="B8213" s="524"/>
      <c r="C8213" s="524"/>
      <c r="D8213" s="524"/>
      <c r="E8213" s="525"/>
      <c r="F8213" s="524"/>
      <c r="G8213" s="524"/>
      <c r="H8213" s="526"/>
      <c r="J8213" s="58"/>
      <c r="K8213" s="50"/>
      <c r="L8213" s="50"/>
      <c r="M8213" s="50"/>
      <c r="N8213" s="50"/>
      <c r="O8213" s="50"/>
    </row>
    <row r="8214" spans="1:15">
      <c r="A8214" s="527" t="s">
        <v>7</v>
      </c>
      <c r="B8214" s="528"/>
      <c r="C8214" s="98" t="s">
        <v>4221</v>
      </c>
      <c r="D8214" s="97" t="s">
        <v>4222</v>
      </c>
      <c r="E8214" s="187" t="s">
        <v>4223</v>
      </c>
      <c r="F8214" s="529" t="s">
        <v>4207</v>
      </c>
      <c r="G8214" s="529"/>
      <c r="H8214" s="109"/>
      <c r="K8214" s="50"/>
      <c r="L8214" s="50"/>
      <c r="M8214" s="50"/>
      <c r="N8214" s="50"/>
      <c r="O8214" s="50"/>
    </row>
    <row r="8215" spans="1:15">
      <c r="A8215" s="506" t="s">
        <v>3928</v>
      </c>
      <c r="B8215" s="507"/>
      <c r="C8215" s="213">
        <v>1</v>
      </c>
      <c r="D8215" s="92">
        <v>0.1</v>
      </c>
      <c r="E8215" s="93" t="str">
        <f>VLOOKUP(A8215,'Equip, Herr y Transp'!$B$2:$E$217,3,0)</f>
        <v>TR</v>
      </c>
      <c r="F8215" s="530" t="e">
        <f>E8215*D8215*C8215</f>
        <v>#VALUE!</v>
      </c>
      <c r="G8215" s="531"/>
      <c r="H8215" s="107"/>
      <c r="M8215" s="50"/>
    </row>
    <row r="8216" spans="1:15">
      <c r="A8216" s="532" t="s">
        <v>4205</v>
      </c>
      <c r="B8216" s="533"/>
      <c r="C8216" s="533"/>
      <c r="D8216" s="533"/>
      <c r="E8216" s="533"/>
      <c r="F8216" s="533"/>
      <c r="G8216" s="533"/>
      <c r="H8216" s="95" t="e">
        <f>F8215</f>
        <v>#VALUE!</v>
      </c>
    </row>
    <row r="8217" spans="1:15">
      <c r="A8217" s="523" t="s">
        <v>4224</v>
      </c>
      <c r="B8217" s="524"/>
      <c r="C8217" s="524"/>
      <c r="D8217" s="524"/>
      <c r="E8217" s="524"/>
      <c r="F8217" s="524"/>
      <c r="G8217" s="524"/>
      <c r="H8217" s="526"/>
    </row>
    <row r="8218" spans="1:15">
      <c r="A8218" s="527" t="s">
        <v>7</v>
      </c>
      <c r="B8218" s="528"/>
      <c r="C8218" s="96" t="s">
        <v>1</v>
      </c>
      <c r="D8218" s="97" t="s">
        <v>4225</v>
      </c>
      <c r="E8218" s="98" t="s">
        <v>4204</v>
      </c>
      <c r="F8218" s="527" t="s">
        <v>5</v>
      </c>
      <c r="G8218" s="534"/>
      <c r="H8218" s="109"/>
    </row>
    <row r="8219" spans="1:15">
      <c r="A8219" s="506" t="s">
        <v>4191</v>
      </c>
      <c r="B8219" s="507"/>
      <c r="C8219" s="91">
        <v>1</v>
      </c>
      <c r="D8219" s="94">
        <f>VLOOKUP(A8219,'Mano Obra'!$B$2:$T$117,19,0)</f>
        <v>152456</v>
      </c>
      <c r="E8219" s="218">
        <f>H8178</f>
        <v>0.3125</v>
      </c>
      <c r="F8219" s="508">
        <f>E8219*D8219*C8219</f>
        <v>47642.5</v>
      </c>
      <c r="G8219" s="509"/>
      <c r="H8219" s="111"/>
      <c r="I8219" s="59"/>
      <c r="J8219" s="117">
        <f>((('Mano Obra'!$M$4/30)*F8219)/D8219)*G8185</f>
        <v>0</v>
      </c>
    </row>
    <row r="8220" spans="1:15">
      <c r="A8220" s="510" t="s">
        <v>4192</v>
      </c>
      <c r="B8220" s="511">
        <f>VLOOKUP(A8220,'Mano Obra'!$B$3:$D$290,2,0)</f>
        <v>1900000</v>
      </c>
      <c r="C8220" s="91">
        <v>2</v>
      </c>
      <c r="D8220" s="94">
        <f>VLOOKUP(A8220,'Mano Obra'!$B$2:$T$117,19,0)</f>
        <v>110488</v>
      </c>
      <c r="E8220" s="218">
        <f>H8178</f>
        <v>0.3125</v>
      </c>
      <c r="F8220" s="508">
        <f t="shared" ref="F8220:F8221" si="480">E8220*D8220*C8220</f>
        <v>69055</v>
      </c>
      <c r="G8220" s="509"/>
      <c r="H8220" s="111"/>
      <c r="J8220" s="117">
        <f>((('Mano Obra'!$M$5/30)*F8220)/D8220)*G8185</f>
        <v>0</v>
      </c>
    </row>
    <row r="8221" spans="1:15">
      <c r="A8221" s="510" t="s">
        <v>4181</v>
      </c>
      <c r="B8221" s="511">
        <f>VLOOKUP(A8221,'Mano Obra'!$B$3:$D$290,2,0)</f>
        <v>1000000</v>
      </c>
      <c r="C8221" s="91">
        <v>2</v>
      </c>
      <c r="D8221" s="94">
        <f>VLOOKUP(A8221,'Mano Obra'!$B$2:$T$117,19,0)</f>
        <v>67424</v>
      </c>
      <c r="E8221" s="218">
        <f>H8178</f>
        <v>0.3125</v>
      </c>
      <c r="F8221" s="508">
        <f t="shared" si="480"/>
        <v>42140</v>
      </c>
      <c r="G8221" s="509"/>
      <c r="H8221" s="110"/>
      <c r="J8221" s="117">
        <f>((('Mano Obra'!$M$6/30)*F8221)/D8221)*G8185</f>
        <v>0</v>
      </c>
    </row>
    <row r="8222" spans="1:15">
      <c r="A8222" s="512" t="s">
        <v>4100</v>
      </c>
      <c r="B8222" s="512"/>
      <c r="C8222" s="512"/>
      <c r="D8222" s="512"/>
      <c r="E8222" s="512"/>
      <c r="F8222" s="512"/>
      <c r="G8222" s="512"/>
      <c r="H8222" s="95">
        <f>SUM(F8219:F8221)</f>
        <v>158837.5</v>
      </c>
      <c r="J8222" s="117"/>
    </row>
    <row r="8223" spans="1:15">
      <c r="A8223" s="208" t="s">
        <v>4226</v>
      </c>
      <c r="B8223" s="186"/>
      <c r="C8223" s="186"/>
      <c r="D8223" s="183"/>
      <c r="E8223" s="184"/>
      <c r="F8223" s="185"/>
      <c r="G8223" s="184"/>
      <c r="H8223" s="193"/>
    </row>
    <row r="8224" spans="1:15">
      <c r="A8224" s="513" t="s">
        <v>4213</v>
      </c>
      <c r="B8224" s="514"/>
      <c r="C8224" s="514"/>
      <c r="D8224" s="514"/>
      <c r="E8224" s="181"/>
      <c r="F8224" s="182" t="s">
        <v>4227</v>
      </c>
      <c r="G8224" s="181" t="s">
        <v>4228</v>
      </c>
      <c r="H8224" s="194"/>
    </row>
    <row r="8225" spans="1:14">
      <c r="A8225" s="204" t="s">
        <v>4096</v>
      </c>
      <c r="B8225" s="62"/>
      <c r="C8225" s="62"/>
      <c r="D8225" s="63"/>
      <c r="E8225" s="68"/>
      <c r="F8225" s="69">
        <v>0</v>
      </c>
      <c r="G8225" s="70" t="e">
        <f>F8225*H8186</f>
        <v>#VALUE!</v>
      </c>
      <c r="H8225" s="193"/>
    </row>
    <row r="8226" spans="1:14">
      <c r="A8226" s="205" t="s">
        <v>4229</v>
      </c>
      <c r="B8226" s="71"/>
      <c r="C8226" s="71"/>
      <c r="D8226" s="72"/>
      <c r="E8226" s="68"/>
      <c r="F8226" s="69">
        <v>0</v>
      </c>
      <c r="G8226" s="70" t="e">
        <f>F8226*H8186</f>
        <v>#VALUE!</v>
      </c>
      <c r="H8226" s="193"/>
    </row>
    <row r="8227" spans="1:14">
      <c r="A8227" s="205" t="s">
        <v>4</v>
      </c>
      <c r="B8227" s="71"/>
      <c r="C8227" s="71"/>
      <c r="D8227" s="72"/>
      <c r="E8227" s="68"/>
      <c r="F8227" s="69">
        <v>0</v>
      </c>
      <c r="G8227" s="70" t="e">
        <f>F8227*H8186</f>
        <v>#VALUE!</v>
      </c>
      <c r="H8227" s="193"/>
    </row>
    <row r="8228" spans="1:14">
      <c r="A8228" s="206"/>
      <c r="B8228" s="73"/>
      <c r="C8228" s="65"/>
      <c r="D8228" s="74"/>
      <c r="E8228" s="75"/>
      <c r="F8228" s="76"/>
      <c r="G8228" s="77"/>
      <c r="H8228" s="195"/>
    </row>
    <row r="8229" spans="1:14">
      <c r="A8229" s="207"/>
      <c r="B8229" s="73"/>
      <c r="C8229" s="73"/>
      <c r="D8229" s="74"/>
      <c r="E8229" s="78"/>
      <c r="F8229" s="515" t="s">
        <v>4230</v>
      </c>
      <c r="G8229" s="516"/>
      <c r="H8229" s="214" t="e">
        <f>H8186+G8225+G8226+G8227</f>
        <v>#VALUE!</v>
      </c>
    </row>
    <row r="8230" spans="1:14">
      <c r="A8230" s="73"/>
      <c r="B8230" s="73"/>
      <c r="C8230" s="73"/>
      <c r="D8230" s="74"/>
      <c r="E8230" s="360"/>
      <c r="F8230" s="361"/>
      <c r="G8230" s="361"/>
      <c r="H8230" s="362"/>
    </row>
    <row r="8231" spans="1:14">
      <c r="A8231" s="80"/>
      <c r="B8231" s="80"/>
      <c r="C8231" s="80"/>
      <c r="D8231" s="80"/>
      <c r="E8231" s="80"/>
      <c r="F8231" s="80"/>
      <c r="G8231" s="80"/>
      <c r="H8231" s="353"/>
    </row>
    <row r="8232" spans="1:14">
      <c r="A8232" s="537" t="s">
        <v>4214</v>
      </c>
      <c r="B8232" s="538"/>
      <c r="C8232" s="538"/>
      <c r="D8232" s="538"/>
      <c r="E8232" s="538"/>
      <c r="F8232" s="538"/>
      <c r="G8232" s="538"/>
      <c r="H8232" s="539"/>
    </row>
    <row r="8233" spans="1:14">
      <c r="A8233" s="81"/>
      <c r="B8233" s="82"/>
      <c r="C8233" s="82"/>
      <c r="D8233" s="82"/>
      <c r="E8233" s="82"/>
      <c r="F8233" s="83"/>
      <c r="G8233" s="84"/>
      <c r="H8233" s="352">
        <f>ROUND((150/60)/8,4)</f>
        <v>0.3125</v>
      </c>
      <c r="I8233" s="105"/>
    </row>
    <row r="8234" spans="1:14">
      <c r="A8234" s="540" t="s">
        <v>4209</v>
      </c>
      <c r="B8234" s="542" t="str">
        <f>COSTOS!$C$14</f>
        <v>MODERNIZACION A TECNOLOGIA LED</v>
      </c>
      <c r="C8234" s="542"/>
      <c r="D8234" s="542"/>
      <c r="E8234" s="542"/>
      <c r="F8234" s="542"/>
      <c r="G8234" s="542"/>
      <c r="H8234" s="543" t="s">
        <v>4210</v>
      </c>
    </row>
    <row r="8235" spans="1:14">
      <c r="A8235" s="541"/>
      <c r="B8235" s="542"/>
      <c r="C8235" s="542"/>
      <c r="D8235" s="542"/>
      <c r="E8235" s="542"/>
      <c r="F8235" s="542"/>
      <c r="G8235" s="542"/>
      <c r="H8235" s="543"/>
    </row>
    <row r="8236" spans="1:14">
      <c r="A8236" s="541"/>
      <c r="B8236" s="542"/>
      <c r="C8236" s="542"/>
      <c r="D8236" s="542"/>
      <c r="E8236" s="542"/>
      <c r="F8236" s="542"/>
      <c r="G8236" s="542"/>
      <c r="H8236" s="543"/>
    </row>
    <row r="8237" spans="1:14" ht="15" customHeight="1">
      <c r="A8237" s="541"/>
      <c r="B8237" s="542"/>
      <c r="C8237" s="542"/>
      <c r="D8237" s="542"/>
      <c r="E8237" s="542"/>
      <c r="F8237" s="542"/>
      <c r="G8237" s="542"/>
      <c r="H8237" s="197">
        <f ca="1">TODAY()</f>
        <v>44889</v>
      </c>
      <c r="K8237" t="s">
        <v>4380</v>
      </c>
      <c r="L8237" t="s">
        <v>4381</v>
      </c>
      <c r="M8237" t="s">
        <v>4382</v>
      </c>
      <c r="N8237" t="s">
        <v>4383</v>
      </c>
    </row>
    <row r="8238" spans="1:14" ht="60.75" customHeight="1">
      <c r="A8238" s="209" t="s">
        <v>4211</v>
      </c>
      <c r="B8238" s="544" t="str">
        <f>COSTOS!$D$16</f>
        <v>Luminarias</v>
      </c>
      <c r="C8238" s="544"/>
      <c r="D8238" s="544"/>
      <c r="E8238" s="544"/>
      <c r="F8238" s="544"/>
      <c r="G8238" s="60" t="s">
        <v>4212</v>
      </c>
      <c r="H8238" s="359">
        <v>4.5</v>
      </c>
      <c r="K8238" s="55" t="e">
        <f>H8267</f>
        <v>#VALUE!</v>
      </c>
      <c r="L8238" s="55">
        <f>H8277</f>
        <v>158837.5</v>
      </c>
      <c r="M8238" s="55" t="e">
        <f>H8247</f>
        <v>#VALUE!</v>
      </c>
      <c r="N8238" s="55" t="e">
        <f>H8271</f>
        <v>#VALUE!</v>
      </c>
    </row>
    <row r="8239" spans="1:14" ht="43.2" customHeight="1">
      <c r="A8239" s="210" t="s">
        <v>4213</v>
      </c>
      <c r="B8239" s="545" t="str">
        <f>VLOOKUP(H8238,COSTOS!C:M,2,0)</f>
        <v>Instalacion de CENTRO DE TRANSFORMACION, MONOFASICO, 15KVA, 13200-480/240 a Red de Media tension , TIPO HORIZONTAL, en poste existente</v>
      </c>
      <c r="C8239" s="546"/>
      <c r="D8239" s="546"/>
      <c r="E8239" s="547"/>
      <c r="F8239" s="61" t="s">
        <v>0</v>
      </c>
      <c r="G8239" s="328" t="str">
        <f>VLOOKUP(H8238,COSTOS!C:M,8,0)</f>
        <v>Und</v>
      </c>
      <c r="H8239" s="248"/>
      <c r="I8239" s="278"/>
      <c r="J8239" s="280"/>
      <c r="K8239" s="280"/>
      <c r="L8239" s="280"/>
    </row>
    <row r="8240" spans="1:14">
      <c r="A8240" s="211"/>
      <c r="B8240" s="102"/>
      <c r="C8240" s="102"/>
      <c r="D8240" s="102"/>
      <c r="E8240" s="103"/>
      <c r="F8240" s="104" t="s">
        <v>1</v>
      </c>
      <c r="G8240" s="328">
        <f>VLOOKUP(H8238,COSTOS!C:M,9,0)</f>
        <v>0</v>
      </c>
      <c r="H8240" s="329"/>
      <c r="I8240" s="279"/>
    </row>
    <row r="8241" spans="1:15">
      <c r="A8241" s="212" t="s">
        <v>4215</v>
      </c>
      <c r="B8241" s="65"/>
      <c r="C8241" s="65"/>
      <c r="D8241" s="66"/>
      <c r="E8241" s="190"/>
      <c r="F8241" s="191"/>
      <c r="G8241" s="192" t="s">
        <v>4216</v>
      </c>
      <c r="H8241" s="198" t="e">
        <f>H8247+H8267+H8271+H8277</f>
        <v>#VALUE!</v>
      </c>
    </row>
    <row r="8242" spans="1:15" ht="41.4">
      <c r="A8242" s="548" t="s">
        <v>4213</v>
      </c>
      <c r="B8242" s="548"/>
      <c r="C8242" s="548"/>
      <c r="D8242" s="67" t="s">
        <v>0</v>
      </c>
      <c r="E8242" s="188" t="s">
        <v>4217</v>
      </c>
      <c r="F8242" s="189" t="s">
        <v>4204</v>
      </c>
      <c r="G8242" s="64" t="s">
        <v>2</v>
      </c>
      <c r="H8242" s="199" t="s">
        <v>4218</v>
      </c>
      <c r="K8242" s="281"/>
    </row>
    <row r="8243" spans="1:15">
      <c r="A8243" s="517" t="s">
        <v>3946</v>
      </c>
      <c r="B8243" s="549">
        <f>VLOOKUP(A8243,'Equip, Herr y Transp'!$B$2:$E$738,2,0)</f>
        <v>2</v>
      </c>
      <c r="C8243" s="549"/>
      <c r="D8243" s="85">
        <f>VLOOKUP(A8243,'Equip, Herr y Transp'!$B$2:$E$217,2,0)</f>
        <v>2</v>
      </c>
      <c r="E8243" s="85" t="str">
        <f>VLOOKUP(A8243,'Equip, Herr y Transp'!$B$2:$E$217,3,0)</f>
        <v>EQU</v>
      </c>
      <c r="F8243" s="86">
        <f>H8233</f>
        <v>0.3125</v>
      </c>
      <c r="G8243" s="112" t="e">
        <f>F8243*E8243</f>
        <v>#VALUE!</v>
      </c>
      <c r="H8243" s="108"/>
    </row>
    <row r="8244" spans="1:15">
      <c r="A8244" s="517" t="s">
        <v>3894</v>
      </c>
      <c r="B8244" s="549">
        <f>VLOOKUP(A8244,'Equip, Herr y Transp'!$B$2:$E$738,2,0)</f>
        <v>4</v>
      </c>
      <c r="C8244" s="549"/>
      <c r="D8244" s="85">
        <f>VLOOKUP(A8244,'Equip, Herr y Transp'!$B$2:$E$217,2,0)</f>
        <v>4</v>
      </c>
      <c r="E8244" s="85" t="str">
        <f>VLOOKUP(A8244,'Equip, Herr y Transp'!$B$2:$E$217,3,0)</f>
        <v>TR</v>
      </c>
      <c r="F8244" s="86">
        <f>H8233</f>
        <v>0.3125</v>
      </c>
      <c r="G8244" s="112" t="e">
        <f>F8244*E8244</f>
        <v>#VALUE!</v>
      </c>
      <c r="H8244" s="107"/>
    </row>
    <row r="8245" spans="1:15">
      <c r="A8245" s="517" t="s">
        <v>3895</v>
      </c>
      <c r="B8245" s="549">
        <f>VLOOKUP(A8245,'Equip, Herr y Transp'!$B$2:$E$738,2,0)</f>
        <v>4</v>
      </c>
      <c r="C8245" s="549"/>
      <c r="D8245" s="85">
        <f>VLOOKUP(A8245,'Equip, Herr y Transp'!$B$2:$E$217,2,0)</f>
        <v>4</v>
      </c>
      <c r="E8245" s="85" t="str">
        <f>VLOOKUP(A8245,'Equip, Herr y Transp'!$B$2:$E$217,3,0)</f>
        <v>TR</v>
      </c>
      <c r="F8245" s="86">
        <f>H8233</f>
        <v>0.3125</v>
      </c>
      <c r="G8245" s="112" t="e">
        <f>F8245*E8245</f>
        <v>#VALUE!</v>
      </c>
      <c r="H8245" s="107"/>
    </row>
    <row r="8246" spans="1:15">
      <c r="A8246" s="517" t="s">
        <v>8</v>
      </c>
      <c r="B8246" s="549" t="e">
        <f>VLOOKUP(A8246,'Equip, Herr y Transp'!$B$2:$E$738,2,0)</f>
        <v>#N/A</v>
      </c>
      <c r="C8246" s="549"/>
      <c r="D8246" s="85" t="e">
        <f>VLOOKUP(A8246,'Equip, Herr y Transp'!$B$2:$E$217,2,0)</f>
        <v>#N/A</v>
      </c>
      <c r="E8246" s="85" t="e">
        <f>VLOOKUP(A8246,'Equip, Herr y Transp'!$B$2:$E$217,3,0)</f>
        <v>#N/A</v>
      </c>
      <c r="F8246" s="86">
        <f>H8233</f>
        <v>0.3125</v>
      </c>
      <c r="G8246" s="112" t="e">
        <f>F8246*E8246</f>
        <v>#N/A</v>
      </c>
      <c r="H8246" s="107"/>
    </row>
    <row r="8247" spans="1:15">
      <c r="A8247" s="520" t="s">
        <v>4099</v>
      </c>
      <c r="B8247" s="521"/>
      <c r="C8247" s="521"/>
      <c r="D8247" s="521"/>
      <c r="E8247" s="521"/>
      <c r="F8247" s="521"/>
      <c r="G8247" s="521"/>
      <c r="H8247" s="87" t="e">
        <f>SUM(G8243:G8246)</f>
        <v>#VALUE!</v>
      </c>
    </row>
    <row r="8248" spans="1:15">
      <c r="A8248" s="550" t="s">
        <v>4219</v>
      </c>
      <c r="B8248" s="551"/>
      <c r="C8248" s="551"/>
      <c r="D8248" s="551"/>
      <c r="E8248" s="551"/>
      <c r="F8248" s="551"/>
      <c r="G8248" s="551"/>
      <c r="H8248" s="552"/>
      <c r="K8248" s="50"/>
      <c r="L8248" s="50"/>
      <c r="M8248" s="50"/>
      <c r="N8248" s="50"/>
      <c r="O8248" s="50"/>
    </row>
    <row r="8249" spans="1:15" ht="30" customHeight="1">
      <c r="A8249" s="553" t="s">
        <v>7</v>
      </c>
      <c r="B8249" s="554"/>
      <c r="C8249" s="99" t="s">
        <v>0</v>
      </c>
      <c r="D8249" s="100" t="s">
        <v>4097</v>
      </c>
      <c r="E8249" s="101" t="s">
        <v>1</v>
      </c>
      <c r="F8249" s="555" t="s">
        <v>4207</v>
      </c>
      <c r="G8249" s="555"/>
      <c r="H8249" s="196"/>
      <c r="K8249" s="50"/>
      <c r="L8249" s="50"/>
      <c r="M8249" s="50"/>
      <c r="N8249" s="50"/>
      <c r="O8249" s="50"/>
    </row>
    <row r="8250" spans="1:15">
      <c r="A8250" s="535" t="s">
        <v>4502</v>
      </c>
      <c r="B8250" s="536"/>
      <c r="C8250" s="88">
        <f>VLOOKUP(A8250,'Materiales '!$C$2:$G$396,3,0)</f>
        <v>4</v>
      </c>
      <c r="D8250" s="89" t="str">
        <f>VLOOKUP(A8250,'Materiales '!$C$2:$G$396,4,0)</f>
        <v>Und</v>
      </c>
      <c r="E8250" s="90">
        <v>2</v>
      </c>
      <c r="F8250" s="508" t="e">
        <f>E8250*D8250</f>
        <v>#VALUE!</v>
      </c>
      <c r="G8250" s="519"/>
      <c r="H8250" s="111"/>
      <c r="I8250">
        <f>E8250*G8240</f>
        <v>0</v>
      </c>
      <c r="J8250" s="57"/>
      <c r="K8250" s="50"/>
      <c r="L8250" s="50"/>
      <c r="M8250" s="50"/>
      <c r="N8250" s="50"/>
      <c r="O8250" s="50"/>
    </row>
    <row r="8251" spans="1:15">
      <c r="A8251" s="535" t="s">
        <v>4503</v>
      </c>
      <c r="B8251" s="536"/>
      <c r="C8251" s="88">
        <f>VLOOKUP(A8251,'Materiales '!$C$2:$G$396,3,0)</f>
        <v>4</v>
      </c>
      <c r="D8251" s="89" t="str">
        <f>VLOOKUP(A8251,'Materiales '!$C$2:$G$396,4,0)</f>
        <v>Und</v>
      </c>
      <c r="E8251" s="90">
        <v>2</v>
      </c>
      <c r="F8251" s="508" t="e">
        <f t="shared" ref="F8251:F8257" si="481">E8251*D8251</f>
        <v>#VALUE!</v>
      </c>
      <c r="G8251" s="519"/>
      <c r="H8251" s="111"/>
      <c r="I8251">
        <f>E8251*G8240</f>
        <v>0</v>
      </c>
      <c r="J8251" s="57"/>
      <c r="K8251" s="50"/>
      <c r="L8251" s="50"/>
      <c r="M8251" s="50"/>
      <c r="N8251" s="50"/>
      <c r="O8251" s="50"/>
    </row>
    <row r="8252" spans="1:15">
      <c r="A8252" s="517" t="s">
        <v>4545</v>
      </c>
      <c r="B8252" s="518">
        <f>VLOOKUP(A8252,'Materiales '!$C$2:$G$396,3,0)</f>
        <v>4</v>
      </c>
      <c r="C8252" s="88">
        <f>VLOOKUP(A8252,'Materiales '!$C$2:$G$396,3,0)</f>
        <v>4</v>
      </c>
      <c r="D8252" s="89" t="str">
        <f>VLOOKUP(A8252,'Materiales '!$C$2:$G$396,4,0)</f>
        <v>Und</v>
      </c>
      <c r="E8252" s="90">
        <v>2</v>
      </c>
      <c r="F8252" s="508" t="e">
        <f t="shared" si="481"/>
        <v>#VALUE!</v>
      </c>
      <c r="G8252" s="519"/>
      <c r="H8252" s="111"/>
      <c r="I8252">
        <f>E8252*G8240</f>
        <v>0</v>
      </c>
      <c r="J8252" s="58"/>
      <c r="K8252" s="50"/>
      <c r="L8252" s="50"/>
      <c r="M8252" s="50"/>
      <c r="N8252" s="50"/>
      <c r="O8252" s="50"/>
    </row>
    <row r="8253" spans="1:15">
      <c r="A8253" s="517" t="s">
        <v>4447</v>
      </c>
      <c r="B8253" s="518">
        <f>VLOOKUP(A8253,'Materiales '!$C$2:$G$396,3,0)</f>
        <v>2</v>
      </c>
      <c r="C8253" s="88">
        <f>VLOOKUP(A8253,'Materiales '!$C$2:$G$396,3,0)</f>
        <v>2</v>
      </c>
      <c r="D8253" s="89" t="str">
        <f>VLOOKUP(A8253,'Materiales '!$C$2:$G$396,4,0)</f>
        <v>Ml</v>
      </c>
      <c r="E8253" s="90">
        <v>20</v>
      </c>
      <c r="F8253" s="508" t="e">
        <f t="shared" si="481"/>
        <v>#VALUE!</v>
      </c>
      <c r="G8253" s="519"/>
      <c r="H8253" s="111"/>
      <c r="I8253">
        <f>E8253*G8240</f>
        <v>0</v>
      </c>
      <c r="J8253" s="58"/>
      <c r="K8253" s="50"/>
      <c r="L8253" s="50"/>
      <c r="M8253" s="50"/>
      <c r="N8253" s="50"/>
      <c r="O8253" s="50"/>
    </row>
    <row r="8254" spans="1:15">
      <c r="A8254" s="517" t="s">
        <v>4434</v>
      </c>
      <c r="B8254" s="518">
        <f>VLOOKUP(A8254,'Materiales '!$C$2:$G$396,3,0)</f>
        <v>2</v>
      </c>
      <c r="C8254" s="88">
        <f>VLOOKUP(A8254,'Materiales '!$C$2:$G$396,3,0)</f>
        <v>2</v>
      </c>
      <c r="D8254" s="89" t="str">
        <f>VLOOKUP(A8254,'Materiales '!$C$2:$G$396,4,0)</f>
        <v>Ml</v>
      </c>
      <c r="E8254" s="90">
        <v>15</v>
      </c>
      <c r="F8254" s="508" t="e">
        <f t="shared" si="481"/>
        <v>#VALUE!</v>
      </c>
      <c r="G8254" s="519"/>
      <c r="H8254" s="111"/>
      <c r="I8254">
        <f>E8254*G8240</f>
        <v>0</v>
      </c>
      <c r="J8254" s="58"/>
      <c r="K8254" s="50"/>
      <c r="L8254" s="50"/>
      <c r="M8254" s="50"/>
      <c r="N8254" s="50"/>
      <c r="O8254" s="50"/>
    </row>
    <row r="8255" spans="1:15">
      <c r="A8255" s="517" t="s">
        <v>4511</v>
      </c>
      <c r="B8255" s="518">
        <f>VLOOKUP(A8255,'Materiales '!$C$2:$G$396,3,0)</f>
        <v>4</v>
      </c>
      <c r="C8255" s="88">
        <f>VLOOKUP(A8255,'Materiales '!$C$2:$G$396,3,0)</f>
        <v>4</v>
      </c>
      <c r="D8255" s="89" t="str">
        <f>VLOOKUP(A8255,'Materiales '!$C$2:$G$396,4,0)</f>
        <v>Und</v>
      </c>
      <c r="E8255" s="90">
        <v>2</v>
      </c>
      <c r="F8255" s="508" t="e">
        <f t="shared" si="481"/>
        <v>#VALUE!</v>
      </c>
      <c r="G8255" s="519"/>
      <c r="H8255" s="111"/>
      <c r="I8255">
        <f>E8255*G8240</f>
        <v>0</v>
      </c>
      <c r="J8255" s="58"/>
      <c r="K8255" s="50"/>
      <c r="L8255" s="50"/>
      <c r="M8255" s="50"/>
      <c r="N8255" s="50"/>
      <c r="O8255" s="50"/>
    </row>
    <row r="8256" spans="1:15">
      <c r="A8256" s="517" t="s">
        <v>4522</v>
      </c>
      <c r="B8256" s="518">
        <f>VLOOKUP(A8256,'Materiales '!$C$2:$G$396,3,0)</f>
        <v>4</v>
      </c>
      <c r="C8256" s="88">
        <f>VLOOKUP(A8256,'Materiales '!$C$2:$G$396,3,0)</f>
        <v>4</v>
      </c>
      <c r="D8256" s="89" t="str">
        <f>VLOOKUP(A8256,'Materiales '!$C$2:$G$396,4,0)</f>
        <v>Und</v>
      </c>
      <c r="E8256" s="90">
        <v>2</v>
      </c>
      <c r="F8256" s="508" t="e">
        <f t="shared" si="481"/>
        <v>#VALUE!</v>
      </c>
      <c r="G8256" s="519"/>
      <c r="H8256" s="111"/>
      <c r="I8256">
        <f>E8256*G8240</f>
        <v>0</v>
      </c>
      <c r="J8256" s="58"/>
      <c r="K8256" s="50"/>
      <c r="L8256" s="50"/>
      <c r="M8256" s="50"/>
      <c r="N8256" s="50"/>
      <c r="O8256" s="50"/>
    </row>
    <row r="8257" spans="1:15" ht="21.75" customHeight="1">
      <c r="A8257" s="517" t="s">
        <v>4517</v>
      </c>
      <c r="B8257" s="518">
        <f>VLOOKUP(A8257,'Materiales '!$C$2:$G$396,3,0)</f>
        <v>4</v>
      </c>
      <c r="C8257" s="88">
        <f>VLOOKUP(A8257,'Materiales '!$C$2:$G$396,3,0)</f>
        <v>4</v>
      </c>
      <c r="D8257" s="89" t="str">
        <f>VLOOKUP(A8257,'Materiales '!$C$2:$G$396,4,0)</f>
        <v>Und</v>
      </c>
      <c r="E8257" s="90">
        <v>2</v>
      </c>
      <c r="F8257" s="508" t="e">
        <f t="shared" si="481"/>
        <v>#VALUE!</v>
      </c>
      <c r="G8257" s="519"/>
      <c r="H8257" s="111"/>
      <c r="I8257">
        <f>E8257*G8240</f>
        <v>0</v>
      </c>
      <c r="J8257" s="58"/>
      <c r="K8257" s="50"/>
      <c r="L8257" s="50"/>
      <c r="M8257" s="50"/>
      <c r="N8257" s="50"/>
      <c r="O8257" s="50"/>
    </row>
    <row r="8258" spans="1:15">
      <c r="A8258" s="517" t="s">
        <v>4580</v>
      </c>
      <c r="B8258" s="518">
        <f>VLOOKUP(A8258,'Materiales '!$C$2:$G$396,3,0)</f>
        <v>4</v>
      </c>
      <c r="C8258" s="88">
        <f>VLOOKUP(A8258,'Materiales '!$C$2:$G$396,3,0)</f>
        <v>4</v>
      </c>
      <c r="D8258" s="89" t="str">
        <f>VLOOKUP(A8258,'Materiales '!$C$2:$G$396,4,0)</f>
        <v>Und</v>
      </c>
      <c r="E8258" s="90">
        <v>1</v>
      </c>
      <c r="F8258" s="508" t="e">
        <f>E8258*D8258</f>
        <v>#VALUE!</v>
      </c>
      <c r="G8258" s="519"/>
      <c r="H8258" s="110"/>
      <c r="I8258">
        <f>E8258*G8240</f>
        <v>0</v>
      </c>
      <c r="J8258" s="58"/>
      <c r="K8258" s="50"/>
      <c r="L8258" s="50"/>
      <c r="M8258" s="50"/>
      <c r="N8258" s="50"/>
      <c r="O8258" s="50"/>
    </row>
    <row r="8259" spans="1:15">
      <c r="A8259" s="517" t="s">
        <v>4474</v>
      </c>
      <c r="B8259" s="518">
        <f>VLOOKUP(A8259,'Materiales '!$C$2:$G$396,3,0)</f>
        <v>4</v>
      </c>
      <c r="C8259" s="88">
        <f>VLOOKUP(A8259,'Materiales '!$C$2:$G$396,3,0)</f>
        <v>4</v>
      </c>
      <c r="D8259" s="89" t="str">
        <f>VLOOKUP(A8259,'Materiales '!$C$2:$G$396,4,0)</f>
        <v>Und</v>
      </c>
      <c r="E8259" s="90">
        <v>2</v>
      </c>
      <c r="F8259" s="508" t="e">
        <f t="shared" ref="F8259:F8264" si="482">E8259*D8259</f>
        <v>#VALUE!</v>
      </c>
      <c r="G8259" s="519"/>
      <c r="H8259" s="111"/>
      <c r="I8259">
        <f>E8259*G8240</f>
        <v>0</v>
      </c>
      <c r="J8259" s="58"/>
      <c r="K8259" s="50"/>
      <c r="L8259" s="50"/>
      <c r="M8259" s="50"/>
      <c r="N8259" s="50"/>
      <c r="O8259" s="50"/>
    </row>
    <row r="8260" spans="1:15">
      <c r="A8260" s="517" t="s">
        <v>4488</v>
      </c>
      <c r="B8260" s="518">
        <f>VLOOKUP(A8260,'Materiales '!$C$2:$G$396,3,0)</f>
        <v>4</v>
      </c>
      <c r="C8260" s="88">
        <f>VLOOKUP(A8260,'Materiales '!$C$2:$G$396,3,0)</f>
        <v>4</v>
      </c>
      <c r="D8260" s="89" t="str">
        <f>VLOOKUP(A8260,'Materiales '!$C$2:$G$396,4,0)</f>
        <v>Und</v>
      </c>
      <c r="E8260" s="90">
        <v>1</v>
      </c>
      <c r="F8260" s="508" t="e">
        <f t="shared" si="482"/>
        <v>#VALUE!</v>
      </c>
      <c r="G8260" s="519"/>
      <c r="H8260" s="111"/>
      <c r="I8260">
        <f>E8260*G8240</f>
        <v>0</v>
      </c>
      <c r="J8260" s="58"/>
      <c r="K8260" s="50"/>
      <c r="L8260" s="50"/>
      <c r="M8260" s="50"/>
      <c r="N8260" s="50"/>
      <c r="O8260" s="50"/>
    </row>
    <row r="8261" spans="1:15">
      <c r="A8261" s="517" t="s">
        <v>4534</v>
      </c>
      <c r="B8261" s="518">
        <f>VLOOKUP(A8261,'Materiales '!$C$2:$G$396,3,0)</f>
        <v>4</v>
      </c>
      <c r="C8261" s="88">
        <f>VLOOKUP(A8261,'Materiales '!$C$2:$G$396,3,0)</f>
        <v>4</v>
      </c>
      <c r="D8261" s="89" t="str">
        <f>VLOOKUP(A8261,'Materiales '!$C$2:$G$396,4,0)</f>
        <v>Und</v>
      </c>
      <c r="E8261" s="90">
        <v>1</v>
      </c>
      <c r="F8261" s="508" t="e">
        <f t="shared" si="482"/>
        <v>#VALUE!</v>
      </c>
      <c r="G8261" s="519"/>
      <c r="H8261" s="111"/>
      <c r="I8261">
        <f>E8261*G8240</f>
        <v>0</v>
      </c>
      <c r="J8261" s="58"/>
      <c r="K8261" s="50"/>
      <c r="L8261" s="50"/>
      <c r="M8261" s="50"/>
      <c r="N8261" s="50"/>
      <c r="O8261" s="50"/>
    </row>
    <row r="8262" spans="1:15">
      <c r="A8262" s="517" t="s">
        <v>4574</v>
      </c>
      <c r="B8262" s="518">
        <f>VLOOKUP(A8262,'Materiales '!$C$2:$G$396,3,0)</f>
        <v>4</v>
      </c>
      <c r="C8262" s="88">
        <f>VLOOKUP(A8262,'Materiales '!$C$2:$G$396,3,0)</f>
        <v>4</v>
      </c>
      <c r="D8262" s="89" t="str">
        <f>VLOOKUP(A8262,'Materiales '!$C$2:$G$396,4,0)</f>
        <v>Und</v>
      </c>
      <c r="E8262" s="90">
        <v>1</v>
      </c>
      <c r="F8262" s="508" t="e">
        <f t="shared" si="482"/>
        <v>#VALUE!</v>
      </c>
      <c r="G8262" s="519"/>
      <c r="H8262" s="111"/>
      <c r="I8262">
        <f>E8262*G8240</f>
        <v>0</v>
      </c>
      <c r="J8262" s="58"/>
      <c r="K8262" s="50"/>
      <c r="L8262" s="50"/>
      <c r="M8262" s="50"/>
      <c r="N8262" s="50"/>
      <c r="O8262" s="50"/>
    </row>
    <row r="8263" spans="1:15">
      <c r="A8263" s="517" t="s">
        <v>4538</v>
      </c>
      <c r="B8263" s="518">
        <f>VLOOKUP(A8263,'Materiales '!$C$2:$G$396,3,0)</f>
        <v>4</v>
      </c>
      <c r="C8263" s="88">
        <f>VLOOKUP(A8263,'Materiales '!$C$2:$G$396,3,0)</f>
        <v>4</v>
      </c>
      <c r="D8263" s="89" t="str">
        <f>VLOOKUP(A8263,'Materiales '!$C$2:$G$396,4,0)</f>
        <v>Und</v>
      </c>
      <c r="E8263" s="90">
        <v>1</v>
      </c>
      <c r="F8263" s="508" t="e">
        <f t="shared" si="482"/>
        <v>#VALUE!</v>
      </c>
      <c r="G8263" s="519"/>
      <c r="H8263" s="111"/>
      <c r="I8263">
        <f>E8263*G8240</f>
        <v>0</v>
      </c>
      <c r="J8263" s="58"/>
      <c r="K8263" s="50"/>
      <c r="L8263" s="50"/>
      <c r="M8263" s="50"/>
      <c r="N8263" s="50"/>
      <c r="O8263" s="50"/>
    </row>
    <row r="8264" spans="1:15">
      <c r="A8264" s="517" t="s">
        <v>4510</v>
      </c>
      <c r="B8264" s="518">
        <f>VLOOKUP(A8264,'Materiales '!$C$2:$G$396,3,0)</f>
        <v>4</v>
      </c>
      <c r="C8264" s="88">
        <f>VLOOKUP(A8264,'Materiales '!$C$2:$G$396,3,0)</f>
        <v>4</v>
      </c>
      <c r="D8264" s="89" t="str">
        <f>VLOOKUP(A8264,'Materiales '!$C$2:$G$396,4,0)</f>
        <v>Und</v>
      </c>
      <c r="E8264" s="90">
        <v>1</v>
      </c>
      <c r="F8264" s="508" t="e">
        <f t="shared" si="482"/>
        <v>#VALUE!</v>
      </c>
      <c r="G8264" s="519"/>
      <c r="H8264" s="111"/>
      <c r="I8264">
        <f>E8264*G8240</f>
        <v>0</v>
      </c>
      <c r="J8264" s="58"/>
      <c r="K8264" s="50"/>
      <c r="L8264" s="50"/>
      <c r="M8264" s="50"/>
      <c r="N8264" s="50"/>
      <c r="O8264" s="50"/>
    </row>
    <row r="8265" spans="1:15">
      <c r="A8265" s="517" t="s">
        <v>4485</v>
      </c>
      <c r="B8265" s="518">
        <f>VLOOKUP(A8265,'Materiales '!$C$2:$G$396,3,0)</f>
        <v>2</v>
      </c>
      <c r="C8265" s="88">
        <f>VLOOKUP(A8265,'Materiales '!$C$2:$G$396,3,0)</f>
        <v>2</v>
      </c>
      <c r="D8265" s="89" t="str">
        <f>VLOOKUP(A8265,'Materiales '!$C$2:$G$396,4,0)</f>
        <v>Ml</v>
      </c>
      <c r="E8265" s="90">
        <v>2</v>
      </c>
      <c r="F8265" s="508" t="e">
        <f>E8265*D8265</f>
        <v>#VALUE!</v>
      </c>
      <c r="G8265" s="519"/>
      <c r="H8265" s="110"/>
      <c r="I8265">
        <f>E8265*G8240</f>
        <v>0</v>
      </c>
      <c r="J8265" s="58"/>
      <c r="K8265" s="50"/>
      <c r="L8265" s="50"/>
      <c r="M8265" s="50"/>
      <c r="N8265" s="50"/>
      <c r="O8265" s="50"/>
    </row>
    <row r="8266" spans="1:15">
      <c r="A8266" s="517" t="s">
        <v>4483</v>
      </c>
      <c r="B8266" s="518">
        <f>VLOOKUP(A8266,'Materiales '!$C$2:$G$396,3,0)</f>
        <v>4</v>
      </c>
      <c r="C8266" s="88">
        <f>VLOOKUP(A8266,'Materiales '!$C$2:$G$396,3,0)</f>
        <v>4</v>
      </c>
      <c r="D8266" s="89" t="str">
        <f>VLOOKUP(A8266,'Materiales '!$C$2:$G$396,4,0)</f>
        <v>Und</v>
      </c>
      <c r="E8266" s="90">
        <v>2</v>
      </c>
      <c r="F8266" s="508" t="e">
        <f>E8266*D8266</f>
        <v>#VALUE!</v>
      </c>
      <c r="G8266" s="519"/>
      <c r="H8266" s="110"/>
      <c r="I8266">
        <f>E8266*G8240</f>
        <v>0</v>
      </c>
      <c r="J8266" s="58"/>
      <c r="K8266" s="50"/>
      <c r="L8266" s="50"/>
      <c r="M8266" s="50"/>
      <c r="N8266" s="50"/>
      <c r="O8266" s="50"/>
    </row>
    <row r="8267" spans="1:15">
      <c r="A8267" s="520" t="s">
        <v>4098</v>
      </c>
      <c r="B8267" s="521"/>
      <c r="C8267" s="521"/>
      <c r="D8267" s="521"/>
      <c r="E8267" s="521"/>
      <c r="F8267" s="521"/>
      <c r="G8267" s="522"/>
      <c r="H8267" s="106" t="e">
        <f>SUM(F8250:F8266)</f>
        <v>#VALUE!</v>
      </c>
      <c r="J8267" s="58"/>
      <c r="K8267" s="50"/>
      <c r="L8267" s="50"/>
      <c r="M8267" s="50"/>
      <c r="N8267" s="50"/>
      <c r="O8267" s="50"/>
    </row>
    <row r="8268" spans="1:15">
      <c r="A8268" s="523" t="s">
        <v>4220</v>
      </c>
      <c r="B8268" s="524"/>
      <c r="C8268" s="524"/>
      <c r="D8268" s="524"/>
      <c r="E8268" s="525"/>
      <c r="F8268" s="524"/>
      <c r="G8268" s="524"/>
      <c r="H8268" s="526"/>
      <c r="J8268" s="58"/>
      <c r="K8268" s="50"/>
      <c r="L8268" s="50"/>
      <c r="M8268" s="50"/>
      <c r="N8268" s="50"/>
      <c r="O8268" s="50"/>
    </row>
    <row r="8269" spans="1:15">
      <c r="A8269" s="527" t="s">
        <v>7</v>
      </c>
      <c r="B8269" s="528"/>
      <c r="C8269" s="98" t="s">
        <v>4221</v>
      </c>
      <c r="D8269" s="97" t="s">
        <v>4222</v>
      </c>
      <c r="E8269" s="187" t="s">
        <v>4223</v>
      </c>
      <c r="F8269" s="529" t="s">
        <v>4207</v>
      </c>
      <c r="G8269" s="529"/>
      <c r="H8269" s="109"/>
      <c r="K8269" s="50"/>
      <c r="L8269" s="50"/>
      <c r="M8269" s="50"/>
      <c r="N8269" s="50"/>
      <c r="O8269" s="50"/>
    </row>
    <row r="8270" spans="1:15">
      <c r="A8270" s="506" t="s">
        <v>3928</v>
      </c>
      <c r="B8270" s="507"/>
      <c r="C8270" s="213">
        <v>1</v>
      </c>
      <c r="D8270" s="92">
        <v>0.1</v>
      </c>
      <c r="E8270" s="93" t="str">
        <f>VLOOKUP(A8270,'Equip, Herr y Transp'!$B$2:$E$217,3,0)</f>
        <v>TR</v>
      </c>
      <c r="F8270" s="530" t="e">
        <f>E8270*D8270*C8270</f>
        <v>#VALUE!</v>
      </c>
      <c r="G8270" s="531"/>
      <c r="H8270" s="107"/>
      <c r="M8270" s="50"/>
    </row>
    <row r="8271" spans="1:15">
      <c r="A8271" s="532" t="s">
        <v>4205</v>
      </c>
      <c r="B8271" s="533"/>
      <c r="C8271" s="533"/>
      <c r="D8271" s="533"/>
      <c r="E8271" s="533"/>
      <c r="F8271" s="533"/>
      <c r="G8271" s="533"/>
      <c r="H8271" s="95" t="e">
        <f>F8270</f>
        <v>#VALUE!</v>
      </c>
    </row>
    <row r="8272" spans="1:15">
      <c r="A8272" s="523" t="s">
        <v>4224</v>
      </c>
      <c r="B8272" s="524"/>
      <c r="C8272" s="524"/>
      <c r="D8272" s="524"/>
      <c r="E8272" s="524"/>
      <c r="F8272" s="524"/>
      <c r="G8272" s="524"/>
      <c r="H8272" s="526"/>
    </row>
    <row r="8273" spans="1:10">
      <c r="A8273" s="527" t="s">
        <v>7</v>
      </c>
      <c r="B8273" s="528"/>
      <c r="C8273" s="96" t="s">
        <v>1</v>
      </c>
      <c r="D8273" s="97" t="s">
        <v>4225</v>
      </c>
      <c r="E8273" s="98" t="s">
        <v>4204</v>
      </c>
      <c r="F8273" s="527" t="s">
        <v>5</v>
      </c>
      <c r="G8273" s="534"/>
      <c r="H8273" s="109"/>
    </row>
    <row r="8274" spans="1:10">
      <c r="A8274" s="506" t="s">
        <v>4191</v>
      </c>
      <c r="B8274" s="507"/>
      <c r="C8274" s="91">
        <v>1</v>
      </c>
      <c r="D8274" s="94">
        <f>VLOOKUP(A8274,'Mano Obra'!$B$2:$T$117,19,0)</f>
        <v>152456</v>
      </c>
      <c r="E8274" s="218">
        <f>H8233</f>
        <v>0.3125</v>
      </c>
      <c r="F8274" s="508">
        <f>E8274*D8274*C8274</f>
        <v>47642.5</v>
      </c>
      <c r="G8274" s="509"/>
      <c r="H8274" s="111"/>
      <c r="I8274" s="59"/>
      <c r="J8274" s="117">
        <f>((('Mano Obra'!$M$4/30)*F8274)/D8274)*G8240</f>
        <v>0</v>
      </c>
    </row>
    <row r="8275" spans="1:10">
      <c r="A8275" s="510" t="s">
        <v>4192</v>
      </c>
      <c r="B8275" s="511">
        <f>VLOOKUP(A8275,'Mano Obra'!$B$3:$D$290,2,0)</f>
        <v>1900000</v>
      </c>
      <c r="C8275" s="91">
        <v>2</v>
      </c>
      <c r="D8275" s="94">
        <f>VLOOKUP(A8275,'Mano Obra'!$B$2:$T$117,19,0)</f>
        <v>110488</v>
      </c>
      <c r="E8275" s="218">
        <f>H8233</f>
        <v>0.3125</v>
      </c>
      <c r="F8275" s="508">
        <f t="shared" ref="F8275:F8276" si="483">E8275*D8275*C8275</f>
        <v>69055</v>
      </c>
      <c r="G8275" s="509"/>
      <c r="H8275" s="111"/>
      <c r="J8275" s="117">
        <f>((('Mano Obra'!$M$5/30)*F8275)/D8275)*G8240</f>
        <v>0</v>
      </c>
    </row>
    <row r="8276" spans="1:10">
      <c r="A8276" s="510" t="s">
        <v>4181</v>
      </c>
      <c r="B8276" s="511">
        <f>VLOOKUP(A8276,'Mano Obra'!$B$3:$D$290,2,0)</f>
        <v>1000000</v>
      </c>
      <c r="C8276" s="91">
        <v>2</v>
      </c>
      <c r="D8276" s="94">
        <f>VLOOKUP(A8276,'Mano Obra'!$B$2:$T$117,19,0)</f>
        <v>67424</v>
      </c>
      <c r="E8276" s="218">
        <f>H8233</f>
        <v>0.3125</v>
      </c>
      <c r="F8276" s="508">
        <f t="shared" si="483"/>
        <v>42140</v>
      </c>
      <c r="G8276" s="509"/>
      <c r="H8276" s="110"/>
      <c r="J8276" s="117">
        <f>((('Mano Obra'!$M$6/30)*F8276)/D8276)*G8240</f>
        <v>0</v>
      </c>
    </row>
    <row r="8277" spans="1:10">
      <c r="A8277" s="512" t="s">
        <v>4100</v>
      </c>
      <c r="B8277" s="512"/>
      <c r="C8277" s="512"/>
      <c r="D8277" s="512"/>
      <c r="E8277" s="512"/>
      <c r="F8277" s="512"/>
      <c r="G8277" s="512"/>
      <c r="H8277" s="95">
        <f>SUM(F8274:F8276)</f>
        <v>158837.5</v>
      </c>
      <c r="J8277" s="117"/>
    </row>
    <row r="8278" spans="1:10">
      <c r="A8278" s="208" t="s">
        <v>4226</v>
      </c>
      <c r="B8278" s="186"/>
      <c r="C8278" s="186"/>
      <c r="D8278" s="183"/>
      <c r="E8278" s="184"/>
      <c r="F8278" s="185"/>
      <c r="G8278" s="184"/>
      <c r="H8278" s="193"/>
    </row>
    <row r="8279" spans="1:10">
      <c r="A8279" s="513" t="s">
        <v>4213</v>
      </c>
      <c r="B8279" s="514"/>
      <c r="C8279" s="514"/>
      <c r="D8279" s="514"/>
      <c r="E8279" s="181"/>
      <c r="F8279" s="182" t="s">
        <v>4227</v>
      </c>
      <c r="G8279" s="181" t="s">
        <v>4228</v>
      </c>
      <c r="H8279" s="194"/>
    </row>
    <row r="8280" spans="1:10">
      <c r="A8280" s="204" t="s">
        <v>4096</v>
      </c>
      <c r="B8280" s="62"/>
      <c r="C8280" s="62"/>
      <c r="D8280" s="63"/>
      <c r="E8280" s="68"/>
      <c r="F8280" s="69">
        <v>0</v>
      </c>
      <c r="G8280" s="70" t="e">
        <f>F8280*H8241</f>
        <v>#VALUE!</v>
      </c>
      <c r="H8280" s="193"/>
    </row>
    <row r="8281" spans="1:10">
      <c r="A8281" s="205" t="s">
        <v>4229</v>
      </c>
      <c r="B8281" s="71"/>
      <c r="C8281" s="71"/>
      <c r="D8281" s="72"/>
      <c r="E8281" s="68"/>
      <c r="F8281" s="69">
        <v>0</v>
      </c>
      <c r="G8281" s="70" t="e">
        <f>F8281*H8241</f>
        <v>#VALUE!</v>
      </c>
      <c r="H8281" s="193"/>
    </row>
    <row r="8282" spans="1:10">
      <c r="A8282" s="205" t="s">
        <v>4</v>
      </c>
      <c r="B8282" s="71"/>
      <c r="C8282" s="71"/>
      <c r="D8282" s="72"/>
      <c r="E8282" s="68"/>
      <c r="F8282" s="69">
        <v>0</v>
      </c>
      <c r="G8282" s="70" t="e">
        <f>F8282*H8241</f>
        <v>#VALUE!</v>
      </c>
      <c r="H8282" s="193"/>
    </row>
    <row r="8283" spans="1:10">
      <c r="A8283" s="206"/>
      <c r="B8283" s="73"/>
      <c r="C8283" s="65"/>
      <c r="D8283" s="74"/>
      <c r="E8283" s="75"/>
      <c r="F8283" s="76"/>
      <c r="G8283" s="77"/>
      <c r="H8283" s="195"/>
    </row>
    <row r="8284" spans="1:10">
      <c r="A8284" s="207"/>
      <c r="B8284" s="73"/>
      <c r="C8284" s="73"/>
      <c r="D8284" s="74"/>
      <c r="E8284" s="78"/>
      <c r="F8284" s="515" t="s">
        <v>4230</v>
      </c>
      <c r="G8284" s="516"/>
      <c r="H8284" s="214" t="e">
        <f>H8241+G8280+G8281+G8282</f>
        <v>#VALUE!</v>
      </c>
    </row>
    <row r="8285" spans="1:10">
      <c r="A8285" s="73"/>
      <c r="B8285" s="73"/>
      <c r="C8285" s="73"/>
      <c r="D8285" s="74"/>
      <c r="E8285" s="360"/>
      <c r="F8285" s="361"/>
      <c r="G8285" s="361"/>
      <c r="H8285" s="362"/>
    </row>
    <row r="8286" spans="1:10">
      <c r="A8286" s="80"/>
      <c r="B8286" s="80"/>
      <c r="C8286" s="80"/>
      <c r="D8286" s="80"/>
      <c r="E8286" s="80"/>
      <c r="F8286" s="80"/>
      <c r="G8286" s="80"/>
      <c r="H8286" s="353"/>
    </row>
    <row r="8287" spans="1:10">
      <c r="A8287" s="537" t="s">
        <v>4214</v>
      </c>
      <c r="B8287" s="538"/>
      <c r="C8287" s="538"/>
      <c r="D8287" s="538"/>
      <c r="E8287" s="538"/>
      <c r="F8287" s="538"/>
      <c r="G8287" s="538"/>
      <c r="H8287" s="539"/>
    </row>
    <row r="8288" spans="1:10">
      <c r="A8288" s="81"/>
      <c r="B8288" s="82"/>
      <c r="C8288" s="82"/>
      <c r="D8288" s="82"/>
      <c r="E8288" s="82"/>
      <c r="F8288" s="83"/>
      <c r="G8288" s="84"/>
      <c r="H8288" s="352">
        <f>ROUND((80/60)/8,4)</f>
        <v>0.16669999999999999</v>
      </c>
      <c r="I8288" s="105"/>
    </row>
    <row r="8289" spans="1:15">
      <c r="A8289" s="540" t="s">
        <v>4209</v>
      </c>
      <c r="B8289" s="542" t="str">
        <f>COSTOS!$C$14</f>
        <v>MODERNIZACION A TECNOLOGIA LED</v>
      </c>
      <c r="C8289" s="542"/>
      <c r="D8289" s="542"/>
      <c r="E8289" s="542"/>
      <c r="F8289" s="542"/>
      <c r="G8289" s="542"/>
      <c r="H8289" s="543" t="s">
        <v>4210</v>
      </c>
    </row>
    <row r="8290" spans="1:15">
      <c r="A8290" s="541"/>
      <c r="B8290" s="542"/>
      <c r="C8290" s="542"/>
      <c r="D8290" s="542"/>
      <c r="E8290" s="542"/>
      <c r="F8290" s="542"/>
      <c r="G8290" s="542"/>
      <c r="H8290" s="543"/>
    </row>
    <row r="8291" spans="1:15">
      <c r="A8291" s="541"/>
      <c r="B8291" s="542"/>
      <c r="C8291" s="542"/>
      <c r="D8291" s="542"/>
      <c r="E8291" s="542"/>
      <c r="F8291" s="542"/>
      <c r="G8291" s="542"/>
      <c r="H8291" s="543"/>
    </row>
    <row r="8292" spans="1:15" ht="15" customHeight="1">
      <c r="A8292" s="541"/>
      <c r="B8292" s="542"/>
      <c r="C8292" s="542"/>
      <c r="D8292" s="542"/>
      <c r="E8292" s="542"/>
      <c r="F8292" s="542"/>
      <c r="G8292" s="542"/>
      <c r="H8292" s="197">
        <f ca="1">TODAY()</f>
        <v>44889</v>
      </c>
      <c r="K8292" t="s">
        <v>4380</v>
      </c>
      <c r="L8292" t="s">
        <v>4381</v>
      </c>
      <c r="M8292" t="s">
        <v>4382</v>
      </c>
      <c r="N8292" t="s">
        <v>4383</v>
      </c>
    </row>
    <row r="8293" spans="1:15" ht="60.75" customHeight="1">
      <c r="A8293" s="209" t="s">
        <v>4211</v>
      </c>
      <c r="B8293" s="544" t="str">
        <f>COSTOS!$D$16</f>
        <v>Luminarias</v>
      </c>
      <c r="C8293" s="544"/>
      <c r="D8293" s="544"/>
      <c r="E8293" s="544"/>
      <c r="F8293" s="544"/>
      <c r="G8293" s="60" t="s">
        <v>4212</v>
      </c>
      <c r="H8293" s="359">
        <v>4.5999999999999996</v>
      </c>
      <c r="K8293" s="55" t="e">
        <f>H8322</f>
        <v>#VALUE!</v>
      </c>
      <c r="L8293" s="55">
        <f>H8332</f>
        <v>84730.275999999983</v>
      </c>
      <c r="M8293" s="55" t="e">
        <f>H8302</f>
        <v>#VALUE!</v>
      </c>
      <c r="N8293" s="55" t="e">
        <f>H8326</f>
        <v>#VALUE!</v>
      </c>
    </row>
    <row r="8294" spans="1:15" ht="43.2" customHeight="1">
      <c r="A8294" s="210" t="s">
        <v>4213</v>
      </c>
      <c r="B8294" s="545" t="str">
        <f>VLOOKUP(H8293,COSTOS!C:M,2,0)</f>
        <v>Retenida 90°</v>
      </c>
      <c r="C8294" s="546"/>
      <c r="D8294" s="546"/>
      <c r="E8294" s="547"/>
      <c r="F8294" s="61" t="s">
        <v>0</v>
      </c>
      <c r="G8294" s="328" t="str">
        <f>VLOOKUP(H8293,COSTOS!C:M,8,0)</f>
        <v>Und</v>
      </c>
      <c r="H8294" s="248"/>
      <c r="I8294" s="278"/>
      <c r="J8294" s="280"/>
      <c r="K8294" s="280"/>
      <c r="L8294" s="280"/>
    </row>
    <row r="8295" spans="1:15">
      <c r="A8295" s="211"/>
      <c r="B8295" s="102"/>
      <c r="C8295" s="102"/>
      <c r="D8295" s="102"/>
      <c r="E8295" s="103"/>
      <c r="F8295" s="104" t="s">
        <v>1</v>
      </c>
      <c r="G8295" s="328">
        <f>VLOOKUP(H8293,COSTOS!C:M,9,0)</f>
        <v>0</v>
      </c>
      <c r="H8295" s="329"/>
      <c r="I8295" s="279"/>
    </row>
    <row r="8296" spans="1:15">
      <c r="A8296" s="212" t="s">
        <v>4215</v>
      </c>
      <c r="B8296" s="65"/>
      <c r="C8296" s="65"/>
      <c r="D8296" s="66"/>
      <c r="E8296" s="190"/>
      <c r="F8296" s="191"/>
      <c r="G8296" s="192" t="s">
        <v>4216</v>
      </c>
      <c r="H8296" s="198" t="e">
        <f>H8302+H8322+H8326+H8332</f>
        <v>#VALUE!</v>
      </c>
    </row>
    <row r="8297" spans="1:15" ht="41.4">
      <c r="A8297" s="548" t="s">
        <v>4213</v>
      </c>
      <c r="B8297" s="548"/>
      <c r="C8297" s="548"/>
      <c r="D8297" s="67" t="s">
        <v>0</v>
      </c>
      <c r="E8297" s="188" t="s">
        <v>4217</v>
      </c>
      <c r="F8297" s="189" t="s">
        <v>4204</v>
      </c>
      <c r="G8297" s="64" t="s">
        <v>2</v>
      </c>
      <c r="H8297" s="199" t="s">
        <v>4218</v>
      </c>
      <c r="K8297" s="281"/>
    </row>
    <row r="8298" spans="1:15">
      <c r="A8298" s="517" t="s">
        <v>3946</v>
      </c>
      <c r="B8298" s="549">
        <f>VLOOKUP(A8298,'Equip, Herr y Transp'!$B$2:$E$738,2,0)</f>
        <v>2</v>
      </c>
      <c r="C8298" s="549"/>
      <c r="D8298" s="85">
        <f>VLOOKUP(A8298,'Equip, Herr y Transp'!$B$2:$E$217,2,0)</f>
        <v>2</v>
      </c>
      <c r="E8298" s="85" t="str">
        <f>VLOOKUP(A8298,'Equip, Herr y Transp'!$B$2:$E$217,3,0)</f>
        <v>EQU</v>
      </c>
      <c r="F8298" s="86">
        <f>H8288</f>
        <v>0.16669999999999999</v>
      </c>
      <c r="G8298" s="112" t="e">
        <f>F8298*E8298</f>
        <v>#VALUE!</v>
      </c>
      <c r="H8298" s="108"/>
    </row>
    <row r="8299" spans="1:15">
      <c r="A8299" s="517" t="s">
        <v>3904</v>
      </c>
      <c r="B8299" s="549">
        <f>VLOOKUP(A8299,'Equip, Herr y Transp'!$B$2:$E$738,2,0)</f>
        <v>2</v>
      </c>
      <c r="C8299" s="549"/>
      <c r="D8299" s="85">
        <f>VLOOKUP(A8299,'Equip, Herr y Transp'!$B$2:$E$217,2,0)</f>
        <v>2</v>
      </c>
      <c r="E8299" s="85" t="str">
        <f>VLOOKUP(A8299,'Equip, Herr y Transp'!$B$2:$E$217,3,0)</f>
        <v>EQU</v>
      </c>
      <c r="F8299" s="86">
        <f>H8288</f>
        <v>0.16669999999999999</v>
      </c>
      <c r="G8299" s="112" t="e">
        <f>F8299*E8299</f>
        <v>#VALUE!</v>
      </c>
      <c r="H8299" s="107"/>
    </row>
    <row r="8300" spans="1:15">
      <c r="A8300" s="517" t="s">
        <v>8</v>
      </c>
      <c r="B8300" s="549" t="e">
        <f>VLOOKUP(A8300,'Equip, Herr y Transp'!$B$2:$E$738,2,0)</f>
        <v>#N/A</v>
      </c>
      <c r="C8300" s="549"/>
      <c r="D8300" s="85" t="e">
        <f>VLOOKUP(A8300,'Equip, Herr y Transp'!$B$2:$E$217,2,0)</f>
        <v>#N/A</v>
      </c>
      <c r="E8300" s="85" t="e">
        <f>VLOOKUP(A8300,'Equip, Herr y Transp'!$B$2:$E$217,3,0)</f>
        <v>#N/A</v>
      </c>
      <c r="F8300" s="86">
        <f>H8288</f>
        <v>0.16669999999999999</v>
      </c>
      <c r="G8300" s="112" t="e">
        <f>F8300*E8300</f>
        <v>#N/A</v>
      </c>
      <c r="H8300" s="107"/>
    </row>
    <row r="8301" spans="1:15">
      <c r="A8301" s="517" t="s">
        <v>8</v>
      </c>
      <c r="B8301" s="549" t="e">
        <f>VLOOKUP(A8301,'Equip, Herr y Transp'!$B$2:$E$738,2,0)</f>
        <v>#N/A</v>
      </c>
      <c r="C8301" s="549"/>
      <c r="D8301" s="85" t="e">
        <f>VLOOKUP(A8301,'Equip, Herr y Transp'!$B$2:$E$217,2,0)</f>
        <v>#N/A</v>
      </c>
      <c r="E8301" s="85" t="e">
        <f>VLOOKUP(A8301,'Equip, Herr y Transp'!$B$2:$E$217,3,0)</f>
        <v>#N/A</v>
      </c>
      <c r="F8301" s="86">
        <f>H8288</f>
        <v>0.16669999999999999</v>
      </c>
      <c r="G8301" s="112" t="e">
        <f>F8301*E8301</f>
        <v>#N/A</v>
      </c>
      <c r="H8301" s="107"/>
    </row>
    <row r="8302" spans="1:15">
      <c r="A8302" s="520" t="s">
        <v>4099</v>
      </c>
      <c r="B8302" s="521"/>
      <c r="C8302" s="521"/>
      <c r="D8302" s="521"/>
      <c r="E8302" s="521"/>
      <c r="F8302" s="521"/>
      <c r="G8302" s="521"/>
      <c r="H8302" s="87" t="e">
        <f>SUM(G8298:G8301)</f>
        <v>#VALUE!</v>
      </c>
    </row>
    <row r="8303" spans="1:15">
      <c r="A8303" s="550" t="s">
        <v>4219</v>
      </c>
      <c r="B8303" s="551"/>
      <c r="C8303" s="551"/>
      <c r="D8303" s="551"/>
      <c r="E8303" s="551"/>
      <c r="F8303" s="551"/>
      <c r="G8303" s="551"/>
      <c r="H8303" s="552"/>
      <c r="K8303" s="50"/>
      <c r="L8303" s="50"/>
      <c r="M8303" s="50"/>
      <c r="N8303" s="50"/>
      <c r="O8303" s="50"/>
    </row>
    <row r="8304" spans="1:15" ht="30" customHeight="1">
      <c r="A8304" s="553" t="s">
        <v>7</v>
      </c>
      <c r="B8304" s="554"/>
      <c r="C8304" s="99" t="s">
        <v>0</v>
      </c>
      <c r="D8304" s="100" t="s">
        <v>4097</v>
      </c>
      <c r="E8304" s="101" t="s">
        <v>1</v>
      </c>
      <c r="F8304" s="555" t="s">
        <v>4207</v>
      </c>
      <c r="G8304" s="555"/>
      <c r="H8304" s="196"/>
      <c r="K8304" s="50"/>
      <c r="L8304" s="50"/>
      <c r="M8304" s="50"/>
      <c r="N8304" s="50"/>
      <c r="O8304" s="50"/>
    </row>
    <row r="8305" spans="1:15">
      <c r="A8305" s="535" t="s">
        <v>4475</v>
      </c>
      <c r="B8305" s="536"/>
      <c r="C8305" s="88">
        <f>VLOOKUP(A8305,'Materiales '!$C$2:$G$396,3,0)</f>
        <v>4</v>
      </c>
      <c r="D8305" s="89" t="str">
        <f>VLOOKUP(A8305,'Materiales '!$C$2:$G$396,4,0)</f>
        <v>Und</v>
      </c>
      <c r="E8305" s="90">
        <v>1</v>
      </c>
      <c r="F8305" s="508" t="e">
        <f>E8305*D8305</f>
        <v>#VALUE!</v>
      </c>
      <c r="G8305" s="519"/>
      <c r="H8305" s="111"/>
      <c r="I8305">
        <f>E8305*G8295</f>
        <v>0</v>
      </c>
      <c r="J8305" s="57"/>
      <c r="K8305" s="50"/>
      <c r="L8305" s="50"/>
      <c r="M8305" s="50"/>
      <c r="N8305" s="50"/>
      <c r="O8305" s="50"/>
    </row>
    <row r="8306" spans="1:15">
      <c r="A8306" s="535" t="s">
        <v>4426</v>
      </c>
      <c r="B8306" s="536"/>
      <c r="C8306" s="88">
        <f>VLOOKUP(A8306,'Materiales '!$C$2:$G$396,3,0)</f>
        <v>4</v>
      </c>
      <c r="D8306" s="89" t="str">
        <f>VLOOKUP(A8306,'Materiales '!$C$2:$G$396,4,0)</f>
        <v>Und</v>
      </c>
      <c r="E8306" s="90">
        <v>1</v>
      </c>
      <c r="F8306" s="508" t="e">
        <f t="shared" ref="F8306:F8312" si="484">E8306*D8306</f>
        <v>#VALUE!</v>
      </c>
      <c r="G8306" s="519"/>
      <c r="H8306" s="111"/>
      <c r="I8306">
        <f>E8306*G8295</f>
        <v>0</v>
      </c>
      <c r="J8306" s="57"/>
      <c r="K8306" s="50"/>
      <c r="L8306" s="50"/>
      <c r="M8306" s="50"/>
      <c r="N8306" s="50"/>
      <c r="O8306" s="50"/>
    </row>
    <row r="8307" spans="1:15">
      <c r="A8307" s="517" t="s">
        <v>4427</v>
      </c>
      <c r="B8307" s="518">
        <f>VLOOKUP(A8307,'Materiales '!$C$2:$G$396,3,0)</f>
        <v>2</v>
      </c>
      <c r="C8307" s="88">
        <f>VLOOKUP(A8307,'Materiales '!$C$2:$G$396,3,0)</f>
        <v>2</v>
      </c>
      <c r="D8307" s="89" t="str">
        <f>VLOOKUP(A8307,'Materiales '!$C$2:$G$396,4,0)</f>
        <v>Ml</v>
      </c>
      <c r="E8307" s="90">
        <v>12</v>
      </c>
      <c r="F8307" s="508" t="e">
        <f t="shared" si="484"/>
        <v>#VALUE!</v>
      </c>
      <c r="G8307" s="519"/>
      <c r="H8307" s="111"/>
      <c r="I8307">
        <f>E8307*G8295</f>
        <v>0</v>
      </c>
      <c r="J8307" s="58"/>
      <c r="K8307" s="50"/>
      <c r="L8307" s="50"/>
      <c r="M8307" s="50"/>
      <c r="N8307" s="50"/>
      <c r="O8307" s="50"/>
    </row>
    <row r="8308" spans="1:15">
      <c r="A8308" s="517" t="s">
        <v>4409</v>
      </c>
      <c r="B8308" s="518">
        <f>VLOOKUP(A8308,'Materiales '!$C$2:$G$396,3,0)</f>
        <v>4</v>
      </c>
      <c r="C8308" s="88">
        <f>VLOOKUP(A8308,'Materiales '!$C$2:$G$396,3,0)</f>
        <v>4</v>
      </c>
      <c r="D8308" s="89" t="str">
        <f>VLOOKUP(A8308,'Materiales '!$C$2:$G$396,4,0)</f>
        <v>Und</v>
      </c>
      <c r="E8308" s="90">
        <v>1</v>
      </c>
      <c r="F8308" s="508" t="e">
        <f t="shared" si="484"/>
        <v>#VALUE!</v>
      </c>
      <c r="G8308" s="519"/>
      <c r="H8308" s="111"/>
      <c r="I8308">
        <f>E8308*G8295</f>
        <v>0</v>
      </c>
      <c r="J8308" s="58"/>
      <c r="K8308" s="50"/>
      <c r="L8308" s="50"/>
      <c r="M8308" s="50"/>
      <c r="N8308" s="50"/>
      <c r="O8308" s="50"/>
    </row>
    <row r="8309" spans="1:15">
      <c r="A8309" s="517" t="s">
        <v>4525</v>
      </c>
      <c r="B8309" s="518">
        <f>VLOOKUP(A8309,'Materiales '!$C$2:$G$396,3,0)</f>
        <v>4</v>
      </c>
      <c r="C8309" s="88">
        <f>VLOOKUP(A8309,'Materiales '!$C$2:$G$396,3,0)</f>
        <v>4</v>
      </c>
      <c r="D8309" s="89" t="str">
        <f>VLOOKUP(A8309,'Materiales '!$C$2:$G$396,4,0)</f>
        <v>Und</v>
      </c>
      <c r="E8309" s="90">
        <v>1</v>
      </c>
      <c r="F8309" s="508" t="e">
        <f t="shared" si="484"/>
        <v>#VALUE!</v>
      </c>
      <c r="G8309" s="519"/>
      <c r="H8309" s="111"/>
      <c r="I8309">
        <f>E8309*G8295</f>
        <v>0</v>
      </c>
      <c r="J8309" s="58"/>
      <c r="K8309" s="50"/>
      <c r="L8309" s="50"/>
      <c r="M8309" s="50"/>
      <c r="N8309" s="50"/>
      <c r="O8309" s="50"/>
    </row>
    <row r="8310" spans="1:15">
      <c r="A8310" s="517" t="s">
        <v>4524</v>
      </c>
      <c r="B8310" s="518">
        <f>VLOOKUP(A8310,'Materiales '!$C$2:$G$396,3,0)</f>
        <v>4</v>
      </c>
      <c r="C8310" s="88">
        <f>VLOOKUP(A8310,'Materiales '!$C$2:$G$396,3,0)</f>
        <v>4</v>
      </c>
      <c r="D8310" s="89" t="str">
        <f>VLOOKUP(A8310,'Materiales '!$C$2:$G$396,4,0)</f>
        <v>Und</v>
      </c>
      <c r="E8310" s="90">
        <v>2</v>
      </c>
      <c r="F8310" s="508" t="e">
        <f t="shared" si="484"/>
        <v>#VALUE!</v>
      </c>
      <c r="G8310" s="519"/>
      <c r="H8310" s="111"/>
      <c r="I8310">
        <f>E8310*G8295</f>
        <v>0</v>
      </c>
      <c r="J8310" s="58"/>
      <c r="K8310" s="50"/>
      <c r="L8310" s="50"/>
      <c r="M8310" s="50"/>
      <c r="N8310" s="50"/>
      <c r="O8310" s="50"/>
    </row>
    <row r="8311" spans="1:15">
      <c r="A8311" s="517" t="s">
        <v>4594</v>
      </c>
      <c r="B8311" s="518">
        <f>VLOOKUP(A8311,'Materiales '!$C$2:$G$396,3,0)</f>
        <v>4</v>
      </c>
      <c r="C8311" s="88">
        <f>VLOOKUP(A8311,'Materiales '!$C$2:$G$396,3,0)</f>
        <v>4</v>
      </c>
      <c r="D8311" s="89" t="str">
        <f>VLOOKUP(A8311,'Materiales '!$C$2:$G$396,4,0)</f>
        <v>Und</v>
      </c>
      <c r="E8311" s="90">
        <v>1</v>
      </c>
      <c r="F8311" s="508" t="e">
        <f t="shared" si="484"/>
        <v>#VALUE!</v>
      </c>
      <c r="G8311" s="519"/>
      <c r="H8311" s="111"/>
      <c r="I8311">
        <f>E8311*G8295</f>
        <v>0</v>
      </c>
      <c r="J8311" s="58"/>
      <c r="K8311" s="50"/>
      <c r="L8311" s="50"/>
      <c r="M8311" s="50"/>
      <c r="N8311" s="50"/>
      <c r="O8311" s="50"/>
    </row>
    <row r="8312" spans="1:15" ht="21.75" customHeight="1">
      <c r="A8312" s="517" t="s">
        <v>4526</v>
      </c>
      <c r="B8312" s="518">
        <f>VLOOKUP(A8312,'Materiales '!$C$2:$G$396,3,0)</f>
        <v>4</v>
      </c>
      <c r="C8312" s="88">
        <f>VLOOKUP(A8312,'Materiales '!$C$2:$G$396,3,0)</f>
        <v>4</v>
      </c>
      <c r="D8312" s="89" t="str">
        <f>VLOOKUP(A8312,'Materiales '!$C$2:$G$396,4,0)</f>
        <v>Und</v>
      </c>
      <c r="E8312" s="90">
        <v>2</v>
      </c>
      <c r="F8312" s="508" t="e">
        <f t="shared" si="484"/>
        <v>#VALUE!</v>
      </c>
      <c r="G8312" s="519"/>
      <c r="H8312" s="111"/>
      <c r="I8312">
        <f>E8312*G8295</f>
        <v>0</v>
      </c>
      <c r="J8312" s="58"/>
      <c r="K8312" s="50"/>
      <c r="L8312" s="50"/>
      <c r="M8312" s="50"/>
      <c r="N8312" s="50"/>
      <c r="O8312" s="50"/>
    </row>
    <row r="8313" spans="1:15">
      <c r="A8313" s="517" t="s">
        <v>8</v>
      </c>
      <c r="B8313" s="518">
        <f>VLOOKUP(A8313,'Materiales '!$C$2:$G$396,3,0)</f>
        <v>0</v>
      </c>
      <c r="C8313" s="88">
        <f>VLOOKUP(A8313,'Materiales '!$C$2:$G$396,3,0)</f>
        <v>0</v>
      </c>
      <c r="D8313" s="89" t="str">
        <f>VLOOKUP(A8313,'Materiales '!$C$2:$G$396,4,0)</f>
        <v>-</v>
      </c>
      <c r="E8313" s="90">
        <v>1</v>
      </c>
      <c r="F8313" s="508" t="e">
        <f>E8313*D8313</f>
        <v>#VALUE!</v>
      </c>
      <c r="G8313" s="519"/>
      <c r="H8313" s="110"/>
      <c r="I8313">
        <f>E8313*G8295</f>
        <v>0</v>
      </c>
      <c r="J8313" s="58"/>
      <c r="K8313" s="50"/>
      <c r="L8313" s="50"/>
      <c r="M8313" s="50"/>
      <c r="N8313" s="50"/>
      <c r="O8313" s="50"/>
    </row>
    <row r="8314" spans="1:15">
      <c r="A8314" s="517" t="s">
        <v>8</v>
      </c>
      <c r="B8314" s="518">
        <f>VLOOKUP(A8314,'Materiales '!$C$2:$G$396,3,0)</f>
        <v>0</v>
      </c>
      <c r="C8314" s="88">
        <f>VLOOKUP(A8314,'Materiales '!$C$2:$G$396,3,0)</f>
        <v>0</v>
      </c>
      <c r="D8314" s="89" t="str">
        <f>VLOOKUP(A8314,'Materiales '!$C$2:$G$396,4,0)</f>
        <v>-</v>
      </c>
      <c r="E8314" s="90">
        <v>2</v>
      </c>
      <c r="F8314" s="508" t="e">
        <f t="shared" ref="F8314:F8319" si="485">E8314*D8314</f>
        <v>#VALUE!</v>
      </c>
      <c r="G8314" s="519"/>
      <c r="H8314" s="111"/>
      <c r="I8314">
        <f>E8314*G8295</f>
        <v>0</v>
      </c>
      <c r="J8314" s="58"/>
      <c r="K8314" s="50"/>
      <c r="L8314" s="50"/>
      <c r="M8314" s="50"/>
      <c r="N8314" s="50"/>
      <c r="O8314" s="50"/>
    </row>
    <row r="8315" spans="1:15">
      <c r="A8315" s="517" t="s">
        <v>8</v>
      </c>
      <c r="B8315" s="518">
        <f>VLOOKUP(A8315,'Materiales '!$C$2:$G$396,3,0)</f>
        <v>0</v>
      </c>
      <c r="C8315" s="88">
        <f>VLOOKUP(A8315,'Materiales '!$C$2:$G$396,3,0)</f>
        <v>0</v>
      </c>
      <c r="D8315" s="89" t="str">
        <f>VLOOKUP(A8315,'Materiales '!$C$2:$G$396,4,0)</f>
        <v>-</v>
      </c>
      <c r="E8315" s="90">
        <v>1</v>
      </c>
      <c r="F8315" s="508" t="e">
        <f t="shared" si="485"/>
        <v>#VALUE!</v>
      </c>
      <c r="G8315" s="519"/>
      <c r="H8315" s="111"/>
      <c r="I8315">
        <f>E8315*G8295</f>
        <v>0</v>
      </c>
      <c r="J8315" s="58"/>
      <c r="K8315" s="50"/>
      <c r="L8315" s="50"/>
      <c r="M8315" s="50"/>
      <c r="N8315" s="50"/>
      <c r="O8315" s="50"/>
    </row>
    <row r="8316" spans="1:15">
      <c r="A8316" s="517" t="s">
        <v>8</v>
      </c>
      <c r="B8316" s="518">
        <f>VLOOKUP(A8316,'Materiales '!$C$2:$G$396,3,0)</f>
        <v>0</v>
      </c>
      <c r="C8316" s="88">
        <f>VLOOKUP(A8316,'Materiales '!$C$2:$G$396,3,0)</f>
        <v>0</v>
      </c>
      <c r="D8316" s="89" t="str">
        <f>VLOOKUP(A8316,'Materiales '!$C$2:$G$396,4,0)</f>
        <v>-</v>
      </c>
      <c r="E8316" s="90">
        <v>1</v>
      </c>
      <c r="F8316" s="508" t="e">
        <f t="shared" si="485"/>
        <v>#VALUE!</v>
      </c>
      <c r="G8316" s="519"/>
      <c r="H8316" s="111"/>
      <c r="I8316">
        <f>E8316*G8295</f>
        <v>0</v>
      </c>
      <c r="J8316" s="58"/>
      <c r="K8316" s="50"/>
      <c r="L8316" s="50"/>
      <c r="M8316" s="50"/>
      <c r="N8316" s="50"/>
      <c r="O8316" s="50"/>
    </row>
    <row r="8317" spans="1:15">
      <c r="A8317" s="517" t="s">
        <v>8</v>
      </c>
      <c r="B8317" s="518">
        <f>VLOOKUP(A8317,'Materiales '!$C$2:$G$396,3,0)</f>
        <v>0</v>
      </c>
      <c r="C8317" s="88">
        <f>VLOOKUP(A8317,'Materiales '!$C$2:$G$396,3,0)</f>
        <v>0</v>
      </c>
      <c r="D8317" s="89" t="str">
        <f>VLOOKUP(A8317,'Materiales '!$C$2:$G$396,4,0)</f>
        <v>-</v>
      </c>
      <c r="E8317" s="90">
        <v>1</v>
      </c>
      <c r="F8317" s="508" t="e">
        <f t="shared" si="485"/>
        <v>#VALUE!</v>
      </c>
      <c r="G8317" s="519"/>
      <c r="H8317" s="111"/>
      <c r="I8317">
        <f>E8317*G8295</f>
        <v>0</v>
      </c>
      <c r="J8317" s="58"/>
      <c r="K8317" s="50"/>
      <c r="L8317" s="50"/>
      <c r="M8317" s="50"/>
      <c r="N8317" s="50"/>
      <c r="O8317" s="50"/>
    </row>
    <row r="8318" spans="1:15">
      <c r="A8318" s="517" t="s">
        <v>8</v>
      </c>
      <c r="B8318" s="518">
        <f>VLOOKUP(A8318,'Materiales '!$C$2:$G$396,3,0)</f>
        <v>0</v>
      </c>
      <c r="C8318" s="88">
        <f>VLOOKUP(A8318,'Materiales '!$C$2:$G$396,3,0)</f>
        <v>0</v>
      </c>
      <c r="D8318" s="89" t="str">
        <f>VLOOKUP(A8318,'Materiales '!$C$2:$G$396,4,0)</f>
        <v>-</v>
      </c>
      <c r="E8318" s="90">
        <v>1</v>
      </c>
      <c r="F8318" s="508" t="e">
        <f t="shared" si="485"/>
        <v>#VALUE!</v>
      </c>
      <c r="G8318" s="519"/>
      <c r="H8318" s="111"/>
      <c r="I8318">
        <f>E8318*G8295</f>
        <v>0</v>
      </c>
      <c r="J8318" s="58"/>
      <c r="K8318" s="50"/>
      <c r="L8318" s="50"/>
      <c r="M8318" s="50"/>
      <c r="N8318" s="50"/>
      <c r="O8318" s="50"/>
    </row>
    <row r="8319" spans="1:15">
      <c r="A8319" s="517" t="s">
        <v>8</v>
      </c>
      <c r="B8319" s="518">
        <f>VLOOKUP(A8319,'Materiales '!$C$2:$G$396,3,0)</f>
        <v>0</v>
      </c>
      <c r="C8319" s="88">
        <f>VLOOKUP(A8319,'Materiales '!$C$2:$G$396,3,0)</f>
        <v>0</v>
      </c>
      <c r="D8319" s="89" t="str">
        <f>VLOOKUP(A8319,'Materiales '!$C$2:$G$396,4,0)</f>
        <v>-</v>
      </c>
      <c r="E8319" s="90">
        <v>1</v>
      </c>
      <c r="F8319" s="508" t="e">
        <f t="shared" si="485"/>
        <v>#VALUE!</v>
      </c>
      <c r="G8319" s="519"/>
      <c r="H8319" s="111"/>
      <c r="I8319">
        <f>E8319*G8295</f>
        <v>0</v>
      </c>
      <c r="J8319" s="58"/>
      <c r="K8319" s="50"/>
      <c r="L8319" s="50"/>
      <c r="M8319" s="50"/>
      <c r="N8319" s="50"/>
      <c r="O8319" s="50"/>
    </row>
    <row r="8320" spans="1:15">
      <c r="A8320" s="517" t="s">
        <v>8</v>
      </c>
      <c r="B8320" s="518">
        <f>VLOOKUP(A8320,'Materiales '!$C$2:$G$396,3,0)</f>
        <v>0</v>
      </c>
      <c r="C8320" s="88">
        <f>VLOOKUP(A8320,'Materiales '!$C$2:$G$396,3,0)</f>
        <v>0</v>
      </c>
      <c r="D8320" s="89" t="str">
        <f>VLOOKUP(A8320,'Materiales '!$C$2:$G$396,4,0)</f>
        <v>-</v>
      </c>
      <c r="E8320" s="90">
        <v>2</v>
      </c>
      <c r="F8320" s="508" t="e">
        <f>E8320*D8320</f>
        <v>#VALUE!</v>
      </c>
      <c r="G8320" s="519"/>
      <c r="H8320" s="110"/>
      <c r="I8320">
        <f>E8320*G8295</f>
        <v>0</v>
      </c>
      <c r="J8320" s="58"/>
      <c r="K8320" s="50"/>
      <c r="L8320" s="50"/>
      <c r="M8320" s="50"/>
      <c r="N8320" s="50"/>
      <c r="O8320" s="50"/>
    </row>
    <row r="8321" spans="1:15">
      <c r="A8321" s="517" t="s">
        <v>8</v>
      </c>
      <c r="B8321" s="518">
        <f>VLOOKUP(A8321,'Materiales '!$C$2:$G$396,3,0)</f>
        <v>0</v>
      </c>
      <c r="C8321" s="88">
        <f>VLOOKUP(A8321,'Materiales '!$C$2:$G$396,3,0)</f>
        <v>0</v>
      </c>
      <c r="D8321" s="89" t="str">
        <f>VLOOKUP(A8321,'Materiales '!$C$2:$G$396,4,0)</f>
        <v>-</v>
      </c>
      <c r="E8321" s="90">
        <v>2</v>
      </c>
      <c r="F8321" s="508" t="e">
        <f>E8321*D8321</f>
        <v>#VALUE!</v>
      </c>
      <c r="G8321" s="519"/>
      <c r="H8321" s="110"/>
      <c r="I8321">
        <f>E8321*G8295</f>
        <v>0</v>
      </c>
      <c r="J8321" s="58"/>
      <c r="K8321" s="50"/>
      <c r="L8321" s="50"/>
      <c r="M8321" s="50"/>
      <c r="N8321" s="50"/>
      <c r="O8321" s="50"/>
    </row>
    <row r="8322" spans="1:15">
      <c r="A8322" s="520" t="s">
        <v>4098</v>
      </c>
      <c r="B8322" s="521"/>
      <c r="C8322" s="521"/>
      <c r="D8322" s="521"/>
      <c r="E8322" s="521"/>
      <c r="F8322" s="521"/>
      <c r="G8322" s="522"/>
      <c r="H8322" s="106" t="e">
        <f>SUM(F8305:F8321)</f>
        <v>#VALUE!</v>
      </c>
      <c r="J8322" s="58"/>
      <c r="K8322" s="50"/>
      <c r="L8322" s="50"/>
      <c r="M8322" s="50"/>
      <c r="N8322" s="50"/>
      <c r="O8322" s="50"/>
    </row>
    <row r="8323" spans="1:15">
      <c r="A8323" s="523" t="s">
        <v>4220</v>
      </c>
      <c r="B8323" s="524"/>
      <c r="C8323" s="524"/>
      <c r="D8323" s="524"/>
      <c r="E8323" s="525"/>
      <c r="F8323" s="524"/>
      <c r="G8323" s="524"/>
      <c r="H8323" s="526"/>
      <c r="J8323" s="58"/>
      <c r="K8323" s="50"/>
      <c r="L8323" s="50"/>
      <c r="M8323" s="50"/>
      <c r="N8323" s="50"/>
      <c r="O8323" s="50"/>
    </row>
    <row r="8324" spans="1:15">
      <c r="A8324" s="527" t="s">
        <v>7</v>
      </c>
      <c r="B8324" s="528"/>
      <c r="C8324" s="98" t="s">
        <v>4221</v>
      </c>
      <c r="D8324" s="97" t="s">
        <v>4222</v>
      </c>
      <c r="E8324" s="187" t="s">
        <v>4223</v>
      </c>
      <c r="F8324" s="529" t="s">
        <v>4207</v>
      </c>
      <c r="G8324" s="529"/>
      <c r="H8324" s="109"/>
      <c r="K8324" s="50"/>
      <c r="L8324" s="50"/>
      <c r="M8324" s="50"/>
      <c r="N8324" s="50"/>
      <c r="O8324" s="50"/>
    </row>
    <row r="8325" spans="1:15">
      <c r="A8325" s="506" t="s">
        <v>3928</v>
      </c>
      <c r="B8325" s="507"/>
      <c r="C8325" s="213">
        <v>1</v>
      </c>
      <c r="D8325" s="92">
        <v>0.1</v>
      </c>
      <c r="E8325" s="93" t="str">
        <f>VLOOKUP(A8325,'Equip, Herr y Transp'!$B$2:$E$217,3,0)</f>
        <v>TR</v>
      </c>
      <c r="F8325" s="530" t="e">
        <f>E8325*D8325*C8325</f>
        <v>#VALUE!</v>
      </c>
      <c r="G8325" s="531"/>
      <c r="H8325" s="107"/>
      <c r="M8325" s="50"/>
    </row>
    <row r="8326" spans="1:15">
      <c r="A8326" s="532" t="s">
        <v>4205</v>
      </c>
      <c r="B8326" s="533"/>
      <c r="C8326" s="533"/>
      <c r="D8326" s="533"/>
      <c r="E8326" s="533"/>
      <c r="F8326" s="533"/>
      <c r="G8326" s="533"/>
      <c r="H8326" s="95" t="e">
        <f>F8325</f>
        <v>#VALUE!</v>
      </c>
    </row>
    <row r="8327" spans="1:15">
      <c r="A8327" s="523" t="s">
        <v>4224</v>
      </c>
      <c r="B8327" s="524"/>
      <c r="C8327" s="524"/>
      <c r="D8327" s="524"/>
      <c r="E8327" s="524"/>
      <c r="F8327" s="524"/>
      <c r="G8327" s="524"/>
      <c r="H8327" s="526"/>
    </row>
    <row r="8328" spans="1:15">
      <c r="A8328" s="527" t="s">
        <v>7</v>
      </c>
      <c r="B8328" s="528"/>
      <c r="C8328" s="96" t="s">
        <v>1</v>
      </c>
      <c r="D8328" s="97" t="s">
        <v>4225</v>
      </c>
      <c r="E8328" s="98" t="s">
        <v>4204</v>
      </c>
      <c r="F8328" s="527" t="s">
        <v>5</v>
      </c>
      <c r="G8328" s="534"/>
      <c r="H8328" s="109"/>
    </row>
    <row r="8329" spans="1:15">
      <c r="A8329" s="506" t="s">
        <v>4191</v>
      </c>
      <c r="B8329" s="507"/>
      <c r="C8329" s="91">
        <v>1</v>
      </c>
      <c r="D8329" s="94">
        <f>VLOOKUP(A8329,'Mano Obra'!$B$2:$T$117,19,0)</f>
        <v>152456</v>
      </c>
      <c r="E8329" s="218">
        <f>H8288</f>
        <v>0.16669999999999999</v>
      </c>
      <c r="F8329" s="508">
        <f>E8329*D8329*C8329</f>
        <v>25414.415199999999</v>
      </c>
      <c r="G8329" s="509"/>
      <c r="H8329" s="111"/>
      <c r="I8329" s="59"/>
      <c r="J8329" s="117">
        <f>((('Mano Obra'!$M$4/30)*F8329)/D8329)*G8295</f>
        <v>0</v>
      </c>
    </row>
    <row r="8330" spans="1:15">
      <c r="A8330" s="510" t="s">
        <v>4192</v>
      </c>
      <c r="B8330" s="511">
        <f>VLOOKUP(A8330,'Mano Obra'!$B$3:$D$290,2,0)</f>
        <v>1900000</v>
      </c>
      <c r="C8330" s="91">
        <v>2</v>
      </c>
      <c r="D8330" s="94">
        <f>VLOOKUP(A8330,'Mano Obra'!$B$2:$T$117,19,0)</f>
        <v>110488</v>
      </c>
      <c r="E8330" s="218">
        <f>H8288</f>
        <v>0.16669999999999999</v>
      </c>
      <c r="F8330" s="508">
        <f t="shared" ref="F8330:F8331" si="486">E8330*D8330*C8330</f>
        <v>36836.699199999995</v>
      </c>
      <c r="G8330" s="509"/>
      <c r="H8330" s="111"/>
      <c r="J8330" s="117">
        <f>((('Mano Obra'!$M$5/30)*F8330)/D8330)*G8295</f>
        <v>0</v>
      </c>
    </row>
    <row r="8331" spans="1:15">
      <c r="A8331" s="510" t="s">
        <v>4181</v>
      </c>
      <c r="B8331" s="511">
        <f>VLOOKUP(A8331,'Mano Obra'!$B$3:$D$290,2,0)</f>
        <v>1000000</v>
      </c>
      <c r="C8331" s="91">
        <v>2</v>
      </c>
      <c r="D8331" s="94">
        <f>VLOOKUP(A8331,'Mano Obra'!$B$2:$T$117,19,0)</f>
        <v>67424</v>
      </c>
      <c r="E8331" s="218">
        <f>H8288</f>
        <v>0.16669999999999999</v>
      </c>
      <c r="F8331" s="508">
        <f t="shared" si="486"/>
        <v>22479.161599999999</v>
      </c>
      <c r="G8331" s="509"/>
      <c r="H8331" s="110"/>
      <c r="J8331" s="117">
        <f>((('Mano Obra'!$M$6/30)*F8331)/D8331)*G8295</f>
        <v>0</v>
      </c>
    </row>
    <row r="8332" spans="1:15">
      <c r="A8332" s="512" t="s">
        <v>4100</v>
      </c>
      <c r="B8332" s="512"/>
      <c r="C8332" s="512"/>
      <c r="D8332" s="512"/>
      <c r="E8332" s="512"/>
      <c r="F8332" s="512"/>
      <c r="G8332" s="512"/>
      <c r="H8332" s="95">
        <f>SUM(F8329:F8331)</f>
        <v>84730.275999999983</v>
      </c>
      <c r="J8332" s="117"/>
    </row>
    <row r="8333" spans="1:15">
      <c r="A8333" s="208" t="s">
        <v>4226</v>
      </c>
      <c r="B8333" s="186"/>
      <c r="C8333" s="186"/>
      <c r="D8333" s="183"/>
      <c r="E8333" s="184"/>
      <c r="F8333" s="185"/>
      <c r="G8333" s="184"/>
      <c r="H8333" s="193"/>
    </row>
    <row r="8334" spans="1:15">
      <c r="A8334" s="513" t="s">
        <v>4213</v>
      </c>
      <c r="B8334" s="514"/>
      <c r="C8334" s="514"/>
      <c r="D8334" s="514"/>
      <c r="E8334" s="181"/>
      <c r="F8334" s="182" t="s">
        <v>4227</v>
      </c>
      <c r="G8334" s="181" t="s">
        <v>4228</v>
      </c>
      <c r="H8334" s="194"/>
    </row>
    <row r="8335" spans="1:15">
      <c r="A8335" s="204" t="s">
        <v>4096</v>
      </c>
      <c r="B8335" s="62"/>
      <c r="C8335" s="62"/>
      <c r="D8335" s="63"/>
      <c r="E8335" s="68"/>
      <c r="F8335" s="69">
        <v>0</v>
      </c>
      <c r="G8335" s="70" t="e">
        <f>F8335*H8296</f>
        <v>#VALUE!</v>
      </c>
      <c r="H8335" s="193"/>
    </row>
    <row r="8336" spans="1:15">
      <c r="A8336" s="205" t="s">
        <v>4229</v>
      </c>
      <c r="B8336" s="71"/>
      <c r="C8336" s="71"/>
      <c r="D8336" s="72"/>
      <c r="E8336" s="68"/>
      <c r="F8336" s="69">
        <v>0</v>
      </c>
      <c r="G8336" s="70" t="e">
        <f>F8336*H8296</f>
        <v>#VALUE!</v>
      </c>
      <c r="H8336" s="193"/>
    </row>
    <row r="8337" spans="1:14">
      <c r="A8337" s="205" t="s">
        <v>4</v>
      </c>
      <c r="B8337" s="71"/>
      <c r="C8337" s="71"/>
      <c r="D8337" s="72"/>
      <c r="E8337" s="68"/>
      <c r="F8337" s="69">
        <v>0</v>
      </c>
      <c r="G8337" s="70" t="e">
        <f>F8337*H8296</f>
        <v>#VALUE!</v>
      </c>
      <c r="H8337" s="193"/>
    </row>
    <row r="8338" spans="1:14">
      <c r="A8338" s="206"/>
      <c r="B8338" s="73"/>
      <c r="C8338" s="65"/>
      <c r="D8338" s="74"/>
      <c r="E8338" s="75"/>
      <c r="F8338" s="76"/>
      <c r="G8338" s="77"/>
      <c r="H8338" s="195"/>
    </row>
    <row r="8339" spans="1:14">
      <c r="A8339" s="207"/>
      <c r="B8339" s="73"/>
      <c r="C8339" s="73"/>
      <c r="D8339" s="74"/>
      <c r="E8339" s="78"/>
      <c r="F8339" s="515" t="s">
        <v>4230</v>
      </c>
      <c r="G8339" s="516"/>
      <c r="H8339" s="214" t="e">
        <f>H8296+G8335+G8336+G8337</f>
        <v>#VALUE!</v>
      </c>
    </row>
    <row r="8340" spans="1:14">
      <c r="A8340" s="73"/>
      <c r="B8340" s="73"/>
      <c r="C8340" s="73"/>
      <c r="D8340" s="74"/>
      <c r="E8340" s="360"/>
      <c r="F8340" s="361"/>
      <c r="G8340" s="361"/>
      <c r="H8340" s="362"/>
    </row>
    <row r="8341" spans="1:14">
      <c r="A8341" s="80"/>
      <c r="B8341" s="80"/>
      <c r="C8341" s="80"/>
      <c r="D8341" s="80"/>
      <c r="E8341" s="80"/>
      <c r="F8341" s="80"/>
      <c r="G8341" s="80"/>
      <c r="H8341" s="353"/>
    </row>
    <row r="8342" spans="1:14">
      <c r="A8342" s="537" t="s">
        <v>4214</v>
      </c>
      <c r="B8342" s="538"/>
      <c r="C8342" s="538"/>
      <c r="D8342" s="538"/>
      <c r="E8342" s="538"/>
      <c r="F8342" s="538"/>
      <c r="G8342" s="538"/>
      <c r="H8342" s="539"/>
    </row>
    <row r="8343" spans="1:14">
      <c r="A8343" s="81"/>
      <c r="B8343" s="82"/>
      <c r="C8343" s="82"/>
      <c r="D8343" s="82"/>
      <c r="E8343" s="82"/>
      <c r="F8343" s="83"/>
      <c r="G8343" s="84"/>
      <c r="H8343" s="352">
        <f>ROUND((150/60)/8,4)</f>
        <v>0.3125</v>
      </c>
      <c r="I8343" s="105"/>
    </row>
    <row r="8344" spans="1:14">
      <c r="A8344" s="540" t="s">
        <v>4209</v>
      </c>
      <c r="B8344" s="542" t="str">
        <f>COSTOS!$C$14</f>
        <v>MODERNIZACION A TECNOLOGIA LED</v>
      </c>
      <c r="C8344" s="542"/>
      <c r="D8344" s="542"/>
      <c r="E8344" s="542"/>
      <c r="F8344" s="542"/>
      <c r="G8344" s="542"/>
      <c r="H8344" s="543" t="s">
        <v>4210</v>
      </c>
    </row>
    <row r="8345" spans="1:14">
      <c r="A8345" s="541"/>
      <c r="B8345" s="542"/>
      <c r="C8345" s="542"/>
      <c r="D8345" s="542"/>
      <c r="E8345" s="542"/>
      <c r="F8345" s="542"/>
      <c r="G8345" s="542"/>
      <c r="H8345" s="543"/>
    </row>
    <row r="8346" spans="1:14">
      <c r="A8346" s="541"/>
      <c r="B8346" s="542"/>
      <c r="C8346" s="542"/>
      <c r="D8346" s="542"/>
      <c r="E8346" s="542"/>
      <c r="F8346" s="542"/>
      <c r="G8346" s="542"/>
      <c r="H8346" s="543"/>
    </row>
    <row r="8347" spans="1:14" ht="15" customHeight="1">
      <c r="A8347" s="541"/>
      <c r="B8347" s="542"/>
      <c r="C8347" s="542"/>
      <c r="D8347" s="542"/>
      <c r="E8347" s="542"/>
      <c r="F8347" s="542"/>
      <c r="G8347" s="542"/>
      <c r="H8347" s="197">
        <f ca="1">TODAY()</f>
        <v>44889</v>
      </c>
      <c r="K8347" t="s">
        <v>4380</v>
      </c>
      <c r="L8347" t="s">
        <v>4381</v>
      </c>
      <c r="M8347" t="s">
        <v>4382</v>
      </c>
      <c r="N8347" t="s">
        <v>4383</v>
      </c>
    </row>
    <row r="8348" spans="1:14" ht="60.75" customHeight="1">
      <c r="A8348" s="209" t="s">
        <v>4211</v>
      </c>
      <c r="B8348" s="544" t="str">
        <f>COSTOS!$D$16</f>
        <v>Luminarias</v>
      </c>
      <c r="C8348" s="544"/>
      <c r="D8348" s="544"/>
      <c r="E8348" s="544"/>
      <c r="F8348" s="544"/>
      <c r="G8348" s="60" t="s">
        <v>4212</v>
      </c>
      <c r="H8348" s="359">
        <v>4.7</v>
      </c>
      <c r="K8348" s="55" t="e">
        <f>H8377</f>
        <v>#VALUE!</v>
      </c>
      <c r="L8348" s="55">
        <f>H8387</f>
        <v>158837.5</v>
      </c>
      <c r="M8348" s="55" t="e">
        <f>H8357</f>
        <v>#VALUE!</v>
      </c>
      <c r="N8348" s="55" t="e">
        <f>H8381</f>
        <v>#VALUE!</v>
      </c>
    </row>
    <row r="8349" spans="1:14" ht="43.2" customHeight="1">
      <c r="A8349" s="210" t="s">
        <v>4213</v>
      </c>
      <c r="B8349" s="545" t="str">
        <f>VLOOKUP(H8348,COSTOS!C:M,2,0)</f>
        <v>Instalacion de CENTRO DE TRANSFORMACION, MONOFASICO, 50KVA, 13200-480/240 a Red de Media tension , TIPO HORIZONTAL, en poste existente</v>
      </c>
      <c r="C8349" s="546"/>
      <c r="D8349" s="546"/>
      <c r="E8349" s="547"/>
      <c r="F8349" s="61" t="s">
        <v>0</v>
      </c>
      <c r="G8349" s="328" t="str">
        <f>VLOOKUP(H8348,COSTOS!C:M,8,0)</f>
        <v>Und</v>
      </c>
      <c r="H8349" s="248"/>
      <c r="I8349" s="278"/>
      <c r="J8349" s="280"/>
      <c r="K8349" s="280"/>
      <c r="L8349" s="280"/>
    </row>
    <row r="8350" spans="1:14">
      <c r="A8350" s="211"/>
      <c r="B8350" s="102"/>
      <c r="C8350" s="102"/>
      <c r="D8350" s="102"/>
      <c r="E8350" s="103"/>
      <c r="F8350" s="104" t="s">
        <v>1</v>
      </c>
      <c r="G8350" s="328">
        <f>VLOOKUP(H8348,COSTOS!C:M,9,0)</f>
        <v>0</v>
      </c>
      <c r="H8350" s="329"/>
      <c r="I8350" s="279"/>
    </row>
    <row r="8351" spans="1:14">
      <c r="A8351" s="212" t="s">
        <v>4215</v>
      </c>
      <c r="B8351" s="65"/>
      <c r="C8351" s="65"/>
      <c r="D8351" s="66"/>
      <c r="E8351" s="190"/>
      <c r="F8351" s="191"/>
      <c r="G8351" s="192" t="s">
        <v>4216</v>
      </c>
      <c r="H8351" s="198" t="e">
        <f>H8357+H8377+H8381+H8387</f>
        <v>#VALUE!</v>
      </c>
    </row>
    <row r="8352" spans="1:14" ht="41.4">
      <c r="A8352" s="548" t="s">
        <v>4213</v>
      </c>
      <c r="B8352" s="548"/>
      <c r="C8352" s="548"/>
      <c r="D8352" s="67" t="s">
        <v>0</v>
      </c>
      <c r="E8352" s="188" t="s">
        <v>4217</v>
      </c>
      <c r="F8352" s="189" t="s">
        <v>4204</v>
      </c>
      <c r="G8352" s="64" t="s">
        <v>2</v>
      </c>
      <c r="H8352" s="199" t="s">
        <v>4218</v>
      </c>
      <c r="K8352" s="281"/>
    </row>
    <row r="8353" spans="1:15">
      <c r="A8353" s="517" t="s">
        <v>3946</v>
      </c>
      <c r="B8353" s="549">
        <f>VLOOKUP(A8353,'Equip, Herr y Transp'!$B$2:$E$738,2,0)</f>
        <v>2</v>
      </c>
      <c r="C8353" s="549"/>
      <c r="D8353" s="85">
        <f>VLOOKUP(A8353,'Equip, Herr y Transp'!$B$2:$E$217,2,0)</f>
        <v>2</v>
      </c>
      <c r="E8353" s="85" t="str">
        <f>VLOOKUP(A8353,'Equip, Herr y Transp'!$B$2:$E$217,3,0)</f>
        <v>EQU</v>
      </c>
      <c r="F8353" s="86">
        <f>H8343</f>
        <v>0.3125</v>
      </c>
      <c r="G8353" s="112" t="e">
        <f>F8353*E8353</f>
        <v>#VALUE!</v>
      </c>
      <c r="H8353" s="108"/>
    </row>
    <row r="8354" spans="1:15">
      <c r="A8354" s="517" t="s">
        <v>3894</v>
      </c>
      <c r="B8354" s="549">
        <f>VLOOKUP(A8354,'Equip, Herr y Transp'!$B$2:$E$738,2,0)</f>
        <v>4</v>
      </c>
      <c r="C8354" s="549"/>
      <c r="D8354" s="85">
        <f>VLOOKUP(A8354,'Equip, Herr y Transp'!$B$2:$E$217,2,0)</f>
        <v>4</v>
      </c>
      <c r="E8354" s="85" t="str">
        <f>VLOOKUP(A8354,'Equip, Herr y Transp'!$B$2:$E$217,3,0)</f>
        <v>TR</v>
      </c>
      <c r="F8354" s="86">
        <f>H8343</f>
        <v>0.3125</v>
      </c>
      <c r="G8354" s="112" t="e">
        <f>F8354*E8354</f>
        <v>#VALUE!</v>
      </c>
      <c r="H8354" s="107"/>
    </row>
    <row r="8355" spans="1:15">
      <c r="A8355" s="517" t="s">
        <v>3895</v>
      </c>
      <c r="B8355" s="549">
        <f>VLOOKUP(A8355,'Equip, Herr y Transp'!$B$2:$E$738,2,0)</f>
        <v>4</v>
      </c>
      <c r="C8355" s="549"/>
      <c r="D8355" s="85">
        <f>VLOOKUP(A8355,'Equip, Herr y Transp'!$B$2:$E$217,2,0)</f>
        <v>4</v>
      </c>
      <c r="E8355" s="85" t="str">
        <f>VLOOKUP(A8355,'Equip, Herr y Transp'!$B$2:$E$217,3,0)</f>
        <v>TR</v>
      </c>
      <c r="F8355" s="86">
        <f>H8343</f>
        <v>0.3125</v>
      </c>
      <c r="G8355" s="112" t="e">
        <f>F8355*E8355</f>
        <v>#VALUE!</v>
      </c>
      <c r="H8355" s="107"/>
    </row>
    <row r="8356" spans="1:15">
      <c r="A8356" s="517" t="s">
        <v>8</v>
      </c>
      <c r="B8356" s="549" t="e">
        <f>VLOOKUP(A8356,'Equip, Herr y Transp'!$B$2:$E$738,2,0)</f>
        <v>#N/A</v>
      </c>
      <c r="C8356" s="549"/>
      <c r="D8356" s="85" t="e">
        <f>VLOOKUP(A8356,'Equip, Herr y Transp'!$B$2:$E$217,2,0)</f>
        <v>#N/A</v>
      </c>
      <c r="E8356" s="85" t="e">
        <f>VLOOKUP(A8356,'Equip, Herr y Transp'!$B$2:$E$217,3,0)</f>
        <v>#N/A</v>
      </c>
      <c r="F8356" s="86">
        <f>H8343</f>
        <v>0.3125</v>
      </c>
      <c r="G8356" s="112" t="e">
        <f>F8356*E8356</f>
        <v>#N/A</v>
      </c>
      <c r="H8356" s="107"/>
    </row>
    <row r="8357" spans="1:15">
      <c r="A8357" s="520" t="s">
        <v>4099</v>
      </c>
      <c r="B8357" s="521"/>
      <c r="C8357" s="521"/>
      <c r="D8357" s="521"/>
      <c r="E8357" s="521"/>
      <c r="F8357" s="521"/>
      <c r="G8357" s="521"/>
      <c r="H8357" s="87" t="e">
        <f>SUM(G8353:G8356)</f>
        <v>#VALUE!</v>
      </c>
    </row>
    <row r="8358" spans="1:15">
      <c r="A8358" s="550" t="s">
        <v>4219</v>
      </c>
      <c r="B8358" s="551"/>
      <c r="C8358" s="551"/>
      <c r="D8358" s="551"/>
      <c r="E8358" s="551"/>
      <c r="F8358" s="551"/>
      <c r="G8358" s="551"/>
      <c r="H8358" s="552"/>
      <c r="K8358" s="50"/>
      <c r="L8358" s="50"/>
      <c r="M8358" s="50"/>
      <c r="N8358" s="50"/>
      <c r="O8358" s="50"/>
    </row>
    <row r="8359" spans="1:15" ht="30" customHeight="1">
      <c r="A8359" s="553" t="s">
        <v>7</v>
      </c>
      <c r="B8359" s="554"/>
      <c r="C8359" s="99" t="s">
        <v>0</v>
      </c>
      <c r="D8359" s="100" t="s">
        <v>4097</v>
      </c>
      <c r="E8359" s="101" t="s">
        <v>1</v>
      </c>
      <c r="F8359" s="555" t="s">
        <v>4207</v>
      </c>
      <c r="G8359" s="555"/>
      <c r="H8359" s="196"/>
      <c r="K8359" s="50"/>
      <c r="L8359" s="50"/>
      <c r="M8359" s="50"/>
      <c r="N8359" s="50"/>
      <c r="O8359" s="50"/>
    </row>
    <row r="8360" spans="1:15">
      <c r="A8360" s="535" t="s">
        <v>4502</v>
      </c>
      <c r="B8360" s="536"/>
      <c r="C8360" s="88">
        <f>VLOOKUP(A8360,'Materiales '!$C$2:$G$396,3,0)</f>
        <v>4</v>
      </c>
      <c r="D8360" s="89" t="str">
        <f>VLOOKUP(A8360,'Materiales '!$C$2:$G$396,4,0)</f>
        <v>Und</v>
      </c>
      <c r="E8360" s="90">
        <v>2</v>
      </c>
      <c r="F8360" s="508" t="e">
        <f>E8360*D8360</f>
        <v>#VALUE!</v>
      </c>
      <c r="G8360" s="519"/>
      <c r="H8360" s="111"/>
      <c r="I8360">
        <f>E8360*G8350</f>
        <v>0</v>
      </c>
      <c r="J8360" s="57"/>
      <c r="K8360" s="50"/>
      <c r="L8360" s="50"/>
      <c r="M8360" s="50"/>
      <c r="N8360" s="50"/>
      <c r="O8360" s="50"/>
    </row>
    <row r="8361" spans="1:15">
      <c r="A8361" s="535" t="s">
        <v>4503</v>
      </c>
      <c r="B8361" s="536"/>
      <c r="C8361" s="88">
        <f>VLOOKUP(A8361,'Materiales '!$C$2:$G$396,3,0)</f>
        <v>4</v>
      </c>
      <c r="D8361" s="89" t="str">
        <f>VLOOKUP(A8361,'Materiales '!$C$2:$G$396,4,0)</f>
        <v>Und</v>
      </c>
      <c r="E8361" s="90">
        <v>2</v>
      </c>
      <c r="F8361" s="508" t="e">
        <f t="shared" ref="F8361:F8367" si="487">E8361*D8361</f>
        <v>#VALUE!</v>
      </c>
      <c r="G8361" s="519"/>
      <c r="H8361" s="111"/>
      <c r="I8361">
        <f>E8361*G8350</f>
        <v>0</v>
      </c>
      <c r="J8361" s="57"/>
      <c r="K8361" s="50"/>
      <c r="L8361" s="50"/>
      <c r="M8361" s="50"/>
      <c r="N8361" s="50"/>
      <c r="O8361" s="50"/>
    </row>
    <row r="8362" spans="1:15">
      <c r="A8362" s="517" t="s">
        <v>4545</v>
      </c>
      <c r="B8362" s="518">
        <f>VLOOKUP(A8362,'Materiales '!$C$2:$G$396,3,0)</f>
        <v>4</v>
      </c>
      <c r="C8362" s="88">
        <f>VLOOKUP(A8362,'Materiales '!$C$2:$G$396,3,0)</f>
        <v>4</v>
      </c>
      <c r="D8362" s="89" t="str">
        <f>VLOOKUP(A8362,'Materiales '!$C$2:$G$396,4,0)</f>
        <v>Und</v>
      </c>
      <c r="E8362" s="90">
        <v>2</v>
      </c>
      <c r="F8362" s="508" t="e">
        <f t="shared" si="487"/>
        <v>#VALUE!</v>
      </c>
      <c r="G8362" s="519"/>
      <c r="H8362" s="111"/>
      <c r="I8362">
        <f>E8362*G8350</f>
        <v>0</v>
      </c>
      <c r="J8362" s="58"/>
      <c r="K8362" s="50"/>
      <c r="L8362" s="50"/>
      <c r="M8362" s="50"/>
      <c r="N8362" s="50"/>
      <c r="O8362" s="50"/>
    </row>
    <row r="8363" spans="1:15">
      <c r="A8363" s="517" t="s">
        <v>4447</v>
      </c>
      <c r="B8363" s="518">
        <f>VLOOKUP(A8363,'Materiales '!$C$2:$G$396,3,0)</f>
        <v>2</v>
      </c>
      <c r="C8363" s="88">
        <f>VLOOKUP(A8363,'Materiales '!$C$2:$G$396,3,0)</f>
        <v>2</v>
      </c>
      <c r="D8363" s="89" t="str">
        <f>VLOOKUP(A8363,'Materiales '!$C$2:$G$396,4,0)</f>
        <v>Ml</v>
      </c>
      <c r="E8363" s="90">
        <v>20</v>
      </c>
      <c r="F8363" s="508" t="e">
        <f t="shared" si="487"/>
        <v>#VALUE!</v>
      </c>
      <c r="G8363" s="519"/>
      <c r="H8363" s="111"/>
      <c r="I8363">
        <f>E8363*G8350</f>
        <v>0</v>
      </c>
      <c r="J8363" s="58"/>
      <c r="K8363" s="50"/>
      <c r="L8363" s="50"/>
      <c r="M8363" s="50"/>
      <c r="N8363" s="50"/>
      <c r="O8363" s="50"/>
    </row>
    <row r="8364" spans="1:15">
      <c r="A8364" s="517" t="s">
        <v>4434</v>
      </c>
      <c r="B8364" s="518">
        <f>VLOOKUP(A8364,'Materiales '!$C$2:$G$396,3,0)</f>
        <v>2</v>
      </c>
      <c r="C8364" s="88">
        <f>VLOOKUP(A8364,'Materiales '!$C$2:$G$396,3,0)</f>
        <v>2</v>
      </c>
      <c r="D8364" s="89" t="str">
        <f>VLOOKUP(A8364,'Materiales '!$C$2:$G$396,4,0)</f>
        <v>Ml</v>
      </c>
      <c r="E8364" s="90">
        <v>15</v>
      </c>
      <c r="F8364" s="508" t="e">
        <f t="shared" si="487"/>
        <v>#VALUE!</v>
      </c>
      <c r="G8364" s="519"/>
      <c r="H8364" s="111"/>
      <c r="I8364">
        <f>E8364*G8350</f>
        <v>0</v>
      </c>
      <c r="J8364" s="58"/>
      <c r="K8364" s="50"/>
      <c r="L8364" s="50"/>
      <c r="M8364" s="50"/>
      <c r="N8364" s="50"/>
      <c r="O8364" s="50"/>
    </row>
    <row r="8365" spans="1:15">
      <c r="A8365" s="517" t="s">
        <v>4511</v>
      </c>
      <c r="B8365" s="518">
        <f>VLOOKUP(A8365,'Materiales '!$C$2:$G$396,3,0)</f>
        <v>4</v>
      </c>
      <c r="C8365" s="88">
        <f>VLOOKUP(A8365,'Materiales '!$C$2:$G$396,3,0)</f>
        <v>4</v>
      </c>
      <c r="D8365" s="89" t="str">
        <f>VLOOKUP(A8365,'Materiales '!$C$2:$G$396,4,0)</f>
        <v>Und</v>
      </c>
      <c r="E8365" s="90">
        <v>2</v>
      </c>
      <c r="F8365" s="508" t="e">
        <f t="shared" si="487"/>
        <v>#VALUE!</v>
      </c>
      <c r="G8365" s="519"/>
      <c r="H8365" s="111"/>
      <c r="I8365">
        <f>E8365*G8350</f>
        <v>0</v>
      </c>
      <c r="J8365" s="58"/>
      <c r="K8365" s="50"/>
      <c r="L8365" s="50"/>
      <c r="M8365" s="50"/>
      <c r="N8365" s="50"/>
      <c r="O8365" s="50"/>
    </row>
    <row r="8366" spans="1:15">
      <c r="A8366" s="517" t="s">
        <v>4522</v>
      </c>
      <c r="B8366" s="518">
        <f>VLOOKUP(A8366,'Materiales '!$C$2:$G$396,3,0)</f>
        <v>4</v>
      </c>
      <c r="C8366" s="88">
        <f>VLOOKUP(A8366,'Materiales '!$C$2:$G$396,3,0)</f>
        <v>4</v>
      </c>
      <c r="D8366" s="89" t="str">
        <f>VLOOKUP(A8366,'Materiales '!$C$2:$G$396,4,0)</f>
        <v>Und</v>
      </c>
      <c r="E8366" s="90">
        <v>2</v>
      </c>
      <c r="F8366" s="508" t="e">
        <f t="shared" si="487"/>
        <v>#VALUE!</v>
      </c>
      <c r="G8366" s="519"/>
      <c r="H8366" s="111"/>
      <c r="I8366">
        <f>E8366*G8350</f>
        <v>0</v>
      </c>
      <c r="J8366" s="58"/>
      <c r="K8366" s="50"/>
      <c r="L8366" s="50"/>
      <c r="M8366" s="50"/>
      <c r="N8366" s="50"/>
      <c r="O8366" s="50"/>
    </row>
    <row r="8367" spans="1:15" ht="21.75" customHeight="1">
      <c r="A8367" s="517" t="s">
        <v>4517</v>
      </c>
      <c r="B8367" s="518">
        <f>VLOOKUP(A8367,'Materiales '!$C$2:$G$396,3,0)</f>
        <v>4</v>
      </c>
      <c r="C8367" s="88">
        <f>VLOOKUP(A8367,'Materiales '!$C$2:$G$396,3,0)</f>
        <v>4</v>
      </c>
      <c r="D8367" s="89" t="str">
        <f>VLOOKUP(A8367,'Materiales '!$C$2:$G$396,4,0)</f>
        <v>Und</v>
      </c>
      <c r="E8367" s="90">
        <v>2</v>
      </c>
      <c r="F8367" s="508" t="e">
        <f t="shared" si="487"/>
        <v>#VALUE!</v>
      </c>
      <c r="G8367" s="519"/>
      <c r="H8367" s="111"/>
      <c r="I8367">
        <f>E8367*G8350</f>
        <v>0</v>
      </c>
      <c r="J8367" s="58"/>
      <c r="K8367" s="50"/>
      <c r="L8367" s="50"/>
      <c r="M8367" s="50"/>
      <c r="N8367" s="50"/>
      <c r="O8367" s="50"/>
    </row>
    <row r="8368" spans="1:15">
      <c r="A8368" s="517" t="s">
        <v>4780</v>
      </c>
      <c r="B8368" s="518">
        <f>VLOOKUP(A8368,'Materiales '!$C$2:$G$396,3,0)</f>
        <v>4</v>
      </c>
      <c r="C8368" s="88">
        <f>VLOOKUP(A8368,'Materiales '!$C$2:$G$396,3,0)</f>
        <v>4</v>
      </c>
      <c r="D8368" s="89" t="str">
        <f>VLOOKUP(A8368,'Materiales '!$C$2:$G$396,4,0)</f>
        <v>Und</v>
      </c>
      <c r="E8368" s="90">
        <v>1</v>
      </c>
      <c r="F8368" s="508" t="e">
        <f>E8368*D8368</f>
        <v>#VALUE!</v>
      </c>
      <c r="G8368" s="519"/>
      <c r="H8368" s="110"/>
      <c r="I8368">
        <f>E8368*G8350</f>
        <v>0</v>
      </c>
      <c r="J8368" s="58"/>
      <c r="K8368" s="50"/>
      <c r="L8368" s="50"/>
      <c r="M8368" s="50"/>
      <c r="N8368" s="50"/>
      <c r="O8368" s="50"/>
    </row>
    <row r="8369" spans="1:15">
      <c r="A8369" s="517" t="s">
        <v>4474</v>
      </c>
      <c r="B8369" s="518">
        <f>VLOOKUP(A8369,'Materiales '!$C$2:$G$396,3,0)</f>
        <v>4</v>
      </c>
      <c r="C8369" s="88">
        <f>VLOOKUP(A8369,'Materiales '!$C$2:$G$396,3,0)</f>
        <v>4</v>
      </c>
      <c r="D8369" s="89" t="str">
        <f>VLOOKUP(A8369,'Materiales '!$C$2:$G$396,4,0)</f>
        <v>Und</v>
      </c>
      <c r="E8369" s="90">
        <v>2</v>
      </c>
      <c r="F8369" s="508" t="e">
        <f t="shared" ref="F8369:F8374" si="488">E8369*D8369</f>
        <v>#VALUE!</v>
      </c>
      <c r="G8369" s="519"/>
      <c r="H8369" s="111"/>
      <c r="I8369">
        <f>E8369*G8350</f>
        <v>0</v>
      </c>
      <c r="J8369" s="58"/>
      <c r="K8369" s="50"/>
      <c r="L8369" s="50"/>
      <c r="M8369" s="50"/>
      <c r="N8369" s="50"/>
      <c r="O8369" s="50"/>
    </row>
    <row r="8370" spans="1:15">
      <c r="A8370" s="517" t="s">
        <v>4488</v>
      </c>
      <c r="B8370" s="518">
        <f>VLOOKUP(A8370,'Materiales '!$C$2:$G$396,3,0)</f>
        <v>4</v>
      </c>
      <c r="C8370" s="88">
        <f>VLOOKUP(A8370,'Materiales '!$C$2:$G$396,3,0)</f>
        <v>4</v>
      </c>
      <c r="D8370" s="89" t="str">
        <f>VLOOKUP(A8370,'Materiales '!$C$2:$G$396,4,0)</f>
        <v>Und</v>
      </c>
      <c r="E8370" s="90">
        <v>1</v>
      </c>
      <c r="F8370" s="508" t="e">
        <f t="shared" si="488"/>
        <v>#VALUE!</v>
      </c>
      <c r="G8370" s="519"/>
      <c r="H8370" s="111"/>
      <c r="I8370">
        <f>E8370*G8350</f>
        <v>0</v>
      </c>
      <c r="J8370" s="58"/>
      <c r="K8370" s="50"/>
      <c r="L8370" s="50"/>
      <c r="M8370" s="50"/>
      <c r="N8370" s="50"/>
      <c r="O8370" s="50"/>
    </row>
    <row r="8371" spans="1:15">
      <c r="A8371" s="517" t="s">
        <v>4534</v>
      </c>
      <c r="B8371" s="518">
        <f>VLOOKUP(A8371,'Materiales '!$C$2:$G$396,3,0)</f>
        <v>4</v>
      </c>
      <c r="C8371" s="88">
        <f>VLOOKUP(A8371,'Materiales '!$C$2:$G$396,3,0)</f>
        <v>4</v>
      </c>
      <c r="D8371" s="89" t="str">
        <f>VLOOKUP(A8371,'Materiales '!$C$2:$G$396,4,0)</f>
        <v>Und</v>
      </c>
      <c r="E8371" s="90">
        <v>1</v>
      </c>
      <c r="F8371" s="508" t="e">
        <f t="shared" si="488"/>
        <v>#VALUE!</v>
      </c>
      <c r="G8371" s="519"/>
      <c r="H8371" s="111"/>
      <c r="I8371">
        <f>E8371*G8350</f>
        <v>0</v>
      </c>
      <c r="J8371" s="58"/>
      <c r="K8371" s="50"/>
      <c r="L8371" s="50"/>
      <c r="M8371" s="50"/>
      <c r="N8371" s="50"/>
      <c r="O8371" s="50"/>
    </row>
    <row r="8372" spans="1:15">
      <c r="A8372" s="517" t="s">
        <v>4574</v>
      </c>
      <c r="B8372" s="518">
        <f>VLOOKUP(A8372,'Materiales '!$C$2:$G$396,3,0)</f>
        <v>4</v>
      </c>
      <c r="C8372" s="88">
        <f>VLOOKUP(A8372,'Materiales '!$C$2:$G$396,3,0)</f>
        <v>4</v>
      </c>
      <c r="D8372" s="89" t="str">
        <f>VLOOKUP(A8372,'Materiales '!$C$2:$G$396,4,0)</f>
        <v>Und</v>
      </c>
      <c r="E8372" s="90">
        <v>1</v>
      </c>
      <c r="F8372" s="508" t="e">
        <f t="shared" si="488"/>
        <v>#VALUE!</v>
      </c>
      <c r="G8372" s="519"/>
      <c r="H8372" s="111"/>
      <c r="I8372">
        <f>E8372*G8350</f>
        <v>0</v>
      </c>
      <c r="J8372" s="58"/>
      <c r="K8372" s="50"/>
      <c r="L8372" s="50"/>
      <c r="M8372" s="50"/>
      <c r="N8372" s="50"/>
      <c r="O8372" s="50"/>
    </row>
    <row r="8373" spans="1:15">
      <c r="A8373" s="517" t="s">
        <v>4538</v>
      </c>
      <c r="B8373" s="518">
        <f>VLOOKUP(A8373,'Materiales '!$C$2:$G$396,3,0)</f>
        <v>4</v>
      </c>
      <c r="C8373" s="88">
        <f>VLOOKUP(A8373,'Materiales '!$C$2:$G$396,3,0)</f>
        <v>4</v>
      </c>
      <c r="D8373" s="89" t="str">
        <f>VLOOKUP(A8373,'Materiales '!$C$2:$G$396,4,0)</f>
        <v>Und</v>
      </c>
      <c r="E8373" s="90">
        <v>1</v>
      </c>
      <c r="F8373" s="508" t="e">
        <f t="shared" si="488"/>
        <v>#VALUE!</v>
      </c>
      <c r="G8373" s="519"/>
      <c r="H8373" s="111"/>
      <c r="I8373">
        <f>E8373*G8350</f>
        <v>0</v>
      </c>
      <c r="J8373" s="58"/>
      <c r="K8373" s="50"/>
      <c r="L8373" s="50"/>
      <c r="M8373" s="50"/>
      <c r="N8373" s="50"/>
      <c r="O8373" s="50"/>
    </row>
    <row r="8374" spans="1:15">
      <c r="A8374" s="517" t="s">
        <v>4510</v>
      </c>
      <c r="B8374" s="518">
        <f>VLOOKUP(A8374,'Materiales '!$C$2:$G$396,3,0)</f>
        <v>4</v>
      </c>
      <c r="C8374" s="88">
        <f>VLOOKUP(A8374,'Materiales '!$C$2:$G$396,3,0)</f>
        <v>4</v>
      </c>
      <c r="D8374" s="89" t="str">
        <f>VLOOKUP(A8374,'Materiales '!$C$2:$G$396,4,0)</f>
        <v>Und</v>
      </c>
      <c r="E8374" s="90">
        <v>1</v>
      </c>
      <c r="F8374" s="508" t="e">
        <f t="shared" si="488"/>
        <v>#VALUE!</v>
      </c>
      <c r="G8374" s="519"/>
      <c r="H8374" s="111"/>
      <c r="I8374">
        <f>E8374*G8350</f>
        <v>0</v>
      </c>
      <c r="J8374" s="58"/>
      <c r="K8374" s="50"/>
      <c r="L8374" s="50"/>
      <c r="M8374" s="50"/>
      <c r="N8374" s="50"/>
      <c r="O8374" s="50"/>
    </row>
    <row r="8375" spans="1:15">
      <c r="A8375" s="517" t="s">
        <v>4485</v>
      </c>
      <c r="B8375" s="518">
        <f>VLOOKUP(A8375,'Materiales '!$C$2:$G$396,3,0)</f>
        <v>2</v>
      </c>
      <c r="C8375" s="88">
        <f>VLOOKUP(A8375,'Materiales '!$C$2:$G$396,3,0)</f>
        <v>2</v>
      </c>
      <c r="D8375" s="89" t="str">
        <f>VLOOKUP(A8375,'Materiales '!$C$2:$G$396,4,0)</f>
        <v>Ml</v>
      </c>
      <c r="E8375" s="90">
        <v>2</v>
      </c>
      <c r="F8375" s="508" t="e">
        <f>E8375*D8375</f>
        <v>#VALUE!</v>
      </c>
      <c r="G8375" s="519"/>
      <c r="H8375" s="110"/>
      <c r="I8375">
        <f>E8375*G8350</f>
        <v>0</v>
      </c>
      <c r="J8375" s="58"/>
      <c r="K8375" s="50"/>
      <c r="L8375" s="50"/>
      <c r="M8375" s="50"/>
      <c r="N8375" s="50"/>
      <c r="O8375" s="50"/>
    </row>
    <row r="8376" spans="1:15">
      <c r="A8376" s="517" t="s">
        <v>4483</v>
      </c>
      <c r="B8376" s="518">
        <f>VLOOKUP(A8376,'Materiales '!$C$2:$G$396,3,0)</f>
        <v>4</v>
      </c>
      <c r="C8376" s="88">
        <f>VLOOKUP(A8376,'Materiales '!$C$2:$G$396,3,0)</f>
        <v>4</v>
      </c>
      <c r="D8376" s="89" t="str">
        <f>VLOOKUP(A8376,'Materiales '!$C$2:$G$396,4,0)</f>
        <v>Und</v>
      </c>
      <c r="E8376" s="90">
        <v>2</v>
      </c>
      <c r="F8376" s="508" t="e">
        <f>E8376*D8376</f>
        <v>#VALUE!</v>
      </c>
      <c r="G8376" s="519"/>
      <c r="H8376" s="110"/>
      <c r="I8376">
        <f>E8376*G8350</f>
        <v>0</v>
      </c>
      <c r="J8376" s="58"/>
      <c r="K8376" s="50"/>
      <c r="L8376" s="50"/>
      <c r="M8376" s="50"/>
      <c r="N8376" s="50"/>
      <c r="O8376" s="50"/>
    </row>
    <row r="8377" spans="1:15">
      <c r="A8377" s="520" t="s">
        <v>4098</v>
      </c>
      <c r="B8377" s="521"/>
      <c r="C8377" s="521"/>
      <c r="D8377" s="521"/>
      <c r="E8377" s="521"/>
      <c r="F8377" s="521"/>
      <c r="G8377" s="522"/>
      <c r="H8377" s="106" t="e">
        <f>SUM(F8360:F8376)</f>
        <v>#VALUE!</v>
      </c>
      <c r="J8377" s="58"/>
      <c r="K8377" s="50"/>
      <c r="L8377" s="50"/>
      <c r="M8377" s="50"/>
      <c r="N8377" s="50"/>
      <c r="O8377" s="50"/>
    </row>
    <row r="8378" spans="1:15">
      <c r="A8378" s="523" t="s">
        <v>4220</v>
      </c>
      <c r="B8378" s="524"/>
      <c r="C8378" s="524"/>
      <c r="D8378" s="524"/>
      <c r="E8378" s="525"/>
      <c r="F8378" s="524"/>
      <c r="G8378" s="524"/>
      <c r="H8378" s="526"/>
      <c r="J8378" s="58"/>
      <c r="K8378" s="50"/>
      <c r="L8378" s="50"/>
      <c r="M8378" s="50"/>
      <c r="N8378" s="50"/>
      <c r="O8378" s="50"/>
    </row>
    <row r="8379" spans="1:15">
      <c r="A8379" s="527" t="s">
        <v>7</v>
      </c>
      <c r="B8379" s="528"/>
      <c r="C8379" s="98" t="s">
        <v>4221</v>
      </c>
      <c r="D8379" s="97" t="s">
        <v>4222</v>
      </c>
      <c r="E8379" s="187" t="s">
        <v>4223</v>
      </c>
      <c r="F8379" s="529" t="s">
        <v>4207</v>
      </c>
      <c r="G8379" s="529"/>
      <c r="H8379" s="109"/>
      <c r="K8379" s="50"/>
      <c r="L8379" s="50"/>
      <c r="M8379" s="50"/>
      <c r="N8379" s="50"/>
      <c r="O8379" s="50"/>
    </row>
    <row r="8380" spans="1:15">
      <c r="A8380" s="506" t="s">
        <v>3928</v>
      </c>
      <c r="B8380" s="507"/>
      <c r="C8380" s="213">
        <v>1</v>
      </c>
      <c r="D8380" s="92">
        <v>0.1</v>
      </c>
      <c r="E8380" s="93" t="str">
        <f>VLOOKUP(A8380,'Equip, Herr y Transp'!$B$2:$E$217,3,0)</f>
        <v>TR</v>
      </c>
      <c r="F8380" s="530" t="e">
        <f>E8380*D8380*C8380</f>
        <v>#VALUE!</v>
      </c>
      <c r="G8380" s="531"/>
      <c r="H8380" s="107"/>
      <c r="M8380" s="50"/>
    </row>
    <row r="8381" spans="1:15">
      <c r="A8381" s="532" t="s">
        <v>4205</v>
      </c>
      <c r="B8381" s="533"/>
      <c r="C8381" s="533"/>
      <c r="D8381" s="533"/>
      <c r="E8381" s="533"/>
      <c r="F8381" s="533"/>
      <c r="G8381" s="533"/>
      <c r="H8381" s="95" t="e">
        <f>F8380</f>
        <v>#VALUE!</v>
      </c>
    </row>
    <row r="8382" spans="1:15">
      <c r="A8382" s="523" t="s">
        <v>4224</v>
      </c>
      <c r="B8382" s="524"/>
      <c r="C8382" s="524"/>
      <c r="D8382" s="524"/>
      <c r="E8382" s="524"/>
      <c r="F8382" s="524"/>
      <c r="G8382" s="524"/>
      <c r="H8382" s="526"/>
    </row>
    <row r="8383" spans="1:15">
      <c r="A8383" s="527" t="s">
        <v>7</v>
      </c>
      <c r="B8383" s="528"/>
      <c r="C8383" s="96" t="s">
        <v>1</v>
      </c>
      <c r="D8383" s="97" t="s">
        <v>4225</v>
      </c>
      <c r="E8383" s="98" t="s">
        <v>4204</v>
      </c>
      <c r="F8383" s="527" t="s">
        <v>5</v>
      </c>
      <c r="G8383" s="534"/>
      <c r="H8383" s="109"/>
    </row>
    <row r="8384" spans="1:15">
      <c r="A8384" s="506" t="s">
        <v>4191</v>
      </c>
      <c r="B8384" s="507"/>
      <c r="C8384" s="91">
        <v>1</v>
      </c>
      <c r="D8384" s="94">
        <f>VLOOKUP(A8384,'Mano Obra'!$B$2:$T$117,19,0)</f>
        <v>152456</v>
      </c>
      <c r="E8384" s="218">
        <f>H8343</f>
        <v>0.3125</v>
      </c>
      <c r="F8384" s="508">
        <f>E8384*D8384*C8384</f>
        <v>47642.5</v>
      </c>
      <c r="G8384" s="509"/>
      <c r="H8384" s="111"/>
      <c r="I8384" s="59"/>
      <c r="J8384" s="117">
        <f>((('Mano Obra'!$M$4/30)*F8384)/D8384)*G8350</f>
        <v>0</v>
      </c>
    </row>
    <row r="8385" spans="1:10">
      <c r="A8385" s="510" t="s">
        <v>4192</v>
      </c>
      <c r="B8385" s="511">
        <f>VLOOKUP(A8385,'Mano Obra'!$B$3:$D$290,2,0)</f>
        <v>1900000</v>
      </c>
      <c r="C8385" s="91">
        <v>2</v>
      </c>
      <c r="D8385" s="94">
        <f>VLOOKUP(A8385,'Mano Obra'!$B$2:$T$117,19,0)</f>
        <v>110488</v>
      </c>
      <c r="E8385" s="218">
        <f>H8343</f>
        <v>0.3125</v>
      </c>
      <c r="F8385" s="508">
        <f t="shared" ref="F8385:F8386" si="489">E8385*D8385*C8385</f>
        <v>69055</v>
      </c>
      <c r="G8385" s="509"/>
      <c r="H8385" s="111"/>
      <c r="J8385" s="117">
        <f>((('Mano Obra'!$M$5/30)*F8385)/D8385)*G8350</f>
        <v>0</v>
      </c>
    </row>
    <row r="8386" spans="1:10">
      <c r="A8386" s="510" t="s">
        <v>4181</v>
      </c>
      <c r="B8386" s="511">
        <f>VLOOKUP(A8386,'Mano Obra'!$B$3:$D$290,2,0)</f>
        <v>1000000</v>
      </c>
      <c r="C8386" s="91">
        <v>2</v>
      </c>
      <c r="D8386" s="94">
        <f>VLOOKUP(A8386,'Mano Obra'!$B$2:$T$117,19,0)</f>
        <v>67424</v>
      </c>
      <c r="E8386" s="218">
        <f>H8343</f>
        <v>0.3125</v>
      </c>
      <c r="F8386" s="508">
        <f t="shared" si="489"/>
        <v>42140</v>
      </c>
      <c r="G8386" s="509"/>
      <c r="H8386" s="110"/>
      <c r="J8386" s="117">
        <f>((('Mano Obra'!$M$6/30)*F8386)/D8386)*G8350</f>
        <v>0</v>
      </c>
    </row>
    <row r="8387" spans="1:10">
      <c r="A8387" s="512" t="s">
        <v>4100</v>
      </c>
      <c r="B8387" s="512"/>
      <c r="C8387" s="512"/>
      <c r="D8387" s="512"/>
      <c r="E8387" s="512"/>
      <c r="F8387" s="512"/>
      <c r="G8387" s="512"/>
      <c r="H8387" s="95">
        <f>SUM(F8384:F8386)</f>
        <v>158837.5</v>
      </c>
      <c r="J8387" s="117"/>
    </row>
    <row r="8388" spans="1:10">
      <c r="A8388" s="208" t="s">
        <v>4226</v>
      </c>
      <c r="B8388" s="186"/>
      <c r="C8388" s="186"/>
      <c r="D8388" s="183"/>
      <c r="E8388" s="184"/>
      <c r="F8388" s="185"/>
      <c r="G8388" s="184"/>
      <c r="H8388" s="193"/>
    </row>
    <row r="8389" spans="1:10">
      <c r="A8389" s="513" t="s">
        <v>4213</v>
      </c>
      <c r="B8389" s="514"/>
      <c r="C8389" s="514"/>
      <c r="D8389" s="514"/>
      <c r="E8389" s="181"/>
      <c r="F8389" s="182" t="s">
        <v>4227</v>
      </c>
      <c r="G8389" s="181" t="s">
        <v>4228</v>
      </c>
      <c r="H8389" s="194"/>
    </row>
    <row r="8390" spans="1:10">
      <c r="A8390" s="204" t="s">
        <v>4096</v>
      </c>
      <c r="B8390" s="62"/>
      <c r="C8390" s="62"/>
      <c r="D8390" s="63"/>
      <c r="E8390" s="68"/>
      <c r="F8390" s="69">
        <v>0</v>
      </c>
      <c r="G8390" s="70" t="e">
        <f>F8390*H8351</f>
        <v>#VALUE!</v>
      </c>
      <c r="H8390" s="193"/>
    </row>
    <row r="8391" spans="1:10">
      <c r="A8391" s="205" t="s">
        <v>4229</v>
      </c>
      <c r="B8391" s="71"/>
      <c r="C8391" s="71"/>
      <c r="D8391" s="72"/>
      <c r="E8391" s="68"/>
      <c r="F8391" s="69">
        <v>0</v>
      </c>
      <c r="G8391" s="70" t="e">
        <f>F8391*H8351</f>
        <v>#VALUE!</v>
      </c>
      <c r="H8391" s="193"/>
    </row>
    <row r="8392" spans="1:10">
      <c r="A8392" s="205" t="s">
        <v>4</v>
      </c>
      <c r="B8392" s="71"/>
      <c r="C8392" s="71"/>
      <c r="D8392" s="72"/>
      <c r="E8392" s="68"/>
      <c r="F8392" s="69">
        <v>0</v>
      </c>
      <c r="G8392" s="70" t="e">
        <f>F8392*H8351</f>
        <v>#VALUE!</v>
      </c>
      <c r="H8392" s="193"/>
    </row>
    <row r="8393" spans="1:10">
      <c r="A8393" s="206"/>
      <c r="B8393" s="73"/>
      <c r="C8393" s="65"/>
      <c r="D8393" s="74"/>
      <c r="E8393" s="75"/>
      <c r="F8393" s="76"/>
      <c r="G8393" s="77"/>
      <c r="H8393" s="195"/>
    </row>
    <row r="8394" spans="1:10">
      <c r="A8394" s="207"/>
      <c r="B8394" s="73"/>
      <c r="C8394" s="73"/>
      <c r="D8394" s="74"/>
      <c r="E8394" s="78"/>
      <c r="F8394" s="515" t="s">
        <v>4230</v>
      </c>
      <c r="G8394" s="516"/>
      <c r="H8394" s="214" t="e">
        <f>H8351+G8390+G8391+G8392</f>
        <v>#VALUE!</v>
      </c>
    </row>
    <row r="8395" spans="1:10">
      <c r="A8395" s="73"/>
      <c r="B8395" s="73"/>
      <c r="C8395" s="73"/>
      <c r="D8395" s="74"/>
      <c r="E8395" s="360"/>
      <c r="F8395" s="361"/>
      <c r="G8395" s="361"/>
      <c r="H8395" s="362"/>
    </row>
    <row r="8396" spans="1:10">
      <c r="A8396" s="80"/>
      <c r="B8396" s="80"/>
      <c r="C8396" s="80"/>
      <c r="D8396" s="80"/>
      <c r="E8396" s="80"/>
      <c r="F8396" s="80"/>
      <c r="G8396" s="80"/>
      <c r="H8396" s="353"/>
    </row>
    <row r="8397" spans="1:10">
      <c r="A8397" s="537" t="s">
        <v>4214</v>
      </c>
      <c r="B8397" s="538"/>
      <c r="C8397" s="538"/>
      <c r="D8397" s="538"/>
      <c r="E8397" s="538"/>
      <c r="F8397" s="538"/>
      <c r="G8397" s="538"/>
      <c r="H8397" s="539"/>
    </row>
    <row r="8398" spans="1:10">
      <c r="A8398" s="81"/>
      <c r="B8398" s="82"/>
      <c r="C8398" s="82"/>
      <c r="D8398" s="82"/>
      <c r="E8398" s="82"/>
      <c r="F8398" s="83"/>
      <c r="G8398" s="84"/>
      <c r="H8398" s="352">
        <f>ROUND((150/60)/8,4)</f>
        <v>0.3125</v>
      </c>
      <c r="I8398" s="105"/>
    </row>
    <row r="8399" spans="1:10">
      <c r="A8399" s="540" t="s">
        <v>4209</v>
      </c>
      <c r="B8399" s="542" t="str">
        <f>COSTOS!$C$14</f>
        <v>MODERNIZACION A TECNOLOGIA LED</v>
      </c>
      <c r="C8399" s="542"/>
      <c r="D8399" s="542"/>
      <c r="E8399" s="542"/>
      <c r="F8399" s="542"/>
      <c r="G8399" s="542"/>
      <c r="H8399" s="543" t="s">
        <v>4210</v>
      </c>
    </row>
    <row r="8400" spans="1:10">
      <c r="A8400" s="541"/>
      <c r="B8400" s="542"/>
      <c r="C8400" s="542"/>
      <c r="D8400" s="542"/>
      <c r="E8400" s="542"/>
      <c r="F8400" s="542"/>
      <c r="G8400" s="542"/>
      <c r="H8400" s="543"/>
    </row>
    <row r="8401" spans="1:15">
      <c r="A8401" s="541"/>
      <c r="B8401" s="542"/>
      <c r="C8401" s="542"/>
      <c r="D8401" s="542"/>
      <c r="E8401" s="542"/>
      <c r="F8401" s="542"/>
      <c r="G8401" s="542"/>
      <c r="H8401" s="543"/>
    </row>
    <row r="8402" spans="1:15" ht="15" customHeight="1">
      <c r="A8402" s="541"/>
      <c r="B8402" s="542"/>
      <c r="C8402" s="542"/>
      <c r="D8402" s="542"/>
      <c r="E8402" s="542"/>
      <c r="F8402" s="542"/>
      <c r="G8402" s="542"/>
      <c r="H8402" s="197">
        <f ca="1">TODAY()</f>
        <v>44889</v>
      </c>
      <c r="K8402" t="s">
        <v>4380</v>
      </c>
      <c r="L8402" t="s">
        <v>4381</v>
      </c>
      <c r="M8402" t="s">
        <v>4382</v>
      </c>
      <c r="N8402" t="s">
        <v>4383</v>
      </c>
    </row>
    <row r="8403" spans="1:15" ht="60.75" customHeight="1">
      <c r="A8403" s="209" t="s">
        <v>4211</v>
      </c>
      <c r="B8403" s="544" t="str">
        <f>COSTOS!$D$16</f>
        <v>Luminarias</v>
      </c>
      <c r="C8403" s="544"/>
      <c r="D8403" s="544"/>
      <c r="E8403" s="544"/>
      <c r="F8403" s="544"/>
      <c r="G8403" s="60" t="s">
        <v>4212</v>
      </c>
      <c r="H8403" s="359">
        <v>4.8</v>
      </c>
      <c r="K8403" s="55" t="e">
        <f>H8432</f>
        <v>#VALUE!</v>
      </c>
      <c r="L8403" s="55">
        <f>H8442</f>
        <v>158837.5</v>
      </c>
      <c r="M8403" s="55" t="e">
        <f>H8412</f>
        <v>#VALUE!</v>
      </c>
      <c r="N8403" s="55" t="e">
        <f>H8436</f>
        <v>#VALUE!</v>
      </c>
    </row>
    <row r="8404" spans="1:15" ht="43.2" customHeight="1">
      <c r="A8404" s="210" t="s">
        <v>4213</v>
      </c>
      <c r="B8404" s="545" t="str">
        <f>VLOOKUP(H8403,COSTOS!C:M,2,0)</f>
        <v>Instalacion de CENTRO DE TRANSFORMACION, MONOFASICO, 25KVA, 13200-480/240 a Red de Media tension , TIPO HORIZONTAL, en poste existente</v>
      </c>
      <c r="C8404" s="546"/>
      <c r="D8404" s="546"/>
      <c r="E8404" s="547"/>
      <c r="F8404" s="61" t="s">
        <v>0</v>
      </c>
      <c r="G8404" s="328" t="str">
        <f>VLOOKUP(H8403,COSTOS!C:M,8,0)</f>
        <v>Und</v>
      </c>
      <c r="H8404" s="248"/>
      <c r="I8404" s="278"/>
      <c r="J8404" s="280"/>
      <c r="K8404" s="280"/>
      <c r="L8404" s="280"/>
    </row>
    <row r="8405" spans="1:15">
      <c r="A8405" s="211"/>
      <c r="B8405" s="102"/>
      <c r="C8405" s="102"/>
      <c r="D8405" s="102"/>
      <c r="E8405" s="103"/>
      <c r="F8405" s="104" t="s">
        <v>1</v>
      </c>
      <c r="G8405" s="328">
        <f>VLOOKUP(H8403,COSTOS!C:M,9,0)</f>
        <v>0</v>
      </c>
      <c r="H8405" s="329"/>
      <c r="I8405" s="279"/>
    </row>
    <row r="8406" spans="1:15">
      <c r="A8406" s="212" t="s">
        <v>4215</v>
      </c>
      <c r="B8406" s="65"/>
      <c r="C8406" s="65"/>
      <c r="D8406" s="66"/>
      <c r="E8406" s="190"/>
      <c r="F8406" s="191"/>
      <c r="G8406" s="192" t="s">
        <v>4216</v>
      </c>
      <c r="H8406" s="198" t="e">
        <f>H8412+H8432+H8436+H8442</f>
        <v>#VALUE!</v>
      </c>
    </row>
    <row r="8407" spans="1:15" ht="41.4">
      <c r="A8407" s="548" t="s">
        <v>4213</v>
      </c>
      <c r="B8407" s="548"/>
      <c r="C8407" s="548"/>
      <c r="D8407" s="67" t="s">
        <v>0</v>
      </c>
      <c r="E8407" s="188" t="s">
        <v>4217</v>
      </c>
      <c r="F8407" s="189" t="s">
        <v>4204</v>
      </c>
      <c r="G8407" s="64" t="s">
        <v>2</v>
      </c>
      <c r="H8407" s="199" t="s">
        <v>4218</v>
      </c>
      <c r="K8407" s="281"/>
    </row>
    <row r="8408" spans="1:15">
      <c r="A8408" s="517" t="s">
        <v>3946</v>
      </c>
      <c r="B8408" s="549">
        <f>VLOOKUP(A8408,'Equip, Herr y Transp'!$B$2:$E$738,2,0)</f>
        <v>2</v>
      </c>
      <c r="C8408" s="549"/>
      <c r="D8408" s="85">
        <f>VLOOKUP(A8408,'Equip, Herr y Transp'!$B$2:$E$217,2,0)</f>
        <v>2</v>
      </c>
      <c r="E8408" s="85" t="str">
        <f>VLOOKUP(A8408,'Equip, Herr y Transp'!$B$2:$E$217,3,0)</f>
        <v>EQU</v>
      </c>
      <c r="F8408" s="86">
        <f>H8398</f>
        <v>0.3125</v>
      </c>
      <c r="G8408" s="112" t="e">
        <f>F8408*E8408</f>
        <v>#VALUE!</v>
      </c>
      <c r="H8408" s="108"/>
    </row>
    <row r="8409" spans="1:15">
      <c r="A8409" s="517" t="s">
        <v>3894</v>
      </c>
      <c r="B8409" s="549">
        <f>VLOOKUP(A8409,'Equip, Herr y Transp'!$B$2:$E$738,2,0)</f>
        <v>4</v>
      </c>
      <c r="C8409" s="549"/>
      <c r="D8409" s="85">
        <f>VLOOKUP(A8409,'Equip, Herr y Transp'!$B$2:$E$217,2,0)</f>
        <v>4</v>
      </c>
      <c r="E8409" s="85" t="str">
        <f>VLOOKUP(A8409,'Equip, Herr y Transp'!$B$2:$E$217,3,0)</f>
        <v>TR</v>
      </c>
      <c r="F8409" s="86">
        <f>H8398</f>
        <v>0.3125</v>
      </c>
      <c r="G8409" s="112" t="e">
        <f>F8409*E8409</f>
        <v>#VALUE!</v>
      </c>
      <c r="H8409" s="107"/>
    </row>
    <row r="8410" spans="1:15">
      <c r="A8410" s="517" t="s">
        <v>3895</v>
      </c>
      <c r="B8410" s="549">
        <f>VLOOKUP(A8410,'Equip, Herr y Transp'!$B$2:$E$738,2,0)</f>
        <v>4</v>
      </c>
      <c r="C8410" s="549"/>
      <c r="D8410" s="85">
        <f>VLOOKUP(A8410,'Equip, Herr y Transp'!$B$2:$E$217,2,0)</f>
        <v>4</v>
      </c>
      <c r="E8410" s="85" t="str">
        <f>VLOOKUP(A8410,'Equip, Herr y Transp'!$B$2:$E$217,3,0)</f>
        <v>TR</v>
      </c>
      <c r="F8410" s="86">
        <f>H8398</f>
        <v>0.3125</v>
      </c>
      <c r="G8410" s="112" t="e">
        <f>F8410*E8410</f>
        <v>#VALUE!</v>
      </c>
      <c r="H8410" s="107"/>
    </row>
    <row r="8411" spans="1:15">
      <c r="A8411" s="517" t="s">
        <v>8</v>
      </c>
      <c r="B8411" s="549" t="e">
        <f>VLOOKUP(A8411,'Equip, Herr y Transp'!$B$2:$E$738,2,0)</f>
        <v>#N/A</v>
      </c>
      <c r="C8411" s="549"/>
      <c r="D8411" s="85" t="e">
        <f>VLOOKUP(A8411,'Equip, Herr y Transp'!$B$2:$E$217,2,0)</f>
        <v>#N/A</v>
      </c>
      <c r="E8411" s="85" t="e">
        <f>VLOOKUP(A8411,'Equip, Herr y Transp'!$B$2:$E$217,3,0)</f>
        <v>#N/A</v>
      </c>
      <c r="F8411" s="86">
        <f>H8398</f>
        <v>0.3125</v>
      </c>
      <c r="G8411" s="112" t="e">
        <f>F8411*E8411</f>
        <v>#N/A</v>
      </c>
      <c r="H8411" s="107"/>
    </row>
    <row r="8412" spans="1:15">
      <c r="A8412" s="520" t="s">
        <v>4099</v>
      </c>
      <c r="B8412" s="521"/>
      <c r="C8412" s="521"/>
      <c r="D8412" s="521"/>
      <c r="E8412" s="521"/>
      <c r="F8412" s="521"/>
      <c r="G8412" s="521"/>
      <c r="H8412" s="87" t="e">
        <f>SUM(G8408:G8411)</f>
        <v>#VALUE!</v>
      </c>
    </row>
    <row r="8413" spans="1:15">
      <c r="A8413" s="550" t="s">
        <v>4219</v>
      </c>
      <c r="B8413" s="551"/>
      <c r="C8413" s="551"/>
      <c r="D8413" s="551"/>
      <c r="E8413" s="551"/>
      <c r="F8413" s="551"/>
      <c r="G8413" s="551"/>
      <c r="H8413" s="552"/>
      <c r="K8413" s="50"/>
      <c r="L8413" s="50"/>
      <c r="M8413" s="50"/>
      <c r="N8413" s="50"/>
      <c r="O8413" s="50"/>
    </row>
    <row r="8414" spans="1:15" ht="30" customHeight="1">
      <c r="A8414" s="553" t="s">
        <v>7</v>
      </c>
      <c r="B8414" s="554"/>
      <c r="C8414" s="99" t="s">
        <v>0</v>
      </c>
      <c r="D8414" s="100" t="s">
        <v>4097</v>
      </c>
      <c r="E8414" s="101" t="s">
        <v>1</v>
      </c>
      <c r="F8414" s="555" t="s">
        <v>4207</v>
      </c>
      <c r="G8414" s="555"/>
      <c r="H8414" s="196"/>
      <c r="K8414" s="50"/>
      <c r="L8414" s="50"/>
      <c r="M8414" s="50"/>
      <c r="N8414" s="50"/>
      <c r="O8414" s="50"/>
    </row>
    <row r="8415" spans="1:15">
      <c r="A8415" s="535" t="s">
        <v>4502</v>
      </c>
      <c r="B8415" s="536"/>
      <c r="C8415" s="88">
        <f>VLOOKUP(A8415,'Materiales '!$C$2:$G$396,3,0)</f>
        <v>4</v>
      </c>
      <c r="D8415" s="89" t="str">
        <f>VLOOKUP(A8415,'Materiales '!$C$2:$G$396,4,0)</f>
        <v>Und</v>
      </c>
      <c r="E8415" s="90">
        <v>2</v>
      </c>
      <c r="F8415" s="508" t="e">
        <f>E8415*D8415</f>
        <v>#VALUE!</v>
      </c>
      <c r="G8415" s="519"/>
      <c r="H8415" s="111"/>
      <c r="I8415">
        <f>E8415*G8405</f>
        <v>0</v>
      </c>
      <c r="J8415" s="57"/>
      <c r="K8415" s="50"/>
      <c r="L8415" s="50"/>
      <c r="M8415" s="50"/>
      <c r="N8415" s="50"/>
      <c r="O8415" s="50"/>
    </row>
    <row r="8416" spans="1:15">
      <c r="A8416" s="535" t="s">
        <v>4503</v>
      </c>
      <c r="B8416" s="536"/>
      <c r="C8416" s="88">
        <f>VLOOKUP(A8416,'Materiales '!$C$2:$G$396,3,0)</f>
        <v>4</v>
      </c>
      <c r="D8416" s="89" t="str">
        <f>VLOOKUP(A8416,'Materiales '!$C$2:$G$396,4,0)</f>
        <v>Und</v>
      </c>
      <c r="E8416" s="90">
        <v>2</v>
      </c>
      <c r="F8416" s="508" t="e">
        <f t="shared" ref="F8416:F8422" si="490">E8416*D8416</f>
        <v>#VALUE!</v>
      </c>
      <c r="G8416" s="519"/>
      <c r="H8416" s="111"/>
      <c r="I8416">
        <f>E8416*G8405</f>
        <v>0</v>
      </c>
      <c r="J8416" s="57"/>
      <c r="K8416" s="50"/>
      <c r="L8416" s="50"/>
      <c r="M8416" s="50"/>
      <c r="N8416" s="50"/>
      <c r="O8416" s="50"/>
    </row>
    <row r="8417" spans="1:15">
      <c r="A8417" s="517" t="s">
        <v>4545</v>
      </c>
      <c r="B8417" s="518">
        <f>VLOOKUP(A8417,'Materiales '!$C$2:$G$396,3,0)</f>
        <v>4</v>
      </c>
      <c r="C8417" s="88">
        <f>VLOOKUP(A8417,'Materiales '!$C$2:$G$396,3,0)</f>
        <v>4</v>
      </c>
      <c r="D8417" s="89" t="str">
        <f>VLOOKUP(A8417,'Materiales '!$C$2:$G$396,4,0)</f>
        <v>Und</v>
      </c>
      <c r="E8417" s="90">
        <v>2</v>
      </c>
      <c r="F8417" s="508" t="e">
        <f t="shared" si="490"/>
        <v>#VALUE!</v>
      </c>
      <c r="G8417" s="519"/>
      <c r="H8417" s="111"/>
      <c r="I8417">
        <f>E8417*G8405</f>
        <v>0</v>
      </c>
      <c r="J8417" s="58"/>
      <c r="K8417" s="50"/>
      <c r="L8417" s="50"/>
      <c r="M8417" s="50"/>
      <c r="N8417" s="50"/>
      <c r="O8417" s="50"/>
    </row>
    <row r="8418" spans="1:15">
      <c r="A8418" s="517" t="s">
        <v>4447</v>
      </c>
      <c r="B8418" s="518">
        <f>VLOOKUP(A8418,'Materiales '!$C$2:$G$396,3,0)</f>
        <v>2</v>
      </c>
      <c r="C8418" s="88">
        <f>VLOOKUP(A8418,'Materiales '!$C$2:$G$396,3,0)</f>
        <v>2</v>
      </c>
      <c r="D8418" s="89" t="str">
        <f>VLOOKUP(A8418,'Materiales '!$C$2:$G$396,4,0)</f>
        <v>Ml</v>
      </c>
      <c r="E8418" s="90">
        <v>20</v>
      </c>
      <c r="F8418" s="508" t="e">
        <f t="shared" si="490"/>
        <v>#VALUE!</v>
      </c>
      <c r="G8418" s="519"/>
      <c r="H8418" s="111"/>
      <c r="I8418">
        <f>E8418*G8405</f>
        <v>0</v>
      </c>
      <c r="J8418" s="58"/>
      <c r="K8418" s="50"/>
      <c r="L8418" s="50"/>
      <c r="M8418" s="50"/>
      <c r="N8418" s="50"/>
      <c r="O8418" s="50"/>
    </row>
    <row r="8419" spans="1:15">
      <c r="A8419" s="517" t="s">
        <v>4434</v>
      </c>
      <c r="B8419" s="518">
        <f>VLOOKUP(A8419,'Materiales '!$C$2:$G$396,3,0)</f>
        <v>2</v>
      </c>
      <c r="C8419" s="88">
        <f>VLOOKUP(A8419,'Materiales '!$C$2:$G$396,3,0)</f>
        <v>2</v>
      </c>
      <c r="D8419" s="89" t="str">
        <f>VLOOKUP(A8419,'Materiales '!$C$2:$G$396,4,0)</f>
        <v>Ml</v>
      </c>
      <c r="E8419" s="90">
        <v>15</v>
      </c>
      <c r="F8419" s="508" t="e">
        <f t="shared" si="490"/>
        <v>#VALUE!</v>
      </c>
      <c r="G8419" s="519"/>
      <c r="H8419" s="111"/>
      <c r="I8419">
        <f>E8419*G8405</f>
        <v>0</v>
      </c>
      <c r="J8419" s="58"/>
      <c r="K8419" s="50"/>
      <c r="L8419" s="50"/>
      <c r="M8419" s="50"/>
      <c r="N8419" s="50"/>
      <c r="O8419" s="50"/>
    </row>
    <row r="8420" spans="1:15">
      <c r="A8420" s="517" t="s">
        <v>4511</v>
      </c>
      <c r="B8420" s="518">
        <f>VLOOKUP(A8420,'Materiales '!$C$2:$G$396,3,0)</f>
        <v>4</v>
      </c>
      <c r="C8420" s="88">
        <f>VLOOKUP(A8420,'Materiales '!$C$2:$G$396,3,0)</f>
        <v>4</v>
      </c>
      <c r="D8420" s="89" t="str">
        <f>VLOOKUP(A8420,'Materiales '!$C$2:$G$396,4,0)</f>
        <v>Und</v>
      </c>
      <c r="E8420" s="90">
        <v>2</v>
      </c>
      <c r="F8420" s="508" t="e">
        <f t="shared" si="490"/>
        <v>#VALUE!</v>
      </c>
      <c r="G8420" s="519"/>
      <c r="H8420" s="111"/>
      <c r="I8420">
        <f>E8420*G8405</f>
        <v>0</v>
      </c>
      <c r="J8420" s="58"/>
      <c r="K8420" s="50"/>
      <c r="L8420" s="50"/>
      <c r="M8420" s="50"/>
      <c r="N8420" s="50"/>
      <c r="O8420" s="50"/>
    </row>
    <row r="8421" spans="1:15">
      <c r="A8421" s="517" t="s">
        <v>4522</v>
      </c>
      <c r="B8421" s="518">
        <f>VLOOKUP(A8421,'Materiales '!$C$2:$G$396,3,0)</f>
        <v>4</v>
      </c>
      <c r="C8421" s="88">
        <f>VLOOKUP(A8421,'Materiales '!$C$2:$G$396,3,0)</f>
        <v>4</v>
      </c>
      <c r="D8421" s="89" t="str">
        <f>VLOOKUP(A8421,'Materiales '!$C$2:$G$396,4,0)</f>
        <v>Und</v>
      </c>
      <c r="E8421" s="90">
        <v>2</v>
      </c>
      <c r="F8421" s="508" t="e">
        <f t="shared" si="490"/>
        <v>#VALUE!</v>
      </c>
      <c r="G8421" s="519"/>
      <c r="H8421" s="111"/>
      <c r="I8421">
        <f>E8421*G8405</f>
        <v>0</v>
      </c>
      <c r="J8421" s="58"/>
      <c r="K8421" s="50"/>
      <c r="L8421" s="50"/>
      <c r="M8421" s="50"/>
      <c r="N8421" s="50"/>
      <c r="O8421" s="50"/>
    </row>
    <row r="8422" spans="1:15" ht="21.75" customHeight="1">
      <c r="A8422" s="517" t="s">
        <v>4517</v>
      </c>
      <c r="B8422" s="518">
        <f>VLOOKUP(A8422,'Materiales '!$C$2:$G$396,3,0)</f>
        <v>4</v>
      </c>
      <c r="C8422" s="88">
        <f>VLOOKUP(A8422,'Materiales '!$C$2:$G$396,3,0)</f>
        <v>4</v>
      </c>
      <c r="D8422" s="89" t="str">
        <f>VLOOKUP(A8422,'Materiales '!$C$2:$G$396,4,0)</f>
        <v>Und</v>
      </c>
      <c r="E8422" s="90">
        <v>2</v>
      </c>
      <c r="F8422" s="508" t="e">
        <f t="shared" si="490"/>
        <v>#VALUE!</v>
      </c>
      <c r="G8422" s="519"/>
      <c r="H8422" s="111"/>
      <c r="I8422">
        <f>E8422*G8405</f>
        <v>0</v>
      </c>
      <c r="J8422" s="58"/>
      <c r="K8422" s="50"/>
      <c r="L8422" s="50"/>
      <c r="M8422" s="50"/>
      <c r="N8422" s="50"/>
      <c r="O8422" s="50"/>
    </row>
    <row r="8423" spans="1:15">
      <c r="A8423" s="517" t="s">
        <v>4809</v>
      </c>
      <c r="B8423" s="518">
        <f>VLOOKUP(A8423,'Materiales '!$C$2:$G$396,3,0)</f>
        <v>4</v>
      </c>
      <c r="C8423" s="88">
        <f>VLOOKUP(A8423,'Materiales '!$C$2:$G$396,3,0)</f>
        <v>4</v>
      </c>
      <c r="D8423" s="89" t="str">
        <f>VLOOKUP(A8423,'Materiales '!$C$2:$G$396,4,0)</f>
        <v>Und</v>
      </c>
      <c r="E8423" s="90">
        <v>1</v>
      </c>
      <c r="F8423" s="508" t="e">
        <f>E8423*D8423</f>
        <v>#VALUE!</v>
      </c>
      <c r="G8423" s="519"/>
      <c r="H8423" s="110"/>
      <c r="I8423">
        <f>E8423*G8405</f>
        <v>0</v>
      </c>
      <c r="J8423" s="58"/>
      <c r="K8423" s="50"/>
      <c r="L8423" s="50"/>
      <c r="M8423" s="50"/>
      <c r="N8423" s="50"/>
      <c r="O8423" s="50"/>
    </row>
    <row r="8424" spans="1:15">
      <c r="A8424" s="517" t="s">
        <v>4474</v>
      </c>
      <c r="B8424" s="518">
        <f>VLOOKUP(A8424,'Materiales '!$C$2:$G$396,3,0)</f>
        <v>4</v>
      </c>
      <c r="C8424" s="88">
        <f>VLOOKUP(A8424,'Materiales '!$C$2:$G$396,3,0)</f>
        <v>4</v>
      </c>
      <c r="D8424" s="89" t="str">
        <f>VLOOKUP(A8424,'Materiales '!$C$2:$G$396,4,0)</f>
        <v>Und</v>
      </c>
      <c r="E8424" s="90">
        <v>2</v>
      </c>
      <c r="F8424" s="508" t="e">
        <f t="shared" ref="F8424:F8429" si="491">E8424*D8424</f>
        <v>#VALUE!</v>
      </c>
      <c r="G8424" s="519"/>
      <c r="H8424" s="111"/>
      <c r="I8424">
        <f>E8424*G8405</f>
        <v>0</v>
      </c>
      <c r="J8424" s="58"/>
      <c r="K8424" s="50"/>
      <c r="L8424" s="50"/>
      <c r="M8424" s="50"/>
      <c r="N8424" s="50"/>
      <c r="O8424" s="50"/>
    </row>
    <row r="8425" spans="1:15">
      <c r="A8425" s="517" t="s">
        <v>4488</v>
      </c>
      <c r="B8425" s="518">
        <f>VLOOKUP(A8425,'Materiales '!$C$2:$G$396,3,0)</f>
        <v>4</v>
      </c>
      <c r="C8425" s="88">
        <f>VLOOKUP(A8425,'Materiales '!$C$2:$G$396,3,0)</f>
        <v>4</v>
      </c>
      <c r="D8425" s="89" t="str">
        <f>VLOOKUP(A8425,'Materiales '!$C$2:$G$396,4,0)</f>
        <v>Und</v>
      </c>
      <c r="E8425" s="90">
        <v>1</v>
      </c>
      <c r="F8425" s="508" t="e">
        <f t="shared" si="491"/>
        <v>#VALUE!</v>
      </c>
      <c r="G8425" s="519"/>
      <c r="H8425" s="111"/>
      <c r="I8425">
        <f>E8425*G8405</f>
        <v>0</v>
      </c>
      <c r="J8425" s="58"/>
      <c r="K8425" s="50"/>
      <c r="L8425" s="50"/>
      <c r="M8425" s="50"/>
      <c r="N8425" s="50"/>
      <c r="O8425" s="50"/>
    </row>
    <row r="8426" spans="1:15">
      <c r="A8426" s="517" t="s">
        <v>4534</v>
      </c>
      <c r="B8426" s="518">
        <f>VLOOKUP(A8426,'Materiales '!$C$2:$G$396,3,0)</f>
        <v>4</v>
      </c>
      <c r="C8426" s="88">
        <f>VLOOKUP(A8426,'Materiales '!$C$2:$G$396,3,0)</f>
        <v>4</v>
      </c>
      <c r="D8426" s="89" t="str">
        <f>VLOOKUP(A8426,'Materiales '!$C$2:$G$396,4,0)</f>
        <v>Und</v>
      </c>
      <c r="E8426" s="90">
        <v>1</v>
      </c>
      <c r="F8426" s="508" t="e">
        <f t="shared" si="491"/>
        <v>#VALUE!</v>
      </c>
      <c r="G8426" s="519"/>
      <c r="H8426" s="111"/>
      <c r="I8426">
        <f>E8426*G8405</f>
        <v>0</v>
      </c>
      <c r="J8426" s="58"/>
      <c r="K8426" s="50"/>
      <c r="L8426" s="50"/>
      <c r="M8426" s="50"/>
      <c r="N8426" s="50"/>
      <c r="O8426" s="50"/>
    </row>
    <row r="8427" spans="1:15">
      <c r="A8427" s="517" t="s">
        <v>4574</v>
      </c>
      <c r="B8427" s="518">
        <f>VLOOKUP(A8427,'Materiales '!$C$2:$G$396,3,0)</f>
        <v>4</v>
      </c>
      <c r="C8427" s="88">
        <f>VLOOKUP(A8427,'Materiales '!$C$2:$G$396,3,0)</f>
        <v>4</v>
      </c>
      <c r="D8427" s="89" t="str">
        <f>VLOOKUP(A8427,'Materiales '!$C$2:$G$396,4,0)</f>
        <v>Und</v>
      </c>
      <c r="E8427" s="90">
        <v>1</v>
      </c>
      <c r="F8427" s="508" t="e">
        <f t="shared" si="491"/>
        <v>#VALUE!</v>
      </c>
      <c r="G8427" s="519"/>
      <c r="H8427" s="111"/>
      <c r="I8427">
        <f>E8427*G8405</f>
        <v>0</v>
      </c>
      <c r="J8427" s="58"/>
      <c r="K8427" s="50"/>
      <c r="L8427" s="50"/>
      <c r="M8427" s="50"/>
      <c r="N8427" s="50"/>
      <c r="O8427" s="50"/>
    </row>
    <row r="8428" spans="1:15">
      <c r="A8428" s="517" t="s">
        <v>4538</v>
      </c>
      <c r="B8428" s="518">
        <f>VLOOKUP(A8428,'Materiales '!$C$2:$G$396,3,0)</f>
        <v>4</v>
      </c>
      <c r="C8428" s="88">
        <f>VLOOKUP(A8428,'Materiales '!$C$2:$G$396,3,0)</f>
        <v>4</v>
      </c>
      <c r="D8428" s="89" t="str">
        <f>VLOOKUP(A8428,'Materiales '!$C$2:$G$396,4,0)</f>
        <v>Und</v>
      </c>
      <c r="E8428" s="90">
        <v>1</v>
      </c>
      <c r="F8428" s="508" t="e">
        <f t="shared" si="491"/>
        <v>#VALUE!</v>
      </c>
      <c r="G8428" s="519"/>
      <c r="H8428" s="111"/>
      <c r="I8428">
        <f>E8428*G8405</f>
        <v>0</v>
      </c>
      <c r="J8428" s="58"/>
      <c r="K8428" s="50"/>
      <c r="L8428" s="50"/>
      <c r="M8428" s="50"/>
      <c r="N8428" s="50"/>
      <c r="O8428" s="50"/>
    </row>
    <row r="8429" spans="1:15">
      <c r="A8429" s="517" t="s">
        <v>4510</v>
      </c>
      <c r="B8429" s="518">
        <f>VLOOKUP(A8429,'Materiales '!$C$2:$G$396,3,0)</f>
        <v>4</v>
      </c>
      <c r="C8429" s="88">
        <f>VLOOKUP(A8429,'Materiales '!$C$2:$G$396,3,0)</f>
        <v>4</v>
      </c>
      <c r="D8429" s="89" t="str">
        <f>VLOOKUP(A8429,'Materiales '!$C$2:$G$396,4,0)</f>
        <v>Und</v>
      </c>
      <c r="E8429" s="90">
        <v>1</v>
      </c>
      <c r="F8429" s="508" t="e">
        <f t="shared" si="491"/>
        <v>#VALUE!</v>
      </c>
      <c r="G8429" s="519"/>
      <c r="H8429" s="111"/>
      <c r="I8429">
        <f>E8429*G8405</f>
        <v>0</v>
      </c>
      <c r="J8429" s="58"/>
      <c r="K8429" s="50"/>
      <c r="L8429" s="50"/>
      <c r="M8429" s="50"/>
      <c r="N8429" s="50"/>
      <c r="O8429" s="50"/>
    </row>
    <row r="8430" spans="1:15">
      <c r="A8430" s="517" t="s">
        <v>4485</v>
      </c>
      <c r="B8430" s="518">
        <f>VLOOKUP(A8430,'Materiales '!$C$2:$G$396,3,0)</f>
        <v>2</v>
      </c>
      <c r="C8430" s="88">
        <f>VLOOKUP(A8430,'Materiales '!$C$2:$G$396,3,0)</f>
        <v>2</v>
      </c>
      <c r="D8430" s="89" t="str">
        <f>VLOOKUP(A8430,'Materiales '!$C$2:$G$396,4,0)</f>
        <v>Ml</v>
      </c>
      <c r="E8430" s="90">
        <v>2</v>
      </c>
      <c r="F8430" s="508" t="e">
        <f>E8430*D8430</f>
        <v>#VALUE!</v>
      </c>
      <c r="G8430" s="519"/>
      <c r="H8430" s="110"/>
      <c r="I8430">
        <f>E8430*G8405</f>
        <v>0</v>
      </c>
      <c r="J8430" s="58"/>
      <c r="K8430" s="50"/>
      <c r="L8430" s="50"/>
      <c r="M8430" s="50"/>
      <c r="N8430" s="50"/>
      <c r="O8430" s="50"/>
    </row>
    <row r="8431" spans="1:15">
      <c r="A8431" s="517" t="s">
        <v>4483</v>
      </c>
      <c r="B8431" s="518">
        <f>VLOOKUP(A8431,'Materiales '!$C$2:$G$396,3,0)</f>
        <v>4</v>
      </c>
      <c r="C8431" s="88">
        <f>VLOOKUP(A8431,'Materiales '!$C$2:$G$396,3,0)</f>
        <v>4</v>
      </c>
      <c r="D8431" s="89" t="str">
        <f>VLOOKUP(A8431,'Materiales '!$C$2:$G$396,4,0)</f>
        <v>Und</v>
      </c>
      <c r="E8431" s="90">
        <v>2</v>
      </c>
      <c r="F8431" s="508" t="e">
        <f>E8431*D8431</f>
        <v>#VALUE!</v>
      </c>
      <c r="G8431" s="519"/>
      <c r="H8431" s="110"/>
      <c r="I8431">
        <f>E8431*G8405</f>
        <v>0</v>
      </c>
      <c r="J8431" s="58"/>
      <c r="K8431" s="50"/>
      <c r="L8431" s="50"/>
      <c r="M8431" s="50"/>
      <c r="N8431" s="50"/>
      <c r="O8431" s="50"/>
    </row>
    <row r="8432" spans="1:15">
      <c r="A8432" s="520" t="s">
        <v>4098</v>
      </c>
      <c r="B8432" s="521"/>
      <c r="C8432" s="521"/>
      <c r="D8432" s="521"/>
      <c r="E8432" s="521"/>
      <c r="F8432" s="521"/>
      <c r="G8432" s="522"/>
      <c r="H8432" s="106" t="e">
        <f>SUM(F8415:F8431)</f>
        <v>#VALUE!</v>
      </c>
      <c r="J8432" s="58"/>
      <c r="K8432" s="50"/>
      <c r="L8432" s="50"/>
      <c r="M8432" s="50"/>
      <c r="N8432" s="50"/>
      <c r="O8432" s="50"/>
    </row>
    <row r="8433" spans="1:15">
      <c r="A8433" s="523" t="s">
        <v>4220</v>
      </c>
      <c r="B8433" s="524"/>
      <c r="C8433" s="524"/>
      <c r="D8433" s="524"/>
      <c r="E8433" s="525"/>
      <c r="F8433" s="524"/>
      <c r="G8433" s="524"/>
      <c r="H8433" s="526"/>
      <c r="J8433" s="58"/>
      <c r="K8433" s="50"/>
      <c r="L8433" s="50"/>
      <c r="M8433" s="50"/>
      <c r="N8433" s="50"/>
      <c r="O8433" s="50"/>
    </row>
    <row r="8434" spans="1:15">
      <c r="A8434" s="527" t="s">
        <v>7</v>
      </c>
      <c r="B8434" s="528"/>
      <c r="C8434" s="98" t="s">
        <v>4221</v>
      </c>
      <c r="D8434" s="97" t="s">
        <v>4222</v>
      </c>
      <c r="E8434" s="187" t="s">
        <v>4223</v>
      </c>
      <c r="F8434" s="529" t="s">
        <v>4207</v>
      </c>
      <c r="G8434" s="529"/>
      <c r="H8434" s="109"/>
      <c r="K8434" s="50"/>
      <c r="L8434" s="50"/>
      <c r="M8434" s="50"/>
      <c r="N8434" s="50"/>
      <c r="O8434" s="50"/>
    </row>
    <row r="8435" spans="1:15">
      <c r="A8435" s="506" t="s">
        <v>3928</v>
      </c>
      <c r="B8435" s="507"/>
      <c r="C8435" s="213">
        <v>1</v>
      </c>
      <c r="D8435" s="92">
        <v>0.1</v>
      </c>
      <c r="E8435" s="93" t="str">
        <f>VLOOKUP(A8435,'Equip, Herr y Transp'!$B$2:$E$217,3,0)</f>
        <v>TR</v>
      </c>
      <c r="F8435" s="530" t="e">
        <f>E8435*D8435*C8435</f>
        <v>#VALUE!</v>
      </c>
      <c r="G8435" s="531"/>
      <c r="H8435" s="107"/>
      <c r="M8435" s="50"/>
    </row>
    <row r="8436" spans="1:15">
      <c r="A8436" s="532" t="s">
        <v>4205</v>
      </c>
      <c r="B8436" s="533"/>
      <c r="C8436" s="533"/>
      <c r="D8436" s="533"/>
      <c r="E8436" s="533"/>
      <c r="F8436" s="533"/>
      <c r="G8436" s="533"/>
      <c r="H8436" s="95" t="e">
        <f>F8435</f>
        <v>#VALUE!</v>
      </c>
    </row>
    <row r="8437" spans="1:15">
      <c r="A8437" s="523" t="s">
        <v>4224</v>
      </c>
      <c r="B8437" s="524"/>
      <c r="C8437" s="524"/>
      <c r="D8437" s="524"/>
      <c r="E8437" s="524"/>
      <c r="F8437" s="524"/>
      <c r="G8437" s="524"/>
      <c r="H8437" s="526"/>
    </row>
    <row r="8438" spans="1:15">
      <c r="A8438" s="527" t="s">
        <v>7</v>
      </c>
      <c r="B8438" s="528"/>
      <c r="C8438" s="96" t="s">
        <v>1</v>
      </c>
      <c r="D8438" s="97" t="s">
        <v>4225</v>
      </c>
      <c r="E8438" s="98" t="s">
        <v>4204</v>
      </c>
      <c r="F8438" s="527" t="s">
        <v>5</v>
      </c>
      <c r="G8438" s="534"/>
      <c r="H8438" s="109"/>
    </row>
    <row r="8439" spans="1:15">
      <c r="A8439" s="506" t="s">
        <v>4191</v>
      </c>
      <c r="B8439" s="507"/>
      <c r="C8439" s="91">
        <v>1</v>
      </c>
      <c r="D8439" s="94">
        <f>VLOOKUP(A8439,'Mano Obra'!$B$2:$T$117,19,0)</f>
        <v>152456</v>
      </c>
      <c r="E8439" s="218">
        <f>H8398</f>
        <v>0.3125</v>
      </c>
      <c r="F8439" s="508">
        <f>E8439*D8439*C8439</f>
        <v>47642.5</v>
      </c>
      <c r="G8439" s="509"/>
      <c r="H8439" s="111"/>
      <c r="I8439" s="59"/>
      <c r="J8439" s="117">
        <f>((('Mano Obra'!$M$4/30)*F8439)/D8439)*G8405</f>
        <v>0</v>
      </c>
    </row>
    <row r="8440" spans="1:15">
      <c r="A8440" s="510" t="s">
        <v>4192</v>
      </c>
      <c r="B8440" s="511">
        <f>VLOOKUP(A8440,'Mano Obra'!$B$3:$D$290,2,0)</f>
        <v>1900000</v>
      </c>
      <c r="C8440" s="91">
        <v>2</v>
      </c>
      <c r="D8440" s="94">
        <f>VLOOKUP(A8440,'Mano Obra'!$B$2:$T$117,19,0)</f>
        <v>110488</v>
      </c>
      <c r="E8440" s="218">
        <f>H8398</f>
        <v>0.3125</v>
      </c>
      <c r="F8440" s="508">
        <f t="shared" ref="F8440:F8441" si="492">E8440*D8440*C8440</f>
        <v>69055</v>
      </c>
      <c r="G8440" s="509"/>
      <c r="H8440" s="111"/>
      <c r="J8440" s="117">
        <f>((('Mano Obra'!$M$5/30)*F8440)/D8440)*G8405</f>
        <v>0</v>
      </c>
    </row>
    <row r="8441" spans="1:15">
      <c r="A8441" s="510" t="s">
        <v>4181</v>
      </c>
      <c r="B8441" s="511">
        <f>VLOOKUP(A8441,'Mano Obra'!$B$3:$D$290,2,0)</f>
        <v>1000000</v>
      </c>
      <c r="C8441" s="91">
        <v>2</v>
      </c>
      <c r="D8441" s="94">
        <f>VLOOKUP(A8441,'Mano Obra'!$B$2:$T$117,19,0)</f>
        <v>67424</v>
      </c>
      <c r="E8441" s="218">
        <f>H8398</f>
        <v>0.3125</v>
      </c>
      <c r="F8441" s="508">
        <f t="shared" si="492"/>
        <v>42140</v>
      </c>
      <c r="G8441" s="509"/>
      <c r="H8441" s="110"/>
      <c r="J8441" s="117">
        <f>((('Mano Obra'!$M$6/30)*F8441)/D8441)*G8405</f>
        <v>0</v>
      </c>
    </row>
    <row r="8442" spans="1:15">
      <c r="A8442" s="512" t="s">
        <v>4100</v>
      </c>
      <c r="B8442" s="512"/>
      <c r="C8442" s="512"/>
      <c r="D8442" s="512"/>
      <c r="E8442" s="512"/>
      <c r="F8442" s="512"/>
      <c r="G8442" s="512"/>
      <c r="H8442" s="95">
        <f>SUM(F8439:F8441)</f>
        <v>158837.5</v>
      </c>
      <c r="J8442" s="117"/>
    </row>
    <row r="8443" spans="1:15">
      <c r="A8443" s="208" t="s">
        <v>4226</v>
      </c>
      <c r="B8443" s="186"/>
      <c r="C8443" s="186"/>
      <c r="D8443" s="183"/>
      <c r="E8443" s="184"/>
      <c r="F8443" s="185"/>
      <c r="G8443" s="184"/>
      <c r="H8443" s="193"/>
    </row>
    <row r="8444" spans="1:15">
      <c r="A8444" s="513" t="s">
        <v>4213</v>
      </c>
      <c r="B8444" s="514"/>
      <c r="C8444" s="514"/>
      <c r="D8444" s="514"/>
      <c r="E8444" s="181"/>
      <c r="F8444" s="182" t="s">
        <v>4227</v>
      </c>
      <c r="G8444" s="181" t="s">
        <v>4228</v>
      </c>
      <c r="H8444" s="194"/>
    </row>
    <row r="8445" spans="1:15">
      <c r="A8445" s="204" t="s">
        <v>4096</v>
      </c>
      <c r="B8445" s="62"/>
      <c r="C8445" s="62"/>
      <c r="D8445" s="63"/>
      <c r="E8445" s="68"/>
      <c r="F8445" s="69">
        <v>0</v>
      </c>
      <c r="G8445" s="70" t="e">
        <f>F8445*H8406</f>
        <v>#VALUE!</v>
      </c>
      <c r="H8445" s="193"/>
    </row>
    <row r="8446" spans="1:15">
      <c r="A8446" s="205" t="s">
        <v>4229</v>
      </c>
      <c r="B8446" s="71"/>
      <c r="C8446" s="71"/>
      <c r="D8446" s="72"/>
      <c r="E8446" s="68"/>
      <c r="F8446" s="69">
        <v>0</v>
      </c>
      <c r="G8446" s="70" t="e">
        <f>F8446*H8406</f>
        <v>#VALUE!</v>
      </c>
      <c r="H8446" s="193"/>
    </row>
    <row r="8447" spans="1:15">
      <c r="A8447" s="205" t="s">
        <v>4</v>
      </c>
      <c r="B8447" s="71"/>
      <c r="C8447" s="71"/>
      <c r="D8447" s="72"/>
      <c r="E8447" s="68"/>
      <c r="F8447" s="69">
        <v>0</v>
      </c>
      <c r="G8447" s="70" t="e">
        <f>F8447*H8406</f>
        <v>#VALUE!</v>
      </c>
      <c r="H8447" s="193"/>
    </row>
    <row r="8448" spans="1:15">
      <c r="A8448" s="206"/>
      <c r="B8448" s="73"/>
      <c r="C8448" s="65"/>
      <c r="D8448" s="74"/>
      <c r="E8448" s="75"/>
      <c r="F8448" s="76"/>
      <c r="G8448" s="77"/>
      <c r="H8448" s="195"/>
    </row>
    <row r="8449" spans="1:14">
      <c r="A8449" s="207"/>
      <c r="B8449" s="73"/>
      <c r="C8449" s="73"/>
      <c r="D8449" s="74"/>
      <c r="E8449" s="78"/>
      <c r="F8449" s="515" t="s">
        <v>4230</v>
      </c>
      <c r="G8449" s="516"/>
      <c r="H8449" s="214" t="e">
        <f>H8406+G8445+G8446+G8447</f>
        <v>#VALUE!</v>
      </c>
    </row>
    <row r="8450" spans="1:14">
      <c r="A8450" s="73"/>
      <c r="B8450" s="73"/>
      <c r="C8450" s="73"/>
      <c r="D8450" s="74"/>
      <c r="E8450" s="360"/>
      <c r="F8450" s="361"/>
      <c r="G8450" s="361"/>
      <c r="H8450" s="362"/>
    </row>
    <row r="8451" spans="1:14">
      <c r="A8451" s="80"/>
      <c r="B8451" s="80"/>
      <c r="C8451" s="80"/>
      <c r="D8451" s="80"/>
      <c r="E8451" s="80"/>
      <c r="F8451" s="80"/>
      <c r="G8451" s="80"/>
      <c r="H8451" s="353"/>
    </row>
    <row r="8452" spans="1:14">
      <c r="A8452" s="537" t="s">
        <v>4214</v>
      </c>
      <c r="B8452" s="538"/>
      <c r="C8452" s="538"/>
      <c r="D8452" s="538"/>
      <c r="E8452" s="538"/>
      <c r="F8452" s="538"/>
      <c r="G8452" s="538"/>
      <c r="H8452" s="539"/>
    </row>
    <row r="8453" spans="1:14">
      <c r="A8453" s="81"/>
      <c r="B8453" s="82"/>
      <c r="C8453" s="82"/>
      <c r="D8453" s="82"/>
      <c r="E8453" s="82"/>
      <c r="F8453" s="83"/>
      <c r="G8453" s="84"/>
      <c r="H8453" s="352">
        <f>ROUND((200/60)/8,4)</f>
        <v>0.41670000000000001</v>
      </c>
      <c r="I8453" s="105"/>
    </row>
    <row r="8454" spans="1:14">
      <c r="A8454" s="540" t="s">
        <v>4209</v>
      </c>
      <c r="B8454" s="542" t="str">
        <f>COSTOS!$C$14</f>
        <v>MODERNIZACION A TECNOLOGIA LED</v>
      </c>
      <c r="C8454" s="542"/>
      <c r="D8454" s="542"/>
      <c r="E8454" s="542"/>
      <c r="F8454" s="542"/>
      <c r="G8454" s="542"/>
      <c r="H8454" s="543" t="s">
        <v>4210</v>
      </c>
    </row>
    <row r="8455" spans="1:14">
      <c r="A8455" s="541"/>
      <c r="B8455" s="542"/>
      <c r="C8455" s="542"/>
      <c r="D8455" s="542"/>
      <c r="E8455" s="542"/>
      <c r="F8455" s="542"/>
      <c r="G8455" s="542"/>
      <c r="H8455" s="543"/>
    </row>
    <row r="8456" spans="1:14">
      <c r="A8456" s="541"/>
      <c r="B8456" s="542"/>
      <c r="C8456" s="542"/>
      <c r="D8456" s="542"/>
      <c r="E8456" s="542"/>
      <c r="F8456" s="542"/>
      <c r="G8456" s="542"/>
      <c r="H8456" s="543"/>
    </row>
    <row r="8457" spans="1:14" ht="15" customHeight="1">
      <c r="A8457" s="541"/>
      <c r="B8457" s="542"/>
      <c r="C8457" s="542"/>
      <c r="D8457" s="542"/>
      <c r="E8457" s="542"/>
      <c r="F8457" s="542"/>
      <c r="G8457" s="542"/>
      <c r="H8457" s="197">
        <f ca="1">TODAY()</f>
        <v>44889</v>
      </c>
      <c r="K8457" t="s">
        <v>4380</v>
      </c>
      <c r="L8457" t="s">
        <v>4381</v>
      </c>
      <c r="M8457" t="s">
        <v>4382</v>
      </c>
      <c r="N8457" t="s">
        <v>4383</v>
      </c>
    </row>
    <row r="8458" spans="1:14" ht="60.75" customHeight="1">
      <c r="A8458" s="209" t="s">
        <v>4211</v>
      </c>
      <c r="B8458" s="544" t="str">
        <f>COSTOS!$D$16</f>
        <v>Luminarias</v>
      </c>
      <c r="C8458" s="544"/>
      <c r="D8458" s="544"/>
      <c r="E8458" s="544"/>
      <c r="F8458" s="544"/>
      <c r="G8458" s="60" t="s">
        <v>4212</v>
      </c>
      <c r="H8458" s="359">
        <v>4.9000000000000004</v>
      </c>
      <c r="K8458" s="55" t="e">
        <f>H8487</f>
        <v>#VALUE!</v>
      </c>
      <c r="L8458" s="55">
        <f>H8497</f>
        <v>211800.27600000001</v>
      </c>
      <c r="M8458" s="55" t="e">
        <f>H8467</f>
        <v>#VALUE!</v>
      </c>
      <c r="N8458" s="55" t="e">
        <f>H8491</f>
        <v>#VALUE!</v>
      </c>
    </row>
    <row r="8459" spans="1:14" ht="43.2" customHeight="1">
      <c r="A8459" s="210" t="s">
        <v>4213</v>
      </c>
      <c r="B8459" s="545" t="str">
        <f>VLOOKUP(H8458,COSTOS!C:M,2,0)</f>
        <v>Instalacion de CENTRO DE TRANSFORMACION, TRIFASICO, 112,5KVA, 13200-480/240 a Red de Media tension , TIPO HORIZONTAL, en poste existente</v>
      </c>
      <c r="C8459" s="546"/>
      <c r="D8459" s="546"/>
      <c r="E8459" s="547"/>
      <c r="F8459" s="61" t="s">
        <v>0</v>
      </c>
      <c r="G8459" s="328" t="str">
        <f>VLOOKUP(H8458,COSTOS!C:M,8,0)</f>
        <v>Und</v>
      </c>
      <c r="H8459" s="248"/>
      <c r="I8459" s="278"/>
      <c r="J8459" s="280"/>
      <c r="K8459" s="280"/>
      <c r="L8459" s="280"/>
    </row>
    <row r="8460" spans="1:14">
      <c r="A8460" s="211"/>
      <c r="B8460" s="102"/>
      <c r="C8460" s="102"/>
      <c r="D8460" s="102"/>
      <c r="E8460" s="103"/>
      <c r="F8460" s="104" t="s">
        <v>1</v>
      </c>
      <c r="G8460" s="328">
        <f>VLOOKUP(H8458,COSTOS!C:M,9,0)</f>
        <v>0</v>
      </c>
      <c r="H8460" s="329"/>
      <c r="I8460" s="279"/>
    </row>
    <row r="8461" spans="1:14">
      <c r="A8461" s="212" t="s">
        <v>4215</v>
      </c>
      <c r="B8461" s="65"/>
      <c r="C8461" s="65"/>
      <c r="D8461" s="66"/>
      <c r="E8461" s="190"/>
      <c r="F8461" s="191"/>
      <c r="G8461" s="192" t="s">
        <v>4216</v>
      </c>
      <c r="H8461" s="198" t="e">
        <f>H8467+H8487+H8491+H8497</f>
        <v>#VALUE!</v>
      </c>
    </row>
    <row r="8462" spans="1:14" ht="41.4">
      <c r="A8462" s="548" t="s">
        <v>4213</v>
      </c>
      <c r="B8462" s="548"/>
      <c r="C8462" s="548"/>
      <c r="D8462" s="67" t="s">
        <v>0</v>
      </c>
      <c r="E8462" s="188" t="s">
        <v>4217</v>
      </c>
      <c r="F8462" s="189" t="s">
        <v>4204</v>
      </c>
      <c r="G8462" s="64" t="s">
        <v>2</v>
      </c>
      <c r="H8462" s="199" t="s">
        <v>4218</v>
      </c>
      <c r="K8462" s="281"/>
    </row>
    <row r="8463" spans="1:14">
      <c r="A8463" s="517" t="s">
        <v>3946</v>
      </c>
      <c r="B8463" s="549">
        <f>VLOOKUP(A8463,'Equip, Herr y Transp'!$B$2:$E$738,2,0)</f>
        <v>2</v>
      </c>
      <c r="C8463" s="549"/>
      <c r="D8463" s="85">
        <f>VLOOKUP(A8463,'Equip, Herr y Transp'!$B$2:$E$217,2,0)</f>
        <v>2</v>
      </c>
      <c r="E8463" s="85" t="str">
        <f>VLOOKUP(A8463,'Equip, Herr y Transp'!$B$2:$E$217,3,0)</f>
        <v>EQU</v>
      </c>
      <c r="F8463" s="86">
        <f>H8453</f>
        <v>0.41670000000000001</v>
      </c>
      <c r="G8463" s="112" t="e">
        <f>F8463*E8463</f>
        <v>#VALUE!</v>
      </c>
      <c r="H8463" s="108"/>
    </row>
    <row r="8464" spans="1:14">
      <c r="A8464" s="517" t="s">
        <v>3894</v>
      </c>
      <c r="B8464" s="549">
        <f>VLOOKUP(A8464,'Equip, Herr y Transp'!$B$2:$E$738,2,0)</f>
        <v>4</v>
      </c>
      <c r="C8464" s="549"/>
      <c r="D8464" s="85">
        <f>VLOOKUP(A8464,'Equip, Herr y Transp'!$B$2:$E$217,2,0)</f>
        <v>4</v>
      </c>
      <c r="E8464" s="85" t="str">
        <f>VLOOKUP(A8464,'Equip, Herr y Transp'!$B$2:$E$217,3,0)</f>
        <v>TR</v>
      </c>
      <c r="F8464" s="86">
        <f>H8453</f>
        <v>0.41670000000000001</v>
      </c>
      <c r="G8464" s="112" t="e">
        <f>F8464*E8464</f>
        <v>#VALUE!</v>
      </c>
      <c r="H8464" s="107"/>
    </row>
    <row r="8465" spans="1:15">
      <c r="A8465" s="517" t="s">
        <v>3895</v>
      </c>
      <c r="B8465" s="549">
        <f>VLOOKUP(A8465,'Equip, Herr y Transp'!$B$2:$E$738,2,0)</f>
        <v>4</v>
      </c>
      <c r="C8465" s="549"/>
      <c r="D8465" s="85">
        <f>VLOOKUP(A8465,'Equip, Herr y Transp'!$B$2:$E$217,2,0)</f>
        <v>4</v>
      </c>
      <c r="E8465" s="85" t="str">
        <f>VLOOKUP(A8465,'Equip, Herr y Transp'!$B$2:$E$217,3,0)</f>
        <v>TR</v>
      </c>
      <c r="F8465" s="86">
        <f>H8453</f>
        <v>0.41670000000000001</v>
      </c>
      <c r="G8465" s="112" t="e">
        <f>F8465*E8465</f>
        <v>#VALUE!</v>
      </c>
      <c r="H8465" s="107"/>
    </row>
    <row r="8466" spans="1:15">
      <c r="A8466" s="517" t="s">
        <v>8</v>
      </c>
      <c r="B8466" s="549" t="e">
        <f>VLOOKUP(A8466,'Equip, Herr y Transp'!$B$2:$E$738,2,0)</f>
        <v>#N/A</v>
      </c>
      <c r="C8466" s="549"/>
      <c r="D8466" s="85" t="e">
        <f>VLOOKUP(A8466,'Equip, Herr y Transp'!$B$2:$E$217,2,0)</f>
        <v>#N/A</v>
      </c>
      <c r="E8466" s="85" t="e">
        <f>VLOOKUP(A8466,'Equip, Herr y Transp'!$B$2:$E$217,3,0)</f>
        <v>#N/A</v>
      </c>
      <c r="F8466" s="86">
        <f>H8453</f>
        <v>0.41670000000000001</v>
      </c>
      <c r="G8466" s="112" t="e">
        <f>F8466*E8466</f>
        <v>#N/A</v>
      </c>
      <c r="H8466" s="107"/>
    </row>
    <row r="8467" spans="1:15">
      <c r="A8467" s="520" t="s">
        <v>4099</v>
      </c>
      <c r="B8467" s="521"/>
      <c r="C8467" s="521"/>
      <c r="D8467" s="521"/>
      <c r="E8467" s="521"/>
      <c r="F8467" s="521"/>
      <c r="G8467" s="521"/>
      <c r="H8467" s="87" t="e">
        <f>SUM(G8463:G8466)</f>
        <v>#VALUE!</v>
      </c>
    </row>
    <row r="8468" spans="1:15">
      <c r="A8468" s="550" t="s">
        <v>4219</v>
      </c>
      <c r="B8468" s="551"/>
      <c r="C8468" s="551"/>
      <c r="D8468" s="551"/>
      <c r="E8468" s="551"/>
      <c r="F8468" s="551"/>
      <c r="G8468" s="551"/>
      <c r="H8468" s="552"/>
      <c r="K8468" s="50"/>
      <c r="L8468" s="50"/>
      <c r="M8468" s="50"/>
      <c r="N8468" s="50"/>
      <c r="O8468" s="50"/>
    </row>
    <row r="8469" spans="1:15" ht="30" customHeight="1">
      <c r="A8469" s="553" t="s">
        <v>7</v>
      </c>
      <c r="B8469" s="554"/>
      <c r="C8469" s="99" t="s">
        <v>0</v>
      </c>
      <c r="D8469" s="100" t="s">
        <v>4097</v>
      </c>
      <c r="E8469" s="101" t="s">
        <v>1</v>
      </c>
      <c r="F8469" s="555" t="s">
        <v>4207</v>
      </c>
      <c r="G8469" s="555"/>
      <c r="H8469" s="196"/>
      <c r="K8469" s="50"/>
      <c r="L8469" s="50"/>
      <c r="M8469" s="50"/>
      <c r="N8469" s="50"/>
      <c r="O8469" s="50"/>
    </row>
    <row r="8470" spans="1:15">
      <c r="A8470" s="535" t="s">
        <v>4502</v>
      </c>
      <c r="B8470" s="536"/>
      <c r="C8470" s="88">
        <f>VLOOKUP(A8470,'Materiales '!$C$2:$G$396,3,0)</f>
        <v>4</v>
      </c>
      <c r="D8470" s="89" t="str">
        <f>VLOOKUP(A8470,'Materiales '!$C$2:$G$396,4,0)</f>
        <v>Und</v>
      </c>
      <c r="E8470" s="90">
        <v>3</v>
      </c>
      <c r="F8470" s="508" t="e">
        <f>E8470*D8470</f>
        <v>#VALUE!</v>
      </c>
      <c r="G8470" s="519"/>
      <c r="H8470" s="111"/>
      <c r="I8470">
        <f>E8470*G8460</f>
        <v>0</v>
      </c>
      <c r="J8470" s="57"/>
      <c r="K8470" s="50"/>
      <c r="L8470" s="50"/>
      <c r="M8470" s="50"/>
      <c r="N8470" s="50"/>
      <c r="O8470" s="50"/>
    </row>
    <row r="8471" spans="1:15">
      <c r="A8471" s="535" t="s">
        <v>4503</v>
      </c>
      <c r="B8471" s="536"/>
      <c r="C8471" s="88">
        <f>VLOOKUP(A8471,'Materiales '!$C$2:$G$396,3,0)</f>
        <v>4</v>
      </c>
      <c r="D8471" s="89" t="str">
        <f>VLOOKUP(A8471,'Materiales '!$C$2:$G$396,4,0)</f>
        <v>Und</v>
      </c>
      <c r="E8471" s="90">
        <v>3</v>
      </c>
      <c r="F8471" s="508" t="e">
        <f t="shared" ref="F8471:F8477" si="493">E8471*D8471</f>
        <v>#VALUE!</v>
      </c>
      <c r="G8471" s="519"/>
      <c r="H8471" s="111"/>
      <c r="I8471">
        <f>E8471*G8460</f>
        <v>0</v>
      </c>
      <c r="J8471" s="57"/>
      <c r="K8471" s="50"/>
      <c r="L8471" s="50"/>
      <c r="M8471" s="50"/>
      <c r="N8471" s="50"/>
      <c r="O8471" s="50"/>
    </row>
    <row r="8472" spans="1:15">
      <c r="A8472" s="517" t="s">
        <v>4545</v>
      </c>
      <c r="B8472" s="518">
        <f>VLOOKUP(A8472,'Materiales '!$C$2:$G$396,3,0)</f>
        <v>4</v>
      </c>
      <c r="C8472" s="88">
        <f>VLOOKUP(A8472,'Materiales '!$C$2:$G$396,3,0)</f>
        <v>4</v>
      </c>
      <c r="D8472" s="89" t="str">
        <f>VLOOKUP(A8472,'Materiales '!$C$2:$G$396,4,0)</f>
        <v>Und</v>
      </c>
      <c r="E8472" s="90">
        <v>2</v>
      </c>
      <c r="F8472" s="508" t="e">
        <f t="shared" si="493"/>
        <v>#VALUE!</v>
      </c>
      <c r="G8472" s="519"/>
      <c r="H8472" s="111"/>
      <c r="I8472">
        <f>E8472*G8460</f>
        <v>0</v>
      </c>
      <c r="J8472" s="58"/>
      <c r="K8472" s="50"/>
      <c r="L8472" s="50"/>
      <c r="M8472" s="50"/>
      <c r="N8472" s="50"/>
      <c r="O8472" s="50"/>
    </row>
    <row r="8473" spans="1:15">
      <c r="A8473" s="517" t="s">
        <v>4447</v>
      </c>
      <c r="B8473" s="518">
        <f>VLOOKUP(A8473,'Materiales '!$C$2:$G$396,3,0)</f>
        <v>2</v>
      </c>
      <c r="C8473" s="88">
        <f>VLOOKUP(A8473,'Materiales '!$C$2:$G$396,3,0)</f>
        <v>2</v>
      </c>
      <c r="D8473" s="89" t="str">
        <f>VLOOKUP(A8473,'Materiales '!$C$2:$G$396,4,0)</f>
        <v>Ml</v>
      </c>
      <c r="E8473" s="90">
        <v>20</v>
      </c>
      <c r="F8473" s="508" t="e">
        <f t="shared" si="493"/>
        <v>#VALUE!</v>
      </c>
      <c r="G8473" s="519"/>
      <c r="H8473" s="111"/>
      <c r="I8473">
        <f>E8473*G8460</f>
        <v>0</v>
      </c>
      <c r="J8473" s="58"/>
      <c r="K8473" s="50"/>
      <c r="L8473" s="50"/>
      <c r="M8473" s="50"/>
      <c r="N8473" s="50"/>
      <c r="O8473" s="50"/>
    </row>
    <row r="8474" spans="1:15">
      <c r="A8474" s="517" t="s">
        <v>4434</v>
      </c>
      <c r="B8474" s="518">
        <f>VLOOKUP(A8474,'Materiales '!$C$2:$G$396,3,0)</f>
        <v>2</v>
      </c>
      <c r="C8474" s="88">
        <f>VLOOKUP(A8474,'Materiales '!$C$2:$G$396,3,0)</f>
        <v>2</v>
      </c>
      <c r="D8474" s="89" t="str">
        <f>VLOOKUP(A8474,'Materiales '!$C$2:$G$396,4,0)</f>
        <v>Ml</v>
      </c>
      <c r="E8474" s="90">
        <v>15</v>
      </c>
      <c r="F8474" s="508" t="e">
        <f t="shared" si="493"/>
        <v>#VALUE!</v>
      </c>
      <c r="G8474" s="519"/>
      <c r="H8474" s="111"/>
      <c r="I8474">
        <f>E8474*G8460</f>
        <v>0</v>
      </c>
      <c r="J8474" s="58"/>
      <c r="K8474" s="50"/>
      <c r="L8474" s="50"/>
      <c r="M8474" s="50"/>
      <c r="N8474" s="50"/>
      <c r="O8474" s="50"/>
    </row>
    <row r="8475" spans="1:15">
      <c r="A8475" s="517" t="s">
        <v>4511</v>
      </c>
      <c r="B8475" s="518">
        <f>VLOOKUP(A8475,'Materiales '!$C$2:$G$396,3,0)</f>
        <v>4</v>
      </c>
      <c r="C8475" s="88">
        <f>VLOOKUP(A8475,'Materiales '!$C$2:$G$396,3,0)</f>
        <v>4</v>
      </c>
      <c r="D8475" s="89" t="str">
        <f>VLOOKUP(A8475,'Materiales '!$C$2:$G$396,4,0)</f>
        <v>Und</v>
      </c>
      <c r="E8475" s="90">
        <v>3</v>
      </c>
      <c r="F8475" s="508" t="e">
        <f t="shared" si="493"/>
        <v>#VALUE!</v>
      </c>
      <c r="G8475" s="519"/>
      <c r="H8475" s="111"/>
      <c r="I8475">
        <f>E8475*G8460</f>
        <v>0</v>
      </c>
      <c r="J8475" s="58"/>
      <c r="K8475" s="50"/>
      <c r="L8475" s="50"/>
      <c r="M8475" s="50"/>
      <c r="N8475" s="50"/>
      <c r="O8475" s="50"/>
    </row>
    <row r="8476" spans="1:15">
      <c r="A8476" s="517" t="s">
        <v>4811</v>
      </c>
      <c r="B8476" s="518">
        <f>VLOOKUP(A8476,'Materiales '!$C$2:$G$396,3,0)</f>
        <v>4</v>
      </c>
      <c r="C8476" s="88">
        <f>VLOOKUP(A8476,'Materiales '!$C$2:$G$396,3,0)</f>
        <v>4</v>
      </c>
      <c r="D8476" s="89" t="str">
        <f>VLOOKUP(A8476,'Materiales '!$C$2:$G$396,4,0)</f>
        <v>Und</v>
      </c>
      <c r="E8476" s="90">
        <v>3</v>
      </c>
      <c r="F8476" s="508" t="e">
        <f t="shared" si="493"/>
        <v>#VALUE!</v>
      </c>
      <c r="G8476" s="519"/>
      <c r="H8476" s="111"/>
      <c r="I8476">
        <f>E8476*G8460</f>
        <v>0</v>
      </c>
      <c r="J8476" s="58"/>
      <c r="K8476" s="50"/>
      <c r="L8476" s="50"/>
      <c r="M8476" s="50"/>
      <c r="N8476" s="50"/>
      <c r="O8476" s="50"/>
    </row>
    <row r="8477" spans="1:15" ht="21.75" customHeight="1">
      <c r="A8477" s="517" t="s">
        <v>4517</v>
      </c>
      <c r="B8477" s="518">
        <f>VLOOKUP(A8477,'Materiales '!$C$2:$G$396,3,0)</f>
        <v>4</v>
      </c>
      <c r="C8477" s="88">
        <f>VLOOKUP(A8477,'Materiales '!$C$2:$G$396,3,0)</f>
        <v>4</v>
      </c>
      <c r="D8477" s="89" t="str">
        <f>VLOOKUP(A8477,'Materiales '!$C$2:$G$396,4,0)</f>
        <v>Und</v>
      </c>
      <c r="E8477" s="90">
        <v>3</v>
      </c>
      <c r="F8477" s="508" t="e">
        <f t="shared" si="493"/>
        <v>#VALUE!</v>
      </c>
      <c r="G8477" s="519"/>
      <c r="H8477" s="111"/>
      <c r="I8477">
        <f>E8477*G8460</f>
        <v>0</v>
      </c>
      <c r="J8477" s="58"/>
      <c r="K8477" s="50"/>
      <c r="L8477" s="50"/>
      <c r="M8477" s="50"/>
      <c r="N8477" s="50"/>
      <c r="O8477" s="50"/>
    </row>
    <row r="8478" spans="1:15">
      <c r="A8478" s="517" t="s">
        <v>4810</v>
      </c>
      <c r="B8478" s="518">
        <f>VLOOKUP(A8478,'Materiales '!$C$2:$G$396,3,0)</f>
        <v>4</v>
      </c>
      <c r="C8478" s="88">
        <f>VLOOKUP(A8478,'Materiales '!$C$2:$G$396,3,0)</f>
        <v>4</v>
      </c>
      <c r="D8478" s="89" t="str">
        <f>VLOOKUP(A8478,'Materiales '!$C$2:$G$396,4,0)</f>
        <v>Und</v>
      </c>
      <c r="E8478" s="90">
        <v>1</v>
      </c>
      <c r="F8478" s="508" t="e">
        <f>E8478*D8478</f>
        <v>#VALUE!</v>
      </c>
      <c r="G8478" s="519"/>
      <c r="H8478" s="110"/>
      <c r="I8478">
        <f>E8478*G8460</f>
        <v>0</v>
      </c>
      <c r="J8478" s="58"/>
      <c r="K8478" s="50"/>
      <c r="L8478" s="50"/>
      <c r="M8478" s="50"/>
      <c r="N8478" s="50"/>
      <c r="O8478" s="50"/>
    </row>
    <row r="8479" spans="1:15">
      <c r="A8479" s="517" t="s">
        <v>4474</v>
      </c>
      <c r="B8479" s="518">
        <f>VLOOKUP(A8479,'Materiales '!$C$2:$G$396,3,0)</f>
        <v>4</v>
      </c>
      <c r="C8479" s="88">
        <f>VLOOKUP(A8479,'Materiales '!$C$2:$G$396,3,0)</f>
        <v>4</v>
      </c>
      <c r="D8479" s="89" t="str">
        <f>VLOOKUP(A8479,'Materiales '!$C$2:$G$396,4,0)</f>
        <v>Und</v>
      </c>
      <c r="E8479" s="90">
        <v>2</v>
      </c>
      <c r="F8479" s="508" t="e">
        <f t="shared" ref="F8479:F8484" si="494">E8479*D8479</f>
        <v>#VALUE!</v>
      </c>
      <c r="G8479" s="519"/>
      <c r="H8479" s="111"/>
      <c r="I8479">
        <f>E8479*G8460</f>
        <v>0</v>
      </c>
      <c r="J8479" s="58"/>
      <c r="K8479" s="50"/>
      <c r="L8479" s="50"/>
      <c r="M8479" s="50"/>
      <c r="N8479" s="50"/>
      <c r="O8479" s="50"/>
    </row>
    <row r="8480" spans="1:15">
      <c r="A8480" s="517" t="s">
        <v>4488</v>
      </c>
      <c r="B8480" s="518">
        <f>VLOOKUP(A8480,'Materiales '!$C$2:$G$396,3,0)</f>
        <v>4</v>
      </c>
      <c r="C8480" s="88">
        <f>VLOOKUP(A8480,'Materiales '!$C$2:$G$396,3,0)</f>
        <v>4</v>
      </c>
      <c r="D8480" s="89" t="str">
        <f>VLOOKUP(A8480,'Materiales '!$C$2:$G$396,4,0)</f>
        <v>Und</v>
      </c>
      <c r="E8480" s="90">
        <v>1</v>
      </c>
      <c r="F8480" s="508" t="e">
        <f t="shared" si="494"/>
        <v>#VALUE!</v>
      </c>
      <c r="G8480" s="519"/>
      <c r="H8480" s="111"/>
      <c r="I8480">
        <f>E8480*G8460</f>
        <v>0</v>
      </c>
      <c r="J8480" s="58"/>
      <c r="K8480" s="50"/>
      <c r="L8480" s="50"/>
      <c r="M8480" s="50"/>
      <c r="N8480" s="50"/>
      <c r="O8480" s="50"/>
    </row>
    <row r="8481" spans="1:15">
      <c r="A8481" s="517" t="s">
        <v>4535</v>
      </c>
      <c r="B8481" s="518">
        <f>VLOOKUP(A8481,'Materiales '!$C$2:$G$396,3,0)</f>
        <v>4</v>
      </c>
      <c r="C8481" s="88">
        <f>VLOOKUP(A8481,'Materiales '!$C$2:$G$396,3,0)</f>
        <v>4</v>
      </c>
      <c r="D8481" s="89" t="str">
        <f>VLOOKUP(A8481,'Materiales '!$C$2:$G$396,4,0)</f>
        <v>Und</v>
      </c>
      <c r="E8481" s="90">
        <v>1</v>
      </c>
      <c r="F8481" s="508" t="e">
        <f t="shared" si="494"/>
        <v>#VALUE!</v>
      </c>
      <c r="G8481" s="519"/>
      <c r="H8481" s="111"/>
      <c r="I8481">
        <f>E8481*G8460</f>
        <v>0</v>
      </c>
      <c r="J8481" s="58"/>
      <c r="K8481" s="50"/>
      <c r="L8481" s="50"/>
      <c r="M8481" s="50"/>
      <c r="N8481" s="50"/>
      <c r="O8481" s="50"/>
    </row>
    <row r="8482" spans="1:15">
      <c r="A8482" s="517" t="s">
        <v>4574</v>
      </c>
      <c r="B8482" s="518">
        <f>VLOOKUP(A8482,'Materiales '!$C$2:$G$396,3,0)</f>
        <v>4</v>
      </c>
      <c r="C8482" s="88">
        <f>VLOOKUP(A8482,'Materiales '!$C$2:$G$396,3,0)</f>
        <v>4</v>
      </c>
      <c r="D8482" s="89" t="str">
        <f>VLOOKUP(A8482,'Materiales '!$C$2:$G$396,4,0)</f>
        <v>Und</v>
      </c>
      <c r="E8482" s="90">
        <v>1</v>
      </c>
      <c r="F8482" s="508" t="e">
        <f t="shared" si="494"/>
        <v>#VALUE!</v>
      </c>
      <c r="G8482" s="519"/>
      <c r="H8482" s="111"/>
      <c r="I8482">
        <f>E8482*G8460</f>
        <v>0</v>
      </c>
      <c r="J8482" s="58"/>
      <c r="K8482" s="50"/>
      <c r="L8482" s="50"/>
      <c r="M8482" s="50"/>
      <c r="N8482" s="50"/>
      <c r="O8482" s="50"/>
    </row>
    <row r="8483" spans="1:15">
      <c r="A8483" s="517" t="s">
        <v>4538</v>
      </c>
      <c r="B8483" s="518">
        <f>VLOOKUP(A8483,'Materiales '!$C$2:$G$396,3,0)</f>
        <v>4</v>
      </c>
      <c r="C8483" s="88">
        <f>VLOOKUP(A8483,'Materiales '!$C$2:$G$396,3,0)</f>
        <v>4</v>
      </c>
      <c r="D8483" s="89" t="str">
        <f>VLOOKUP(A8483,'Materiales '!$C$2:$G$396,4,0)</f>
        <v>Und</v>
      </c>
      <c r="E8483" s="90">
        <v>1</v>
      </c>
      <c r="F8483" s="508" t="e">
        <f t="shared" si="494"/>
        <v>#VALUE!</v>
      </c>
      <c r="G8483" s="519"/>
      <c r="H8483" s="111"/>
      <c r="I8483">
        <f>E8483*G8460</f>
        <v>0</v>
      </c>
      <c r="J8483" s="58"/>
      <c r="K8483" s="50"/>
      <c r="L8483" s="50"/>
      <c r="M8483" s="50"/>
      <c r="N8483" s="50"/>
      <c r="O8483" s="50"/>
    </row>
    <row r="8484" spans="1:15">
      <c r="A8484" s="517" t="s">
        <v>4510</v>
      </c>
      <c r="B8484" s="518">
        <f>VLOOKUP(A8484,'Materiales '!$C$2:$G$396,3,0)</f>
        <v>4</v>
      </c>
      <c r="C8484" s="88">
        <f>VLOOKUP(A8484,'Materiales '!$C$2:$G$396,3,0)</f>
        <v>4</v>
      </c>
      <c r="D8484" s="89" t="str">
        <f>VLOOKUP(A8484,'Materiales '!$C$2:$G$396,4,0)</f>
        <v>Und</v>
      </c>
      <c r="E8484" s="90">
        <v>1</v>
      </c>
      <c r="F8484" s="508" t="e">
        <f t="shared" si="494"/>
        <v>#VALUE!</v>
      </c>
      <c r="G8484" s="519"/>
      <c r="H8484" s="111"/>
      <c r="I8484">
        <f>E8484*G8460</f>
        <v>0</v>
      </c>
      <c r="J8484" s="58"/>
      <c r="K8484" s="50"/>
      <c r="L8484" s="50"/>
      <c r="M8484" s="50"/>
      <c r="N8484" s="50"/>
      <c r="O8484" s="50"/>
    </row>
    <row r="8485" spans="1:15">
      <c r="A8485" s="517" t="s">
        <v>4485</v>
      </c>
      <c r="B8485" s="518">
        <f>VLOOKUP(A8485,'Materiales '!$C$2:$G$396,3,0)</f>
        <v>2</v>
      </c>
      <c r="C8485" s="88">
        <f>VLOOKUP(A8485,'Materiales '!$C$2:$G$396,3,0)</f>
        <v>2</v>
      </c>
      <c r="D8485" s="89" t="str">
        <f>VLOOKUP(A8485,'Materiales '!$C$2:$G$396,4,0)</f>
        <v>Ml</v>
      </c>
      <c r="E8485" s="90">
        <v>2</v>
      </c>
      <c r="F8485" s="508" t="e">
        <f>E8485*D8485</f>
        <v>#VALUE!</v>
      </c>
      <c r="G8485" s="519"/>
      <c r="H8485" s="110"/>
      <c r="I8485">
        <f>E8485*G8460</f>
        <v>0</v>
      </c>
      <c r="J8485" s="58"/>
      <c r="K8485" s="50"/>
      <c r="L8485" s="50"/>
      <c r="M8485" s="50"/>
      <c r="N8485" s="50"/>
      <c r="O8485" s="50"/>
    </row>
    <row r="8486" spans="1:15">
      <c r="A8486" s="517" t="s">
        <v>4483</v>
      </c>
      <c r="B8486" s="518">
        <f>VLOOKUP(A8486,'Materiales '!$C$2:$G$396,3,0)</f>
        <v>4</v>
      </c>
      <c r="C8486" s="88">
        <f>VLOOKUP(A8486,'Materiales '!$C$2:$G$396,3,0)</f>
        <v>4</v>
      </c>
      <c r="D8486" s="89" t="str">
        <f>VLOOKUP(A8486,'Materiales '!$C$2:$G$396,4,0)</f>
        <v>Und</v>
      </c>
      <c r="E8486" s="90">
        <v>2</v>
      </c>
      <c r="F8486" s="508" t="e">
        <f>E8486*D8486</f>
        <v>#VALUE!</v>
      </c>
      <c r="G8486" s="519"/>
      <c r="H8486" s="110"/>
      <c r="I8486">
        <f>E8486*G8460</f>
        <v>0</v>
      </c>
      <c r="J8486" s="58"/>
      <c r="K8486" s="50"/>
      <c r="L8486" s="50"/>
      <c r="M8486" s="50"/>
      <c r="N8486" s="50"/>
      <c r="O8486" s="50"/>
    </row>
    <row r="8487" spans="1:15">
      <c r="A8487" s="520" t="s">
        <v>4098</v>
      </c>
      <c r="B8487" s="521"/>
      <c r="C8487" s="521"/>
      <c r="D8487" s="521"/>
      <c r="E8487" s="521"/>
      <c r="F8487" s="521"/>
      <c r="G8487" s="522"/>
      <c r="H8487" s="106" t="e">
        <f>SUM(F8470:F8486)</f>
        <v>#VALUE!</v>
      </c>
      <c r="J8487" s="58"/>
      <c r="K8487" s="50"/>
      <c r="L8487" s="50"/>
      <c r="M8487" s="50"/>
      <c r="N8487" s="50"/>
      <c r="O8487" s="50"/>
    </row>
    <row r="8488" spans="1:15">
      <c r="A8488" s="523" t="s">
        <v>4220</v>
      </c>
      <c r="B8488" s="524"/>
      <c r="C8488" s="524"/>
      <c r="D8488" s="524"/>
      <c r="E8488" s="525"/>
      <c r="F8488" s="524"/>
      <c r="G8488" s="524"/>
      <c r="H8488" s="526"/>
      <c r="J8488" s="58"/>
      <c r="K8488" s="50"/>
      <c r="L8488" s="50"/>
      <c r="M8488" s="50"/>
      <c r="N8488" s="50"/>
      <c r="O8488" s="50"/>
    </row>
    <row r="8489" spans="1:15">
      <c r="A8489" s="527" t="s">
        <v>7</v>
      </c>
      <c r="B8489" s="528"/>
      <c r="C8489" s="98" t="s">
        <v>4221</v>
      </c>
      <c r="D8489" s="97" t="s">
        <v>4222</v>
      </c>
      <c r="E8489" s="187" t="s">
        <v>4223</v>
      </c>
      <c r="F8489" s="529" t="s">
        <v>4207</v>
      </c>
      <c r="G8489" s="529"/>
      <c r="H8489" s="109"/>
      <c r="K8489" s="50"/>
      <c r="L8489" s="50"/>
      <c r="M8489" s="50"/>
      <c r="N8489" s="50"/>
      <c r="O8489" s="50"/>
    </row>
    <row r="8490" spans="1:15">
      <c r="A8490" s="506" t="s">
        <v>3928</v>
      </c>
      <c r="B8490" s="507"/>
      <c r="C8490" s="213">
        <v>1</v>
      </c>
      <c r="D8490" s="92">
        <v>0.1</v>
      </c>
      <c r="E8490" s="93" t="str">
        <f>VLOOKUP(A8490,'Equip, Herr y Transp'!$B$2:$E$217,3,0)</f>
        <v>TR</v>
      </c>
      <c r="F8490" s="530" t="e">
        <f>E8490*D8490*C8490</f>
        <v>#VALUE!</v>
      </c>
      <c r="G8490" s="531"/>
      <c r="H8490" s="107"/>
      <c r="M8490" s="50"/>
    </row>
    <row r="8491" spans="1:15">
      <c r="A8491" s="532" t="s">
        <v>4205</v>
      </c>
      <c r="B8491" s="533"/>
      <c r="C8491" s="533"/>
      <c r="D8491" s="533"/>
      <c r="E8491" s="533"/>
      <c r="F8491" s="533"/>
      <c r="G8491" s="533"/>
      <c r="H8491" s="95" t="e">
        <f>F8490</f>
        <v>#VALUE!</v>
      </c>
    </row>
    <row r="8492" spans="1:15">
      <c r="A8492" s="523" t="s">
        <v>4224</v>
      </c>
      <c r="B8492" s="524"/>
      <c r="C8492" s="524"/>
      <c r="D8492" s="524"/>
      <c r="E8492" s="524"/>
      <c r="F8492" s="524"/>
      <c r="G8492" s="524"/>
      <c r="H8492" s="526"/>
    </row>
    <row r="8493" spans="1:15">
      <c r="A8493" s="527" t="s">
        <v>7</v>
      </c>
      <c r="B8493" s="528"/>
      <c r="C8493" s="96" t="s">
        <v>1</v>
      </c>
      <c r="D8493" s="97" t="s">
        <v>4225</v>
      </c>
      <c r="E8493" s="98" t="s">
        <v>4204</v>
      </c>
      <c r="F8493" s="527" t="s">
        <v>5</v>
      </c>
      <c r="G8493" s="534"/>
      <c r="H8493" s="109"/>
    </row>
    <row r="8494" spans="1:15">
      <c r="A8494" s="506" t="s">
        <v>4191</v>
      </c>
      <c r="B8494" s="507"/>
      <c r="C8494" s="91">
        <v>1</v>
      </c>
      <c r="D8494" s="94">
        <f>VLOOKUP(A8494,'Mano Obra'!$B$2:$T$117,19,0)</f>
        <v>152456</v>
      </c>
      <c r="E8494" s="218">
        <f>H8453</f>
        <v>0.41670000000000001</v>
      </c>
      <c r="F8494" s="508">
        <f>E8494*D8494*C8494</f>
        <v>63528.415200000003</v>
      </c>
      <c r="G8494" s="509"/>
      <c r="H8494" s="111"/>
      <c r="I8494" s="59"/>
      <c r="J8494" s="117">
        <f>((('Mano Obra'!$M$4/30)*F8494)/D8494)*G8460</f>
        <v>0</v>
      </c>
    </row>
    <row r="8495" spans="1:15">
      <c r="A8495" s="510" t="s">
        <v>4192</v>
      </c>
      <c r="B8495" s="511">
        <f>VLOOKUP(A8495,'Mano Obra'!$B$3:$D$290,2,0)</f>
        <v>1900000</v>
      </c>
      <c r="C8495" s="91">
        <v>2</v>
      </c>
      <c r="D8495" s="94">
        <f>VLOOKUP(A8495,'Mano Obra'!$B$2:$T$117,19,0)</f>
        <v>110488</v>
      </c>
      <c r="E8495" s="218">
        <f>H8453</f>
        <v>0.41670000000000001</v>
      </c>
      <c r="F8495" s="508">
        <f t="shared" ref="F8495:F8496" si="495">E8495*D8495*C8495</f>
        <v>92080.699200000003</v>
      </c>
      <c r="G8495" s="509"/>
      <c r="H8495" s="111"/>
      <c r="J8495" s="117">
        <f>((('Mano Obra'!$M$5/30)*F8495)/D8495)*G8460</f>
        <v>0</v>
      </c>
    </row>
    <row r="8496" spans="1:15">
      <c r="A8496" s="510" t="s">
        <v>4181</v>
      </c>
      <c r="B8496" s="511">
        <f>VLOOKUP(A8496,'Mano Obra'!$B$3:$D$290,2,0)</f>
        <v>1000000</v>
      </c>
      <c r="C8496" s="91">
        <v>2</v>
      </c>
      <c r="D8496" s="94">
        <f>VLOOKUP(A8496,'Mano Obra'!$B$2:$T$117,19,0)</f>
        <v>67424</v>
      </c>
      <c r="E8496" s="218">
        <f>H8453</f>
        <v>0.41670000000000001</v>
      </c>
      <c r="F8496" s="508">
        <f t="shared" si="495"/>
        <v>56191.161599999999</v>
      </c>
      <c r="G8496" s="509"/>
      <c r="H8496" s="110"/>
      <c r="J8496" s="117">
        <f>((('Mano Obra'!$M$6/30)*F8496)/D8496)*G8460</f>
        <v>0</v>
      </c>
    </row>
    <row r="8497" spans="1:14">
      <c r="A8497" s="512" t="s">
        <v>4100</v>
      </c>
      <c r="B8497" s="512"/>
      <c r="C8497" s="512"/>
      <c r="D8497" s="512"/>
      <c r="E8497" s="512"/>
      <c r="F8497" s="512"/>
      <c r="G8497" s="512"/>
      <c r="H8497" s="95">
        <f>SUM(F8494:F8496)</f>
        <v>211800.27600000001</v>
      </c>
      <c r="J8497" s="117"/>
    </row>
    <row r="8498" spans="1:14">
      <c r="A8498" s="208" t="s">
        <v>4226</v>
      </c>
      <c r="B8498" s="186"/>
      <c r="C8498" s="186"/>
      <c r="D8498" s="183"/>
      <c r="E8498" s="184"/>
      <c r="F8498" s="185"/>
      <c r="G8498" s="184"/>
      <c r="H8498" s="193"/>
    </row>
    <row r="8499" spans="1:14">
      <c r="A8499" s="513" t="s">
        <v>4213</v>
      </c>
      <c r="B8499" s="514"/>
      <c r="C8499" s="514"/>
      <c r="D8499" s="514"/>
      <c r="E8499" s="181"/>
      <c r="F8499" s="182" t="s">
        <v>4227</v>
      </c>
      <c r="G8499" s="181" t="s">
        <v>4228</v>
      </c>
      <c r="H8499" s="194"/>
    </row>
    <row r="8500" spans="1:14">
      <c r="A8500" s="204" t="s">
        <v>4096</v>
      </c>
      <c r="B8500" s="62"/>
      <c r="C8500" s="62"/>
      <c r="D8500" s="63"/>
      <c r="E8500" s="68"/>
      <c r="F8500" s="69">
        <v>0</v>
      </c>
      <c r="G8500" s="70" t="e">
        <f>F8500*H8461</f>
        <v>#VALUE!</v>
      </c>
      <c r="H8500" s="193"/>
    </row>
    <row r="8501" spans="1:14">
      <c r="A8501" s="205" t="s">
        <v>4229</v>
      </c>
      <c r="B8501" s="71"/>
      <c r="C8501" s="71"/>
      <c r="D8501" s="72"/>
      <c r="E8501" s="68"/>
      <c r="F8501" s="69">
        <v>0</v>
      </c>
      <c r="G8501" s="70" t="e">
        <f>F8501*H8461</f>
        <v>#VALUE!</v>
      </c>
      <c r="H8501" s="193"/>
    </row>
    <row r="8502" spans="1:14">
      <c r="A8502" s="205" t="s">
        <v>4</v>
      </c>
      <c r="B8502" s="71"/>
      <c r="C8502" s="71"/>
      <c r="D8502" s="72"/>
      <c r="E8502" s="68"/>
      <c r="F8502" s="69">
        <v>0</v>
      </c>
      <c r="G8502" s="70" t="e">
        <f>F8502*H8461</f>
        <v>#VALUE!</v>
      </c>
      <c r="H8502" s="193"/>
    </row>
    <row r="8503" spans="1:14">
      <c r="A8503" s="206"/>
      <c r="B8503" s="73"/>
      <c r="C8503" s="65"/>
      <c r="D8503" s="74"/>
      <c r="E8503" s="75"/>
      <c r="F8503" s="76"/>
      <c r="G8503" s="77"/>
      <c r="H8503" s="195"/>
    </row>
    <row r="8504" spans="1:14">
      <c r="A8504" s="207"/>
      <c r="B8504" s="73"/>
      <c r="C8504" s="73"/>
      <c r="D8504" s="74"/>
      <c r="E8504" s="78"/>
      <c r="F8504" s="515" t="s">
        <v>4230</v>
      </c>
      <c r="G8504" s="516"/>
      <c r="H8504" s="214" t="e">
        <f>H8461+G8500+G8501+G8502</f>
        <v>#VALUE!</v>
      </c>
    </row>
    <row r="8505" spans="1:14">
      <c r="A8505" s="73"/>
      <c r="B8505" s="73"/>
      <c r="C8505" s="73"/>
      <c r="D8505" s="74"/>
      <c r="E8505" s="360"/>
      <c r="F8505" s="361"/>
      <c r="G8505" s="361"/>
      <c r="H8505" s="362"/>
    </row>
    <row r="8506" spans="1:14">
      <c r="A8506" s="80"/>
      <c r="B8506" s="80"/>
      <c r="C8506" s="80"/>
      <c r="D8506" s="80"/>
      <c r="E8506" s="80"/>
      <c r="F8506" s="80"/>
      <c r="G8506" s="80"/>
      <c r="H8506" s="353"/>
    </row>
    <row r="8507" spans="1:14">
      <c r="A8507" s="537" t="s">
        <v>4214</v>
      </c>
      <c r="B8507" s="538"/>
      <c r="C8507" s="538"/>
      <c r="D8507" s="538"/>
      <c r="E8507" s="538"/>
      <c r="F8507" s="538"/>
      <c r="G8507" s="538"/>
      <c r="H8507" s="539"/>
    </row>
    <row r="8508" spans="1:14">
      <c r="A8508" s="81"/>
      <c r="B8508" s="82"/>
      <c r="C8508" s="82"/>
      <c r="D8508" s="82"/>
      <c r="E8508" s="82"/>
      <c r="F8508" s="83"/>
      <c r="G8508" s="84"/>
      <c r="H8508" s="352">
        <f>ROUND((200/60)/8,4)</f>
        <v>0.41670000000000001</v>
      </c>
      <c r="I8508" s="105"/>
    </row>
    <row r="8509" spans="1:14">
      <c r="A8509" s="540" t="s">
        <v>4209</v>
      </c>
      <c r="B8509" s="542" t="str">
        <f>COSTOS!$C$14</f>
        <v>MODERNIZACION A TECNOLOGIA LED</v>
      </c>
      <c r="C8509" s="542"/>
      <c r="D8509" s="542"/>
      <c r="E8509" s="542"/>
      <c r="F8509" s="542"/>
      <c r="G8509" s="542"/>
      <c r="H8509" s="543" t="s">
        <v>4210</v>
      </c>
    </row>
    <row r="8510" spans="1:14">
      <c r="A8510" s="541"/>
      <c r="B8510" s="542"/>
      <c r="C8510" s="542"/>
      <c r="D8510" s="542"/>
      <c r="E8510" s="542"/>
      <c r="F8510" s="542"/>
      <c r="G8510" s="542"/>
      <c r="H8510" s="543"/>
    </row>
    <row r="8511" spans="1:14">
      <c r="A8511" s="541"/>
      <c r="B8511" s="542"/>
      <c r="C8511" s="542"/>
      <c r="D8511" s="542"/>
      <c r="E8511" s="542"/>
      <c r="F8511" s="542"/>
      <c r="G8511" s="542"/>
      <c r="H8511" s="543"/>
    </row>
    <row r="8512" spans="1:14" ht="15" customHeight="1">
      <c r="A8512" s="541"/>
      <c r="B8512" s="542"/>
      <c r="C8512" s="542"/>
      <c r="D8512" s="542"/>
      <c r="E8512" s="542"/>
      <c r="F8512" s="542"/>
      <c r="G8512" s="542"/>
      <c r="H8512" s="197">
        <f ca="1">TODAY()</f>
        <v>44889</v>
      </c>
      <c r="K8512" t="s">
        <v>4380</v>
      </c>
      <c r="L8512" t="s">
        <v>4381</v>
      </c>
      <c r="M8512" t="s">
        <v>4382</v>
      </c>
      <c r="N8512" t="s">
        <v>4383</v>
      </c>
    </row>
    <row r="8513" spans="1:15" ht="60.75" customHeight="1">
      <c r="A8513" s="209" t="s">
        <v>4211</v>
      </c>
      <c r="B8513" s="544" t="str">
        <f>COSTOS!$D$16</f>
        <v>Luminarias</v>
      </c>
      <c r="C8513" s="544"/>
      <c r="D8513" s="544"/>
      <c r="E8513" s="544"/>
      <c r="F8513" s="544"/>
      <c r="G8513" s="60" t="s">
        <v>4212</v>
      </c>
      <c r="H8513" s="359" t="s">
        <v>5003</v>
      </c>
      <c r="K8513" s="55" t="e">
        <f>H8542</f>
        <v>#VALUE!</v>
      </c>
      <c r="L8513" s="55">
        <f>H8552</f>
        <v>211800.27600000001</v>
      </c>
      <c r="M8513" s="55" t="e">
        <f>H8522</f>
        <v>#VALUE!</v>
      </c>
      <c r="N8513" s="55" t="e">
        <f>H8546</f>
        <v>#VALUE!</v>
      </c>
    </row>
    <row r="8514" spans="1:15" ht="43.2" customHeight="1">
      <c r="A8514" s="210" t="s">
        <v>4213</v>
      </c>
      <c r="B8514" s="545" t="str">
        <f>VLOOKUP(H8513,COSTOS!C:M,2,0)</f>
        <v>Instalacion de CENTRO DE TRANSFORMACION, TRIFASICO, 75KVA, 13200-480/240 a Red de Media tension , TIPO HORIZONTAL, en poste existente</v>
      </c>
      <c r="C8514" s="546"/>
      <c r="D8514" s="546"/>
      <c r="E8514" s="547"/>
      <c r="F8514" s="61" t="s">
        <v>0</v>
      </c>
      <c r="G8514" s="328" t="str">
        <f>VLOOKUP(H8513,COSTOS!C:M,8,0)</f>
        <v>Und</v>
      </c>
      <c r="H8514" s="248"/>
      <c r="I8514" s="278"/>
      <c r="J8514" s="280"/>
      <c r="K8514" s="280"/>
      <c r="L8514" s="280"/>
    </row>
    <row r="8515" spans="1:15">
      <c r="A8515" s="211"/>
      <c r="B8515" s="102"/>
      <c r="C8515" s="102"/>
      <c r="D8515" s="102"/>
      <c r="E8515" s="103"/>
      <c r="F8515" s="104" t="s">
        <v>1</v>
      </c>
      <c r="G8515" s="328">
        <f>VLOOKUP(H8513,COSTOS!C:M,9,0)</f>
        <v>0</v>
      </c>
      <c r="H8515" s="329"/>
      <c r="I8515" s="279"/>
    </row>
    <row r="8516" spans="1:15">
      <c r="A8516" s="212" t="s">
        <v>4215</v>
      </c>
      <c r="B8516" s="65"/>
      <c r="C8516" s="65"/>
      <c r="D8516" s="66"/>
      <c r="E8516" s="190"/>
      <c r="F8516" s="191"/>
      <c r="G8516" s="192" t="s">
        <v>4216</v>
      </c>
      <c r="H8516" s="198" t="e">
        <f>H8522+H8542+H8546+H8552</f>
        <v>#VALUE!</v>
      </c>
    </row>
    <row r="8517" spans="1:15" ht="41.4">
      <c r="A8517" s="548" t="s">
        <v>4213</v>
      </c>
      <c r="B8517" s="548"/>
      <c r="C8517" s="548"/>
      <c r="D8517" s="67" t="s">
        <v>0</v>
      </c>
      <c r="E8517" s="188" t="s">
        <v>4217</v>
      </c>
      <c r="F8517" s="189" t="s">
        <v>4204</v>
      </c>
      <c r="G8517" s="64" t="s">
        <v>2</v>
      </c>
      <c r="H8517" s="199" t="s">
        <v>4218</v>
      </c>
      <c r="K8517" s="281"/>
    </row>
    <row r="8518" spans="1:15">
      <c r="A8518" s="517" t="s">
        <v>3946</v>
      </c>
      <c r="B8518" s="549">
        <f>VLOOKUP(A8518,'Equip, Herr y Transp'!$B$2:$E$738,2,0)</f>
        <v>2</v>
      </c>
      <c r="C8518" s="549"/>
      <c r="D8518" s="85">
        <f>VLOOKUP(A8518,'Equip, Herr y Transp'!$B$2:$E$217,2,0)</f>
        <v>2</v>
      </c>
      <c r="E8518" s="85" t="str">
        <f>VLOOKUP(A8518,'Equip, Herr y Transp'!$B$2:$E$217,3,0)</f>
        <v>EQU</v>
      </c>
      <c r="F8518" s="86">
        <f>H8508</f>
        <v>0.41670000000000001</v>
      </c>
      <c r="G8518" s="112" t="e">
        <f>F8518*E8518</f>
        <v>#VALUE!</v>
      </c>
      <c r="H8518" s="108"/>
    </row>
    <row r="8519" spans="1:15">
      <c r="A8519" s="517" t="s">
        <v>3894</v>
      </c>
      <c r="B8519" s="549">
        <f>VLOOKUP(A8519,'Equip, Herr y Transp'!$B$2:$E$738,2,0)</f>
        <v>4</v>
      </c>
      <c r="C8519" s="549"/>
      <c r="D8519" s="85">
        <f>VLOOKUP(A8519,'Equip, Herr y Transp'!$B$2:$E$217,2,0)</f>
        <v>4</v>
      </c>
      <c r="E8519" s="85" t="str">
        <f>VLOOKUP(A8519,'Equip, Herr y Transp'!$B$2:$E$217,3,0)</f>
        <v>TR</v>
      </c>
      <c r="F8519" s="86">
        <f>H8508</f>
        <v>0.41670000000000001</v>
      </c>
      <c r="G8519" s="112" t="e">
        <f>F8519*E8519</f>
        <v>#VALUE!</v>
      </c>
      <c r="H8519" s="107"/>
    </row>
    <row r="8520" spans="1:15">
      <c r="A8520" s="517" t="s">
        <v>3895</v>
      </c>
      <c r="B8520" s="549">
        <f>VLOOKUP(A8520,'Equip, Herr y Transp'!$B$2:$E$738,2,0)</f>
        <v>4</v>
      </c>
      <c r="C8520" s="549"/>
      <c r="D8520" s="85">
        <f>VLOOKUP(A8520,'Equip, Herr y Transp'!$B$2:$E$217,2,0)</f>
        <v>4</v>
      </c>
      <c r="E8520" s="85" t="str">
        <f>VLOOKUP(A8520,'Equip, Herr y Transp'!$B$2:$E$217,3,0)</f>
        <v>TR</v>
      </c>
      <c r="F8520" s="86">
        <f>H8508</f>
        <v>0.41670000000000001</v>
      </c>
      <c r="G8520" s="112" t="e">
        <f>F8520*E8520</f>
        <v>#VALUE!</v>
      </c>
      <c r="H8520" s="107"/>
    </row>
    <row r="8521" spans="1:15">
      <c r="A8521" s="517" t="s">
        <v>8</v>
      </c>
      <c r="B8521" s="549" t="e">
        <f>VLOOKUP(A8521,'Equip, Herr y Transp'!$B$2:$E$738,2,0)</f>
        <v>#N/A</v>
      </c>
      <c r="C8521" s="549"/>
      <c r="D8521" s="85" t="e">
        <f>VLOOKUP(A8521,'Equip, Herr y Transp'!$B$2:$E$217,2,0)</f>
        <v>#N/A</v>
      </c>
      <c r="E8521" s="85" t="e">
        <f>VLOOKUP(A8521,'Equip, Herr y Transp'!$B$2:$E$217,3,0)</f>
        <v>#N/A</v>
      </c>
      <c r="F8521" s="86">
        <f>H8508</f>
        <v>0.41670000000000001</v>
      </c>
      <c r="G8521" s="112" t="e">
        <f>F8521*E8521</f>
        <v>#N/A</v>
      </c>
      <c r="H8521" s="107"/>
    </row>
    <row r="8522" spans="1:15">
      <c r="A8522" s="520" t="s">
        <v>4099</v>
      </c>
      <c r="B8522" s="521"/>
      <c r="C8522" s="521"/>
      <c r="D8522" s="521"/>
      <c r="E8522" s="521"/>
      <c r="F8522" s="521"/>
      <c r="G8522" s="521"/>
      <c r="H8522" s="87" t="e">
        <f>SUM(G8518:G8521)</f>
        <v>#VALUE!</v>
      </c>
    </row>
    <row r="8523" spans="1:15">
      <c r="A8523" s="550" t="s">
        <v>4219</v>
      </c>
      <c r="B8523" s="551"/>
      <c r="C8523" s="551"/>
      <c r="D8523" s="551"/>
      <c r="E8523" s="551"/>
      <c r="F8523" s="551"/>
      <c r="G8523" s="551"/>
      <c r="H8523" s="552"/>
      <c r="K8523" s="50"/>
      <c r="L8523" s="50"/>
      <c r="M8523" s="50"/>
      <c r="N8523" s="50"/>
      <c r="O8523" s="50"/>
    </row>
    <row r="8524" spans="1:15" ht="30" customHeight="1">
      <c r="A8524" s="553" t="s">
        <v>7</v>
      </c>
      <c r="B8524" s="554"/>
      <c r="C8524" s="99" t="s">
        <v>0</v>
      </c>
      <c r="D8524" s="100" t="s">
        <v>4097</v>
      </c>
      <c r="E8524" s="101" t="s">
        <v>1</v>
      </c>
      <c r="F8524" s="555" t="s">
        <v>4207</v>
      </c>
      <c r="G8524" s="555"/>
      <c r="H8524" s="196"/>
      <c r="K8524" s="50"/>
      <c r="L8524" s="50"/>
      <c r="M8524" s="50"/>
      <c r="N8524" s="50"/>
      <c r="O8524" s="50"/>
    </row>
    <row r="8525" spans="1:15">
      <c r="A8525" s="535" t="s">
        <v>4502</v>
      </c>
      <c r="B8525" s="536"/>
      <c r="C8525" s="88">
        <f>VLOOKUP(A8525,'Materiales '!$C$2:$G$396,3,0)</f>
        <v>4</v>
      </c>
      <c r="D8525" s="89" t="str">
        <f>VLOOKUP(A8525,'Materiales '!$C$2:$G$396,4,0)</f>
        <v>Und</v>
      </c>
      <c r="E8525" s="90">
        <v>3</v>
      </c>
      <c r="F8525" s="508" t="e">
        <f>E8525*D8525</f>
        <v>#VALUE!</v>
      </c>
      <c r="G8525" s="519"/>
      <c r="H8525" s="111"/>
      <c r="I8525">
        <f>E8525*G8515</f>
        <v>0</v>
      </c>
      <c r="J8525" s="57"/>
      <c r="K8525" s="50"/>
      <c r="L8525" s="50"/>
      <c r="M8525" s="50"/>
      <c r="N8525" s="50"/>
      <c r="O8525" s="50"/>
    </row>
    <row r="8526" spans="1:15">
      <c r="A8526" s="535" t="s">
        <v>4503</v>
      </c>
      <c r="B8526" s="536"/>
      <c r="C8526" s="88">
        <f>VLOOKUP(A8526,'Materiales '!$C$2:$G$396,3,0)</f>
        <v>4</v>
      </c>
      <c r="D8526" s="89" t="str">
        <f>VLOOKUP(A8526,'Materiales '!$C$2:$G$396,4,0)</f>
        <v>Und</v>
      </c>
      <c r="E8526" s="90">
        <v>3</v>
      </c>
      <c r="F8526" s="508" t="e">
        <f t="shared" ref="F8526:F8532" si="496">E8526*D8526</f>
        <v>#VALUE!</v>
      </c>
      <c r="G8526" s="519"/>
      <c r="H8526" s="111"/>
      <c r="I8526">
        <f>E8526*G8515</f>
        <v>0</v>
      </c>
      <c r="J8526" s="57"/>
      <c r="K8526" s="50"/>
      <c r="L8526" s="50"/>
      <c r="M8526" s="50"/>
      <c r="N8526" s="50"/>
      <c r="O8526" s="50"/>
    </row>
    <row r="8527" spans="1:15">
      <c r="A8527" s="517" t="s">
        <v>4545</v>
      </c>
      <c r="B8527" s="518">
        <f>VLOOKUP(A8527,'Materiales '!$C$2:$G$396,3,0)</f>
        <v>4</v>
      </c>
      <c r="C8527" s="88">
        <f>VLOOKUP(A8527,'Materiales '!$C$2:$G$396,3,0)</f>
        <v>4</v>
      </c>
      <c r="D8527" s="89" t="str">
        <f>VLOOKUP(A8527,'Materiales '!$C$2:$G$396,4,0)</f>
        <v>Und</v>
      </c>
      <c r="E8527" s="90">
        <v>2</v>
      </c>
      <c r="F8527" s="508" t="e">
        <f t="shared" si="496"/>
        <v>#VALUE!</v>
      </c>
      <c r="G8527" s="519"/>
      <c r="H8527" s="111"/>
      <c r="I8527">
        <f>E8527*G8515</f>
        <v>0</v>
      </c>
      <c r="J8527" s="58"/>
      <c r="K8527" s="50"/>
      <c r="L8527" s="50"/>
      <c r="M8527" s="50"/>
      <c r="N8527" s="50"/>
      <c r="O8527" s="50"/>
    </row>
    <row r="8528" spans="1:15">
      <c r="A8528" s="517" t="s">
        <v>4447</v>
      </c>
      <c r="B8528" s="518">
        <f>VLOOKUP(A8528,'Materiales '!$C$2:$G$396,3,0)</f>
        <v>2</v>
      </c>
      <c r="C8528" s="88">
        <f>VLOOKUP(A8528,'Materiales '!$C$2:$G$396,3,0)</f>
        <v>2</v>
      </c>
      <c r="D8528" s="89" t="str">
        <f>VLOOKUP(A8528,'Materiales '!$C$2:$G$396,4,0)</f>
        <v>Ml</v>
      </c>
      <c r="E8528" s="90">
        <v>20</v>
      </c>
      <c r="F8528" s="508" t="e">
        <f t="shared" si="496"/>
        <v>#VALUE!</v>
      </c>
      <c r="G8528" s="519"/>
      <c r="H8528" s="111"/>
      <c r="I8528">
        <f>E8528*G8515</f>
        <v>0</v>
      </c>
      <c r="J8528" s="58"/>
      <c r="K8528" s="50"/>
      <c r="L8528" s="50"/>
      <c r="M8528" s="50"/>
      <c r="N8528" s="50"/>
      <c r="O8528" s="50"/>
    </row>
    <row r="8529" spans="1:15">
      <c r="A8529" s="517" t="s">
        <v>4434</v>
      </c>
      <c r="B8529" s="518">
        <f>VLOOKUP(A8529,'Materiales '!$C$2:$G$396,3,0)</f>
        <v>2</v>
      </c>
      <c r="C8529" s="88">
        <f>VLOOKUP(A8529,'Materiales '!$C$2:$G$396,3,0)</f>
        <v>2</v>
      </c>
      <c r="D8529" s="89" t="str">
        <f>VLOOKUP(A8529,'Materiales '!$C$2:$G$396,4,0)</f>
        <v>Ml</v>
      </c>
      <c r="E8529" s="90">
        <v>15</v>
      </c>
      <c r="F8529" s="508" t="e">
        <f t="shared" si="496"/>
        <v>#VALUE!</v>
      </c>
      <c r="G8529" s="519"/>
      <c r="H8529" s="111"/>
      <c r="I8529">
        <f>E8529*G8515</f>
        <v>0</v>
      </c>
      <c r="J8529" s="58"/>
      <c r="K8529" s="50"/>
      <c r="L8529" s="50"/>
      <c r="M8529" s="50"/>
      <c r="N8529" s="50"/>
      <c r="O8529" s="50"/>
    </row>
    <row r="8530" spans="1:15">
      <c r="A8530" s="517" t="s">
        <v>4511</v>
      </c>
      <c r="B8530" s="518">
        <f>VLOOKUP(A8530,'Materiales '!$C$2:$G$396,3,0)</f>
        <v>4</v>
      </c>
      <c r="C8530" s="88">
        <f>VLOOKUP(A8530,'Materiales '!$C$2:$G$396,3,0)</f>
        <v>4</v>
      </c>
      <c r="D8530" s="89" t="str">
        <f>VLOOKUP(A8530,'Materiales '!$C$2:$G$396,4,0)</f>
        <v>Und</v>
      </c>
      <c r="E8530" s="90">
        <v>3</v>
      </c>
      <c r="F8530" s="508" t="e">
        <f t="shared" si="496"/>
        <v>#VALUE!</v>
      </c>
      <c r="G8530" s="519"/>
      <c r="H8530" s="111"/>
      <c r="I8530">
        <f>E8530*G8515</f>
        <v>0</v>
      </c>
      <c r="J8530" s="58"/>
      <c r="K8530" s="50"/>
      <c r="L8530" s="50"/>
      <c r="M8530" s="50"/>
      <c r="N8530" s="50"/>
      <c r="O8530" s="50"/>
    </row>
    <row r="8531" spans="1:15">
      <c r="A8531" s="517" t="s">
        <v>4811</v>
      </c>
      <c r="B8531" s="518">
        <f>VLOOKUP(A8531,'Materiales '!$C$2:$G$396,3,0)</f>
        <v>4</v>
      </c>
      <c r="C8531" s="88">
        <f>VLOOKUP(A8531,'Materiales '!$C$2:$G$396,3,0)</f>
        <v>4</v>
      </c>
      <c r="D8531" s="89" t="str">
        <f>VLOOKUP(A8531,'Materiales '!$C$2:$G$396,4,0)</f>
        <v>Und</v>
      </c>
      <c r="E8531" s="90">
        <v>3</v>
      </c>
      <c r="F8531" s="508" t="e">
        <f t="shared" si="496"/>
        <v>#VALUE!</v>
      </c>
      <c r="G8531" s="519"/>
      <c r="H8531" s="111"/>
      <c r="I8531">
        <f>E8531*G8515</f>
        <v>0</v>
      </c>
      <c r="J8531" s="58"/>
      <c r="K8531" s="50"/>
      <c r="L8531" s="50"/>
      <c r="M8531" s="50"/>
      <c r="N8531" s="50"/>
      <c r="O8531" s="50"/>
    </row>
    <row r="8532" spans="1:15" ht="21.75" customHeight="1">
      <c r="A8532" s="517" t="s">
        <v>4517</v>
      </c>
      <c r="B8532" s="518">
        <f>VLOOKUP(A8532,'Materiales '!$C$2:$G$396,3,0)</f>
        <v>4</v>
      </c>
      <c r="C8532" s="88">
        <f>VLOOKUP(A8532,'Materiales '!$C$2:$G$396,3,0)</f>
        <v>4</v>
      </c>
      <c r="D8532" s="89" t="str">
        <f>VLOOKUP(A8532,'Materiales '!$C$2:$G$396,4,0)</f>
        <v>Und</v>
      </c>
      <c r="E8532" s="90">
        <v>3</v>
      </c>
      <c r="F8532" s="508" t="e">
        <f t="shared" si="496"/>
        <v>#VALUE!</v>
      </c>
      <c r="G8532" s="519"/>
      <c r="H8532" s="111"/>
      <c r="I8532">
        <f>E8532*G8515</f>
        <v>0</v>
      </c>
      <c r="J8532" s="58"/>
      <c r="K8532" s="50"/>
      <c r="L8532" s="50"/>
      <c r="M8532" s="50"/>
      <c r="N8532" s="50"/>
      <c r="O8532" s="50"/>
    </row>
    <row r="8533" spans="1:15">
      <c r="A8533" s="517" t="s">
        <v>5008</v>
      </c>
      <c r="B8533" s="518">
        <f>VLOOKUP(A8533,'Materiales '!$C$2:$G$396,3,0)</f>
        <v>4</v>
      </c>
      <c r="C8533" s="88">
        <f>VLOOKUP(A8533,'Materiales '!$C$2:$G$396,3,0)</f>
        <v>4</v>
      </c>
      <c r="D8533" s="89" t="str">
        <f>VLOOKUP(A8533,'Materiales '!$C$2:$G$396,4,0)</f>
        <v>Und</v>
      </c>
      <c r="E8533" s="90">
        <v>1</v>
      </c>
      <c r="F8533" s="508" t="e">
        <f>E8533*D8533</f>
        <v>#VALUE!</v>
      </c>
      <c r="G8533" s="519"/>
      <c r="H8533" s="110"/>
      <c r="I8533">
        <f>E8533*G8515</f>
        <v>0</v>
      </c>
      <c r="J8533" s="58"/>
      <c r="K8533" s="50"/>
      <c r="L8533" s="50"/>
      <c r="M8533" s="50"/>
      <c r="N8533" s="50"/>
      <c r="O8533" s="50"/>
    </row>
    <row r="8534" spans="1:15">
      <c r="A8534" s="517" t="s">
        <v>4474</v>
      </c>
      <c r="B8534" s="518">
        <f>VLOOKUP(A8534,'Materiales '!$C$2:$G$396,3,0)</f>
        <v>4</v>
      </c>
      <c r="C8534" s="88">
        <f>VLOOKUP(A8534,'Materiales '!$C$2:$G$396,3,0)</f>
        <v>4</v>
      </c>
      <c r="D8534" s="89" t="str">
        <f>VLOOKUP(A8534,'Materiales '!$C$2:$G$396,4,0)</f>
        <v>Und</v>
      </c>
      <c r="E8534" s="90">
        <v>2</v>
      </c>
      <c r="F8534" s="508" t="e">
        <f t="shared" ref="F8534:F8539" si="497">E8534*D8534</f>
        <v>#VALUE!</v>
      </c>
      <c r="G8534" s="519"/>
      <c r="H8534" s="111"/>
      <c r="I8534">
        <f>E8534*G8515</f>
        <v>0</v>
      </c>
      <c r="J8534" s="58"/>
      <c r="K8534" s="50"/>
      <c r="L8534" s="50"/>
      <c r="M8534" s="50"/>
      <c r="N8534" s="50"/>
      <c r="O8534" s="50"/>
    </row>
    <row r="8535" spans="1:15">
      <c r="A8535" s="517" t="s">
        <v>4488</v>
      </c>
      <c r="B8535" s="518">
        <f>VLOOKUP(A8535,'Materiales '!$C$2:$G$396,3,0)</f>
        <v>4</v>
      </c>
      <c r="C8535" s="88">
        <f>VLOOKUP(A8535,'Materiales '!$C$2:$G$396,3,0)</f>
        <v>4</v>
      </c>
      <c r="D8535" s="89" t="str">
        <f>VLOOKUP(A8535,'Materiales '!$C$2:$G$396,4,0)</f>
        <v>Und</v>
      </c>
      <c r="E8535" s="90">
        <v>1</v>
      </c>
      <c r="F8535" s="508" t="e">
        <f t="shared" si="497"/>
        <v>#VALUE!</v>
      </c>
      <c r="G8535" s="519"/>
      <c r="H8535" s="111"/>
      <c r="I8535">
        <f>E8535*G8515</f>
        <v>0</v>
      </c>
      <c r="J8535" s="58"/>
      <c r="K8535" s="50"/>
      <c r="L8535" s="50"/>
      <c r="M8535" s="50"/>
      <c r="N8535" s="50"/>
      <c r="O8535" s="50"/>
    </row>
    <row r="8536" spans="1:15">
      <c r="A8536" s="517" t="s">
        <v>4535</v>
      </c>
      <c r="B8536" s="518">
        <f>VLOOKUP(A8536,'Materiales '!$C$2:$G$396,3,0)</f>
        <v>4</v>
      </c>
      <c r="C8536" s="88">
        <f>VLOOKUP(A8536,'Materiales '!$C$2:$G$396,3,0)</f>
        <v>4</v>
      </c>
      <c r="D8536" s="89" t="str">
        <f>VLOOKUP(A8536,'Materiales '!$C$2:$G$396,4,0)</f>
        <v>Und</v>
      </c>
      <c r="E8536" s="90">
        <v>1</v>
      </c>
      <c r="F8536" s="508" t="e">
        <f t="shared" si="497"/>
        <v>#VALUE!</v>
      </c>
      <c r="G8536" s="519"/>
      <c r="H8536" s="111"/>
      <c r="I8536">
        <f>E8536*G8515</f>
        <v>0</v>
      </c>
      <c r="J8536" s="58"/>
      <c r="K8536" s="50"/>
      <c r="L8536" s="50"/>
      <c r="M8536" s="50"/>
      <c r="N8536" s="50"/>
      <c r="O8536" s="50"/>
    </row>
    <row r="8537" spans="1:15">
      <c r="A8537" s="517" t="s">
        <v>4574</v>
      </c>
      <c r="B8537" s="518">
        <f>VLOOKUP(A8537,'Materiales '!$C$2:$G$396,3,0)</f>
        <v>4</v>
      </c>
      <c r="C8537" s="88">
        <f>VLOOKUP(A8537,'Materiales '!$C$2:$G$396,3,0)</f>
        <v>4</v>
      </c>
      <c r="D8537" s="89" t="str">
        <f>VLOOKUP(A8537,'Materiales '!$C$2:$G$396,4,0)</f>
        <v>Und</v>
      </c>
      <c r="E8537" s="90">
        <v>1</v>
      </c>
      <c r="F8537" s="508" t="e">
        <f t="shared" si="497"/>
        <v>#VALUE!</v>
      </c>
      <c r="G8537" s="519"/>
      <c r="H8537" s="111"/>
      <c r="I8537">
        <f>E8537*G8515</f>
        <v>0</v>
      </c>
      <c r="J8537" s="58"/>
      <c r="K8537" s="50"/>
      <c r="L8537" s="50"/>
      <c r="M8537" s="50"/>
      <c r="N8537" s="50"/>
      <c r="O8537" s="50"/>
    </row>
    <row r="8538" spans="1:15">
      <c r="A8538" s="517" t="s">
        <v>4538</v>
      </c>
      <c r="B8538" s="518">
        <f>VLOOKUP(A8538,'Materiales '!$C$2:$G$396,3,0)</f>
        <v>4</v>
      </c>
      <c r="C8538" s="88">
        <f>VLOOKUP(A8538,'Materiales '!$C$2:$G$396,3,0)</f>
        <v>4</v>
      </c>
      <c r="D8538" s="89" t="str">
        <f>VLOOKUP(A8538,'Materiales '!$C$2:$G$396,4,0)</f>
        <v>Und</v>
      </c>
      <c r="E8538" s="90">
        <v>1</v>
      </c>
      <c r="F8538" s="508" t="e">
        <f t="shared" si="497"/>
        <v>#VALUE!</v>
      </c>
      <c r="G8538" s="519"/>
      <c r="H8538" s="111"/>
      <c r="I8538">
        <f>E8538*G8515</f>
        <v>0</v>
      </c>
      <c r="J8538" s="58"/>
      <c r="K8538" s="50"/>
      <c r="L8538" s="50"/>
      <c r="M8538" s="50"/>
      <c r="N8538" s="50"/>
      <c r="O8538" s="50"/>
    </row>
    <row r="8539" spans="1:15">
      <c r="A8539" s="517" t="s">
        <v>4510</v>
      </c>
      <c r="B8539" s="518">
        <f>VLOOKUP(A8539,'Materiales '!$C$2:$G$396,3,0)</f>
        <v>4</v>
      </c>
      <c r="C8539" s="88">
        <f>VLOOKUP(A8539,'Materiales '!$C$2:$G$396,3,0)</f>
        <v>4</v>
      </c>
      <c r="D8539" s="89" t="str">
        <f>VLOOKUP(A8539,'Materiales '!$C$2:$G$396,4,0)</f>
        <v>Und</v>
      </c>
      <c r="E8539" s="90">
        <v>1</v>
      </c>
      <c r="F8539" s="508" t="e">
        <f t="shared" si="497"/>
        <v>#VALUE!</v>
      </c>
      <c r="G8539" s="519"/>
      <c r="H8539" s="111"/>
      <c r="I8539">
        <f>E8539*G8515</f>
        <v>0</v>
      </c>
      <c r="J8539" s="58"/>
      <c r="K8539" s="50"/>
      <c r="L8539" s="50"/>
      <c r="M8539" s="50"/>
      <c r="N8539" s="50"/>
      <c r="O8539" s="50"/>
    </row>
    <row r="8540" spans="1:15">
      <c r="A8540" s="517" t="s">
        <v>4485</v>
      </c>
      <c r="B8540" s="518">
        <f>VLOOKUP(A8540,'Materiales '!$C$2:$G$396,3,0)</f>
        <v>2</v>
      </c>
      <c r="C8540" s="88">
        <f>VLOOKUP(A8540,'Materiales '!$C$2:$G$396,3,0)</f>
        <v>2</v>
      </c>
      <c r="D8540" s="89" t="str">
        <f>VLOOKUP(A8540,'Materiales '!$C$2:$G$396,4,0)</f>
        <v>Ml</v>
      </c>
      <c r="E8540" s="90">
        <v>2</v>
      </c>
      <c r="F8540" s="508" t="e">
        <f>E8540*D8540</f>
        <v>#VALUE!</v>
      </c>
      <c r="G8540" s="519"/>
      <c r="H8540" s="110"/>
      <c r="I8540">
        <f>E8540*G8515</f>
        <v>0</v>
      </c>
      <c r="J8540" s="58"/>
      <c r="K8540" s="50"/>
      <c r="L8540" s="50"/>
      <c r="M8540" s="50"/>
      <c r="N8540" s="50"/>
      <c r="O8540" s="50"/>
    </row>
    <row r="8541" spans="1:15">
      <c r="A8541" s="517" t="s">
        <v>4483</v>
      </c>
      <c r="B8541" s="518">
        <f>VLOOKUP(A8541,'Materiales '!$C$2:$G$396,3,0)</f>
        <v>4</v>
      </c>
      <c r="C8541" s="88">
        <f>VLOOKUP(A8541,'Materiales '!$C$2:$G$396,3,0)</f>
        <v>4</v>
      </c>
      <c r="D8541" s="89" t="str">
        <f>VLOOKUP(A8541,'Materiales '!$C$2:$G$396,4,0)</f>
        <v>Und</v>
      </c>
      <c r="E8541" s="90">
        <v>2</v>
      </c>
      <c r="F8541" s="508" t="e">
        <f>E8541*D8541</f>
        <v>#VALUE!</v>
      </c>
      <c r="G8541" s="519"/>
      <c r="H8541" s="110"/>
      <c r="I8541">
        <f>E8541*G8515</f>
        <v>0</v>
      </c>
      <c r="J8541" s="58"/>
      <c r="K8541" s="50"/>
      <c r="L8541" s="50"/>
      <c r="M8541" s="50"/>
      <c r="N8541" s="50"/>
      <c r="O8541" s="50"/>
    </row>
    <row r="8542" spans="1:15">
      <c r="A8542" s="520" t="s">
        <v>4098</v>
      </c>
      <c r="B8542" s="521"/>
      <c r="C8542" s="521"/>
      <c r="D8542" s="521"/>
      <c r="E8542" s="521"/>
      <c r="F8542" s="521"/>
      <c r="G8542" s="522"/>
      <c r="H8542" s="106" t="e">
        <f>SUM(F8525:F8541)</f>
        <v>#VALUE!</v>
      </c>
      <c r="J8542" s="58"/>
      <c r="K8542" s="50"/>
      <c r="L8542" s="50"/>
      <c r="M8542" s="50"/>
      <c r="N8542" s="50"/>
      <c r="O8542" s="50"/>
    </row>
    <row r="8543" spans="1:15">
      <c r="A8543" s="523" t="s">
        <v>4220</v>
      </c>
      <c r="B8543" s="524"/>
      <c r="C8543" s="524"/>
      <c r="D8543" s="524"/>
      <c r="E8543" s="525"/>
      <c r="F8543" s="524"/>
      <c r="G8543" s="524"/>
      <c r="H8543" s="526"/>
      <c r="J8543" s="58"/>
      <c r="K8543" s="50"/>
      <c r="L8543" s="50"/>
      <c r="M8543" s="50"/>
      <c r="N8543" s="50"/>
      <c r="O8543" s="50"/>
    </row>
    <row r="8544" spans="1:15">
      <c r="A8544" s="527" t="s">
        <v>7</v>
      </c>
      <c r="B8544" s="528"/>
      <c r="C8544" s="98" t="s">
        <v>4221</v>
      </c>
      <c r="D8544" s="97" t="s">
        <v>4222</v>
      </c>
      <c r="E8544" s="187" t="s">
        <v>4223</v>
      </c>
      <c r="F8544" s="529" t="s">
        <v>4207</v>
      </c>
      <c r="G8544" s="529"/>
      <c r="H8544" s="109"/>
      <c r="K8544" s="50"/>
      <c r="L8544" s="50"/>
      <c r="M8544" s="50"/>
      <c r="N8544" s="50"/>
      <c r="O8544" s="50"/>
    </row>
    <row r="8545" spans="1:13">
      <c r="A8545" s="506" t="s">
        <v>3928</v>
      </c>
      <c r="B8545" s="507"/>
      <c r="C8545" s="213">
        <v>1</v>
      </c>
      <c r="D8545" s="92">
        <v>0.1</v>
      </c>
      <c r="E8545" s="93" t="str">
        <f>VLOOKUP(A8545,'Equip, Herr y Transp'!$B$2:$E$217,3,0)</f>
        <v>TR</v>
      </c>
      <c r="F8545" s="530" t="e">
        <f>E8545*D8545*C8545</f>
        <v>#VALUE!</v>
      </c>
      <c r="G8545" s="531"/>
      <c r="H8545" s="107"/>
      <c r="M8545" s="50"/>
    </row>
    <row r="8546" spans="1:13">
      <c r="A8546" s="532" t="s">
        <v>4205</v>
      </c>
      <c r="B8546" s="533"/>
      <c r="C8546" s="533"/>
      <c r="D8546" s="533"/>
      <c r="E8546" s="533"/>
      <c r="F8546" s="533"/>
      <c r="G8546" s="533"/>
      <c r="H8546" s="95" t="e">
        <f>F8545</f>
        <v>#VALUE!</v>
      </c>
    </row>
    <row r="8547" spans="1:13">
      <c r="A8547" s="523" t="s">
        <v>4224</v>
      </c>
      <c r="B8547" s="524"/>
      <c r="C8547" s="524"/>
      <c r="D8547" s="524"/>
      <c r="E8547" s="524"/>
      <c r="F8547" s="524"/>
      <c r="G8547" s="524"/>
      <c r="H8547" s="526"/>
    </row>
    <row r="8548" spans="1:13">
      <c r="A8548" s="527" t="s">
        <v>7</v>
      </c>
      <c r="B8548" s="528"/>
      <c r="C8548" s="96" t="s">
        <v>1</v>
      </c>
      <c r="D8548" s="97" t="s">
        <v>4225</v>
      </c>
      <c r="E8548" s="98" t="s">
        <v>4204</v>
      </c>
      <c r="F8548" s="527" t="s">
        <v>5</v>
      </c>
      <c r="G8548" s="534"/>
      <c r="H8548" s="109"/>
    </row>
    <row r="8549" spans="1:13">
      <c r="A8549" s="506" t="s">
        <v>4191</v>
      </c>
      <c r="B8549" s="507"/>
      <c r="C8549" s="91">
        <v>1</v>
      </c>
      <c r="D8549" s="94">
        <f>VLOOKUP(A8549,'Mano Obra'!$B$2:$T$117,19,0)</f>
        <v>152456</v>
      </c>
      <c r="E8549" s="218">
        <f>H8508</f>
        <v>0.41670000000000001</v>
      </c>
      <c r="F8549" s="508">
        <f>E8549*D8549*C8549</f>
        <v>63528.415200000003</v>
      </c>
      <c r="G8549" s="509"/>
      <c r="H8549" s="111"/>
      <c r="I8549" s="59"/>
      <c r="J8549" s="117">
        <f>((('Mano Obra'!$M$4/30)*F8549)/D8549)*G8515</f>
        <v>0</v>
      </c>
    </row>
    <row r="8550" spans="1:13">
      <c r="A8550" s="510" t="s">
        <v>4192</v>
      </c>
      <c r="B8550" s="511">
        <f>VLOOKUP(A8550,'Mano Obra'!$B$3:$D$290,2,0)</f>
        <v>1900000</v>
      </c>
      <c r="C8550" s="91">
        <v>2</v>
      </c>
      <c r="D8550" s="94">
        <f>VLOOKUP(A8550,'Mano Obra'!$B$2:$T$117,19,0)</f>
        <v>110488</v>
      </c>
      <c r="E8550" s="218">
        <f>H8508</f>
        <v>0.41670000000000001</v>
      </c>
      <c r="F8550" s="508">
        <f t="shared" ref="F8550:F8551" si="498">E8550*D8550*C8550</f>
        <v>92080.699200000003</v>
      </c>
      <c r="G8550" s="509"/>
      <c r="H8550" s="111"/>
      <c r="J8550" s="117">
        <f>((('Mano Obra'!$M$5/30)*F8550)/D8550)*G8515</f>
        <v>0</v>
      </c>
    </row>
    <row r="8551" spans="1:13">
      <c r="A8551" s="510" t="s">
        <v>4181</v>
      </c>
      <c r="B8551" s="511">
        <f>VLOOKUP(A8551,'Mano Obra'!$B$3:$D$290,2,0)</f>
        <v>1000000</v>
      </c>
      <c r="C8551" s="91">
        <v>2</v>
      </c>
      <c r="D8551" s="94">
        <f>VLOOKUP(A8551,'Mano Obra'!$B$2:$T$117,19,0)</f>
        <v>67424</v>
      </c>
      <c r="E8551" s="218">
        <f>H8508</f>
        <v>0.41670000000000001</v>
      </c>
      <c r="F8551" s="508">
        <f t="shared" si="498"/>
        <v>56191.161599999999</v>
      </c>
      <c r="G8551" s="509"/>
      <c r="H8551" s="110"/>
      <c r="J8551" s="117">
        <f>((('Mano Obra'!$M$6/30)*F8551)/D8551)*G8515</f>
        <v>0</v>
      </c>
    </row>
    <row r="8552" spans="1:13">
      <c r="A8552" s="512" t="s">
        <v>4100</v>
      </c>
      <c r="B8552" s="512"/>
      <c r="C8552" s="512"/>
      <c r="D8552" s="512"/>
      <c r="E8552" s="512"/>
      <c r="F8552" s="512"/>
      <c r="G8552" s="512"/>
      <c r="H8552" s="95">
        <f>SUM(F8549:F8551)</f>
        <v>211800.27600000001</v>
      </c>
      <c r="J8552" s="117"/>
    </row>
    <row r="8553" spans="1:13">
      <c r="A8553" s="208" t="s">
        <v>4226</v>
      </c>
      <c r="B8553" s="186"/>
      <c r="C8553" s="186"/>
      <c r="D8553" s="183"/>
      <c r="E8553" s="184"/>
      <c r="F8553" s="185"/>
      <c r="G8553" s="184"/>
      <c r="H8553" s="193"/>
    </row>
    <row r="8554" spans="1:13">
      <c r="A8554" s="513" t="s">
        <v>4213</v>
      </c>
      <c r="B8554" s="514"/>
      <c r="C8554" s="514"/>
      <c r="D8554" s="514"/>
      <c r="E8554" s="181"/>
      <c r="F8554" s="182" t="s">
        <v>4227</v>
      </c>
      <c r="G8554" s="181" t="s">
        <v>4228</v>
      </c>
      <c r="H8554" s="194"/>
    </row>
    <row r="8555" spans="1:13">
      <c r="A8555" s="204" t="s">
        <v>4096</v>
      </c>
      <c r="B8555" s="62"/>
      <c r="C8555" s="62"/>
      <c r="D8555" s="63"/>
      <c r="E8555" s="68"/>
      <c r="F8555" s="69">
        <v>0</v>
      </c>
      <c r="G8555" s="70" t="e">
        <f>F8555*H8516</f>
        <v>#VALUE!</v>
      </c>
      <c r="H8555" s="193"/>
    </row>
    <row r="8556" spans="1:13">
      <c r="A8556" s="205" t="s">
        <v>4229</v>
      </c>
      <c r="B8556" s="71"/>
      <c r="C8556" s="71"/>
      <c r="D8556" s="72"/>
      <c r="E8556" s="68"/>
      <c r="F8556" s="69">
        <v>0</v>
      </c>
      <c r="G8556" s="70" t="e">
        <f>F8556*H8516</f>
        <v>#VALUE!</v>
      </c>
      <c r="H8556" s="193"/>
    </row>
    <row r="8557" spans="1:13">
      <c r="A8557" s="205" t="s">
        <v>4</v>
      </c>
      <c r="B8557" s="71"/>
      <c r="C8557" s="71"/>
      <c r="D8557" s="72"/>
      <c r="E8557" s="68"/>
      <c r="F8557" s="69">
        <v>0</v>
      </c>
      <c r="G8557" s="70" t="e">
        <f>F8557*H8516</f>
        <v>#VALUE!</v>
      </c>
      <c r="H8557" s="193"/>
    </row>
    <row r="8558" spans="1:13">
      <c r="A8558" s="206"/>
      <c r="B8558" s="73"/>
      <c r="C8558" s="65"/>
      <c r="D8558" s="74"/>
      <c r="E8558" s="75"/>
      <c r="F8558" s="76"/>
      <c r="G8558" s="77"/>
      <c r="H8558" s="195"/>
    </row>
    <row r="8559" spans="1:13">
      <c r="A8559" s="207"/>
      <c r="B8559" s="73"/>
      <c r="C8559" s="73"/>
      <c r="D8559" s="74"/>
      <c r="E8559" s="78"/>
      <c r="F8559" s="515" t="s">
        <v>4230</v>
      </c>
      <c r="G8559" s="516"/>
      <c r="H8559" s="214" t="e">
        <f>H8516+G8555+G8556+G8557</f>
        <v>#VALUE!</v>
      </c>
    </row>
    <row r="8560" spans="1:13">
      <c r="A8560" s="73"/>
      <c r="B8560" s="73"/>
      <c r="C8560" s="73"/>
      <c r="D8560" s="74"/>
      <c r="E8560" s="360"/>
      <c r="F8560" s="361"/>
      <c r="G8560" s="361"/>
      <c r="H8560" s="362"/>
    </row>
    <row r="8561" spans="1:14">
      <c r="A8561" s="80"/>
      <c r="B8561" s="80"/>
      <c r="C8561" s="80"/>
      <c r="D8561" s="80"/>
      <c r="E8561" s="80"/>
      <c r="F8561" s="80"/>
      <c r="G8561" s="80"/>
      <c r="H8561" s="353"/>
    </row>
    <row r="8562" spans="1:14">
      <c r="A8562" s="537" t="s">
        <v>4214</v>
      </c>
      <c r="B8562" s="538"/>
      <c r="C8562" s="538"/>
      <c r="D8562" s="538"/>
      <c r="E8562" s="538"/>
      <c r="F8562" s="538"/>
      <c r="G8562" s="538"/>
      <c r="H8562" s="539"/>
    </row>
    <row r="8563" spans="1:14">
      <c r="A8563" s="81"/>
      <c r="B8563" s="82"/>
      <c r="C8563" s="82"/>
      <c r="D8563" s="82"/>
      <c r="E8563" s="82"/>
      <c r="F8563" s="83"/>
      <c r="G8563" s="84"/>
      <c r="H8563" s="352">
        <f>ROUND((60/60)/8,4)</f>
        <v>0.125</v>
      </c>
      <c r="I8563" s="105"/>
    </row>
    <row r="8564" spans="1:14">
      <c r="A8564" s="540" t="s">
        <v>4209</v>
      </c>
      <c r="B8564" s="542" t="str">
        <f>COSTOS!$C$14</f>
        <v>MODERNIZACION A TECNOLOGIA LED</v>
      </c>
      <c r="C8564" s="542"/>
      <c r="D8564" s="542"/>
      <c r="E8564" s="542"/>
      <c r="F8564" s="542"/>
      <c r="G8564" s="542"/>
      <c r="H8564" s="543" t="s">
        <v>4210</v>
      </c>
    </row>
    <row r="8565" spans="1:14">
      <c r="A8565" s="541"/>
      <c r="B8565" s="542"/>
      <c r="C8565" s="542"/>
      <c r="D8565" s="542"/>
      <c r="E8565" s="542"/>
      <c r="F8565" s="542"/>
      <c r="G8565" s="542"/>
      <c r="H8565" s="543"/>
    </row>
    <row r="8566" spans="1:14">
      <c r="A8566" s="541"/>
      <c r="B8566" s="542"/>
      <c r="C8566" s="542"/>
      <c r="D8566" s="542"/>
      <c r="E8566" s="542"/>
      <c r="F8566" s="542"/>
      <c r="G8566" s="542"/>
      <c r="H8566" s="543"/>
    </row>
    <row r="8567" spans="1:14" ht="15" customHeight="1">
      <c r="A8567" s="541"/>
      <c r="B8567" s="542"/>
      <c r="C8567" s="542"/>
      <c r="D8567" s="542"/>
      <c r="E8567" s="542"/>
      <c r="F8567" s="542"/>
      <c r="G8567" s="542"/>
      <c r="H8567" s="197">
        <f ca="1">TODAY()</f>
        <v>44889</v>
      </c>
      <c r="K8567" t="s">
        <v>4380</v>
      </c>
      <c r="L8567" t="s">
        <v>4381</v>
      </c>
      <c r="M8567" t="s">
        <v>4382</v>
      </c>
      <c r="N8567" t="s">
        <v>4383</v>
      </c>
    </row>
    <row r="8568" spans="1:14" ht="60.75" customHeight="1">
      <c r="A8568" s="209" t="s">
        <v>4211</v>
      </c>
      <c r="B8568" s="544" t="str">
        <f>COSTOS!$D$16</f>
        <v>Luminarias</v>
      </c>
      <c r="C8568" s="544"/>
      <c r="D8568" s="544"/>
      <c r="E8568" s="544"/>
      <c r="F8568" s="544"/>
      <c r="G8568" s="60" t="s">
        <v>4212</v>
      </c>
      <c r="H8568" s="363">
        <v>4.1100000000000003</v>
      </c>
      <c r="K8568" s="55" t="e">
        <f>H8589</f>
        <v>#VALUE!</v>
      </c>
      <c r="L8568" s="55">
        <f>H8599</f>
        <v>49724</v>
      </c>
      <c r="M8568" s="55" t="e">
        <f>H8577</f>
        <v>#VALUE!</v>
      </c>
      <c r="N8568" s="55" t="e">
        <f>H8593</f>
        <v>#VALUE!</v>
      </c>
    </row>
    <row r="8569" spans="1:14" ht="43.2" customHeight="1">
      <c r="A8569" s="210" t="s">
        <v>4213</v>
      </c>
      <c r="B8569" s="545" t="str">
        <f>VLOOKUP(H8568,COSTOS!C:M,2,0)</f>
        <v>Medidor 2f 3h 220/110</v>
      </c>
      <c r="C8569" s="546"/>
      <c r="D8569" s="546"/>
      <c r="E8569" s="547"/>
      <c r="F8569" s="61" t="s">
        <v>0</v>
      </c>
      <c r="G8569" s="328" t="str">
        <f>VLOOKUP(H8568,COSTOS!C:M,8,0)</f>
        <v>Und</v>
      </c>
      <c r="H8569" s="248"/>
      <c r="I8569" s="278"/>
      <c r="J8569" s="280"/>
      <c r="K8569" s="280"/>
      <c r="L8569" s="280"/>
    </row>
    <row r="8570" spans="1:14">
      <c r="A8570" s="211"/>
      <c r="B8570" s="102"/>
      <c r="C8570" s="102"/>
      <c r="D8570" s="102"/>
      <c r="E8570" s="103"/>
      <c r="F8570" s="104" t="s">
        <v>1</v>
      </c>
      <c r="G8570" s="328">
        <f>VLOOKUP(H8568,COSTOS!C:M,9,0)</f>
        <v>0</v>
      </c>
      <c r="H8570" s="329"/>
      <c r="I8570" s="279"/>
    </row>
    <row r="8571" spans="1:14">
      <c r="A8571" s="212" t="s">
        <v>4215</v>
      </c>
      <c r="B8571" s="65"/>
      <c r="C8571" s="65"/>
      <c r="D8571" s="66"/>
      <c r="E8571" s="190"/>
      <c r="F8571" s="191"/>
      <c r="G8571" s="192" t="s">
        <v>4216</v>
      </c>
      <c r="H8571" s="198" t="e">
        <f>H8577+H8589+H8593+H8599</f>
        <v>#VALUE!</v>
      </c>
    </row>
    <row r="8572" spans="1:14" ht="41.4">
      <c r="A8572" s="548" t="s">
        <v>4213</v>
      </c>
      <c r="B8572" s="548"/>
      <c r="C8572" s="548"/>
      <c r="D8572" s="67" t="s">
        <v>0</v>
      </c>
      <c r="E8572" s="188" t="s">
        <v>4217</v>
      </c>
      <c r="F8572" s="189" t="s">
        <v>4204</v>
      </c>
      <c r="G8572" s="64" t="s">
        <v>2</v>
      </c>
      <c r="H8572" s="199" t="s">
        <v>4218</v>
      </c>
      <c r="K8572" s="281"/>
    </row>
    <row r="8573" spans="1:14">
      <c r="A8573" s="517" t="s">
        <v>3946</v>
      </c>
      <c r="B8573" s="549">
        <f>VLOOKUP(A8573,'Equip, Herr y Transp'!$B$2:$E$738,2,0)</f>
        <v>2</v>
      </c>
      <c r="C8573" s="549"/>
      <c r="D8573" s="85">
        <f>VLOOKUP(A8573,'Equip, Herr y Transp'!$B$2:$E$217,2,0)</f>
        <v>2</v>
      </c>
      <c r="E8573" s="85" t="str">
        <f>VLOOKUP(A8573,'Equip, Herr y Transp'!$B$2:$E$217,3,0)</f>
        <v>EQU</v>
      </c>
      <c r="F8573" s="86">
        <f>H8563</f>
        <v>0.125</v>
      </c>
      <c r="G8573" s="112" t="e">
        <f>F8573*E8573</f>
        <v>#VALUE!</v>
      </c>
      <c r="H8573" s="108"/>
    </row>
    <row r="8574" spans="1:14">
      <c r="A8574" s="517" t="s">
        <v>3904</v>
      </c>
      <c r="B8574" s="549">
        <f>VLOOKUP(A8574,'Equip, Herr y Transp'!$B$2:$E$738,2,0)</f>
        <v>2</v>
      </c>
      <c r="C8574" s="549"/>
      <c r="D8574" s="85">
        <f>VLOOKUP(A8574,'Equip, Herr y Transp'!$B$2:$E$217,2,0)</f>
        <v>2</v>
      </c>
      <c r="E8574" s="85" t="str">
        <f>VLOOKUP(A8574,'Equip, Herr y Transp'!$B$2:$E$217,3,0)</f>
        <v>EQU</v>
      </c>
      <c r="F8574" s="86">
        <f>H8563</f>
        <v>0.125</v>
      </c>
      <c r="G8574" s="112" t="e">
        <f>F8574*E8574</f>
        <v>#VALUE!</v>
      </c>
      <c r="H8574" s="107"/>
    </row>
    <row r="8575" spans="1:14">
      <c r="A8575" s="517" t="s">
        <v>3909</v>
      </c>
      <c r="B8575" s="549">
        <f>VLOOKUP(A8575,'Equip, Herr y Transp'!$B$2:$E$738,2,0)</f>
        <v>1</v>
      </c>
      <c r="C8575" s="549"/>
      <c r="D8575" s="85">
        <f>VLOOKUP(A8575,'Equip, Herr y Transp'!$B$2:$E$217,2,0)</f>
        <v>1</v>
      </c>
      <c r="E8575" s="85" t="str">
        <f>VLOOKUP(A8575,'Equip, Herr y Transp'!$B$2:$E$217,3,0)</f>
        <v>ELEC</v>
      </c>
      <c r="F8575" s="86">
        <f>H8563</f>
        <v>0.125</v>
      </c>
      <c r="G8575" s="112" t="e">
        <f>F8575*E8575</f>
        <v>#VALUE!</v>
      </c>
      <c r="H8575" s="107"/>
    </row>
    <row r="8576" spans="1:14">
      <c r="A8576" s="517" t="s">
        <v>8</v>
      </c>
      <c r="B8576" s="549" t="e">
        <f>VLOOKUP(A8576,'Equip, Herr y Transp'!$B$2:$E$738,2,0)</f>
        <v>#N/A</v>
      </c>
      <c r="C8576" s="549"/>
      <c r="D8576" s="85" t="e">
        <f>VLOOKUP(A8576,'Equip, Herr y Transp'!$B$2:$E$217,2,0)</f>
        <v>#N/A</v>
      </c>
      <c r="E8576" s="85" t="e">
        <f>VLOOKUP(A8576,'Equip, Herr y Transp'!$B$2:$E$217,3,0)</f>
        <v>#N/A</v>
      </c>
      <c r="F8576" s="86">
        <f>H8563</f>
        <v>0.125</v>
      </c>
      <c r="G8576" s="112" t="e">
        <f>F8576*E8576</f>
        <v>#N/A</v>
      </c>
      <c r="H8576" s="107"/>
    </row>
    <row r="8577" spans="1:15">
      <c r="A8577" s="520" t="s">
        <v>4099</v>
      </c>
      <c r="B8577" s="521"/>
      <c r="C8577" s="521"/>
      <c r="D8577" s="521"/>
      <c r="E8577" s="521"/>
      <c r="F8577" s="521"/>
      <c r="G8577" s="521"/>
      <c r="H8577" s="87" t="e">
        <f>SUM(G8573:G8576)</f>
        <v>#VALUE!</v>
      </c>
    </row>
    <row r="8578" spans="1:15">
      <c r="A8578" s="550" t="s">
        <v>4219</v>
      </c>
      <c r="B8578" s="551"/>
      <c r="C8578" s="551"/>
      <c r="D8578" s="551"/>
      <c r="E8578" s="551"/>
      <c r="F8578" s="551"/>
      <c r="G8578" s="551"/>
      <c r="H8578" s="552"/>
      <c r="K8578" s="50"/>
      <c r="L8578" s="50"/>
      <c r="M8578" s="50"/>
      <c r="N8578" s="50"/>
      <c r="O8578" s="50"/>
    </row>
    <row r="8579" spans="1:15" ht="30" customHeight="1">
      <c r="A8579" s="553" t="s">
        <v>7</v>
      </c>
      <c r="B8579" s="554"/>
      <c r="C8579" s="99" t="s">
        <v>0</v>
      </c>
      <c r="D8579" s="100" t="s">
        <v>4097</v>
      </c>
      <c r="E8579" s="101" t="s">
        <v>1</v>
      </c>
      <c r="F8579" s="555" t="s">
        <v>4207</v>
      </c>
      <c r="G8579" s="555"/>
      <c r="H8579" s="196"/>
      <c r="K8579" s="50"/>
      <c r="L8579" s="50"/>
      <c r="M8579" s="50"/>
      <c r="N8579" s="50"/>
      <c r="O8579" s="50"/>
    </row>
    <row r="8580" spans="1:15">
      <c r="A8580" s="535" t="s">
        <v>5009</v>
      </c>
      <c r="B8580" s="536"/>
      <c r="C8580" s="88">
        <f>VLOOKUP(A8580,'Materiales '!$C$2:$G$396,3,0)</f>
        <v>4</v>
      </c>
      <c r="D8580" s="89" t="str">
        <f>VLOOKUP(A8580,'Materiales '!$C$2:$G$396,4,0)</f>
        <v>Und</v>
      </c>
      <c r="E8580" s="90">
        <v>1</v>
      </c>
      <c r="F8580" s="508" t="e">
        <f>E8580*D8580</f>
        <v>#VALUE!</v>
      </c>
      <c r="G8580" s="519"/>
      <c r="H8580" s="111"/>
      <c r="I8580">
        <f>E8580*G8570</f>
        <v>0</v>
      </c>
      <c r="J8580" s="57"/>
      <c r="K8580" s="50"/>
      <c r="L8580" s="50"/>
      <c r="M8580" s="50"/>
      <c r="N8580" s="50"/>
      <c r="O8580" s="50"/>
    </row>
    <row r="8581" spans="1:15">
      <c r="A8581" s="535" t="s">
        <v>8</v>
      </c>
      <c r="B8581" s="536"/>
      <c r="C8581" s="88">
        <f>VLOOKUP(A8581,'Materiales '!$C$2:$G$396,3,0)</f>
        <v>0</v>
      </c>
      <c r="D8581" s="89" t="str">
        <f>VLOOKUP(A8581,'Materiales '!$C$2:$G$396,4,0)</f>
        <v>-</v>
      </c>
      <c r="E8581" s="90">
        <v>2</v>
      </c>
      <c r="F8581" s="508" t="e">
        <f t="shared" ref="F8581:F8587" si="499">E8581*D8581</f>
        <v>#VALUE!</v>
      </c>
      <c r="G8581" s="519"/>
      <c r="H8581" s="111"/>
      <c r="I8581">
        <f>E8581*G8570</f>
        <v>0</v>
      </c>
      <c r="J8581" s="57"/>
      <c r="K8581" s="50"/>
      <c r="L8581" s="50"/>
      <c r="M8581" s="50"/>
      <c r="N8581" s="50"/>
      <c r="O8581" s="50"/>
    </row>
    <row r="8582" spans="1:15">
      <c r="A8582" s="517" t="s">
        <v>8</v>
      </c>
      <c r="B8582" s="518">
        <f>VLOOKUP(A8582,'Materiales '!$C$2:$G$396,3,0)</f>
        <v>0</v>
      </c>
      <c r="C8582" s="88">
        <f>VLOOKUP(A8582,'Materiales '!$C$2:$G$396,3,0)</f>
        <v>0</v>
      </c>
      <c r="D8582" s="89" t="str">
        <f>VLOOKUP(A8582,'Materiales '!$C$2:$G$396,4,0)</f>
        <v>-</v>
      </c>
      <c r="E8582" s="90">
        <v>2</v>
      </c>
      <c r="F8582" s="508" t="e">
        <f t="shared" si="499"/>
        <v>#VALUE!</v>
      </c>
      <c r="G8582" s="519"/>
      <c r="H8582" s="111"/>
      <c r="I8582">
        <f>E8582*G8570</f>
        <v>0</v>
      </c>
      <c r="J8582" s="58"/>
      <c r="K8582" s="50"/>
      <c r="L8582" s="50"/>
      <c r="M8582" s="50"/>
      <c r="N8582" s="50"/>
      <c r="O8582" s="50"/>
    </row>
    <row r="8583" spans="1:15">
      <c r="A8583" s="517" t="s">
        <v>8</v>
      </c>
      <c r="B8583" s="518">
        <f>VLOOKUP(A8583,'Materiales '!$C$2:$G$396,3,0)</f>
        <v>0</v>
      </c>
      <c r="C8583" s="88">
        <f>VLOOKUP(A8583,'Materiales '!$C$2:$G$396,3,0)</f>
        <v>0</v>
      </c>
      <c r="D8583" s="89" t="str">
        <f>VLOOKUP(A8583,'Materiales '!$C$2:$G$396,4,0)</f>
        <v>-</v>
      </c>
      <c r="E8583" s="90">
        <v>20</v>
      </c>
      <c r="F8583" s="508" t="e">
        <f t="shared" si="499"/>
        <v>#VALUE!</v>
      </c>
      <c r="G8583" s="519"/>
      <c r="H8583" s="111"/>
      <c r="I8583">
        <f>E8583*G8570</f>
        <v>0</v>
      </c>
      <c r="J8583" s="58"/>
      <c r="K8583" s="50"/>
      <c r="L8583" s="50"/>
      <c r="M8583" s="50"/>
      <c r="N8583" s="50"/>
      <c r="O8583" s="50"/>
    </row>
    <row r="8584" spans="1:15">
      <c r="A8584" s="517" t="s">
        <v>8</v>
      </c>
      <c r="B8584" s="518">
        <f>VLOOKUP(A8584,'Materiales '!$C$2:$G$396,3,0)</f>
        <v>0</v>
      </c>
      <c r="C8584" s="88">
        <f>VLOOKUP(A8584,'Materiales '!$C$2:$G$396,3,0)</f>
        <v>0</v>
      </c>
      <c r="D8584" s="89" t="str">
        <f>VLOOKUP(A8584,'Materiales '!$C$2:$G$396,4,0)</f>
        <v>-</v>
      </c>
      <c r="E8584" s="90">
        <v>15</v>
      </c>
      <c r="F8584" s="508" t="e">
        <f t="shared" si="499"/>
        <v>#VALUE!</v>
      </c>
      <c r="G8584" s="519"/>
      <c r="H8584" s="111"/>
      <c r="I8584">
        <f>E8584*G8570</f>
        <v>0</v>
      </c>
      <c r="J8584" s="58"/>
      <c r="K8584" s="50"/>
      <c r="L8584" s="50"/>
      <c r="M8584" s="50"/>
      <c r="N8584" s="50"/>
      <c r="O8584" s="50"/>
    </row>
    <row r="8585" spans="1:15">
      <c r="A8585" s="517" t="s">
        <v>8</v>
      </c>
      <c r="B8585" s="518">
        <f>VLOOKUP(A8585,'Materiales '!$C$2:$G$396,3,0)</f>
        <v>0</v>
      </c>
      <c r="C8585" s="88">
        <f>VLOOKUP(A8585,'Materiales '!$C$2:$G$396,3,0)</f>
        <v>0</v>
      </c>
      <c r="D8585" s="89" t="str">
        <f>VLOOKUP(A8585,'Materiales '!$C$2:$G$396,4,0)</f>
        <v>-</v>
      </c>
      <c r="E8585" s="90">
        <v>2</v>
      </c>
      <c r="F8585" s="508" t="e">
        <f t="shared" si="499"/>
        <v>#VALUE!</v>
      </c>
      <c r="G8585" s="519"/>
      <c r="H8585" s="111"/>
      <c r="I8585">
        <f>E8585*G8570</f>
        <v>0</v>
      </c>
      <c r="J8585" s="58"/>
      <c r="K8585" s="50"/>
      <c r="L8585" s="50"/>
      <c r="M8585" s="50"/>
      <c r="N8585" s="50"/>
      <c r="O8585" s="50"/>
    </row>
    <row r="8586" spans="1:15">
      <c r="A8586" s="517" t="s">
        <v>8</v>
      </c>
      <c r="B8586" s="518">
        <f>VLOOKUP(A8586,'Materiales '!$C$2:$G$396,3,0)</f>
        <v>0</v>
      </c>
      <c r="C8586" s="88">
        <f>VLOOKUP(A8586,'Materiales '!$C$2:$G$396,3,0)</f>
        <v>0</v>
      </c>
      <c r="D8586" s="89" t="str">
        <f>VLOOKUP(A8586,'Materiales '!$C$2:$G$396,4,0)</f>
        <v>-</v>
      </c>
      <c r="E8586" s="90">
        <v>1</v>
      </c>
      <c r="F8586" s="508" t="e">
        <f t="shared" si="499"/>
        <v>#VALUE!</v>
      </c>
      <c r="G8586" s="519"/>
      <c r="H8586" s="111"/>
      <c r="I8586">
        <f>E8586*G8570</f>
        <v>0</v>
      </c>
      <c r="J8586" s="58"/>
      <c r="K8586" s="50"/>
      <c r="L8586" s="50"/>
      <c r="M8586" s="50"/>
      <c r="N8586" s="50"/>
      <c r="O8586" s="50"/>
    </row>
    <row r="8587" spans="1:15">
      <c r="A8587" s="517" t="s">
        <v>8</v>
      </c>
      <c r="B8587" s="518">
        <f>VLOOKUP(A8587,'Materiales '!$C$2:$G$396,3,0)</f>
        <v>0</v>
      </c>
      <c r="C8587" s="88">
        <f>VLOOKUP(A8587,'Materiales '!$C$2:$G$396,3,0)</f>
        <v>0</v>
      </c>
      <c r="D8587" s="89" t="str">
        <f>VLOOKUP(A8587,'Materiales '!$C$2:$G$396,4,0)</f>
        <v>-</v>
      </c>
      <c r="E8587" s="90">
        <v>1</v>
      </c>
      <c r="F8587" s="508" t="e">
        <f t="shared" si="499"/>
        <v>#VALUE!</v>
      </c>
      <c r="G8587" s="519"/>
      <c r="H8587" s="111"/>
      <c r="I8587">
        <f>E8587*G8570</f>
        <v>0</v>
      </c>
      <c r="J8587" s="58"/>
      <c r="K8587" s="50"/>
      <c r="L8587" s="50"/>
      <c r="M8587" s="50"/>
      <c r="N8587" s="50"/>
      <c r="O8587" s="50"/>
    </row>
    <row r="8588" spans="1:15">
      <c r="A8588" s="517" t="s">
        <v>8</v>
      </c>
      <c r="B8588" s="518">
        <f>VLOOKUP(A8588,'Materiales '!$C$2:$G$396,3,0)</f>
        <v>0</v>
      </c>
      <c r="C8588" s="88">
        <f>VLOOKUP(A8588,'Materiales '!$C$2:$G$396,3,0)</f>
        <v>0</v>
      </c>
      <c r="D8588" s="89" t="str">
        <f>VLOOKUP(A8588,'Materiales '!$C$2:$G$396,4,0)</f>
        <v>-</v>
      </c>
      <c r="E8588" s="90">
        <v>2</v>
      </c>
      <c r="F8588" s="508" t="e">
        <f>E8588*D8588</f>
        <v>#VALUE!</v>
      </c>
      <c r="G8588" s="519"/>
      <c r="H8588" s="110"/>
      <c r="I8588">
        <f>E8588*G8570</f>
        <v>0</v>
      </c>
      <c r="J8588" s="58"/>
      <c r="K8588" s="50"/>
      <c r="L8588" s="50"/>
      <c r="M8588" s="50"/>
      <c r="N8588" s="50"/>
      <c r="O8588" s="50"/>
    </row>
    <row r="8589" spans="1:15">
      <c r="A8589" s="520" t="s">
        <v>4098</v>
      </c>
      <c r="B8589" s="521"/>
      <c r="C8589" s="521"/>
      <c r="D8589" s="521"/>
      <c r="E8589" s="521"/>
      <c r="F8589" s="521"/>
      <c r="G8589" s="522"/>
      <c r="H8589" s="106" t="e">
        <f>SUM(F8580:F8588)</f>
        <v>#VALUE!</v>
      </c>
      <c r="J8589" s="58"/>
      <c r="K8589" s="50"/>
      <c r="L8589" s="50"/>
      <c r="M8589" s="50"/>
      <c r="N8589" s="50"/>
      <c r="O8589" s="50"/>
    </row>
    <row r="8590" spans="1:15">
      <c r="A8590" s="523" t="s">
        <v>4220</v>
      </c>
      <c r="B8590" s="524"/>
      <c r="C8590" s="524"/>
      <c r="D8590" s="524"/>
      <c r="E8590" s="525"/>
      <c r="F8590" s="524"/>
      <c r="G8590" s="524"/>
      <c r="H8590" s="526"/>
      <c r="J8590" s="58"/>
      <c r="K8590" s="50"/>
      <c r="L8590" s="50"/>
      <c r="M8590" s="50"/>
      <c r="N8590" s="50"/>
      <c r="O8590" s="50"/>
    </row>
    <row r="8591" spans="1:15">
      <c r="A8591" s="527" t="s">
        <v>7</v>
      </c>
      <c r="B8591" s="528"/>
      <c r="C8591" s="98" t="s">
        <v>4221</v>
      </c>
      <c r="D8591" s="97" t="s">
        <v>4222</v>
      </c>
      <c r="E8591" s="187" t="s">
        <v>4223</v>
      </c>
      <c r="F8591" s="529" t="s">
        <v>4207</v>
      </c>
      <c r="G8591" s="529"/>
      <c r="H8591" s="109"/>
      <c r="K8591" s="50"/>
      <c r="L8591" s="50"/>
      <c r="M8591" s="50"/>
      <c r="N8591" s="50"/>
      <c r="O8591" s="50"/>
    </row>
    <row r="8592" spans="1:15">
      <c r="A8592" s="506" t="s">
        <v>3928</v>
      </c>
      <c r="B8592" s="507"/>
      <c r="C8592" s="213">
        <v>1</v>
      </c>
      <c r="D8592" s="92">
        <v>0.1</v>
      </c>
      <c r="E8592" s="93" t="str">
        <f>VLOOKUP(A8592,'Equip, Herr y Transp'!$B$2:$E$217,3,0)</f>
        <v>TR</v>
      </c>
      <c r="F8592" s="530" t="e">
        <f>E8592*D8592*C8592</f>
        <v>#VALUE!</v>
      </c>
      <c r="G8592" s="531"/>
      <c r="H8592" s="107"/>
      <c r="M8592" s="50"/>
    </row>
    <row r="8593" spans="1:10">
      <c r="A8593" s="532" t="s">
        <v>4205</v>
      </c>
      <c r="B8593" s="533"/>
      <c r="C8593" s="533"/>
      <c r="D8593" s="533"/>
      <c r="E8593" s="533"/>
      <c r="F8593" s="533"/>
      <c r="G8593" s="533"/>
      <c r="H8593" s="95" t="e">
        <f>F8592</f>
        <v>#VALUE!</v>
      </c>
    </row>
    <row r="8594" spans="1:10">
      <c r="A8594" s="523" t="s">
        <v>4224</v>
      </c>
      <c r="B8594" s="524"/>
      <c r="C8594" s="524"/>
      <c r="D8594" s="524"/>
      <c r="E8594" s="524"/>
      <c r="F8594" s="524"/>
      <c r="G8594" s="524"/>
      <c r="H8594" s="526"/>
    </row>
    <row r="8595" spans="1:10">
      <c r="A8595" s="527" t="s">
        <v>7</v>
      </c>
      <c r="B8595" s="528"/>
      <c r="C8595" s="96" t="s">
        <v>1</v>
      </c>
      <c r="D8595" s="97" t="s">
        <v>4225</v>
      </c>
      <c r="E8595" s="98" t="s">
        <v>4204</v>
      </c>
      <c r="F8595" s="527" t="s">
        <v>5</v>
      </c>
      <c r="G8595" s="534"/>
      <c r="H8595" s="109"/>
    </row>
    <row r="8596" spans="1:10">
      <c r="A8596" s="506" t="s">
        <v>4191</v>
      </c>
      <c r="B8596" s="507"/>
      <c r="C8596" s="91">
        <v>1</v>
      </c>
      <c r="D8596" s="94">
        <f>VLOOKUP(A8596,'Mano Obra'!$B$2:$T$117,19,0)</f>
        <v>152456</v>
      </c>
      <c r="E8596" s="218">
        <f>H8563</f>
        <v>0.125</v>
      </c>
      <c r="F8596" s="508">
        <f>E8596*D8596*C8596</f>
        <v>19057</v>
      </c>
      <c r="G8596" s="509"/>
      <c r="H8596" s="111"/>
      <c r="I8596" s="59"/>
      <c r="J8596" s="117">
        <f>((('Mano Obra'!$M$4/30)*F8596)/D8596)*G8570</f>
        <v>0</v>
      </c>
    </row>
    <row r="8597" spans="1:10">
      <c r="A8597" s="510" t="s">
        <v>4192</v>
      </c>
      <c r="B8597" s="511">
        <f>VLOOKUP(A8597,'Mano Obra'!$B$3:$D$290,2,0)</f>
        <v>1900000</v>
      </c>
      <c r="C8597" s="91">
        <v>1</v>
      </c>
      <c r="D8597" s="94">
        <f>VLOOKUP(A8597,'Mano Obra'!$B$2:$T$117,19,0)</f>
        <v>110488</v>
      </c>
      <c r="E8597" s="218">
        <f>H8563</f>
        <v>0.125</v>
      </c>
      <c r="F8597" s="508">
        <f t="shared" ref="F8597:F8598" si="500">E8597*D8597*C8597</f>
        <v>13811</v>
      </c>
      <c r="G8597" s="509"/>
      <c r="H8597" s="111"/>
      <c r="J8597" s="117">
        <f>((('Mano Obra'!$M$5/30)*F8597)/D8597)*G8570</f>
        <v>0</v>
      </c>
    </row>
    <row r="8598" spans="1:10">
      <c r="A8598" s="510" t="s">
        <v>4181</v>
      </c>
      <c r="B8598" s="511">
        <f>VLOOKUP(A8598,'Mano Obra'!$B$3:$D$290,2,0)</f>
        <v>1000000</v>
      </c>
      <c r="C8598" s="91">
        <v>2</v>
      </c>
      <c r="D8598" s="94">
        <f>VLOOKUP(A8598,'Mano Obra'!$B$2:$T$117,19,0)</f>
        <v>67424</v>
      </c>
      <c r="E8598" s="218">
        <f>H8563</f>
        <v>0.125</v>
      </c>
      <c r="F8598" s="508">
        <f t="shared" si="500"/>
        <v>16856</v>
      </c>
      <c r="G8598" s="509"/>
      <c r="H8598" s="110"/>
      <c r="J8598" s="117">
        <f>((('Mano Obra'!$M$6/30)*F8598)/D8598)*G8570</f>
        <v>0</v>
      </c>
    </row>
    <row r="8599" spans="1:10">
      <c r="A8599" s="512" t="s">
        <v>4100</v>
      </c>
      <c r="B8599" s="512"/>
      <c r="C8599" s="512"/>
      <c r="D8599" s="512"/>
      <c r="E8599" s="512"/>
      <c r="F8599" s="512"/>
      <c r="G8599" s="512"/>
      <c r="H8599" s="95">
        <f>SUM(F8596:F8598)</f>
        <v>49724</v>
      </c>
      <c r="J8599" s="117"/>
    </row>
    <row r="8600" spans="1:10">
      <c r="A8600" s="208" t="s">
        <v>4226</v>
      </c>
      <c r="B8600" s="186"/>
      <c r="C8600" s="186"/>
      <c r="D8600" s="183"/>
      <c r="E8600" s="184"/>
      <c r="F8600" s="185"/>
      <c r="G8600" s="184"/>
      <c r="H8600" s="193"/>
    </row>
    <row r="8601" spans="1:10">
      <c r="A8601" s="513" t="s">
        <v>4213</v>
      </c>
      <c r="B8601" s="514"/>
      <c r="C8601" s="514"/>
      <c r="D8601" s="514"/>
      <c r="E8601" s="181"/>
      <c r="F8601" s="182" t="s">
        <v>4227</v>
      </c>
      <c r="G8601" s="181" t="s">
        <v>4228</v>
      </c>
      <c r="H8601" s="194"/>
    </row>
    <row r="8602" spans="1:10">
      <c r="A8602" s="204" t="s">
        <v>4096</v>
      </c>
      <c r="B8602" s="62"/>
      <c r="C8602" s="62"/>
      <c r="D8602" s="63"/>
      <c r="E8602" s="68"/>
      <c r="F8602" s="69">
        <v>0</v>
      </c>
      <c r="G8602" s="70" t="e">
        <f>F8602*H8571</f>
        <v>#VALUE!</v>
      </c>
      <c r="H8602" s="193"/>
    </row>
    <row r="8603" spans="1:10">
      <c r="A8603" s="205" t="s">
        <v>4229</v>
      </c>
      <c r="B8603" s="71"/>
      <c r="C8603" s="71"/>
      <c r="D8603" s="72"/>
      <c r="E8603" s="68"/>
      <c r="F8603" s="69">
        <v>0</v>
      </c>
      <c r="G8603" s="70" t="e">
        <f>F8603*H8571</f>
        <v>#VALUE!</v>
      </c>
      <c r="H8603" s="193"/>
    </row>
    <row r="8604" spans="1:10">
      <c r="A8604" s="205" t="s">
        <v>4</v>
      </c>
      <c r="B8604" s="71"/>
      <c r="C8604" s="71"/>
      <c r="D8604" s="72"/>
      <c r="E8604" s="68"/>
      <c r="F8604" s="69">
        <v>0</v>
      </c>
      <c r="G8604" s="70" t="e">
        <f>F8604*H8571</f>
        <v>#VALUE!</v>
      </c>
      <c r="H8604" s="193"/>
    </row>
    <row r="8605" spans="1:10">
      <c r="A8605" s="206"/>
      <c r="B8605" s="73"/>
      <c r="C8605" s="65"/>
      <c r="D8605" s="74"/>
      <c r="E8605" s="75"/>
      <c r="F8605" s="76"/>
      <c r="G8605" s="77"/>
      <c r="H8605" s="195"/>
    </row>
    <row r="8606" spans="1:10">
      <c r="A8606" s="207"/>
      <c r="B8606" s="73"/>
      <c r="C8606" s="73"/>
      <c r="D8606" s="74"/>
      <c r="E8606" s="78"/>
      <c r="F8606" s="515" t="s">
        <v>4230</v>
      </c>
      <c r="G8606" s="516"/>
      <c r="H8606" s="214" t="e">
        <f>H8571+G8602+G8603+G8604</f>
        <v>#VALUE!</v>
      </c>
    </row>
    <row r="8607" spans="1:10">
      <c r="A8607" s="73"/>
      <c r="B8607" s="73"/>
      <c r="C8607" s="73"/>
      <c r="D8607" s="74"/>
      <c r="E8607" s="360"/>
      <c r="F8607" s="361"/>
      <c r="G8607" s="361"/>
      <c r="H8607" s="362"/>
    </row>
    <row r="8609" spans="1:14">
      <c r="A8609" s="80"/>
      <c r="B8609" s="80"/>
      <c r="C8609" s="80"/>
      <c r="D8609" s="80"/>
      <c r="E8609" s="80"/>
      <c r="F8609" s="80"/>
      <c r="G8609" s="80"/>
      <c r="H8609" s="353"/>
    </row>
    <row r="8610" spans="1:14">
      <c r="A8610" s="537" t="s">
        <v>4214</v>
      </c>
      <c r="B8610" s="538"/>
      <c r="C8610" s="538"/>
      <c r="D8610" s="538"/>
      <c r="E8610" s="538"/>
      <c r="F8610" s="538"/>
      <c r="G8610" s="538"/>
      <c r="H8610" s="539"/>
    </row>
    <row r="8611" spans="1:14">
      <c r="A8611" s="81"/>
      <c r="B8611" s="82"/>
      <c r="C8611" s="82"/>
      <c r="D8611" s="82"/>
      <c r="E8611" s="82"/>
      <c r="F8611" s="83"/>
      <c r="G8611" s="84"/>
      <c r="H8611" s="352">
        <f>ROUND((80/60)/8,4)</f>
        <v>0.16669999999999999</v>
      </c>
      <c r="I8611" s="105"/>
    </row>
    <row r="8612" spans="1:14">
      <c r="A8612" s="540" t="s">
        <v>4209</v>
      </c>
      <c r="B8612" s="542" t="str">
        <f>COSTOS!$C$14</f>
        <v>MODERNIZACION A TECNOLOGIA LED</v>
      </c>
      <c r="C8612" s="542"/>
      <c r="D8612" s="542"/>
      <c r="E8612" s="542"/>
      <c r="F8612" s="542"/>
      <c r="G8612" s="542"/>
      <c r="H8612" s="543" t="s">
        <v>4210</v>
      </c>
    </row>
    <row r="8613" spans="1:14">
      <c r="A8613" s="541"/>
      <c r="B8613" s="542"/>
      <c r="C8613" s="542"/>
      <c r="D8613" s="542"/>
      <c r="E8613" s="542"/>
      <c r="F8613" s="542"/>
      <c r="G8613" s="542"/>
      <c r="H8613" s="543"/>
    </row>
    <row r="8614" spans="1:14">
      <c r="A8614" s="541"/>
      <c r="B8614" s="542"/>
      <c r="C8614" s="542"/>
      <c r="D8614" s="542"/>
      <c r="E8614" s="542"/>
      <c r="F8614" s="542"/>
      <c r="G8614" s="542"/>
      <c r="H8614" s="543"/>
    </row>
    <row r="8615" spans="1:14" ht="15" customHeight="1">
      <c r="A8615" s="541"/>
      <c r="B8615" s="542"/>
      <c r="C8615" s="542"/>
      <c r="D8615" s="542"/>
      <c r="E8615" s="542"/>
      <c r="F8615" s="542"/>
      <c r="G8615" s="542"/>
      <c r="H8615" s="197">
        <f ca="1">TODAY()</f>
        <v>44889</v>
      </c>
      <c r="K8615" t="s">
        <v>4380</v>
      </c>
      <c r="L8615" t="s">
        <v>4381</v>
      </c>
      <c r="M8615" t="s">
        <v>4382</v>
      </c>
      <c r="N8615" t="s">
        <v>4383</v>
      </c>
    </row>
    <row r="8616" spans="1:14" ht="60.75" customHeight="1">
      <c r="A8616" s="209" t="s">
        <v>4211</v>
      </c>
      <c r="B8616" s="544" t="str">
        <f>COSTOS!$D$16</f>
        <v>Luminarias</v>
      </c>
      <c r="C8616" s="544"/>
      <c r="D8616" s="544"/>
      <c r="E8616" s="544"/>
      <c r="F8616" s="544"/>
      <c r="G8616" s="60" t="s">
        <v>4212</v>
      </c>
      <c r="H8616" s="359">
        <v>5.0999999999999996</v>
      </c>
      <c r="K8616" s="55" t="e">
        <f>H8645</f>
        <v>#VALUE!</v>
      </c>
      <c r="L8616" s="55">
        <f>H8655</f>
        <v>55072.345600000001</v>
      </c>
      <c r="M8616" s="55" t="e">
        <f>H8625</f>
        <v>#VALUE!</v>
      </c>
      <c r="N8616" s="55" t="e">
        <f>H8649</f>
        <v>#VALUE!</v>
      </c>
    </row>
    <row r="8617" spans="1:14" ht="43.2" customHeight="1">
      <c r="A8617" s="210" t="s">
        <v>4213</v>
      </c>
      <c r="B8617" s="545" t="str">
        <f>VLOOKUP(H8616,COSTOS!C:M,2,0)</f>
        <v>Sistema de puesta a tierra Stavol</v>
      </c>
      <c r="C8617" s="546"/>
      <c r="D8617" s="546"/>
      <c r="E8617" s="547"/>
      <c r="F8617" s="61" t="s">
        <v>0</v>
      </c>
      <c r="G8617" s="328" t="str">
        <f>VLOOKUP(H8616,COSTOS!C:M,8,0)</f>
        <v>Und</v>
      </c>
      <c r="H8617" s="248"/>
      <c r="I8617" s="278"/>
      <c r="J8617" s="280"/>
      <c r="K8617" s="280"/>
      <c r="L8617" s="280"/>
    </row>
    <row r="8618" spans="1:14">
      <c r="A8618" s="211"/>
      <c r="B8618" s="102"/>
      <c r="C8618" s="102"/>
      <c r="D8618" s="102"/>
      <c r="E8618" s="103"/>
      <c r="F8618" s="104" t="s">
        <v>1</v>
      </c>
      <c r="G8618" s="328">
        <f>VLOOKUP(H8616,COSTOS!C:M,9,0)</f>
        <v>0</v>
      </c>
      <c r="H8618" s="329"/>
      <c r="I8618" s="279"/>
    </row>
    <row r="8619" spans="1:14">
      <c r="A8619" s="212" t="s">
        <v>4215</v>
      </c>
      <c r="B8619" s="65"/>
      <c r="C8619" s="65"/>
      <c r="D8619" s="66"/>
      <c r="E8619" s="190"/>
      <c r="F8619" s="191"/>
      <c r="G8619" s="192" t="s">
        <v>4216</v>
      </c>
      <c r="H8619" s="198" t="e">
        <f>H8625+H8645+H8649+H8655</f>
        <v>#VALUE!</v>
      </c>
    </row>
    <row r="8620" spans="1:14" ht="41.4">
      <c r="A8620" s="548" t="s">
        <v>4213</v>
      </c>
      <c r="B8620" s="548"/>
      <c r="C8620" s="548"/>
      <c r="D8620" s="67" t="s">
        <v>0</v>
      </c>
      <c r="E8620" s="188" t="s">
        <v>4217</v>
      </c>
      <c r="F8620" s="189" t="s">
        <v>4204</v>
      </c>
      <c r="G8620" s="64" t="s">
        <v>2</v>
      </c>
      <c r="H8620" s="199" t="s">
        <v>4218</v>
      </c>
      <c r="K8620" s="281"/>
    </row>
    <row r="8621" spans="1:14">
      <c r="A8621" s="517" t="s">
        <v>3946</v>
      </c>
      <c r="B8621" s="549">
        <f>VLOOKUP(A8621,'Equip, Herr y Transp'!$B$2:$E$738,2,0)</f>
        <v>2</v>
      </c>
      <c r="C8621" s="549"/>
      <c r="D8621" s="85">
        <f>VLOOKUP(A8621,'Equip, Herr y Transp'!$B$2:$E$217,2,0)</f>
        <v>2</v>
      </c>
      <c r="E8621" s="85" t="str">
        <f>VLOOKUP(A8621,'Equip, Herr y Transp'!$B$2:$E$217,3,0)</f>
        <v>EQU</v>
      </c>
      <c r="F8621" s="86">
        <f>H8611</f>
        <v>0.16669999999999999</v>
      </c>
      <c r="G8621" s="112" t="e">
        <f>F8621*E8621</f>
        <v>#VALUE!</v>
      </c>
      <c r="H8621" s="108"/>
    </row>
    <row r="8622" spans="1:14">
      <c r="A8622" s="517" t="s">
        <v>3904</v>
      </c>
      <c r="B8622" s="549">
        <f>VLOOKUP(A8622,'Equip, Herr y Transp'!$B$2:$E$738,2,0)</f>
        <v>2</v>
      </c>
      <c r="C8622" s="549"/>
      <c r="D8622" s="85">
        <f>VLOOKUP(A8622,'Equip, Herr y Transp'!$B$2:$E$217,2,0)</f>
        <v>2</v>
      </c>
      <c r="E8622" s="85" t="str">
        <f>VLOOKUP(A8622,'Equip, Herr y Transp'!$B$2:$E$217,3,0)</f>
        <v>EQU</v>
      </c>
      <c r="F8622" s="86">
        <f>H8611</f>
        <v>0.16669999999999999</v>
      </c>
      <c r="G8622" s="112" t="e">
        <f>F8622*E8622</f>
        <v>#VALUE!</v>
      </c>
      <c r="H8622" s="107"/>
    </row>
    <row r="8623" spans="1:14">
      <c r="A8623" s="517" t="s">
        <v>8</v>
      </c>
      <c r="B8623" s="549" t="e">
        <f>VLOOKUP(A8623,'Equip, Herr y Transp'!$B$2:$E$738,2,0)</f>
        <v>#N/A</v>
      </c>
      <c r="C8623" s="549"/>
      <c r="D8623" s="85" t="e">
        <f>VLOOKUP(A8623,'Equip, Herr y Transp'!$B$2:$E$217,2,0)</f>
        <v>#N/A</v>
      </c>
      <c r="E8623" s="85" t="e">
        <f>VLOOKUP(A8623,'Equip, Herr y Transp'!$B$2:$E$217,3,0)</f>
        <v>#N/A</v>
      </c>
      <c r="F8623" s="86">
        <f>H8611</f>
        <v>0.16669999999999999</v>
      </c>
      <c r="G8623" s="112" t="e">
        <f>F8623*E8623</f>
        <v>#N/A</v>
      </c>
      <c r="H8623" s="107"/>
    </row>
    <row r="8624" spans="1:14">
      <c r="A8624" s="517" t="s">
        <v>8</v>
      </c>
      <c r="B8624" s="549" t="e">
        <f>VLOOKUP(A8624,'Equip, Herr y Transp'!$B$2:$E$738,2,0)</f>
        <v>#N/A</v>
      </c>
      <c r="C8624" s="549"/>
      <c r="D8624" s="85" t="e">
        <f>VLOOKUP(A8624,'Equip, Herr y Transp'!$B$2:$E$217,2,0)</f>
        <v>#N/A</v>
      </c>
      <c r="E8624" s="85" t="e">
        <f>VLOOKUP(A8624,'Equip, Herr y Transp'!$B$2:$E$217,3,0)</f>
        <v>#N/A</v>
      </c>
      <c r="F8624" s="86">
        <f>H8611</f>
        <v>0.16669999999999999</v>
      </c>
      <c r="G8624" s="112" t="e">
        <f>F8624*E8624</f>
        <v>#N/A</v>
      </c>
      <c r="H8624" s="107"/>
    </row>
    <row r="8625" spans="1:15">
      <c r="A8625" s="520" t="s">
        <v>4099</v>
      </c>
      <c r="B8625" s="521"/>
      <c r="C8625" s="521"/>
      <c r="D8625" s="521"/>
      <c r="E8625" s="521"/>
      <c r="F8625" s="521"/>
      <c r="G8625" s="521"/>
      <c r="H8625" s="87" t="e">
        <f>SUM(G8621:G8624)</f>
        <v>#VALUE!</v>
      </c>
    </row>
    <row r="8626" spans="1:15">
      <c r="A8626" s="550" t="s">
        <v>4219</v>
      </c>
      <c r="B8626" s="551"/>
      <c r="C8626" s="551"/>
      <c r="D8626" s="551"/>
      <c r="E8626" s="551"/>
      <c r="F8626" s="551"/>
      <c r="G8626" s="551"/>
      <c r="H8626" s="552"/>
      <c r="K8626" s="50"/>
      <c r="L8626" s="50"/>
      <c r="M8626" s="50"/>
      <c r="N8626" s="50"/>
      <c r="O8626" s="50"/>
    </row>
    <row r="8627" spans="1:15" ht="30" customHeight="1">
      <c r="A8627" s="553" t="s">
        <v>7</v>
      </c>
      <c r="B8627" s="554"/>
      <c r="C8627" s="99" t="s">
        <v>0</v>
      </c>
      <c r="D8627" s="100" t="s">
        <v>4097</v>
      </c>
      <c r="E8627" s="101" t="s">
        <v>1</v>
      </c>
      <c r="F8627" s="555" t="s">
        <v>4207</v>
      </c>
      <c r="G8627" s="555"/>
      <c r="H8627" s="196"/>
      <c r="K8627" s="50"/>
      <c r="L8627" s="50"/>
      <c r="M8627" s="50"/>
      <c r="N8627" s="50"/>
      <c r="O8627" s="50"/>
    </row>
    <row r="8628" spans="1:15">
      <c r="A8628" s="535" t="s">
        <v>4530</v>
      </c>
      <c r="B8628" s="536"/>
      <c r="C8628" s="88">
        <f>VLOOKUP(A8628,'Materiales '!$C$2:$G$396,3,0)</f>
        <v>4</v>
      </c>
      <c r="D8628" s="89" t="str">
        <f>VLOOKUP(A8628,'Materiales '!$C$2:$G$396,4,0)</f>
        <v>Und</v>
      </c>
      <c r="E8628" s="90">
        <v>1</v>
      </c>
      <c r="F8628" s="508" t="e">
        <f>E8628*D8628</f>
        <v>#VALUE!</v>
      </c>
      <c r="G8628" s="519"/>
      <c r="H8628" s="111"/>
      <c r="I8628">
        <f>E8628*G8618</f>
        <v>0</v>
      </c>
      <c r="J8628" s="57"/>
      <c r="K8628" s="50"/>
      <c r="L8628" s="50"/>
      <c r="M8628" s="50"/>
      <c r="N8628" s="50"/>
      <c r="O8628" s="50"/>
    </row>
    <row r="8629" spans="1:15">
      <c r="A8629" s="535" t="s">
        <v>4464</v>
      </c>
      <c r="B8629" s="536"/>
      <c r="C8629" s="88">
        <f>VLOOKUP(A8629,'Materiales '!$C$2:$G$396,3,0)</f>
        <v>2</v>
      </c>
      <c r="D8629" s="89" t="str">
        <f>VLOOKUP(A8629,'Materiales '!$C$2:$G$396,4,0)</f>
        <v>Ml</v>
      </c>
      <c r="E8629" s="90">
        <v>3</v>
      </c>
      <c r="F8629" s="508" t="e">
        <f t="shared" ref="F8629:F8635" si="501">E8629*D8629</f>
        <v>#VALUE!</v>
      </c>
      <c r="G8629" s="519"/>
      <c r="H8629" s="111"/>
      <c r="I8629">
        <f>E8629*G8618</f>
        <v>0</v>
      </c>
      <c r="J8629" s="57"/>
      <c r="K8629" s="50"/>
      <c r="L8629" s="50"/>
      <c r="M8629" s="50"/>
      <c r="N8629" s="50"/>
      <c r="O8629" s="50"/>
    </row>
    <row r="8630" spans="1:15">
      <c r="A8630" s="517" t="s">
        <v>4527</v>
      </c>
      <c r="B8630" s="518">
        <f>VLOOKUP(A8630,'Materiales '!$C$2:$G$396,3,0)</f>
        <v>4</v>
      </c>
      <c r="C8630" s="88">
        <f>VLOOKUP(A8630,'Materiales '!$C$2:$G$396,3,0)</f>
        <v>4</v>
      </c>
      <c r="D8630" s="89" t="str">
        <f>VLOOKUP(A8630,'Materiales '!$C$2:$G$396,4,0)</f>
        <v>Und</v>
      </c>
      <c r="E8630" s="90">
        <v>3</v>
      </c>
      <c r="F8630" s="508" t="e">
        <f t="shared" si="501"/>
        <v>#VALUE!</v>
      </c>
      <c r="G8630" s="519"/>
      <c r="H8630" s="111"/>
      <c r="I8630">
        <f>E8630*G8618</f>
        <v>0</v>
      </c>
      <c r="J8630" s="58"/>
      <c r="K8630" s="50"/>
      <c r="L8630" s="50"/>
      <c r="M8630" s="50"/>
      <c r="N8630" s="50"/>
      <c r="O8630" s="50"/>
    </row>
    <row r="8631" spans="1:15">
      <c r="A8631" s="517" t="s">
        <v>8</v>
      </c>
      <c r="B8631" s="518">
        <f>VLOOKUP(A8631,'Materiales '!$C$2:$G$396,3,0)</f>
        <v>0</v>
      </c>
      <c r="C8631" s="88">
        <f>VLOOKUP(A8631,'Materiales '!$C$2:$G$396,3,0)</f>
        <v>0</v>
      </c>
      <c r="D8631" s="89" t="str">
        <f>VLOOKUP(A8631,'Materiales '!$C$2:$G$396,4,0)</f>
        <v>-</v>
      </c>
      <c r="E8631" s="90"/>
      <c r="F8631" s="508" t="e">
        <f t="shared" si="501"/>
        <v>#VALUE!</v>
      </c>
      <c r="G8631" s="519"/>
      <c r="H8631" s="111"/>
      <c r="I8631">
        <f>E8631*G8618</f>
        <v>0</v>
      </c>
      <c r="J8631" s="58"/>
      <c r="K8631" s="50"/>
      <c r="L8631" s="50"/>
      <c r="M8631" s="50"/>
      <c r="N8631" s="50"/>
      <c r="O8631" s="50"/>
    </row>
    <row r="8632" spans="1:15">
      <c r="A8632" s="517" t="s">
        <v>8</v>
      </c>
      <c r="B8632" s="518">
        <f>VLOOKUP(A8632,'Materiales '!$C$2:$G$396,3,0)</f>
        <v>0</v>
      </c>
      <c r="C8632" s="88">
        <f>VLOOKUP(A8632,'Materiales '!$C$2:$G$396,3,0)</f>
        <v>0</v>
      </c>
      <c r="D8632" s="89" t="str">
        <f>VLOOKUP(A8632,'Materiales '!$C$2:$G$396,4,0)</f>
        <v>-</v>
      </c>
      <c r="E8632" s="90"/>
      <c r="F8632" s="508" t="e">
        <f t="shared" si="501"/>
        <v>#VALUE!</v>
      </c>
      <c r="G8632" s="519"/>
      <c r="H8632" s="111"/>
      <c r="I8632">
        <f>E8632*G8618</f>
        <v>0</v>
      </c>
      <c r="J8632" s="58"/>
      <c r="K8632" s="50"/>
      <c r="L8632" s="50"/>
      <c r="M8632" s="50"/>
      <c r="N8632" s="50"/>
      <c r="O8632" s="50"/>
    </row>
    <row r="8633" spans="1:15">
      <c r="A8633" s="517" t="s">
        <v>8</v>
      </c>
      <c r="B8633" s="518">
        <f>VLOOKUP(A8633,'Materiales '!$C$2:$G$396,3,0)</f>
        <v>0</v>
      </c>
      <c r="C8633" s="88">
        <f>VLOOKUP(A8633,'Materiales '!$C$2:$G$396,3,0)</f>
        <v>0</v>
      </c>
      <c r="D8633" s="89" t="str">
        <f>VLOOKUP(A8633,'Materiales '!$C$2:$G$396,4,0)</f>
        <v>-</v>
      </c>
      <c r="E8633" s="90"/>
      <c r="F8633" s="508" t="e">
        <f t="shared" si="501"/>
        <v>#VALUE!</v>
      </c>
      <c r="G8633" s="519"/>
      <c r="H8633" s="111"/>
      <c r="I8633">
        <f>E8633*G8618</f>
        <v>0</v>
      </c>
      <c r="J8633" s="58"/>
      <c r="K8633" s="50"/>
      <c r="L8633" s="50"/>
      <c r="M8633" s="50"/>
      <c r="N8633" s="50"/>
      <c r="O8633" s="50"/>
    </row>
    <row r="8634" spans="1:15">
      <c r="A8634" s="517" t="s">
        <v>8</v>
      </c>
      <c r="B8634" s="518">
        <f>VLOOKUP(A8634,'Materiales '!$C$2:$G$396,3,0)</f>
        <v>0</v>
      </c>
      <c r="C8634" s="88">
        <f>VLOOKUP(A8634,'Materiales '!$C$2:$G$396,3,0)</f>
        <v>0</v>
      </c>
      <c r="D8634" s="89" t="str">
        <f>VLOOKUP(A8634,'Materiales '!$C$2:$G$396,4,0)</f>
        <v>-</v>
      </c>
      <c r="E8634" s="90"/>
      <c r="F8634" s="508" t="e">
        <f t="shared" si="501"/>
        <v>#VALUE!</v>
      </c>
      <c r="G8634" s="519"/>
      <c r="H8634" s="111"/>
      <c r="I8634">
        <f>E8634*G8618</f>
        <v>0</v>
      </c>
      <c r="J8634" s="58"/>
      <c r="K8634" s="50"/>
      <c r="L8634" s="50"/>
      <c r="M8634" s="50"/>
      <c r="N8634" s="50"/>
      <c r="O8634" s="50"/>
    </row>
    <row r="8635" spans="1:15" ht="21.75" customHeight="1">
      <c r="A8635" s="517" t="s">
        <v>8</v>
      </c>
      <c r="B8635" s="518">
        <f>VLOOKUP(A8635,'Materiales '!$C$2:$G$396,3,0)</f>
        <v>0</v>
      </c>
      <c r="C8635" s="88">
        <f>VLOOKUP(A8635,'Materiales '!$C$2:$G$396,3,0)</f>
        <v>0</v>
      </c>
      <c r="D8635" s="89" t="str">
        <f>VLOOKUP(A8635,'Materiales '!$C$2:$G$396,4,0)</f>
        <v>-</v>
      </c>
      <c r="E8635" s="90"/>
      <c r="F8635" s="508" t="e">
        <f t="shared" si="501"/>
        <v>#VALUE!</v>
      </c>
      <c r="G8635" s="519"/>
      <c r="H8635" s="111"/>
      <c r="I8635">
        <f>E8635*G8618</f>
        <v>0</v>
      </c>
      <c r="J8635" s="58"/>
      <c r="K8635" s="50"/>
      <c r="L8635" s="50"/>
      <c r="M8635" s="50"/>
      <c r="N8635" s="50"/>
      <c r="O8635" s="50"/>
    </row>
    <row r="8636" spans="1:15">
      <c r="A8636" s="517" t="s">
        <v>8</v>
      </c>
      <c r="B8636" s="518">
        <f>VLOOKUP(A8636,'Materiales '!$C$2:$G$396,3,0)</f>
        <v>0</v>
      </c>
      <c r="C8636" s="88">
        <f>VLOOKUP(A8636,'Materiales '!$C$2:$G$396,3,0)</f>
        <v>0</v>
      </c>
      <c r="D8636" s="89" t="str">
        <f>VLOOKUP(A8636,'Materiales '!$C$2:$G$396,4,0)</f>
        <v>-</v>
      </c>
      <c r="E8636" s="90"/>
      <c r="F8636" s="508" t="e">
        <f>E8636*D8636</f>
        <v>#VALUE!</v>
      </c>
      <c r="G8636" s="519"/>
      <c r="H8636" s="110"/>
      <c r="I8636">
        <f>E8636*G8618</f>
        <v>0</v>
      </c>
      <c r="J8636" s="58"/>
      <c r="K8636" s="50"/>
      <c r="L8636" s="50"/>
      <c r="M8636" s="50"/>
      <c r="N8636" s="50"/>
      <c r="O8636" s="50"/>
    </row>
    <row r="8637" spans="1:15">
      <c r="A8637" s="517" t="s">
        <v>8</v>
      </c>
      <c r="B8637" s="518">
        <f>VLOOKUP(A8637,'Materiales '!$C$2:$G$396,3,0)</f>
        <v>0</v>
      </c>
      <c r="C8637" s="88">
        <f>VLOOKUP(A8637,'Materiales '!$C$2:$G$396,3,0)</f>
        <v>0</v>
      </c>
      <c r="D8637" s="89" t="str">
        <f>VLOOKUP(A8637,'Materiales '!$C$2:$G$396,4,0)</f>
        <v>-</v>
      </c>
      <c r="E8637" s="90"/>
      <c r="F8637" s="508" t="e">
        <f t="shared" ref="F8637:F8642" si="502">E8637*D8637</f>
        <v>#VALUE!</v>
      </c>
      <c r="G8637" s="519"/>
      <c r="H8637" s="111"/>
      <c r="I8637">
        <f>E8637*G8618</f>
        <v>0</v>
      </c>
      <c r="J8637" s="58"/>
      <c r="K8637" s="50"/>
      <c r="L8637" s="50"/>
      <c r="M8637" s="50"/>
      <c r="N8637" s="50"/>
      <c r="O8637" s="50"/>
    </row>
    <row r="8638" spans="1:15">
      <c r="A8638" s="517" t="s">
        <v>8</v>
      </c>
      <c r="B8638" s="518">
        <f>VLOOKUP(A8638,'Materiales '!$C$2:$G$396,3,0)</f>
        <v>0</v>
      </c>
      <c r="C8638" s="88">
        <f>VLOOKUP(A8638,'Materiales '!$C$2:$G$396,3,0)</f>
        <v>0</v>
      </c>
      <c r="D8638" s="89" t="str">
        <f>VLOOKUP(A8638,'Materiales '!$C$2:$G$396,4,0)</f>
        <v>-</v>
      </c>
      <c r="E8638" s="90"/>
      <c r="F8638" s="508" t="e">
        <f t="shared" si="502"/>
        <v>#VALUE!</v>
      </c>
      <c r="G8638" s="519"/>
      <c r="H8638" s="111"/>
      <c r="I8638">
        <f>E8638*G8618</f>
        <v>0</v>
      </c>
      <c r="J8638" s="58"/>
      <c r="K8638" s="50"/>
      <c r="L8638" s="50"/>
      <c r="M8638" s="50"/>
      <c r="N8638" s="50"/>
      <c r="O8638" s="50"/>
    </row>
    <row r="8639" spans="1:15">
      <c r="A8639" s="517" t="s">
        <v>8</v>
      </c>
      <c r="B8639" s="518">
        <f>VLOOKUP(A8639,'Materiales '!$C$2:$G$396,3,0)</f>
        <v>0</v>
      </c>
      <c r="C8639" s="88">
        <f>VLOOKUP(A8639,'Materiales '!$C$2:$G$396,3,0)</f>
        <v>0</v>
      </c>
      <c r="D8639" s="89" t="str">
        <f>VLOOKUP(A8639,'Materiales '!$C$2:$G$396,4,0)</f>
        <v>-</v>
      </c>
      <c r="E8639" s="90"/>
      <c r="F8639" s="508" t="e">
        <f t="shared" si="502"/>
        <v>#VALUE!</v>
      </c>
      <c r="G8639" s="519"/>
      <c r="H8639" s="111"/>
      <c r="I8639">
        <f>E8639*G8618</f>
        <v>0</v>
      </c>
      <c r="J8639" s="58"/>
      <c r="K8639" s="50"/>
      <c r="L8639" s="50"/>
      <c r="M8639" s="50"/>
      <c r="N8639" s="50"/>
      <c r="O8639" s="50"/>
    </row>
    <row r="8640" spans="1:15">
      <c r="A8640" s="517" t="s">
        <v>8</v>
      </c>
      <c r="B8640" s="518">
        <f>VLOOKUP(A8640,'Materiales '!$C$2:$G$396,3,0)</f>
        <v>0</v>
      </c>
      <c r="C8640" s="88">
        <f>VLOOKUP(A8640,'Materiales '!$C$2:$G$396,3,0)</f>
        <v>0</v>
      </c>
      <c r="D8640" s="89" t="str">
        <f>VLOOKUP(A8640,'Materiales '!$C$2:$G$396,4,0)</f>
        <v>-</v>
      </c>
      <c r="E8640" s="90"/>
      <c r="F8640" s="508" t="e">
        <f t="shared" si="502"/>
        <v>#VALUE!</v>
      </c>
      <c r="G8640" s="519"/>
      <c r="H8640" s="111"/>
      <c r="I8640">
        <f>E8640*G8618</f>
        <v>0</v>
      </c>
      <c r="J8640" s="58"/>
      <c r="K8640" s="50"/>
      <c r="L8640" s="50"/>
      <c r="M8640" s="50"/>
      <c r="N8640" s="50"/>
      <c r="O8640" s="50"/>
    </row>
    <row r="8641" spans="1:15">
      <c r="A8641" s="517" t="s">
        <v>8</v>
      </c>
      <c r="B8641" s="518">
        <f>VLOOKUP(A8641,'Materiales '!$C$2:$G$396,3,0)</f>
        <v>0</v>
      </c>
      <c r="C8641" s="88">
        <f>VLOOKUP(A8641,'Materiales '!$C$2:$G$396,3,0)</f>
        <v>0</v>
      </c>
      <c r="D8641" s="89" t="str">
        <f>VLOOKUP(A8641,'Materiales '!$C$2:$G$396,4,0)</f>
        <v>-</v>
      </c>
      <c r="E8641" s="90"/>
      <c r="F8641" s="508" t="e">
        <f t="shared" si="502"/>
        <v>#VALUE!</v>
      </c>
      <c r="G8641" s="519"/>
      <c r="H8641" s="111"/>
      <c r="I8641">
        <f>E8641*G8618</f>
        <v>0</v>
      </c>
      <c r="J8641" s="58"/>
      <c r="K8641" s="50"/>
      <c r="L8641" s="50"/>
      <c r="M8641" s="50"/>
      <c r="N8641" s="50"/>
      <c r="O8641" s="50"/>
    </row>
    <row r="8642" spans="1:15">
      <c r="A8642" s="517" t="s">
        <v>8</v>
      </c>
      <c r="B8642" s="518">
        <f>VLOOKUP(A8642,'Materiales '!$C$2:$G$396,3,0)</f>
        <v>0</v>
      </c>
      <c r="C8642" s="88">
        <f>VLOOKUP(A8642,'Materiales '!$C$2:$G$396,3,0)</f>
        <v>0</v>
      </c>
      <c r="D8642" s="89" t="str">
        <f>VLOOKUP(A8642,'Materiales '!$C$2:$G$396,4,0)</f>
        <v>-</v>
      </c>
      <c r="E8642" s="90"/>
      <c r="F8642" s="508" t="e">
        <f t="shared" si="502"/>
        <v>#VALUE!</v>
      </c>
      <c r="G8642" s="519"/>
      <c r="H8642" s="111"/>
      <c r="I8642">
        <f>E8642*G8618</f>
        <v>0</v>
      </c>
      <c r="J8642" s="58"/>
      <c r="K8642" s="50"/>
      <c r="L8642" s="50"/>
      <c r="M8642" s="50"/>
      <c r="N8642" s="50"/>
      <c r="O8642" s="50"/>
    </row>
    <row r="8643" spans="1:15">
      <c r="A8643" s="517" t="s">
        <v>8</v>
      </c>
      <c r="B8643" s="518">
        <f>VLOOKUP(A8643,'Materiales '!$C$2:$G$396,3,0)</f>
        <v>0</v>
      </c>
      <c r="C8643" s="88">
        <f>VLOOKUP(A8643,'Materiales '!$C$2:$G$396,3,0)</f>
        <v>0</v>
      </c>
      <c r="D8643" s="89" t="str">
        <f>VLOOKUP(A8643,'Materiales '!$C$2:$G$396,4,0)</f>
        <v>-</v>
      </c>
      <c r="E8643" s="90"/>
      <c r="F8643" s="508" t="e">
        <f>E8643*D8643</f>
        <v>#VALUE!</v>
      </c>
      <c r="G8643" s="519"/>
      <c r="H8643" s="110"/>
      <c r="I8643">
        <f>E8643*G8618</f>
        <v>0</v>
      </c>
      <c r="J8643" s="58"/>
      <c r="K8643" s="50"/>
      <c r="L8643" s="50"/>
      <c r="M8643" s="50"/>
      <c r="N8643" s="50"/>
      <c r="O8643" s="50"/>
    </row>
    <row r="8644" spans="1:15">
      <c r="A8644" s="517" t="s">
        <v>8</v>
      </c>
      <c r="B8644" s="518">
        <f>VLOOKUP(A8644,'Materiales '!$C$2:$G$396,3,0)</f>
        <v>0</v>
      </c>
      <c r="C8644" s="88">
        <f>VLOOKUP(A8644,'Materiales '!$C$2:$G$396,3,0)</f>
        <v>0</v>
      </c>
      <c r="D8644" s="89" t="str">
        <f>VLOOKUP(A8644,'Materiales '!$C$2:$G$396,4,0)</f>
        <v>-</v>
      </c>
      <c r="E8644" s="90"/>
      <c r="F8644" s="508" t="e">
        <f>E8644*D8644</f>
        <v>#VALUE!</v>
      </c>
      <c r="G8644" s="519"/>
      <c r="H8644" s="110"/>
      <c r="I8644">
        <f>E8644*G8618</f>
        <v>0</v>
      </c>
      <c r="J8644" s="58"/>
      <c r="K8644" s="50"/>
      <c r="L8644" s="50"/>
      <c r="M8644" s="50"/>
      <c r="N8644" s="50"/>
      <c r="O8644" s="50"/>
    </row>
    <row r="8645" spans="1:15">
      <c r="A8645" s="520" t="s">
        <v>4098</v>
      </c>
      <c r="B8645" s="521"/>
      <c r="C8645" s="521"/>
      <c r="D8645" s="521"/>
      <c r="E8645" s="521"/>
      <c r="F8645" s="521"/>
      <c r="G8645" s="522"/>
      <c r="H8645" s="106" t="e">
        <f>SUM(F8628:F8644)</f>
        <v>#VALUE!</v>
      </c>
      <c r="J8645" s="58"/>
      <c r="K8645" s="50"/>
      <c r="L8645" s="50"/>
      <c r="M8645" s="50"/>
      <c r="N8645" s="50"/>
      <c r="O8645" s="50"/>
    </row>
    <row r="8646" spans="1:15">
      <c r="A8646" s="523" t="s">
        <v>4220</v>
      </c>
      <c r="B8646" s="524"/>
      <c r="C8646" s="524"/>
      <c r="D8646" s="524"/>
      <c r="E8646" s="525"/>
      <c r="F8646" s="524"/>
      <c r="G8646" s="524"/>
      <c r="H8646" s="526"/>
      <c r="J8646" s="58"/>
      <c r="K8646" s="50"/>
      <c r="L8646" s="50"/>
      <c r="M8646" s="50"/>
      <c r="N8646" s="50"/>
      <c r="O8646" s="50"/>
    </row>
    <row r="8647" spans="1:15">
      <c r="A8647" s="527" t="s">
        <v>7</v>
      </c>
      <c r="B8647" s="528"/>
      <c r="C8647" s="98" t="s">
        <v>4221</v>
      </c>
      <c r="D8647" s="97" t="s">
        <v>4222</v>
      </c>
      <c r="E8647" s="187" t="s">
        <v>4223</v>
      </c>
      <c r="F8647" s="529" t="s">
        <v>4207</v>
      </c>
      <c r="G8647" s="529"/>
      <c r="H8647" s="109"/>
      <c r="K8647" s="50"/>
      <c r="L8647" s="50"/>
      <c r="M8647" s="50"/>
      <c r="N8647" s="50"/>
      <c r="O8647" s="50"/>
    </row>
    <row r="8648" spans="1:15">
      <c r="A8648" s="506" t="s">
        <v>3928</v>
      </c>
      <c r="B8648" s="507"/>
      <c r="C8648" s="213">
        <v>1</v>
      </c>
      <c r="D8648" s="92">
        <v>0.1</v>
      </c>
      <c r="E8648" s="93" t="str">
        <f>VLOOKUP(A8648,'Equip, Herr y Transp'!$B$2:$E$217,3,0)</f>
        <v>TR</v>
      </c>
      <c r="F8648" s="530" t="e">
        <f>E8648*D8648*C8648</f>
        <v>#VALUE!</v>
      </c>
      <c r="G8648" s="531"/>
      <c r="H8648" s="107"/>
      <c r="M8648" s="50"/>
    </row>
    <row r="8649" spans="1:15">
      <c r="A8649" s="532" t="s">
        <v>4205</v>
      </c>
      <c r="B8649" s="533"/>
      <c r="C8649" s="533"/>
      <c r="D8649" s="533"/>
      <c r="E8649" s="533"/>
      <c r="F8649" s="533"/>
      <c r="G8649" s="533"/>
      <c r="H8649" s="95" t="e">
        <f>F8648</f>
        <v>#VALUE!</v>
      </c>
    </row>
    <row r="8650" spans="1:15">
      <c r="A8650" s="523" t="s">
        <v>4224</v>
      </c>
      <c r="B8650" s="524"/>
      <c r="C8650" s="524"/>
      <c r="D8650" s="524"/>
      <c r="E8650" s="524"/>
      <c r="F8650" s="524"/>
      <c r="G8650" s="524"/>
      <c r="H8650" s="526"/>
    </row>
    <row r="8651" spans="1:15">
      <c r="A8651" s="527" t="s">
        <v>7</v>
      </c>
      <c r="B8651" s="528"/>
      <c r="C8651" s="96" t="s">
        <v>1</v>
      </c>
      <c r="D8651" s="97" t="s">
        <v>4225</v>
      </c>
      <c r="E8651" s="98" t="s">
        <v>4204</v>
      </c>
      <c r="F8651" s="527" t="s">
        <v>5</v>
      </c>
      <c r="G8651" s="534"/>
      <c r="H8651" s="109"/>
    </row>
    <row r="8652" spans="1:15">
      <c r="A8652" s="506" t="s">
        <v>4191</v>
      </c>
      <c r="B8652" s="507"/>
      <c r="C8652" s="91">
        <v>1</v>
      </c>
      <c r="D8652" s="94">
        <f>VLOOKUP(A8652,'Mano Obra'!$B$2:$T$117,19,0)</f>
        <v>152456</v>
      </c>
      <c r="E8652" s="218">
        <f>H8611</f>
        <v>0.16669999999999999</v>
      </c>
      <c r="F8652" s="508">
        <f>E8652*D8652*C8652</f>
        <v>25414.415199999999</v>
      </c>
      <c r="G8652" s="509"/>
      <c r="H8652" s="111"/>
      <c r="I8652" s="59"/>
      <c r="J8652" s="117">
        <f>((('Mano Obra'!$M$4/30)*F8652)/D8652)*G8618</f>
        <v>0</v>
      </c>
    </row>
    <row r="8653" spans="1:15">
      <c r="A8653" s="510" t="s">
        <v>4192</v>
      </c>
      <c r="B8653" s="511">
        <f>VLOOKUP(A8653,'Mano Obra'!$B$3:$D$290,2,0)</f>
        <v>1900000</v>
      </c>
      <c r="C8653" s="91">
        <v>1</v>
      </c>
      <c r="D8653" s="94">
        <f>VLOOKUP(A8653,'Mano Obra'!$B$2:$T$117,19,0)</f>
        <v>110488</v>
      </c>
      <c r="E8653" s="218">
        <f>H8611</f>
        <v>0.16669999999999999</v>
      </c>
      <c r="F8653" s="508">
        <f t="shared" ref="F8653:F8654" si="503">E8653*D8653*C8653</f>
        <v>18418.349599999998</v>
      </c>
      <c r="G8653" s="509"/>
      <c r="H8653" s="111"/>
      <c r="J8653" s="117">
        <f>((('Mano Obra'!$M$5/30)*F8653)/D8653)*G8618</f>
        <v>0</v>
      </c>
    </row>
    <row r="8654" spans="1:15">
      <c r="A8654" s="510" t="s">
        <v>4181</v>
      </c>
      <c r="B8654" s="511">
        <f>VLOOKUP(A8654,'Mano Obra'!$B$3:$D$290,2,0)</f>
        <v>1000000</v>
      </c>
      <c r="C8654" s="91">
        <v>1</v>
      </c>
      <c r="D8654" s="94">
        <f>VLOOKUP(A8654,'Mano Obra'!$B$2:$T$117,19,0)</f>
        <v>67424</v>
      </c>
      <c r="E8654" s="218">
        <f>H8611</f>
        <v>0.16669999999999999</v>
      </c>
      <c r="F8654" s="508">
        <f t="shared" si="503"/>
        <v>11239.5808</v>
      </c>
      <c r="G8654" s="509"/>
      <c r="H8654" s="110"/>
      <c r="J8654" s="117">
        <f>((('Mano Obra'!$M$6/30)*F8654)/D8654)*G8618</f>
        <v>0</v>
      </c>
    </row>
    <row r="8655" spans="1:15">
      <c r="A8655" s="512" t="s">
        <v>4100</v>
      </c>
      <c r="B8655" s="512"/>
      <c r="C8655" s="512"/>
      <c r="D8655" s="512"/>
      <c r="E8655" s="512"/>
      <c r="F8655" s="512"/>
      <c r="G8655" s="512"/>
      <c r="H8655" s="95">
        <f>SUM(F8652:F8654)</f>
        <v>55072.345600000001</v>
      </c>
      <c r="J8655" s="117"/>
    </row>
    <row r="8656" spans="1:15">
      <c r="A8656" s="208" t="s">
        <v>4226</v>
      </c>
      <c r="B8656" s="186"/>
      <c r="C8656" s="186"/>
      <c r="D8656" s="183"/>
      <c r="E8656" s="184"/>
      <c r="F8656" s="185"/>
      <c r="G8656" s="184"/>
      <c r="H8656" s="193"/>
    </row>
    <row r="8657" spans="1:14">
      <c r="A8657" s="513" t="s">
        <v>4213</v>
      </c>
      <c r="B8657" s="514"/>
      <c r="C8657" s="514"/>
      <c r="D8657" s="514"/>
      <c r="E8657" s="181"/>
      <c r="F8657" s="182" t="s">
        <v>4227</v>
      </c>
      <c r="G8657" s="181" t="s">
        <v>4228</v>
      </c>
      <c r="H8657" s="194"/>
    </row>
    <row r="8658" spans="1:14">
      <c r="A8658" s="204" t="s">
        <v>4096</v>
      </c>
      <c r="B8658" s="62"/>
      <c r="C8658" s="62"/>
      <c r="D8658" s="63"/>
      <c r="E8658" s="68"/>
      <c r="F8658" s="69">
        <v>0</v>
      </c>
      <c r="G8658" s="70" t="e">
        <f>F8658*H8619</f>
        <v>#VALUE!</v>
      </c>
      <c r="H8658" s="193"/>
    </row>
    <row r="8659" spans="1:14">
      <c r="A8659" s="205" t="s">
        <v>4229</v>
      </c>
      <c r="B8659" s="71"/>
      <c r="C8659" s="71"/>
      <c r="D8659" s="72"/>
      <c r="E8659" s="68"/>
      <c r="F8659" s="69">
        <v>0</v>
      </c>
      <c r="G8659" s="70" t="e">
        <f>F8659*H8619</f>
        <v>#VALUE!</v>
      </c>
      <c r="H8659" s="193"/>
    </row>
    <row r="8660" spans="1:14">
      <c r="A8660" s="205" t="s">
        <v>4</v>
      </c>
      <c r="B8660" s="71"/>
      <c r="C8660" s="71"/>
      <c r="D8660" s="72"/>
      <c r="E8660" s="68"/>
      <c r="F8660" s="69">
        <v>0</v>
      </c>
      <c r="G8660" s="70" t="e">
        <f>F8660*H8619</f>
        <v>#VALUE!</v>
      </c>
      <c r="H8660" s="193"/>
    </row>
    <row r="8661" spans="1:14">
      <c r="A8661" s="206"/>
      <c r="B8661" s="73"/>
      <c r="C8661" s="65"/>
      <c r="D8661" s="74"/>
      <c r="E8661" s="75"/>
      <c r="F8661" s="76"/>
      <c r="G8661" s="77"/>
      <c r="H8661" s="195"/>
    </row>
    <row r="8662" spans="1:14">
      <c r="A8662" s="207"/>
      <c r="B8662" s="73"/>
      <c r="C8662" s="73"/>
      <c r="D8662" s="74"/>
      <c r="E8662" s="78"/>
      <c r="F8662" s="515" t="s">
        <v>4230</v>
      </c>
      <c r="G8662" s="516"/>
      <c r="H8662" s="214" t="e">
        <f>H8619+G8658+G8659+G8660</f>
        <v>#VALUE!</v>
      </c>
    </row>
    <row r="8663" spans="1:14">
      <c r="A8663" s="73"/>
      <c r="B8663" s="73"/>
      <c r="C8663" s="73"/>
      <c r="D8663" s="74"/>
      <c r="E8663" s="360"/>
      <c r="F8663" s="361"/>
      <c r="G8663" s="361"/>
      <c r="H8663" s="362"/>
    </row>
    <row r="8664" spans="1:14">
      <c r="A8664" s="80"/>
      <c r="B8664" s="80"/>
      <c r="C8664" s="80"/>
      <c r="D8664" s="80"/>
      <c r="E8664" s="80"/>
      <c r="F8664" s="80"/>
      <c r="G8664" s="80"/>
      <c r="H8664" s="353"/>
    </row>
    <row r="8665" spans="1:14">
      <c r="A8665" s="537" t="s">
        <v>4214</v>
      </c>
      <c r="B8665" s="538"/>
      <c r="C8665" s="538"/>
      <c r="D8665" s="538"/>
      <c r="E8665" s="538"/>
      <c r="F8665" s="538"/>
      <c r="G8665" s="538"/>
      <c r="H8665" s="539"/>
    </row>
    <row r="8666" spans="1:14">
      <c r="A8666" s="81"/>
      <c r="B8666" s="82"/>
      <c r="C8666" s="82"/>
      <c r="D8666" s="82"/>
      <c r="E8666" s="82"/>
      <c r="F8666" s="83"/>
      <c r="G8666" s="84"/>
      <c r="H8666" s="352">
        <f>ROUND((180/60)/8,4)</f>
        <v>0.375</v>
      </c>
      <c r="I8666" s="105"/>
    </row>
    <row r="8667" spans="1:14">
      <c r="A8667" s="540" t="s">
        <v>4209</v>
      </c>
      <c r="B8667" s="542" t="str">
        <f>COSTOS!$C$14</f>
        <v>MODERNIZACION A TECNOLOGIA LED</v>
      </c>
      <c r="C8667" s="542"/>
      <c r="D8667" s="542"/>
      <c r="E8667" s="542"/>
      <c r="F8667" s="542"/>
      <c r="G8667" s="542"/>
      <c r="H8667" s="543" t="s">
        <v>4210</v>
      </c>
    </row>
    <row r="8668" spans="1:14">
      <c r="A8668" s="541"/>
      <c r="B8668" s="542"/>
      <c r="C8668" s="542"/>
      <c r="D8668" s="542"/>
      <c r="E8668" s="542"/>
      <c r="F8668" s="542"/>
      <c r="G8668" s="542"/>
      <c r="H8668" s="543"/>
    </row>
    <row r="8669" spans="1:14">
      <c r="A8669" s="541"/>
      <c r="B8669" s="542"/>
      <c r="C8669" s="542"/>
      <c r="D8669" s="542"/>
      <c r="E8669" s="542"/>
      <c r="F8669" s="542"/>
      <c r="G8669" s="542"/>
      <c r="H8669" s="543"/>
    </row>
    <row r="8670" spans="1:14" ht="15" customHeight="1">
      <c r="A8670" s="541"/>
      <c r="B8670" s="542"/>
      <c r="C8670" s="542"/>
      <c r="D8670" s="542"/>
      <c r="E8670" s="542"/>
      <c r="F8670" s="542"/>
      <c r="G8670" s="542"/>
      <c r="H8670" s="197">
        <f ca="1">TODAY()</f>
        <v>44889</v>
      </c>
      <c r="K8670" t="s">
        <v>4380</v>
      </c>
      <c r="L8670" t="s">
        <v>4381</v>
      </c>
      <c r="M8670" t="s">
        <v>4382</v>
      </c>
      <c r="N8670" t="s">
        <v>4383</v>
      </c>
    </row>
    <row r="8671" spans="1:14" ht="60.75" customHeight="1">
      <c r="A8671" s="209" t="s">
        <v>4211</v>
      </c>
      <c r="B8671" s="544" t="str">
        <f>COSTOS!$D$16</f>
        <v>Luminarias</v>
      </c>
      <c r="C8671" s="544"/>
      <c r="D8671" s="544"/>
      <c r="E8671" s="544"/>
      <c r="F8671" s="544"/>
      <c r="G8671" s="60" t="s">
        <v>4212</v>
      </c>
      <c r="H8671" s="359">
        <v>5.2</v>
      </c>
      <c r="K8671" s="55" t="e">
        <f>H8700</f>
        <v>#VALUE!</v>
      </c>
      <c r="L8671" s="55">
        <f>H8710</f>
        <v>123888</v>
      </c>
      <c r="M8671" s="55" t="e">
        <f>H8680</f>
        <v>#VALUE!</v>
      </c>
      <c r="N8671" s="55" t="e">
        <f>H8704</f>
        <v>#VALUE!</v>
      </c>
    </row>
    <row r="8672" spans="1:14" ht="43.2" customHeight="1">
      <c r="A8672" s="210" t="s">
        <v>4213</v>
      </c>
      <c r="B8672" s="545" t="str">
        <f>VLOOKUP(H8671,COSTOS!C:M,2,0)</f>
        <v>Registro concreto 40x40x60</v>
      </c>
      <c r="C8672" s="546"/>
      <c r="D8672" s="546"/>
      <c r="E8672" s="547"/>
      <c r="F8672" s="61" t="s">
        <v>0</v>
      </c>
      <c r="G8672" s="328" t="str">
        <f>VLOOKUP(H8671,COSTOS!C:M,8,0)</f>
        <v>Und</v>
      </c>
      <c r="H8672" s="248"/>
      <c r="I8672" s="278"/>
      <c r="J8672" s="280"/>
      <c r="K8672" s="280"/>
      <c r="L8672" s="280"/>
    </row>
    <row r="8673" spans="1:15">
      <c r="A8673" s="211"/>
      <c r="B8673" s="102"/>
      <c r="C8673" s="102"/>
      <c r="D8673" s="102"/>
      <c r="E8673" s="103"/>
      <c r="F8673" s="104" t="s">
        <v>1</v>
      </c>
      <c r="G8673" s="328">
        <f>VLOOKUP(H8671,COSTOS!C:M,9,0)</f>
        <v>0</v>
      </c>
      <c r="H8673" s="329"/>
      <c r="I8673" s="279"/>
    </row>
    <row r="8674" spans="1:15">
      <c r="A8674" s="212" t="s">
        <v>4215</v>
      </c>
      <c r="B8674" s="65"/>
      <c r="C8674" s="65"/>
      <c r="D8674" s="66"/>
      <c r="E8674" s="190"/>
      <c r="F8674" s="191"/>
      <c r="G8674" s="192" t="s">
        <v>4216</v>
      </c>
      <c r="H8674" s="198" t="e">
        <f>H8680+H8700+H8704+H8710</f>
        <v>#VALUE!</v>
      </c>
    </row>
    <row r="8675" spans="1:15" ht="41.4">
      <c r="A8675" s="548" t="s">
        <v>4213</v>
      </c>
      <c r="B8675" s="548"/>
      <c r="C8675" s="548"/>
      <c r="D8675" s="67" t="s">
        <v>0</v>
      </c>
      <c r="E8675" s="188" t="s">
        <v>4217</v>
      </c>
      <c r="F8675" s="189" t="s">
        <v>4204</v>
      </c>
      <c r="G8675" s="64" t="s">
        <v>2</v>
      </c>
      <c r="H8675" s="199" t="s">
        <v>4218</v>
      </c>
      <c r="K8675" s="281"/>
    </row>
    <row r="8676" spans="1:15">
      <c r="A8676" s="517" t="s">
        <v>3946</v>
      </c>
      <c r="B8676" s="549">
        <f>VLOOKUP(A8676,'Equip, Herr y Transp'!$B$2:$E$738,2,0)</f>
        <v>2</v>
      </c>
      <c r="C8676" s="549"/>
      <c r="D8676" s="85">
        <f>VLOOKUP(A8676,'Equip, Herr y Transp'!$B$2:$E$217,2,0)</f>
        <v>2</v>
      </c>
      <c r="E8676" s="85" t="str">
        <f>VLOOKUP(A8676,'Equip, Herr y Transp'!$B$2:$E$217,3,0)</f>
        <v>EQU</v>
      </c>
      <c r="F8676" s="86">
        <f>H8666</f>
        <v>0.375</v>
      </c>
      <c r="G8676" s="112" t="e">
        <f>F8676*E8676</f>
        <v>#VALUE!</v>
      </c>
      <c r="H8676" s="108"/>
    </row>
    <row r="8677" spans="1:15">
      <c r="A8677" s="517" t="s">
        <v>3927</v>
      </c>
      <c r="B8677" s="549">
        <f>VLOOKUP(A8677,'Equip, Herr y Transp'!$B$2:$E$738,2,0)</f>
        <v>2</v>
      </c>
      <c r="C8677" s="549"/>
      <c r="D8677" s="85">
        <f>VLOOKUP(A8677,'Equip, Herr y Transp'!$B$2:$E$217,2,0)</f>
        <v>2</v>
      </c>
      <c r="E8677" s="85" t="str">
        <f>VLOOKUP(A8677,'Equip, Herr y Transp'!$B$2:$E$217,3,0)</f>
        <v>EQU</v>
      </c>
      <c r="F8677" s="86">
        <f>H8666</f>
        <v>0.375</v>
      </c>
      <c r="G8677" s="112" t="e">
        <f>F8677*E8677</f>
        <v>#VALUE!</v>
      </c>
      <c r="H8677" s="107"/>
    </row>
    <row r="8678" spans="1:15">
      <c r="A8678" s="517" t="s">
        <v>4134</v>
      </c>
      <c r="B8678" s="549">
        <f>VLOOKUP(A8678,'Equip, Herr y Transp'!$B$2:$E$738,2,0)</f>
        <v>2</v>
      </c>
      <c r="C8678" s="549"/>
      <c r="D8678" s="85">
        <f>VLOOKUP(A8678,'Equip, Herr y Transp'!$B$2:$E$217,2,0)</f>
        <v>2</v>
      </c>
      <c r="E8678" s="85" t="str">
        <f>VLOOKUP(A8678,'Equip, Herr y Transp'!$B$2:$E$217,3,0)</f>
        <v>EQU</v>
      </c>
      <c r="F8678" s="86">
        <f>H8666</f>
        <v>0.375</v>
      </c>
      <c r="G8678" s="112" t="e">
        <f>F8678*E8678</f>
        <v>#VALUE!</v>
      </c>
      <c r="H8678" s="107"/>
    </row>
    <row r="8679" spans="1:15">
      <c r="A8679" s="517" t="s">
        <v>8</v>
      </c>
      <c r="B8679" s="549" t="e">
        <f>VLOOKUP(A8679,'Equip, Herr y Transp'!$B$2:$E$738,2,0)</f>
        <v>#N/A</v>
      </c>
      <c r="C8679" s="549"/>
      <c r="D8679" s="85" t="e">
        <f>VLOOKUP(A8679,'Equip, Herr y Transp'!$B$2:$E$217,2,0)</f>
        <v>#N/A</v>
      </c>
      <c r="E8679" s="85" t="e">
        <f>VLOOKUP(A8679,'Equip, Herr y Transp'!$B$2:$E$217,3,0)</f>
        <v>#N/A</v>
      </c>
      <c r="F8679" s="86">
        <f>H8666</f>
        <v>0.375</v>
      </c>
      <c r="G8679" s="112" t="e">
        <f>F8679*E8679</f>
        <v>#N/A</v>
      </c>
      <c r="H8679" s="107"/>
    </row>
    <row r="8680" spans="1:15">
      <c r="A8680" s="520" t="s">
        <v>4099</v>
      </c>
      <c r="B8680" s="521"/>
      <c r="C8680" s="521"/>
      <c r="D8680" s="521"/>
      <c r="E8680" s="521"/>
      <c r="F8680" s="521"/>
      <c r="G8680" s="521"/>
      <c r="H8680" s="87" t="e">
        <f>SUM(G8676:G8679)</f>
        <v>#VALUE!</v>
      </c>
    </row>
    <row r="8681" spans="1:15">
      <c r="A8681" s="550" t="s">
        <v>4219</v>
      </c>
      <c r="B8681" s="551"/>
      <c r="C8681" s="551"/>
      <c r="D8681" s="551"/>
      <c r="E8681" s="551"/>
      <c r="F8681" s="551"/>
      <c r="G8681" s="551"/>
      <c r="H8681" s="552"/>
      <c r="K8681" s="50"/>
      <c r="L8681" s="50"/>
      <c r="M8681" s="50"/>
      <c r="N8681" s="50"/>
      <c r="O8681" s="50"/>
    </row>
    <row r="8682" spans="1:15" ht="30" customHeight="1">
      <c r="A8682" s="553" t="s">
        <v>7</v>
      </c>
      <c r="B8682" s="554"/>
      <c r="C8682" s="99" t="s">
        <v>0</v>
      </c>
      <c r="D8682" s="100" t="s">
        <v>4097</v>
      </c>
      <c r="E8682" s="101" t="s">
        <v>1</v>
      </c>
      <c r="F8682" s="555" t="s">
        <v>4207</v>
      </c>
      <c r="G8682" s="555"/>
      <c r="H8682" s="196"/>
      <c r="K8682" s="50"/>
      <c r="L8682" s="50"/>
      <c r="M8682" s="50"/>
      <c r="N8682" s="50"/>
      <c r="O8682" s="50"/>
    </row>
    <row r="8683" spans="1:15">
      <c r="A8683" s="535" t="s">
        <v>4628</v>
      </c>
      <c r="B8683" s="536"/>
      <c r="C8683" s="88">
        <f>VLOOKUP(A8683,'Materiales '!$C$2:$G$396,3,0)</f>
        <v>4</v>
      </c>
      <c r="D8683" s="89" t="str">
        <f>VLOOKUP(A8683,'Materiales '!$C$2:$G$396,4,0)</f>
        <v>Und</v>
      </c>
      <c r="E8683" s="90">
        <v>1</v>
      </c>
      <c r="F8683" s="508" t="e">
        <f>E8683*D8683</f>
        <v>#VALUE!</v>
      </c>
      <c r="G8683" s="519"/>
      <c r="H8683" s="111"/>
      <c r="I8683">
        <f>E8683*G8673</f>
        <v>0</v>
      </c>
      <c r="J8683" s="57"/>
      <c r="K8683" s="50"/>
      <c r="L8683" s="50"/>
      <c r="M8683" s="50"/>
      <c r="N8683" s="50"/>
      <c r="O8683" s="50"/>
    </row>
    <row r="8684" spans="1:15">
      <c r="A8684" s="535" t="s">
        <v>4617</v>
      </c>
      <c r="B8684" s="536"/>
      <c r="C8684" s="88">
        <f>VLOOKUP(A8684,'Materiales '!$C$2:$G$396,3,0)</f>
        <v>3</v>
      </c>
      <c r="D8684" s="89" t="str">
        <f>VLOOKUP(A8684,'Materiales '!$C$2:$G$396,4,0)</f>
        <v>Rollo</v>
      </c>
      <c r="E8684" s="90">
        <v>1</v>
      </c>
      <c r="F8684" s="508" t="e">
        <f t="shared" ref="F8684:F8690" si="504">E8684*D8684</f>
        <v>#VALUE!</v>
      </c>
      <c r="G8684" s="519"/>
      <c r="H8684" s="111"/>
      <c r="I8684">
        <f>E8684*G8673</f>
        <v>0</v>
      </c>
      <c r="J8684" s="57"/>
      <c r="K8684" s="50"/>
      <c r="L8684" s="50"/>
      <c r="M8684" s="50"/>
      <c r="N8684" s="50"/>
      <c r="O8684" s="50"/>
    </row>
    <row r="8685" spans="1:15">
      <c r="A8685" s="517" t="s">
        <v>8</v>
      </c>
      <c r="B8685" s="518">
        <f>VLOOKUP(A8685,'Materiales '!$C$2:$G$396,3,0)</f>
        <v>0</v>
      </c>
      <c r="C8685" s="88">
        <f>VLOOKUP(A8685,'Materiales '!$C$2:$G$396,3,0)</f>
        <v>0</v>
      </c>
      <c r="D8685" s="89" t="str">
        <f>VLOOKUP(A8685,'Materiales '!$C$2:$G$396,4,0)</f>
        <v>-</v>
      </c>
      <c r="E8685" s="90"/>
      <c r="F8685" s="508" t="e">
        <f t="shared" si="504"/>
        <v>#VALUE!</v>
      </c>
      <c r="G8685" s="519"/>
      <c r="H8685" s="111"/>
      <c r="I8685">
        <f>E8685*G8673</f>
        <v>0</v>
      </c>
      <c r="J8685" s="58"/>
      <c r="K8685" s="50"/>
      <c r="L8685" s="50"/>
      <c r="M8685" s="50"/>
      <c r="N8685" s="50"/>
      <c r="O8685" s="50"/>
    </row>
    <row r="8686" spans="1:15">
      <c r="A8686" s="517" t="s">
        <v>8</v>
      </c>
      <c r="B8686" s="518">
        <f>VLOOKUP(A8686,'Materiales '!$C$2:$G$396,3,0)</f>
        <v>0</v>
      </c>
      <c r="C8686" s="88">
        <f>VLOOKUP(A8686,'Materiales '!$C$2:$G$396,3,0)</f>
        <v>0</v>
      </c>
      <c r="D8686" s="89" t="str">
        <f>VLOOKUP(A8686,'Materiales '!$C$2:$G$396,4,0)</f>
        <v>-</v>
      </c>
      <c r="E8686" s="90"/>
      <c r="F8686" s="508" t="e">
        <f t="shared" si="504"/>
        <v>#VALUE!</v>
      </c>
      <c r="G8686" s="519"/>
      <c r="H8686" s="111"/>
      <c r="I8686">
        <f>E8686*G8673</f>
        <v>0</v>
      </c>
      <c r="J8686" s="58"/>
      <c r="K8686" s="50"/>
      <c r="L8686" s="50"/>
      <c r="M8686" s="50"/>
      <c r="N8686" s="50"/>
      <c r="O8686" s="50"/>
    </row>
    <row r="8687" spans="1:15">
      <c r="A8687" s="517" t="s">
        <v>8</v>
      </c>
      <c r="B8687" s="518">
        <f>VLOOKUP(A8687,'Materiales '!$C$2:$G$396,3,0)</f>
        <v>0</v>
      </c>
      <c r="C8687" s="88">
        <f>VLOOKUP(A8687,'Materiales '!$C$2:$G$396,3,0)</f>
        <v>0</v>
      </c>
      <c r="D8687" s="89" t="str">
        <f>VLOOKUP(A8687,'Materiales '!$C$2:$G$396,4,0)</f>
        <v>-</v>
      </c>
      <c r="E8687" s="90"/>
      <c r="F8687" s="508" t="e">
        <f t="shared" si="504"/>
        <v>#VALUE!</v>
      </c>
      <c r="G8687" s="519"/>
      <c r="H8687" s="111"/>
      <c r="I8687">
        <f>E8687*G8673</f>
        <v>0</v>
      </c>
      <c r="J8687" s="58"/>
      <c r="K8687" s="50"/>
      <c r="L8687" s="50"/>
      <c r="M8687" s="50"/>
      <c r="N8687" s="50"/>
      <c r="O8687" s="50"/>
    </row>
    <row r="8688" spans="1:15">
      <c r="A8688" s="517" t="s">
        <v>8</v>
      </c>
      <c r="B8688" s="518">
        <f>VLOOKUP(A8688,'Materiales '!$C$2:$G$396,3,0)</f>
        <v>0</v>
      </c>
      <c r="C8688" s="88">
        <f>VLOOKUP(A8688,'Materiales '!$C$2:$G$396,3,0)</f>
        <v>0</v>
      </c>
      <c r="D8688" s="89" t="str">
        <f>VLOOKUP(A8688,'Materiales '!$C$2:$G$396,4,0)</f>
        <v>-</v>
      </c>
      <c r="E8688" s="90"/>
      <c r="F8688" s="508" t="e">
        <f t="shared" si="504"/>
        <v>#VALUE!</v>
      </c>
      <c r="G8688" s="519"/>
      <c r="H8688" s="111"/>
      <c r="I8688">
        <f>E8688*G8673</f>
        <v>0</v>
      </c>
      <c r="J8688" s="58"/>
      <c r="K8688" s="50"/>
      <c r="L8688" s="50"/>
      <c r="M8688" s="50"/>
      <c r="N8688" s="50"/>
      <c r="O8688" s="50"/>
    </row>
    <row r="8689" spans="1:15">
      <c r="A8689" s="517" t="s">
        <v>8</v>
      </c>
      <c r="B8689" s="518">
        <f>VLOOKUP(A8689,'Materiales '!$C$2:$G$396,3,0)</f>
        <v>0</v>
      </c>
      <c r="C8689" s="88">
        <f>VLOOKUP(A8689,'Materiales '!$C$2:$G$396,3,0)</f>
        <v>0</v>
      </c>
      <c r="D8689" s="89" t="str">
        <f>VLOOKUP(A8689,'Materiales '!$C$2:$G$396,4,0)</f>
        <v>-</v>
      </c>
      <c r="E8689" s="90"/>
      <c r="F8689" s="508" t="e">
        <f t="shared" si="504"/>
        <v>#VALUE!</v>
      </c>
      <c r="G8689" s="519"/>
      <c r="H8689" s="111"/>
      <c r="I8689">
        <f>E8689*G8673</f>
        <v>0</v>
      </c>
      <c r="J8689" s="58"/>
      <c r="K8689" s="50"/>
      <c r="L8689" s="50"/>
      <c r="M8689" s="50"/>
      <c r="N8689" s="50"/>
      <c r="O8689" s="50"/>
    </row>
    <row r="8690" spans="1:15" ht="21.75" customHeight="1">
      <c r="A8690" s="517" t="s">
        <v>8</v>
      </c>
      <c r="B8690" s="518">
        <f>VLOOKUP(A8690,'Materiales '!$C$2:$G$396,3,0)</f>
        <v>0</v>
      </c>
      <c r="C8690" s="88">
        <f>VLOOKUP(A8690,'Materiales '!$C$2:$G$396,3,0)</f>
        <v>0</v>
      </c>
      <c r="D8690" s="89" t="str">
        <f>VLOOKUP(A8690,'Materiales '!$C$2:$G$396,4,0)</f>
        <v>-</v>
      </c>
      <c r="E8690" s="90"/>
      <c r="F8690" s="508" t="e">
        <f t="shared" si="504"/>
        <v>#VALUE!</v>
      </c>
      <c r="G8690" s="519"/>
      <c r="H8690" s="111"/>
      <c r="I8690">
        <f>E8690*G8673</f>
        <v>0</v>
      </c>
      <c r="J8690" s="58"/>
      <c r="K8690" s="50"/>
      <c r="L8690" s="50"/>
      <c r="M8690" s="50"/>
      <c r="N8690" s="50"/>
      <c r="O8690" s="50"/>
    </row>
    <row r="8691" spans="1:15">
      <c r="A8691" s="517" t="s">
        <v>8</v>
      </c>
      <c r="B8691" s="518">
        <f>VLOOKUP(A8691,'Materiales '!$C$2:$G$396,3,0)</f>
        <v>0</v>
      </c>
      <c r="C8691" s="88">
        <f>VLOOKUP(A8691,'Materiales '!$C$2:$G$396,3,0)</f>
        <v>0</v>
      </c>
      <c r="D8691" s="89" t="str">
        <f>VLOOKUP(A8691,'Materiales '!$C$2:$G$396,4,0)</f>
        <v>-</v>
      </c>
      <c r="E8691" s="90"/>
      <c r="F8691" s="508" t="e">
        <f>E8691*D8691</f>
        <v>#VALUE!</v>
      </c>
      <c r="G8691" s="519"/>
      <c r="H8691" s="110"/>
      <c r="I8691">
        <f>E8691*G8673</f>
        <v>0</v>
      </c>
      <c r="J8691" s="58"/>
      <c r="K8691" s="50"/>
      <c r="L8691" s="50"/>
      <c r="M8691" s="50"/>
      <c r="N8691" s="50"/>
      <c r="O8691" s="50"/>
    </row>
    <row r="8692" spans="1:15">
      <c r="A8692" s="517" t="s">
        <v>8</v>
      </c>
      <c r="B8692" s="518">
        <f>VLOOKUP(A8692,'Materiales '!$C$2:$G$396,3,0)</f>
        <v>0</v>
      </c>
      <c r="C8692" s="88">
        <f>VLOOKUP(A8692,'Materiales '!$C$2:$G$396,3,0)</f>
        <v>0</v>
      </c>
      <c r="D8692" s="89" t="str">
        <f>VLOOKUP(A8692,'Materiales '!$C$2:$G$396,4,0)</f>
        <v>-</v>
      </c>
      <c r="E8692" s="90"/>
      <c r="F8692" s="508" t="e">
        <f t="shared" ref="F8692:F8697" si="505">E8692*D8692</f>
        <v>#VALUE!</v>
      </c>
      <c r="G8692" s="519"/>
      <c r="H8692" s="111"/>
      <c r="I8692">
        <f>E8692*G8673</f>
        <v>0</v>
      </c>
      <c r="J8692" s="58"/>
      <c r="K8692" s="50"/>
      <c r="L8692" s="50"/>
      <c r="M8692" s="50"/>
      <c r="N8692" s="50"/>
      <c r="O8692" s="50"/>
    </row>
    <row r="8693" spans="1:15">
      <c r="A8693" s="517" t="s">
        <v>8</v>
      </c>
      <c r="B8693" s="518">
        <f>VLOOKUP(A8693,'Materiales '!$C$2:$G$396,3,0)</f>
        <v>0</v>
      </c>
      <c r="C8693" s="88">
        <f>VLOOKUP(A8693,'Materiales '!$C$2:$G$396,3,0)</f>
        <v>0</v>
      </c>
      <c r="D8693" s="89" t="str">
        <f>VLOOKUP(A8693,'Materiales '!$C$2:$G$396,4,0)</f>
        <v>-</v>
      </c>
      <c r="E8693" s="90"/>
      <c r="F8693" s="508" t="e">
        <f t="shared" si="505"/>
        <v>#VALUE!</v>
      </c>
      <c r="G8693" s="519"/>
      <c r="H8693" s="111"/>
      <c r="I8693">
        <f>E8693*G8673</f>
        <v>0</v>
      </c>
      <c r="J8693" s="58"/>
      <c r="K8693" s="50"/>
      <c r="L8693" s="50"/>
      <c r="M8693" s="50"/>
      <c r="N8693" s="50"/>
      <c r="O8693" s="50"/>
    </row>
    <row r="8694" spans="1:15">
      <c r="A8694" s="517" t="s">
        <v>8</v>
      </c>
      <c r="B8694" s="518">
        <f>VLOOKUP(A8694,'Materiales '!$C$2:$G$396,3,0)</f>
        <v>0</v>
      </c>
      <c r="C8694" s="88">
        <f>VLOOKUP(A8694,'Materiales '!$C$2:$G$396,3,0)</f>
        <v>0</v>
      </c>
      <c r="D8694" s="89" t="str">
        <f>VLOOKUP(A8694,'Materiales '!$C$2:$G$396,4,0)</f>
        <v>-</v>
      </c>
      <c r="E8694" s="90"/>
      <c r="F8694" s="508" t="e">
        <f t="shared" si="505"/>
        <v>#VALUE!</v>
      </c>
      <c r="G8694" s="519"/>
      <c r="H8694" s="111"/>
      <c r="I8694">
        <f>E8694*G8673</f>
        <v>0</v>
      </c>
      <c r="J8694" s="58"/>
      <c r="K8694" s="50"/>
      <c r="L8694" s="50"/>
      <c r="M8694" s="50"/>
      <c r="N8694" s="50"/>
      <c r="O8694" s="50"/>
    </row>
    <row r="8695" spans="1:15">
      <c r="A8695" s="517" t="s">
        <v>8</v>
      </c>
      <c r="B8695" s="518">
        <f>VLOOKUP(A8695,'Materiales '!$C$2:$G$396,3,0)</f>
        <v>0</v>
      </c>
      <c r="C8695" s="88">
        <f>VLOOKUP(A8695,'Materiales '!$C$2:$G$396,3,0)</f>
        <v>0</v>
      </c>
      <c r="D8695" s="89" t="str">
        <f>VLOOKUP(A8695,'Materiales '!$C$2:$G$396,4,0)</f>
        <v>-</v>
      </c>
      <c r="E8695" s="90"/>
      <c r="F8695" s="508" t="e">
        <f t="shared" si="505"/>
        <v>#VALUE!</v>
      </c>
      <c r="G8695" s="519"/>
      <c r="H8695" s="111"/>
      <c r="I8695">
        <f>E8695*G8673</f>
        <v>0</v>
      </c>
      <c r="J8695" s="58"/>
      <c r="K8695" s="50"/>
      <c r="L8695" s="50"/>
      <c r="M8695" s="50"/>
      <c r="N8695" s="50"/>
      <c r="O8695" s="50"/>
    </row>
    <row r="8696" spans="1:15">
      <c r="A8696" s="517" t="s">
        <v>8</v>
      </c>
      <c r="B8696" s="518">
        <f>VLOOKUP(A8696,'Materiales '!$C$2:$G$396,3,0)</f>
        <v>0</v>
      </c>
      <c r="C8696" s="88">
        <f>VLOOKUP(A8696,'Materiales '!$C$2:$G$396,3,0)</f>
        <v>0</v>
      </c>
      <c r="D8696" s="89" t="str">
        <f>VLOOKUP(A8696,'Materiales '!$C$2:$G$396,4,0)</f>
        <v>-</v>
      </c>
      <c r="E8696" s="90"/>
      <c r="F8696" s="508" t="e">
        <f t="shared" si="505"/>
        <v>#VALUE!</v>
      </c>
      <c r="G8696" s="519"/>
      <c r="H8696" s="111"/>
      <c r="I8696">
        <f>E8696*G8673</f>
        <v>0</v>
      </c>
      <c r="J8696" s="58"/>
      <c r="K8696" s="50"/>
      <c r="L8696" s="50"/>
      <c r="M8696" s="50"/>
      <c r="N8696" s="50"/>
      <c r="O8696" s="50"/>
    </row>
    <row r="8697" spans="1:15">
      <c r="A8697" s="517" t="s">
        <v>8</v>
      </c>
      <c r="B8697" s="518">
        <f>VLOOKUP(A8697,'Materiales '!$C$2:$G$396,3,0)</f>
        <v>0</v>
      </c>
      <c r="C8697" s="88">
        <f>VLOOKUP(A8697,'Materiales '!$C$2:$G$396,3,0)</f>
        <v>0</v>
      </c>
      <c r="D8697" s="89" t="str">
        <f>VLOOKUP(A8697,'Materiales '!$C$2:$G$396,4,0)</f>
        <v>-</v>
      </c>
      <c r="E8697" s="90"/>
      <c r="F8697" s="508" t="e">
        <f t="shared" si="505"/>
        <v>#VALUE!</v>
      </c>
      <c r="G8697" s="519"/>
      <c r="H8697" s="111"/>
      <c r="I8697">
        <f>E8697*G8673</f>
        <v>0</v>
      </c>
      <c r="J8697" s="58"/>
      <c r="K8697" s="50"/>
      <c r="L8697" s="50"/>
      <c r="M8697" s="50"/>
      <c r="N8697" s="50"/>
      <c r="O8697" s="50"/>
    </row>
    <row r="8698" spans="1:15">
      <c r="A8698" s="517" t="s">
        <v>8</v>
      </c>
      <c r="B8698" s="518">
        <f>VLOOKUP(A8698,'Materiales '!$C$2:$G$396,3,0)</f>
        <v>0</v>
      </c>
      <c r="C8698" s="88">
        <f>VLOOKUP(A8698,'Materiales '!$C$2:$G$396,3,0)</f>
        <v>0</v>
      </c>
      <c r="D8698" s="89" t="str">
        <f>VLOOKUP(A8698,'Materiales '!$C$2:$G$396,4,0)</f>
        <v>-</v>
      </c>
      <c r="E8698" s="90"/>
      <c r="F8698" s="508" t="e">
        <f>E8698*D8698</f>
        <v>#VALUE!</v>
      </c>
      <c r="G8698" s="519"/>
      <c r="H8698" s="110"/>
      <c r="I8698">
        <f>E8698*G8673</f>
        <v>0</v>
      </c>
      <c r="J8698" s="58"/>
      <c r="K8698" s="50"/>
      <c r="L8698" s="50"/>
      <c r="M8698" s="50"/>
      <c r="N8698" s="50"/>
      <c r="O8698" s="50"/>
    </row>
    <row r="8699" spans="1:15">
      <c r="A8699" s="517" t="s">
        <v>8</v>
      </c>
      <c r="B8699" s="518">
        <f>VLOOKUP(A8699,'Materiales '!$C$2:$G$396,3,0)</f>
        <v>0</v>
      </c>
      <c r="C8699" s="88">
        <f>VLOOKUP(A8699,'Materiales '!$C$2:$G$396,3,0)</f>
        <v>0</v>
      </c>
      <c r="D8699" s="89" t="str">
        <f>VLOOKUP(A8699,'Materiales '!$C$2:$G$396,4,0)</f>
        <v>-</v>
      </c>
      <c r="E8699" s="90"/>
      <c r="F8699" s="508" t="e">
        <f>E8699*D8699</f>
        <v>#VALUE!</v>
      </c>
      <c r="G8699" s="519"/>
      <c r="H8699" s="110"/>
      <c r="I8699">
        <f>E8699*G8673</f>
        <v>0</v>
      </c>
      <c r="J8699" s="58"/>
      <c r="K8699" s="50"/>
      <c r="L8699" s="50"/>
      <c r="M8699" s="50"/>
      <c r="N8699" s="50"/>
      <c r="O8699" s="50"/>
    </row>
    <row r="8700" spans="1:15">
      <c r="A8700" s="520" t="s">
        <v>4098</v>
      </c>
      <c r="B8700" s="521"/>
      <c r="C8700" s="521"/>
      <c r="D8700" s="521"/>
      <c r="E8700" s="521"/>
      <c r="F8700" s="521"/>
      <c r="G8700" s="522"/>
      <c r="H8700" s="106" t="e">
        <f>SUM(F8683:F8699)</f>
        <v>#VALUE!</v>
      </c>
      <c r="J8700" s="58"/>
      <c r="K8700" s="50"/>
      <c r="L8700" s="50"/>
      <c r="M8700" s="50"/>
      <c r="N8700" s="50"/>
      <c r="O8700" s="50"/>
    </row>
    <row r="8701" spans="1:15">
      <c r="A8701" s="523" t="s">
        <v>4220</v>
      </c>
      <c r="B8701" s="524"/>
      <c r="C8701" s="524"/>
      <c r="D8701" s="524"/>
      <c r="E8701" s="525"/>
      <c r="F8701" s="524"/>
      <c r="G8701" s="524"/>
      <c r="H8701" s="526"/>
      <c r="J8701" s="58"/>
      <c r="K8701" s="50"/>
      <c r="L8701" s="50"/>
      <c r="M8701" s="50"/>
      <c r="N8701" s="50"/>
      <c r="O8701" s="50"/>
    </row>
    <row r="8702" spans="1:15">
      <c r="A8702" s="527" t="s">
        <v>7</v>
      </c>
      <c r="B8702" s="528"/>
      <c r="C8702" s="98" t="s">
        <v>4221</v>
      </c>
      <c r="D8702" s="97" t="s">
        <v>4222</v>
      </c>
      <c r="E8702" s="187" t="s">
        <v>4223</v>
      </c>
      <c r="F8702" s="529" t="s">
        <v>4207</v>
      </c>
      <c r="G8702" s="529"/>
      <c r="H8702" s="109"/>
      <c r="K8702" s="50"/>
      <c r="L8702" s="50"/>
      <c r="M8702" s="50"/>
      <c r="N8702" s="50"/>
      <c r="O8702" s="50"/>
    </row>
    <row r="8703" spans="1:15">
      <c r="A8703" s="506" t="s">
        <v>3928</v>
      </c>
      <c r="B8703" s="507"/>
      <c r="C8703" s="213">
        <v>1</v>
      </c>
      <c r="D8703" s="92">
        <v>0.05</v>
      </c>
      <c r="E8703" s="93" t="str">
        <f>VLOOKUP(A8703,'Equip, Herr y Transp'!$B$2:$E$217,3,0)</f>
        <v>TR</v>
      </c>
      <c r="F8703" s="530" t="e">
        <f>E8703*D8703*C8703</f>
        <v>#VALUE!</v>
      </c>
      <c r="G8703" s="531"/>
      <c r="H8703" s="107"/>
      <c r="M8703" s="50"/>
    </row>
    <row r="8704" spans="1:15">
      <c r="A8704" s="532" t="s">
        <v>4205</v>
      </c>
      <c r="B8704" s="533"/>
      <c r="C8704" s="533"/>
      <c r="D8704" s="533"/>
      <c r="E8704" s="533"/>
      <c r="F8704" s="533"/>
      <c r="G8704" s="533"/>
      <c r="H8704" s="95" t="e">
        <f>F8703</f>
        <v>#VALUE!</v>
      </c>
    </row>
    <row r="8705" spans="1:10">
      <c r="A8705" s="523" t="s">
        <v>4224</v>
      </c>
      <c r="B8705" s="524"/>
      <c r="C8705" s="524"/>
      <c r="D8705" s="524"/>
      <c r="E8705" s="524"/>
      <c r="F8705" s="524"/>
      <c r="G8705" s="524"/>
      <c r="H8705" s="526"/>
    </row>
    <row r="8706" spans="1:10">
      <c r="A8706" s="527" t="s">
        <v>7</v>
      </c>
      <c r="B8706" s="528"/>
      <c r="C8706" s="96" t="s">
        <v>1</v>
      </c>
      <c r="D8706" s="97" t="s">
        <v>4225</v>
      </c>
      <c r="E8706" s="98" t="s">
        <v>4204</v>
      </c>
      <c r="F8706" s="527" t="s">
        <v>5</v>
      </c>
      <c r="G8706" s="534"/>
      <c r="H8706" s="109"/>
    </row>
    <row r="8707" spans="1:10">
      <c r="A8707" s="506" t="s">
        <v>4191</v>
      </c>
      <c r="B8707" s="507"/>
      <c r="C8707" s="91">
        <v>1</v>
      </c>
      <c r="D8707" s="94">
        <f>VLOOKUP(A8707,'Mano Obra'!$B$2:$T$117,19,0)</f>
        <v>152456</v>
      </c>
      <c r="E8707" s="218">
        <f>H8666</f>
        <v>0.375</v>
      </c>
      <c r="F8707" s="508">
        <f>E8707*D8707*C8707</f>
        <v>57171</v>
      </c>
      <c r="G8707" s="509"/>
      <c r="H8707" s="111"/>
      <c r="I8707" s="59"/>
      <c r="J8707" s="117">
        <f>((('Mano Obra'!$M$4/30)*F8707)/D8707)*G8673</f>
        <v>0</v>
      </c>
    </row>
    <row r="8708" spans="1:10">
      <c r="A8708" s="510" t="s">
        <v>4192</v>
      </c>
      <c r="B8708" s="511">
        <f>VLOOKUP(A8708,'Mano Obra'!$B$3:$D$290,2,0)</f>
        <v>1900000</v>
      </c>
      <c r="C8708" s="91">
        <v>1</v>
      </c>
      <c r="D8708" s="94">
        <f>VLOOKUP(A8708,'Mano Obra'!$B$2:$T$117,19,0)</f>
        <v>110488</v>
      </c>
      <c r="E8708" s="218">
        <f>H8666</f>
        <v>0.375</v>
      </c>
      <c r="F8708" s="508">
        <f t="shared" ref="F8708:F8709" si="506">E8708*D8708*C8708</f>
        <v>41433</v>
      </c>
      <c r="G8708" s="509"/>
      <c r="H8708" s="111"/>
      <c r="J8708" s="117">
        <f>((('Mano Obra'!$M$5/30)*F8708)/D8708)*G8673</f>
        <v>0</v>
      </c>
    </row>
    <row r="8709" spans="1:10">
      <c r="A8709" s="510" t="s">
        <v>4181</v>
      </c>
      <c r="B8709" s="511">
        <f>VLOOKUP(A8709,'Mano Obra'!$B$3:$D$290,2,0)</f>
        <v>1000000</v>
      </c>
      <c r="C8709" s="91">
        <v>1</v>
      </c>
      <c r="D8709" s="94">
        <f>VLOOKUP(A8709,'Mano Obra'!$B$2:$T$117,19,0)</f>
        <v>67424</v>
      </c>
      <c r="E8709" s="218">
        <f>H8666</f>
        <v>0.375</v>
      </c>
      <c r="F8709" s="508">
        <f t="shared" si="506"/>
        <v>25284</v>
      </c>
      <c r="G8709" s="509"/>
      <c r="H8709" s="110"/>
      <c r="J8709" s="117">
        <f>((('Mano Obra'!$M$6/30)*F8709)/D8709)*G8673</f>
        <v>0</v>
      </c>
    </row>
    <row r="8710" spans="1:10">
      <c r="A8710" s="512" t="s">
        <v>4100</v>
      </c>
      <c r="B8710" s="512"/>
      <c r="C8710" s="512"/>
      <c r="D8710" s="512"/>
      <c r="E8710" s="512"/>
      <c r="F8710" s="512"/>
      <c r="G8710" s="512"/>
      <c r="H8710" s="95">
        <f>SUM(F8707:F8709)</f>
        <v>123888</v>
      </c>
      <c r="J8710" s="117"/>
    </row>
    <row r="8711" spans="1:10">
      <c r="A8711" s="208" t="s">
        <v>4226</v>
      </c>
      <c r="B8711" s="186"/>
      <c r="C8711" s="186"/>
      <c r="D8711" s="183"/>
      <c r="E8711" s="184"/>
      <c r="F8711" s="185"/>
      <c r="G8711" s="184"/>
      <c r="H8711" s="193"/>
    </row>
    <row r="8712" spans="1:10">
      <c r="A8712" s="513" t="s">
        <v>4213</v>
      </c>
      <c r="B8712" s="514"/>
      <c r="C8712" s="514"/>
      <c r="D8712" s="514"/>
      <c r="E8712" s="181"/>
      <c r="F8712" s="182" t="s">
        <v>4227</v>
      </c>
      <c r="G8712" s="181" t="s">
        <v>4228</v>
      </c>
      <c r="H8712" s="194"/>
    </row>
    <row r="8713" spans="1:10">
      <c r="A8713" s="204" t="s">
        <v>4096</v>
      </c>
      <c r="B8713" s="62"/>
      <c r="C8713" s="62"/>
      <c r="D8713" s="63"/>
      <c r="E8713" s="68"/>
      <c r="F8713" s="69">
        <v>0</v>
      </c>
      <c r="G8713" s="70" t="e">
        <f>F8713*H8674</f>
        <v>#VALUE!</v>
      </c>
      <c r="H8713" s="193"/>
    </row>
    <row r="8714" spans="1:10">
      <c r="A8714" s="205" t="s">
        <v>4229</v>
      </c>
      <c r="B8714" s="71"/>
      <c r="C8714" s="71"/>
      <c r="D8714" s="72"/>
      <c r="E8714" s="68"/>
      <c r="F8714" s="69">
        <v>0</v>
      </c>
      <c r="G8714" s="70" t="e">
        <f>F8714*H8674</f>
        <v>#VALUE!</v>
      </c>
      <c r="H8714" s="193"/>
    </row>
    <row r="8715" spans="1:10">
      <c r="A8715" s="205" t="s">
        <v>4</v>
      </c>
      <c r="B8715" s="71"/>
      <c r="C8715" s="71"/>
      <c r="D8715" s="72"/>
      <c r="E8715" s="68"/>
      <c r="F8715" s="69">
        <v>0</v>
      </c>
      <c r="G8715" s="70" t="e">
        <f>F8715*H8674</f>
        <v>#VALUE!</v>
      </c>
      <c r="H8715" s="193"/>
    </row>
    <row r="8716" spans="1:10">
      <c r="A8716" s="206"/>
      <c r="B8716" s="73"/>
      <c r="C8716" s="65"/>
      <c r="D8716" s="74"/>
      <c r="E8716" s="75"/>
      <c r="F8716" s="76"/>
      <c r="G8716" s="77"/>
      <c r="H8716" s="195"/>
    </row>
    <row r="8717" spans="1:10">
      <c r="A8717" s="207"/>
      <c r="B8717" s="73"/>
      <c r="C8717" s="73"/>
      <c r="D8717" s="74"/>
      <c r="E8717" s="78"/>
      <c r="F8717" s="515" t="s">
        <v>4230</v>
      </c>
      <c r="G8717" s="516"/>
      <c r="H8717" s="214" t="e">
        <f>H8674+G8713+G8714+G8715</f>
        <v>#VALUE!</v>
      </c>
    </row>
    <row r="8718" spans="1:10">
      <c r="A8718" s="73"/>
      <c r="B8718" s="73"/>
      <c r="C8718" s="73"/>
      <c r="D8718" s="74"/>
      <c r="E8718" s="360"/>
      <c r="F8718" s="361"/>
      <c r="G8718" s="361"/>
      <c r="H8718" s="362"/>
    </row>
    <row r="8719" spans="1:10">
      <c r="A8719" s="80"/>
      <c r="B8719" s="80"/>
      <c r="C8719" s="80"/>
      <c r="D8719" s="80"/>
      <c r="E8719" s="80"/>
      <c r="F8719" s="80"/>
      <c r="G8719" s="80"/>
      <c r="H8719" s="353"/>
    </row>
    <row r="8720" spans="1:10">
      <c r="A8720" s="537" t="s">
        <v>4214</v>
      </c>
      <c r="B8720" s="538"/>
      <c r="C8720" s="538"/>
      <c r="D8720" s="538"/>
      <c r="E8720" s="538"/>
      <c r="F8720" s="538"/>
      <c r="G8720" s="538"/>
      <c r="H8720" s="539"/>
    </row>
    <row r="8721" spans="1:15">
      <c r="A8721" s="81"/>
      <c r="B8721" s="82"/>
      <c r="C8721" s="82"/>
      <c r="D8721" s="82"/>
      <c r="E8721" s="82"/>
      <c r="F8721" s="83"/>
      <c r="G8721" s="84"/>
      <c r="H8721" s="352">
        <f>ROUND((140/60)/8,4)</f>
        <v>0.29170000000000001</v>
      </c>
      <c r="I8721" s="105"/>
    </row>
    <row r="8722" spans="1:15">
      <c r="A8722" s="540" t="s">
        <v>4209</v>
      </c>
      <c r="B8722" s="542" t="str">
        <f>COSTOS!$C$14</f>
        <v>MODERNIZACION A TECNOLOGIA LED</v>
      </c>
      <c r="C8722" s="542"/>
      <c r="D8722" s="542"/>
      <c r="E8722" s="542"/>
      <c r="F8722" s="542"/>
      <c r="G8722" s="542"/>
      <c r="H8722" s="543" t="s">
        <v>4210</v>
      </c>
    </row>
    <row r="8723" spans="1:15">
      <c r="A8723" s="541"/>
      <c r="B8723" s="542"/>
      <c r="C8723" s="542"/>
      <c r="D8723" s="542"/>
      <c r="E8723" s="542"/>
      <c r="F8723" s="542"/>
      <c r="G8723" s="542"/>
      <c r="H8723" s="543"/>
    </row>
    <row r="8724" spans="1:15">
      <c r="A8724" s="541"/>
      <c r="B8724" s="542"/>
      <c r="C8724" s="542"/>
      <c r="D8724" s="542"/>
      <c r="E8724" s="542"/>
      <c r="F8724" s="542"/>
      <c r="G8724" s="542"/>
      <c r="H8724" s="543"/>
    </row>
    <row r="8725" spans="1:15" ht="15" customHeight="1">
      <c r="A8725" s="541"/>
      <c r="B8725" s="542"/>
      <c r="C8725" s="542"/>
      <c r="D8725" s="542"/>
      <c r="E8725" s="542"/>
      <c r="F8725" s="542"/>
      <c r="G8725" s="542"/>
      <c r="H8725" s="197">
        <f ca="1">TODAY()</f>
        <v>44889</v>
      </c>
      <c r="K8725" t="s">
        <v>4380</v>
      </c>
      <c r="L8725" t="s">
        <v>4381</v>
      </c>
      <c r="M8725" t="s">
        <v>4382</v>
      </c>
      <c r="N8725" t="s">
        <v>4383</v>
      </c>
    </row>
    <row r="8726" spans="1:15" ht="60.75" customHeight="1">
      <c r="A8726" s="209" t="s">
        <v>4211</v>
      </c>
      <c r="B8726" s="544" t="str">
        <f>COSTOS!$D$16</f>
        <v>Luminarias</v>
      </c>
      <c r="C8726" s="544"/>
      <c r="D8726" s="544"/>
      <c r="E8726" s="544"/>
      <c r="F8726" s="544"/>
      <c r="G8726" s="60" t="s">
        <v>4212</v>
      </c>
      <c r="H8726" s="359">
        <v>5.3</v>
      </c>
      <c r="K8726" s="55" t="e">
        <f>H8755</f>
        <v>#VALUE!</v>
      </c>
      <c r="L8726" s="55">
        <f>H8765</f>
        <v>96368.345600000001</v>
      </c>
      <c r="M8726" s="55" t="e">
        <f>H8735</f>
        <v>#VALUE!</v>
      </c>
      <c r="N8726" s="55" t="e">
        <f>H8759</f>
        <v>#VALUE!</v>
      </c>
    </row>
    <row r="8727" spans="1:15" ht="43.2" customHeight="1">
      <c r="A8727" s="210" t="s">
        <v>4213</v>
      </c>
      <c r="B8727" s="545" t="str">
        <f>VLOOKUP(H8726,COSTOS!C:M,2,0)</f>
        <v>Sistema de puesta a tierra Varilla cobre</v>
      </c>
      <c r="C8727" s="546"/>
      <c r="D8727" s="546"/>
      <c r="E8727" s="547"/>
      <c r="F8727" s="61" t="s">
        <v>0</v>
      </c>
      <c r="G8727" s="328" t="str">
        <f>VLOOKUP(H8726,COSTOS!C:M,8,0)</f>
        <v>Und</v>
      </c>
      <c r="H8727" s="248"/>
      <c r="I8727" s="278"/>
      <c r="J8727" s="280"/>
      <c r="K8727" s="280"/>
      <c r="L8727" s="280"/>
    </row>
    <row r="8728" spans="1:15">
      <c r="A8728" s="211"/>
      <c r="B8728" s="102"/>
      <c r="C8728" s="102"/>
      <c r="D8728" s="102"/>
      <c r="E8728" s="103"/>
      <c r="F8728" s="104" t="s">
        <v>1</v>
      </c>
      <c r="G8728" s="328">
        <f>VLOOKUP(H8726,COSTOS!C:M,9,0)</f>
        <v>0</v>
      </c>
      <c r="H8728" s="329"/>
      <c r="I8728" s="279"/>
    </row>
    <row r="8729" spans="1:15">
      <c r="A8729" s="212" t="s">
        <v>4215</v>
      </c>
      <c r="B8729" s="65"/>
      <c r="C8729" s="65"/>
      <c r="D8729" s="66"/>
      <c r="E8729" s="190"/>
      <c r="F8729" s="191"/>
      <c r="G8729" s="192" t="s">
        <v>4216</v>
      </c>
      <c r="H8729" s="198" t="e">
        <f>H8735+H8755+H8759+H8765</f>
        <v>#VALUE!</v>
      </c>
    </row>
    <row r="8730" spans="1:15" ht="41.4">
      <c r="A8730" s="548" t="s">
        <v>4213</v>
      </c>
      <c r="B8730" s="548"/>
      <c r="C8730" s="548"/>
      <c r="D8730" s="67" t="s">
        <v>0</v>
      </c>
      <c r="E8730" s="188" t="s">
        <v>4217</v>
      </c>
      <c r="F8730" s="189" t="s">
        <v>4204</v>
      </c>
      <c r="G8730" s="64" t="s">
        <v>2</v>
      </c>
      <c r="H8730" s="199" t="s">
        <v>4218</v>
      </c>
      <c r="K8730" s="281"/>
    </row>
    <row r="8731" spans="1:15">
      <c r="A8731" s="517" t="s">
        <v>3946</v>
      </c>
      <c r="B8731" s="549">
        <f>VLOOKUP(A8731,'Equip, Herr y Transp'!$B$2:$E$738,2,0)</f>
        <v>2</v>
      </c>
      <c r="C8731" s="549"/>
      <c r="D8731" s="85">
        <f>VLOOKUP(A8731,'Equip, Herr y Transp'!$B$2:$E$217,2,0)</f>
        <v>2</v>
      </c>
      <c r="E8731" s="85" t="str">
        <f>VLOOKUP(A8731,'Equip, Herr y Transp'!$B$2:$E$217,3,0)</f>
        <v>EQU</v>
      </c>
      <c r="F8731" s="86">
        <f>H8721</f>
        <v>0.29170000000000001</v>
      </c>
      <c r="G8731" s="112" t="e">
        <f>F8731*E8731</f>
        <v>#VALUE!</v>
      </c>
      <c r="H8731" s="108"/>
    </row>
    <row r="8732" spans="1:15">
      <c r="A8732" s="517" t="s">
        <v>4137</v>
      </c>
      <c r="B8732" s="549">
        <f>VLOOKUP(A8732,'Equip, Herr y Transp'!$B$2:$E$738,2,0)</f>
        <v>2</v>
      </c>
      <c r="C8732" s="549"/>
      <c r="D8732" s="85">
        <f>VLOOKUP(A8732,'Equip, Herr y Transp'!$B$2:$E$217,2,0)</f>
        <v>2</v>
      </c>
      <c r="E8732" s="85" t="str">
        <f>VLOOKUP(A8732,'Equip, Herr y Transp'!$B$2:$E$217,3,0)</f>
        <v>EQU</v>
      </c>
      <c r="F8732" s="86">
        <f>H8721</f>
        <v>0.29170000000000001</v>
      </c>
      <c r="G8732" s="112" t="e">
        <f>F8732*E8732</f>
        <v>#VALUE!</v>
      </c>
      <c r="H8732" s="107"/>
    </row>
    <row r="8733" spans="1:15">
      <c r="A8733" s="517" t="s">
        <v>8</v>
      </c>
      <c r="B8733" s="549" t="e">
        <f>VLOOKUP(A8733,'Equip, Herr y Transp'!$B$2:$E$738,2,0)</f>
        <v>#N/A</v>
      </c>
      <c r="C8733" s="549"/>
      <c r="D8733" s="85" t="e">
        <f>VLOOKUP(A8733,'Equip, Herr y Transp'!$B$2:$E$217,2,0)</f>
        <v>#N/A</v>
      </c>
      <c r="E8733" s="85" t="e">
        <f>VLOOKUP(A8733,'Equip, Herr y Transp'!$B$2:$E$217,3,0)</f>
        <v>#N/A</v>
      </c>
      <c r="F8733" s="86">
        <f>H8721</f>
        <v>0.29170000000000001</v>
      </c>
      <c r="G8733" s="112" t="e">
        <f>F8733*E8733</f>
        <v>#N/A</v>
      </c>
      <c r="H8733" s="107"/>
    </row>
    <row r="8734" spans="1:15">
      <c r="A8734" s="517" t="s">
        <v>8</v>
      </c>
      <c r="B8734" s="549" t="e">
        <f>VLOOKUP(A8734,'Equip, Herr y Transp'!$B$2:$E$738,2,0)</f>
        <v>#N/A</v>
      </c>
      <c r="C8734" s="549"/>
      <c r="D8734" s="85" t="e">
        <f>VLOOKUP(A8734,'Equip, Herr y Transp'!$B$2:$E$217,2,0)</f>
        <v>#N/A</v>
      </c>
      <c r="E8734" s="85" t="e">
        <f>VLOOKUP(A8734,'Equip, Herr y Transp'!$B$2:$E$217,3,0)</f>
        <v>#N/A</v>
      </c>
      <c r="F8734" s="86">
        <f>H8721</f>
        <v>0.29170000000000001</v>
      </c>
      <c r="G8734" s="112" t="e">
        <f>F8734*E8734</f>
        <v>#N/A</v>
      </c>
      <c r="H8734" s="107"/>
    </row>
    <row r="8735" spans="1:15">
      <c r="A8735" s="520" t="s">
        <v>4099</v>
      </c>
      <c r="B8735" s="521"/>
      <c r="C8735" s="521"/>
      <c r="D8735" s="521"/>
      <c r="E8735" s="521"/>
      <c r="F8735" s="521"/>
      <c r="G8735" s="521"/>
      <c r="H8735" s="87" t="e">
        <f>SUM(G8731:G8734)</f>
        <v>#VALUE!</v>
      </c>
    </row>
    <row r="8736" spans="1:15">
      <c r="A8736" s="550" t="s">
        <v>4219</v>
      </c>
      <c r="B8736" s="551"/>
      <c r="C8736" s="551"/>
      <c r="D8736" s="551"/>
      <c r="E8736" s="551"/>
      <c r="F8736" s="551"/>
      <c r="G8736" s="551"/>
      <c r="H8736" s="552"/>
      <c r="K8736" s="50"/>
      <c r="L8736" s="50"/>
      <c r="M8736" s="50"/>
      <c r="N8736" s="50"/>
      <c r="O8736" s="50"/>
    </row>
    <row r="8737" spans="1:15" ht="30" customHeight="1">
      <c r="A8737" s="553" t="s">
        <v>7</v>
      </c>
      <c r="B8737" s="554"/>
      <c r="C8737" s="99" t="s">
        <v>0</v>
      </c>
      <c r="D8737" s="100" t="s">
        <v>4097</v>
      </c>
      <c r="E8737" s="101" t="s">
        <v>1</v>
      </c>
      <c r="F8737" s="555" t="s">
        <v>4207</v>
      </c>
      <c r="G8737" s="555"/>
      <c r="H8737" s="196"/>
      <c r="K8737" s="50"/>
      <c r="L8737" s="50"/>
      <c r="M8737" s="50"/>
      <c r="N8737" s="50"/>
      <c r="O8737" s="50"/>
    </row>
    <row r="8738" spans="1:15">
      <c r="A8738" s="535" t="s">
        <v>4628</v>
      </c>
      <c r="B8738" s="536"/>
      <c r="C8738" s="88">
        <f>VLOOKUP(A8738,'Materiales '!$C$2:$G$396,3,0)</f>
        <v>4</v>
      </c>
      <c r="D8738" s="89" t="str">
        <f>VLOOKUP(A8738,'Materiales '!$C$2:$G$396,4,0)</f>
        <v>Und</v>
      </c>
      <c r="E8738" s="90">
        <v>1</v>
      </c>
      <c r="F8738" s="508" t="e">
        <f>E8738*D8738</f>
        <v>#VALUE!</v>
      </c>
      <c r="G8738" s="519"/>
      <c r="H8738" s="111"/>
      <c r="I8738">
        <f>E8738*G8728</f>
        <v>0</v>
      </c>
      <c r="J8738" s="57"/>
      <c r="K8738" s="50"/>
      <c r="L8738" s="50"/>
      <c r="M8738" s="50"/>
      <c r="N8738" s="50"/>
      <c r="O8738" s="50"/>
    </row>
    <row r="8739" spans="1:15">
      <c r="A8739" s="535" t="s">
        <v>4447</v>
      </c>
      <c r="B8739" s="536"/>
      <c r="C8739" s="88">
        <f>VLOOKUP(A8739,'Materiales '!$C$2:$G$396,3,0)</f>
        <v>2</v>
      </c>
      <c r="D8739" s="89" t="str">
        <f>VLOOKUP(A8739,'Materiales '!$C$2:$G$396,4,0)</f>
        <v>Ml</v>
      </c>
      <c r="E8739" s="90">
        <v>15</v>
      </c>
      <c r="F8739" s="508" t="e">
        <f t="shared" ref="F8739:F8745" si="507">E8739*D8739</f>
        <v>#VALUE!</v>
      </c>
      <c r="G8739" s="519"/>
      <c r="H8739" s="111"/>
      <c r="I8739">
        <f>E8739*G8728</f>
        <v>0</v>
      </c>
      <c r="J8739" s="57"/>
      <c r="K8739" s="50"/>
      <c r="L8739" s="50"/>
      <c r="M8739" s="50"/>
      <c r="N8739" s="50"/>
      <c r="O8739" s="50"/>
    </row>
    <row r="8740" spans="1:15">
      <c r="A8740" s="517" t="s">
        <v>4593</v>
      </c>
      <c r="B8740" s="518">
        <f>VLOOKUP(A8740,'Materiales '!$C$2:$G$396,3,0)</f>
        <v>4</v>
      </c>
      <c r="C8740" s="88">
        <f>VLOOKUP(A8740,'Materiales '!$C$2:$G$396,3,0)</f>
        <v>4</v>
      </c>
      <c r="D8740" s="89" t="str">
        <f>VLOOKUP(A8740,'Materiales '!$C$2:$G$396,4,0)</f>
        <v>Und</v>
      </c>
      <c r="E8740" s="90">
        <v>1</v>
      </c>
      <c r="F8740" s="508" t="e">
        <f t="shared" si="507"/>
        <v>#VALUE!</v>
      </c>
      <c r="G8740" s="519"/>
      <c r="H8740" s="111"/>
      <c r="I8740">
        <f>E8740*G8728</f>
        <v>0</v>
      </c>
      <c r="J8740" s="58"/>
      <c r="K8740" s="50"/>
      <c r="L8740" s="50"/>
      <c r="M8740" s="50"/>
      <c r="N8740" s="50"/>
      <c r="O8740" s="50"/>
    </row>
    <row r="8741" spans="1:15">
      <c r="A8741" s="517" t="s">
        <v>4504</v>
      </c>
      <c r="B8741" s="518">
        <f>VLOOKUP(A8741,'Materiales '!$C$2:$G$396,3,0)</f>
        <v>4</v>
      </c>
      <c r="C8741" s="88">
        <f>VLOOKUP(A8741,'Materiales '!$C$2:$G$396,3,0)</f>
        <v>4</v>
      </c>
      <c r="D8741" s="89" t="str">
        <f>VLOOKUP(A8741,'Materiales '!$C$2:$G$396,4,0)</f>
        <v>Und</v>
      </c>
      <c r="E8741" s="90">
        <v>1</v>
      </c>
      <c r="F8741" s="508" t="e">
        <f t="shared" si="507"/>
        <v>#VALUE!</v>
      </c>
      <c r="G8741" s="519"/>
      <c r="H8741" s="111"/>
      <c r="I8741">
        <f>E8741*G8728</f>
        <v>0</v>
      </c>
      <c r="J8741" s="58"/>
      <c r="K8741" s="50"/>
      <c r="L8741" s="50"/>
      <c r="M8741" s="50"/>
      <c r="N8741" s="50"/>
      <c r="O8741" s="50"/>
    </row>
    <row r="8742" spans="1:15">
      <c r="A8742" s="517" t="s">
        <v>8</v>
      </c>
      <c r="B8742" s="518">
        <f>VLOOKUP(A8742,'Materiales '!$C$2:$G$396,3,0)</f>
        <v>0</v>
      </c>
      <c r="C8742" s="88">
        <f>VLOOKUP(A8742,'Materiales '!$C$2:$G$396,3,0)</f>
        <v>0</v>
      </c>
      <c r="D8742" s="89" t="str">
        <f>VLOOKUP(A8742,'Materiales '!$C$2:$G$396,4,0)</f>
        <v>-</v>
      </c>
      <c r="E8742" s="90"/>
      <c r="F8742" s="508" t="e">
        <f t="shared" si="507"/>
        <v>#VALUE!</v>
      </c>
      <c r="G8742" s="519"/>
      <c r="H8742" s="111"/>
      <c r="I8742">
        <f>E8742*G8728</f>
        <v>0</v>
      </c>
      <c r="J8742" s="58"/>
      <c r="K8742" s="50"/>
      <c r="L8742" s="50"/>
      <c r="M8742" s="50"/>
      <c r="N8742" s="50"/>
      <c r="O8742" s="50"/>
    </row>
    <row r="8743" spans="1:15">
      <c r="A8743" s="517" t="s">
        <v>8</v>
      </c>
      <c r="B8743" s="518">
        <f>VLOOKUP(A8743,'Materiales '!$C$2:$G$396,3,0)</f>
        <v>0</v>
      </c>
      <c r="C8743" s="88">
        <f>VLOOKUP(A8743,'Materiales '!$C$2:$G$396,3,0)</f>
        <v>0</v>
      </c>
      <c r="D8743" s="89" t="str">
        <f>VLOOKUP(A8743,'Materiales '!$C$2:$G$396,4,0)</f>
        <v>-</v>
      </c>
      <c r="E8743" s="90"/>
      <c r="F8743" s="508" t="e">
        <f t="shared" si="507"/>
        <v>#VALUE!</v>
      </c>
      <c r="G8743" s="519"/>
      <c r="H8743" s="111"/>
      <c r="I8743">
        <f>E8743*G8728</f>
        <v>0</v>
      </c>
      <c r="J8743" s="58"/>
      <c r="K8743" s="50"/>
      <c r="L8743" s="50"/>
      <c r="M8743" s="50"/>
      <c r="N8743" s="50"/>
      <c r="O8743" s="50"/>
    </row>
    <row r="8744" spans="1:15">
      <c r="A8744" s="517" t="s">
        <v>8</v>
      </c>
      <c r="B8744" s="518">
        <f>VLOOKUP(A8744,'Materiales '!$C$2:$G$396,3,0)</f>
        <v>0</v>
      </c>
      <c r="C8744" s="88">
        <f>VLOOKUP(A8744,'Materiales '!$C$2:$G$396,3,0)</f>
        <v>0</v>
      </c>
      <c r="D8744" s="89" t="str">
        <f>VLOOKUP(A8744,'Materiales '!$C$2:$G$396,4,0)</f>
        <v>-</v>
      </c>
      <c r="E8744" s="90"/>
      <c r="F8744" s="508" t="e">
        <f t="shared" si="507"/>
        <v>#VALUE!</v>
      </c>
      <c r="G8744" s="519"/>
      <c r="H8744" s="111"/>
      <c r="I8744">
        <f>E8744*G8728</f>
        <v>0</v>
      </c>
      <c r="J8744" s="58"/>
      <c r="K8744" s="50"/>
      <c r="L8744" s="50"/>
      <c r="M8744" s="50"/>
      <c r="N8744" s="50"/>
      <c r="O8744" s="50"/>
    </row>
    <row r="8745" spans="1:15" ht="21.75" customHeight="1">
      <c r="A8745" s="517" t="s">
        <v>8</v>
      </c>
      <c r="B8745" s="518">
        <f>VLOOKUP(A8745,'Materiales '!$C$2:$G$396,3,0)</f>
        <v>0</v>
      </c>
      <c r="C8745" s="88">
        <f>VLOOKUP(A8745,'Materiales '!$C$2:$G$396,3,0)</f>
        <v>0</v>
      </c>
      <c r="D8745" s="89" t="str">
        <f>VLOOKUP(A8745,'Materiales '!$C$2:$G$396,4,0)</f>
        <v>-</v>
      </c>
      <c r="E8745" s="90"/>
      <c r="F8745" s="508" t="e">
        <f t="shared" si="507"/>
        <v>#VALUE!</v>
      </c>
      <c r="G8745" s="519"/>
      <c r="H8745" s="111"/>
      <c r="I8745">
        <f>E8745*G8728</f>
        <v>0</v>
      </c>
      <c r="J8745" s="58"/>
      <c r="K8745" s="50"/>
      <c r="L8745" s="50"/>
      <c r="M8745" s="50"/>
      <c r="N8745" s="50"/>
      <c r="O8745" s="50"/>
    </row>
    <row r="8746" spans="1:15">
      <c r="A8746" s="517" t="s">
        <v>8</v>
      </c>
      <c r="B8746" s="518">
        <f>VLOOKUP(A8746,'Materiales '!$C$2:$G$396,3,0)</f>
        <v>0</v>
      </c>
      <c r="C8746" s="88">
        <f>VLOOKUP(A8746,'Materiales '!$C$2:$G$396,3,0)</f>
        <v>0</v>
      </c>
      <c r="D8746" s="89" t="str">
        <f>VLOOKUP(A8746,'Materiales '!$C$2:$G$396,4,0)</f>
        <v>-</v>
      </c>
      <c r="E8746" s="90"/>
      <c r="F8746" s="508" t="e">
        <f>E8746*D8746</f>
        <v>#VALUE!</v>
      </c>
      <c r="G8746" s="519"/>
      <c r="H8746" s="110"/>
      <c r="I8746">
        <f>E8746*G8728</f>
        <v>0</v>
      </c>
      <c r="J8746" s="58"/>
      <c r="K8746" s="50"/>
      <c r="L8746" s="50"/>
      <c r="M8746" s="50"/>
      <c r="N8746" s="50"/>
      <c r="O8746" s="50"/>
    </row>
    <row r="8747" spans="1:15">
      <c r="A8747" s="517" t="s">
        <v>8</v>
      </c>
      <c r="B8747" s="518">
        <f>VLOOKUP(A8747,'Materiales '!$C$2:$G$396,3,0)</f>
        <v>0</v>
      </c>
      <c r="C8747" s="88">
        <f>VLOOKUP(A8747,'Materiales '!$C$2:$G$396,3,0)</f>
        <v>0</v>
      </c>
      <c r="D8747" s="89" t="str">
        <f>VLOOKUP(A8747,'Materiales '!$C$2:$G$396,4,0)</f>
        <v>-</v>
      </c>
      <c r="E8747" s="90"/>
      <c r="F8747" s="508" t="e">
        <f t="shared" ref="F8747:F8752" si="508">E8747*D8747</f>
        <v>#VALUE!</v>
      </c>
      <c r="G8747" s="519"/>
      <c r="H8747" s="111"/>
      <c r="I8747">
        <f>E8747*G8728</f>
        <v>0</v>
      </c>
      <c r="J8747" s="58"/>
      <c r="K8747" s="50"/>
      <c r="L8747" s="50"/>
      <c r="M8747" s="50"/>
      <c r="N8747" s="50"/>
      <c r="O8747" s="50"/>
    </row>
    <row r="8748" spans="1:15">
      <c r="A8748" s="517" t="s">
        <v>8</v>
      </c>
      <c r="B8748" s="518">
        <f>VLOOKUP(A8748,'Materiales '!$C$2:$G$396,3,0)</f>
        <v>0</v>
      </c>
      <c r="C8748" s="88">
        <f>VLOOKUP(A8748,'Materiales '!$C$2:$G$396,3,0)</f>
        <v>0</v>
      </c>
      <c r="D8748" s="89" t="str">
        <f>VLOOKUP(A8748,'Materiales '!$C$2:$G$396,4,0)</f>
        <v>-</v>
      </c>
      <c r="E8748" s="90"/>
      <c r="F8748" s="508" t="e">
        <f t="shared" si="508"/>
        <v>#VALUE!</v>
      </c>
      <c r="G8748" s="519"/>
      <c r="H8748" s="111"/>
      <c r="I8748">
        <f>E8748*G8728</f>
        <v>0</v>
      </c>
      <c r="J8748" s="58"/>
      <c r="K8748" s="50"/>
      <c r="L8748" s="50"/>
      <c r="M8748" s="50"/>
      <c r="N8748" s="50"/>
      <c r="O8748" s="50"/>
    </row>
    <row r="8749" spans="1:15">
      <c r="A8749" s="517" t="s">
        <v>8</v>
      </c>
      <c r="B8749" s="518">
        <f>VLOOKUP(A8749,'Materiales '!$C$2:$G$396,3,0)</f>
        <v>0</v>
      </c>
      <c r="C8749" s="88">
        <f>VLOOKUP(A8749,'Materiales '!$C$2:$G$396,3,0)</f>
        <v>0</v>
      </c>
      <c r="D8749" s="89" t="str">
        <f>VLOOKUP(A8749,'Materiales '!$C$2:$G$396,4,0)</f>
        <v>-</v>
      </c>
      <c r="E8749" s="90"/>
      <c r="F8749" s="508" t="e">
        <f t="shared" si="508"/>
        <v>#VALUE!</v>
      </c>
      <c r="G8749" s="519"/>
      <c r="H8749" s="111"/>
      <c r="I8749">
        <f>E8749*G8728</f>
        <v>0</v>
      </c>
      <c r="J8749" s="58"/>
      <c r="K8749" s="50"/>
      <c r="L8749" s="50"/>
      <c r="M8749" s="50"/>
      <c r="N8749" s="50"/>
      <c r="O8749" s="50"/>
    </row>
    <row r="8750" spans="1:15">
      <c r="A8750" s="517" t="s">
        <v>8</v>
      </c>
      <c r="B8750" s="518">
        <f>VLOOKUP(A8750,'Materiales '!$C$2:$G$396,3,0)</f>
        <v>0</v>
      </c>
      <c r="C8750" s="88">
        <f>VLOOKUP(A8750,'Materiales '!$C$2:$G$396,3,0)</f>
        <v>0</v>
      </c>
      <c r="D8750" s="89" t="str">
        <f>VLOOKUP(A8750,'Materiales '!$C$2:$G$396,4,0)</f>
        <v>-</v>
      </c>
      <c r="E8750" s="90"/>
      <c r="F8750" s="508" t="e">
        <f t="shared" si="508"/>
        <v>#VALUE!</v>
      </c>
      <c r="G8750" s="519"/>
      <c r="H8750" s="111"/>
      <c r="I8750">
        <f>E8750*G8728</f>
        <v>0</v>
      </c>
      <c r="J8750" s="58"/>
      <c r="K8750" s="50"/>
      <c r="L8750" s="50"/>
      <c r="M8750" s="50"/>
      <c r="N8750" s="50"/>
      <c r="O8750" s="50"/>
    </row>
    <row r="8751" spans="1:15">
      <c r="A8751" s="517" t="s">
        <v>8</v>
      </c>
      <c r="B8751" s="518">
        <f>VLOOKUP(A8751,'Materiales '!$C$2:$G$396,3,0)</f>
        <v>0</v>
      </c>
      <c r="C8751" s="88">
        <f>VLOOKUP(A8751,'Materiales '!$C$2:$G$396,3,0)</f>
        <v>0</v>
      </c>
      <c r="D8751" s="89" t="str">
        <f>VLOOKUP(A8751,'Materiales '!$C$2:$G$396,4,0)</f>
        <v>-</v>
      </c>
      <c r="E8751" s="90"/>
      <c r="F8751" s="508" t="e">
        <f t="shared" si="508"/>
        <v>#VALUE!</v>
      </c>
      <c r="G8751" s="519"/>
      <c r="H8751" s="111"/>
      <c r="I8751">
        <f>E8751*G8728</f>
        <v>0</v>
      </c>
      <c r="J8751" s="58"/>
      <c r="K8751" s="50"/>
      <c r="L8751" s="50"/>
      <c r="M8751" s="50"/>
      <c r="N8751" s="50"/>
      <c r="O8751" s="50"/>
    </row>
    <row r="8752" spans="1:15">
      <c r="A8752" s="517" t="s">
        <v>8</v>
      </c>
      <c r="B8752" s="518">
        <f>VLOOKUP(A8752,'Materiales '!$C$2:$G$396,3,0)</f>
        <v>0</v>
      </c>
      <c r="C8752" s="88">
        <f>VLOOKUP(A8752,'Materiales '!$C$2:$G$396,3,0)</f>
        <v>0</v>
      </c>
      <c r="D8752" s="89" t="str">
        <f>VLOOKUP(A8752,'Materiales '!$C$2:$G$396,4,0)</f>
        <v>-</v>
      </c>
      <c r="E8752" s="90"/>
      <c r="F8752" s="508" t="e">
        <f t="shared" si="508"/>
        <v>#VALUE!</v>
      </c>
      <c r="G8752" s="519"/>
      <c r="H8752" s="111"/>
      <c r="I8752">
        <f>E8752*G8728</f>
        <v>0</v>
      </c>
      <c r="J8752" s="58"/>
      <c r="K8752" s="50"/>
      <c r="L8752" s="50"/>
      <c r="M8752" s="50"/>
      <c r="N8752" s="50"/>
      <c r="O8752" s="50"/>
    </row>
    <row r="8753" spans="1:15">
      <c r="A8753" s="517" t="s">
        <v>8</v>
      </c>
      <c r="B8753" s="518">
        <f>VLOOKUP(A8753,'Materiales '!$C$2:$G$396,3,0)</f>
        <v>0</v>
      </c>
      <c r="C8753" s="88">
        <f>VLOOKUP(A8753,'Materiales '!$C$2:$G$396,3,0)</f>
        <v>0</v>
      </c>
      <c r="D8753" s="89" t="str">
        <f>VLOOKUP(A8753,'Materiales '!$C$2:$G$396,4,0)</f>
        <v>-</v>
      </c>
      <c r="E8753" s="90"/>
      <c r="F8753" s="508" t="e">
        <f>E8753*D8753</f>
        <v>#VALUE!</v>
      </c>
      <c r="G8753" s="519"/>
      <c r="H8753" s="110"/>
      <c r="I8753">
        <f>E8753*G8728</f>
        <v>0</v>
      </c>
      <c r="J8753" s="58"/>
      <c r="K8753" s="50"/>
      <c r="L8753" s="50"/>
      <c r="M8753" s="50"/>
      <c r="N8753" s="50"/>
      <c r="O8753" s="50"/>
    </row>
    <row r="8754" spans="1:15">
      <c r="A8754" s="517" t="s">
        <v>8</v>
      </c>
      <c r="B8754" s="518">
        <f>VLOOKUP(A8754,'Materiales '!$C$2:$G$396,3,0)</f>
        <v>0</v>
      </c>
      <c r="C8754" s="88">
        <f>VLOOKUP(A8754,'Materiales '!$C$2:$G$396,3,0)</f>
        <v>0</v>
      </c>
      <c r="D8754" s="89" t="str">
        <f>VLOOKUP(A8754,'Materiales '!$C$2:$G$396,4,0)</f>
        <v>-</v>
      </c>
      <c r="E8754" s="90"/>
      <c r="F8754" s="508" t="e">
        <f>E8754*D8754</f>
        <v>#VALUE!</v>
      </c>
      <c r="G8754" s="519"/>
      <c r="H8754" s="110"/>
      <c r="I8754">
        <f>E8754*G8728</f>
        <v>0</v>
      </c>
      <c r="J8754" s="58"/>
      <c r="K8754" s="50"/>
      <c r="L8754" s="50"/>
      <c r="M8754" s="50"/>
      <c r="N8754" s="50"/>
      <c r="O8754" s="50"/>
    </row>
    <row r="8755" spans="1:15">
      <c r="A8755" s="520" t="s">
        <v>4098</v>
      </c>
      <c r="B8755" s="521"/>
      <c r="C8755" s="521"/>
      <c r="D8755" s="521"/>
      <c r="E8755" s="521"/>
      <c r="F8755" s="521"/>
      <c r="G8755" s="522"/>
      <c r="H8755" s="106" t="e">
        <f>SUM(F8738:F8754)</f>
        <v>#VALUE!</v>
      </c>
      <c r="J8755" s="58"/>
      <c r="K8755" s="50"/>
      <c r="L8755" s="50"/>
      <c r="M8755" s="50"/>
      <c r="N8755" s="50"/>
      <c r="O8755" s="50"/>
    </row>
    <row r="8756" spans="1:15">
      <c r="A8756" s="523" t="s">
        <v>4220</v>
      </c>
      <c r="B8756" s="524"/>
      <c r="C8756" s="524"/>
      <c r="D8756" s="524"/>
      <c r="E8756" s="525"/>
      <c r="F8756" s="524"/>
      <c r="G8756" s="524"/>
      <c r="H8756" s="526"/>
      <c r="J8756" s="58"/>
      <c r="K8756" s="50"/>
      <c r="L8756" s="50"/>
      <c r="M8756" s="50"/>
      <c r="N8756" s="50"/>
      <c r="O8756" s="50"/>
    </row>
    <row r="8757" spans="1:15">
      <c r="A8757" s="527" t="s">
        <v>7</v>
      </c>
      <c r="B8757" s="528"/>
      <c r="C8757" s="98" t="s">
        <v>4221</v>
      </c>
      <c r="D8757" s="97" t="s">
        <v>4222</v>
      </c>
      <c r="E8757" s="187" t="s">
        <v>4223</v>
      </c>
      <c r="F8757" s="529" t="s">
        <v>4207</v>
      </c>
      <c r="G8757" s="529"/>
      <c r="H8757" s="109"/>
      <c r="K8757" s="50"/>
      <c r="L8757" s="50"/>
      <c r="M8757" s="50"/>
      <c r="N8757" s="50"/>
      <c r="O8757" s="50"/>
    </row>
    <row r="8758" spans="1:15">
      <c r="A8758" s="506" t="s">
        <v>3928</v>
      </c>
      <c r="B8758" s="507"/>
      <c r="C8758" s="213">
        <v>1</v>
      </c>
      <c r="D8758" s="92">
        <v>0.05</v>
      </c>
      <c r="E8758" s="93" t="str">
        <f>VLOOKUP(A8758,'Equip, Herr y Transp'!$B$2:$E$217,3,0)</f>
        <v>TR</v>
      </c>
      <c r="F8758" s="530" t="e">
        <f>E8758*D8758*C8758</f>
        <v>#VALUE!</v>
      </c>
      <c r="G8758" s="531"/>
      <c r="H8758" s="107"/>
      <c r="M8758" s="50"/>
    </row>
    <row r="8759" spans="1:15">
      <c r="A8759" s="532" t="s">
        <v>4205</v>
      </c>
      <c r="B8759" s="533"/>
      <c r="C8759" s="533"/>
      <c r="D8759" s="533"/>
      <c r="E8759" s="533"/>
      <c r="F8759" s="533"/>
      <c r="G8759" s="533"/>
      <c r="H8759" s="95" t="e">
        <f>F8758</f>
        <v>#VALUE!</v>
      </c>
    </row>
    <row r="8760" spans="1:15">
      <c r="A8760" s="523" t="s">
        <v>4224</v>
      </c>
      <c r="B8760" s="524"/>
      <c r="C8760" s="524"/>
      <c r="D8760" s="524"/>
      <c r="E8760" s="524"/>
      <c r="F8760" s="524"/>
      <c r="G8760" s="524"/>
      <c r="H8760" s="526"/>
    </row>
    <row r="8761" spans="1:15">
      <c r="A8761" s="527" t="s">
        <v>7</v>
      </c>
      <c r="B8761" s="528"/>
      <c r="C8761" s="96" t="s">
        <v>1</v>
      </c>
      <c r="D8761" s="97" t="s">
        <v>4225</v>
      </c>
      <c r="E8761" s="98" t="s">
        <v>4204</v>
      </c>
      <c r="F8761" s="527" t="s">
        <v>5</v>
      </c>
      <c r="G8761" s="534"/>
      <c r="H8761" s="109"/>
    </row>
    <row r="8762" spans="1:15">
      <c r="A8762" s="506" t="s">
        <v>4191</v>
      </c>
      <c r="B8762" s="507"/>
      <c r="C8762" s="91">
        <v>1</v>
      </c>
      <c r="D8762" s="94">
        <f>VLOOKUP(A8762,'Mano Obra'!$B$2:$T$117,19,0)</f>
        <v>152456</v>
      </c>
      <c r="E8762" s="218">
        <f>H8721</f>
        <v>0.29170000000000001</v>
      </c>
      <c r="F8762" s="508">
        <f>E8762*D8762*C8762</f>
        <v>44471.415200000003</v>
      </c>
      <c r="G8762" s="509"/>
      <c r="H8762" s="111"/>
      <c r="I8762" s="59"/>
      <c r="J8762" s="117">
        <f>((('Mano Obra'!$M$4/30)*F8762)/D8762)*G8728</f>
        <v>0</v>
      </c>
    </row>
    <row r="8763" spans="1:15">
      <c r="A8763" s="510" t="s">
        <v>4192</v>
      </c>
      <c r="B8763" s="511">
        <f>VLOOKUP(A8763,'Mano Obra'!$B$3:$D$290,2,0)</f>
        <v>1900000</v>
      </c>
      <c r="C8763" s="91">
        <v>1</v>
      </c>
      <c r="D8763" s="94">
        <f>VLOOKUP(A8763,'Mano Obra'!$B$2:$T$117,19,0)</f>
        <v>110488</v>
      </c>
      <c r="E8763" s="218">
        <f>H8721</f>
        <v>0.29170000000000001</v>
      </c>
      <c r="F8763" s="508">
        <f t="shared" ref="F8763:F8764" si="509">E8763*D8763*C8763</f>
        <v>32229.349600000001</v>
      </c>
      <c r="G8763" s="509"/>
      <c r="H8763" s="111"/>
      <c r="J8763" s="117">
        <f>((('Mano Obra'!$M$5/30)*F8763)/D8763)*G8728</f>
        <v>0</v>
      </c>
    </row>
    <row r="8764" spans="1:15">
      <c r="A8764" s="510" t="s">
        <v>4181</v>
      </c>
      <c r="B8764" s="511">
        <f>VLOOKUP(A8764,'Mano Obra'!$B$3:$D$290,2,0)</f>
        <v>1000000</v>
      </c>
      <c r="C8764" s="91">
        <v>1</v>
      </c>
      <c r="D8764" s="94">
        <f>VLOOKUP(A8764,'Mano Obra'!$B$2:$T$117,19,0)</f>
        <v>67424</v>
      </c>
      <c r="E8764" s="218">
        <f>H8721</f>
        <v>0.29170000000000001</v>
      </c>
      <c r="F8764" s="508">
        <f t="shared" si="509"/>
        <v>19667.5808</v>
      </c>
      <c r="G8764" s="509"/>
      <c r="H8764" s="110"/>
      <c r="J8764" s="117">
        <f>((('Mano Obra'!$M$6/30)*F8764)/D8764)*G8728</f>
        <v>0</v>
      </c>
    </row>
    <row r="8765" spans="1:15">
      <c r="A8765" s="512" t="s">
        <v>4100</v>
      </c>
      <c r="B8765" s="512"/>
      <c r="C8765" s="512"/>
      <c r="D8765" s="512"/>
      <c r="E8765" s="512"/>
      <c r="F8765" s="512"/>
      <c r="G8765" s="512"/>
      <c r="H8765" s="95">
        <f>SUM(F8762:F8764)</f>
        <v>96368.345600000001</v>
      </c>
      <c r="J8765" s="117"/>
    </row>
    <row r="8766" spans="1:15">
      <c r="A8766" s="208" t="s">
        <v>4226</v>
      </c>
      <c r="B8766" s="186"/>
      <c r="C8766" s="186"/>
      <c r="D8766" s="183"/>
      <c r="E8766" s="184"/>
      <c r="F8766" s="185"/>
      <c r="G8766" s="184"/>
      <c r="H8766" s="193"/>
    </row>
    <row r="8767" spans="1:15">
      <c r="A8767" s="513" t="s">
        <v>4213</v>
      </c>
      <c r="B8767" s="514"/>
      <c r="C8767" s="514"/>
      <c r="D8767" s="514"/>
      <c r="E8767" s="181"/>
      <c r="F8767" s="182" t="s">
        <v>4227</v>
      </c>
      <c r="G8767" s="181" t="s">
        <v>4228</v>
      </c>
      <c r="H8767" s="194"/>
    </row>
    <row r="8768" spans="1:15">
      <c r="A8768" s="204" t="s">
        <v>4096</v>
      </c>
      <c r="B8768" s="62"/>
      <c r="C8768" s="62"/>
      <c r="D8768" s="63"/>
      <c r="E8768" s="68"/>
      <c r="F8768" s="69">
        <v>0</v>
      </c>
      <c r="G8768" s="70" t="e">
        <f>F8768*H8729</f>
        <v>#VALUE!</v>
      </c>
      <c r="H8768" s="193"/>
    </row>
    <row r="8769" spans="1:14">
      <c r="A8769" s="205" t="s">
        <v>4229</v>
      </c>
      <c r="B8769" s="71"/>
      <c r="C8769" s="71"/>
      <c r="D8769" s="72"/>
      <c r="E8769" s="68"/>
      <c r="F8769" s="69">
        <v>0</v>
      </c>
      <c r="G8769" s="70" t="e">
        <f>F8769*H8729</f>
        <v>#VALUE!</v>
      </c>
      <c r="H8769" s="193"/>
    </row>
    <row r="8770" spans="1:14">
      <c r="A8770" s="205" t="s">
        <v>4</v>
      </c>
      <c r="B8770" s="71"/>
      <c r="C8770" s="71"/>
      <c r="D8770" s="72"/>
      <c r="E8770" s="68"/>
      <c r="F8770" s="69">
        <v>0</v>
      </c>
      <c r="G8770" s="70" t="e">
        <f>F8770*H8729</f>
        <v>#VALUE!</v>
      </c>
      <c r="H8770" s="193"/>
    </row>
    <row r="8771" spans="1:14">
      <c r="A8771" s="206"/>
      <c r="B8771" s="73"/>
      <c r="C8771" s="65"/>
      <c r="D8771" s="74"/>
      <c r="E8771" s="75"/>
      <c r="F8771" s="76"/>
      <c r="G8771" s="77"/>
      <c r="H8771" s="195"/>
    </row>
    <row r="8772" spans="1:14">
      <c r="A8772" s="207"/>
      <c r="B8772" s="73"/>
      <c r="C8772" s="73"/>
      <c r="D8772" s="74"/>
      <c r="E8772" s="78"/>
      <c r="F8772" s="515" t="s">
        <v>4230</v>
      </c>
      <c r="G8772" s="516"/>
      <c r="H8772" s="214" t="e">
        <f>H8729+G8768+G8769+G8770</f>
        <v>#VALUE!</v>
      </c>
    </row>
    <row r="8773" spans="1:14">
      <c r="A8773" s="73"/>
      <c r="B8773" s="73"/>
      <c r="C8773" s="73"/>
      <c r="D8773" s="74"/>
      <c r="E8773" s="360"/>
      <c r="F8773" s="361"/>
      <c r="G8773" s="361"/>
      <c r="H8773" s="362"/>
    </row>
    <row r="8774" spans="1:14">
      <c r="A8774" s="73"/>
      <c r="B8774" s="73"/>
      <c r="C8774" s="73"/>
      <c r="D8774" s="74"/>
      <c r="E8774" s="360"/>
      <c r="F8774" s="361"/>
      <c r="G8774" s="361"/>
      <c r="H8774" s="362"/>
    </row>
    <row r="8775" spans="1:14">
      <c r="A8775" s="73"/>
      <c r="B8775" s="73"/>
      <c r="C8775" s="73"/>
      <c r="D8775" s="74"/>
      <c r="E8775" s="360"/>
      <c r="F8775" s="361"/>
      <c r="G8775" s="361"/>
      <c r="H8775" s="362"/>
    </row>
    <row r="8777" spans="1:14">
      <c r="A8777" s="80"/>
      <c r="B8777" s="80"/>
      <c r="C8777" s="80"/>
      <c r="D8777" s="80"/>
      <c r="E8777" s="80"/>
      <c r="F8777" s="80"/>
      <c r="G8777" s="80"/>
      <c r="H8777" s="353"/>
    </row>
    <row r="8778" spans="1:14">
      <c r="A8778" s="537" t="s">
        <v>4214</v>
      </c>
      <c r="B8778" s="538"/>
      <c r="C8778" s="538"/>
      <c r="D8778" s="538"/>
      <c r="E8778" s="538"/>
      <c r="F8778" s="538"/>
      <c r="G8778" s="538"/>
      <c r="H8778" s="539"/>
    </row>
    <row r="8779" spans="1:14">
      <c r="A8779" s="81"/>
      <c r="B8779" s="82"/>
      <c r="C8779" s="82"/>
      <c r="D8779" s="82"/>
      <c r="E8779" s="82"/>
      <c r="F8779" s="83"/>
      <c r="G8779" s="84"/>
      <c r="H8779" s="352">
        <f>ROUND((250/60)/8,4)</f>
        <v>0.52080000000000004</v>
      </c>
      <c r="I8779" s="105"/>
    </row>
    <row r="8780" spans="1:14">
      <c r="A8780" s="540" t="s">
        <v>4209</v>
      </c>
      <c r="B8780" s="542" t="str">
        <f>COSTOS!$C$14</f>
        <v>MODERNIZACION A TECNOLOGIA LED</v>
      </c>
      <c r="C8780" s="542"/>
      <c r="D8780" s="542"/>
      <c r="E8780" s="542"/>
      <c r="F8780" s="542"/>
      <c r="G8780" s="542"/>
      <c r="H8780" s="543" t="s">
        <v>4210</v>
      </c>
    </row>
    <row r="8781" spans="1:14">
      <c r="A8781" s="541"/>
      <c r="B8781" s="542"/>
      <c r="C8781" s="542"/>
      <c r="D8781" s="542"/>
      <c r="E8781" s="542"/>
      <c r="F8781" s="542"/>
      <c r="G8781" s="542"/>
      <c r="H8781" s="543"/>
    </row>
    <row r="8782" spans="1:14">
      <c r="A8782" s="541"/>
      <c r="B8782" s="542"/>
      <c r="C8782" s="542"/>
      <c r="D8782" s="542"/>
      <c r="E8782" s="542"/>
      <c r="F8782" s="542"/>
      <c r="G8782" s="542"/>
      <c r="H8782" s="543"/>
    </row>
    <row r="8783" spans="1:14" ht="15" customHeight="1">
      <c r="A8783" s="541"/>
      <c r="B8783" s="542"/>
      <c r="C8783" s="542"/>
      <c r="D8783" s="542"/>
      <c r="E8783" s="542"/>
      <c r="F8783" s="542"/>
      <c r="G8783" s="542"/>
      <c r="H8783" s="197">
        <f ca="1">TODAY()</f>
        <v>44889</v>
      </c>
      <c r="K8783" t="s">
        <v>4380</v>
      </c>
      <c r="L8783" t="s">
        <v>4381</v>
      </c>
      <c r="M8783" t="s">
        <v>4382</v>
      </c>
      <c r="N8783" t="s">
        <v>4383</v>
      </c>
    </row>
    <row r="8784" spans="1:14" ht="60.75" customHeight="1">
      <c r="A8784" s="209" t="s">
        <v>4211</v>
      </c>
      <c r="B8784" s="544" t="str">
        <f>COSTOS!$D$16</f>
        <v>Luminarias</v>
      </c>
      <c r="C8784" s="544"/>
      <c r="D8784" s="544"/>
      <c r="E8784" s="544"/>
      <c r="F8784" s="544"/>
      <c r="G8784" s="60" t="s">
        <v>4212</v>
      </c>
      <c r="H8784" s="359">
        <v>6.1</v>
      </c>
      <c r="K8784" s="55" t="e">
        <f>H8810</f>
        <v>#VALUE!</v>
      </c>
      <c r="L8784" s="55">
        <f>H8820</f>
        <v>172055.65440000003</v>
      </c>
      <c r="M8784" s="55" t="e">
        <f>H8793</f>
        <v>#VALUE!</v>
      </c>
      <c r="N8784" s="55" t="e">
        <f>H8814</f>
        <v>#VALUE!</v>
      </c>
    </row>
    <row r="8785" spans="1:15" ht="43.2" customHeight="1">
      <c r="A8785" s="210" t="s">
        <v>4213</v>
      </c>
      <c r="B8785" s="545" t="str">
        <f>VLOOKUP(H8784,COSTOS!C:M,2,0)</f>
        <v>caja para control 20x40cm tipo exterior</v>
      </c>
      <c r="C8785" s="546"/>
      <c r="D8785" s="546"/>
      <c r="E8785" s="547"/>
      <c r="F8785" s="61" t="s">
        <v>0</v>
      </c>
      <c r="G8785" s="328" t="str">
        <f>VLOOKUP(H8784,COSTOS!C:M,8,0)</f>
        <v>Und</v>
      </c>
      <c r="H8785" s="248"/>
      <c r="I8785" s="278"/>
      <c r="J8785" s="280"/>
      <c r="K8785" s="280"/>
      <c r="L8785" s="280"/>
    </row>
    <row r="8786" spans="1:15">
      <c r="A8786" s="211"/>
      <c r="B8786" s="102"/>
      <c r="C8786" s="102"/>
      <c r="D8786" s="102"/>
      <c r="E8786" s="103"/>
      <c r="F8786" s="104" t="s">
        <v>1</v>
      </c>
      <c r="G8786" s="328">
        <f>VLOOKUP(H8784,COSTOS!C:M,9,0)</f>
        <v>0</v>
      </c>
      <c r="H8786" s="329"/>
      <c r="I8786" s="279"/>
    </row>
    <row r="8787" spans="1:15">
      <c r="A8787" s="212" t="s">
        <v>4215</v>
      </c>
      <c r="B8787" s="65"/>
      <c r="C8787" s="65"/>
      <c r="D8787" s="66"/>
      <c r="E8787" s="190"/>
      <c r="F8787" s="191"/>
      <c r="G8787" s="192" t="s">
        <v>4216</v>
      </c>
      <c r="H8787" s="198" t="e">
        <f>H8793+H8810+H8814+H8820</f>
        <v>#VALUE!</v>
      </c>
    </row>
    <row r="8788" spans="1:15" ht="41.4">
      <c r="A8788" s="548" t="s">
        <v>4213</v>
      </c>
      <c r="B8788" s="548"/>
      <c r="C8788" s="548"/>
      <c r="D8788" s="67" t="s">
        <v>0</v>
      </c>
      <c r="E8788" s="188" t="s">
        <v>4217</v>
      </c>
      <c r="F8788" s="189" t="s">
        <v>4204</v>
      </c>
      <c r="G8788" s="64" t="s">
        <v>2</v>
      </c>
      <c r="H8788" s="199" t="s">
        <v>4218</v>
      </c>
      <c r="K8788" s="281"/>
    </row>
    <row r="8789" spans="1:15">
      <c r="A8789" s="517" t="s">
        <v>3946</v>
      </c>
      <c r="B8789" s="549">
        <f>VLOOKUP(A8789,'Equip, Herr y Transp'!$B$2:$E$738,2,0)</f>
        <v>2</v>
      </c>
      <c r="C8789" s="549"/>
      <c r="D8789" s="85">
        <f>VLOOKUP(A8789,'Equip, Herr y Transp'!$B$2:$E$217,2,0)</f>
        <v>2</v>
      </c>
      <c r="E8789" s="85" t="str">
        <f>VLOOKUP(A8789,'Equip, Herr y Transp'!$B$2:$E$217,3,0)</f>
        <v>EQU</v>
      </c>
      <c r="F8789" s="86">
        <f>H8779</f>
        <v>0.52080000000000004</v>
      </c>
      <c r="G8789" s="112" t="e">
        <f>F8789*E8789</f>
        <v>#VALUE!</v>
      </c>
      <c r="H8789" s="108"/>
    </row>
    <row r="8790" spans="1:15">
      <c r="A8790" s="517" t="s">
        <v>3904</v>
      </c>
      <c r="B8790" s="549">
        <f>VLOOKUP(A8790,'Equip, Herr y Transp'!$B$2:$E$738,2,0)</f>
        <v>2</v>
      </c>
      <c r="C8790" s="549"/>
      <c r="D8790" s="85">
        <f>VLOOKUP(A8790,'Equip, Herr y Transp'!$B$2:$E$217,2,0)</f>
        <v>2</v>
      </c>
      <c r="E8790" s="85" t="str">
        <f>VLOOKUP(A8790,'Equip, Herr y Transp'!$B$2:$E$217,3,0)</f>
        <v>EQU</v>
      </c>
      <c r="F8790" s="86">
        <f>H8779</f>
        <v>0.52080000000000004</v>
      </c>
      <c r="G8790" s="112" t="e">
        <f>F8790*E8790</f>
        <v>#VALUE!</v>
      </c>
      <c r="H8790" s="107"/>
    </row>
    <row r="8791" spans="1:15">
      <c r="A8791" s="517" t="s">
        <v>8</v>
      </c>
      <c r="B8791" s="549" t="e">
        <f>VLOOKUP(A8791,'Equip, Herr y Transp'!$B$2:$E$738,2,0)</f>
        <v>#N/A</v>
      </c>
      <c r="C8791" s="549"/>
      <c r="D8791" s="85" t="e">
        <f>VLOOKUP(A8791,'Equip, Herr y Transp'!$B$2:$E$217,2,0)</f>
        <v>#N/A</v>
      </c>
      <c r="E8791" s="85" t="e">
        <f>VLOOKUP(A8791,'Equip, Herr y Transp'!$B$2:$E$217,3,0)</f>
        <v>#N/A</v>
      </c>
      <c r="F8791" s="86">
        <f>H8779</f>
        <v>0.52080000000000004</v>
      </c>
      <c r="G8791" s="112" t="e">
        <f>F8791*E8791</f>
        <v>#N/A</v>
      </c>
      <c r="H8791" s="107"/>
    </row>
    <row r="8792" spans="1:15">
      <c r="A8792" s="517" t="s">
        <v>8</v>
      </c>
      <c r="B8792" s="549" t="e">
        <f>VLOOKUP(A8792,'Equip, Herr y Transp'!$B$2:$E$738,2,0)</f>
        <v>#N/A</v>
      </c>
      <c r="C8792" s="549"/>
      <c r="D8792" s="85" t="e">
        <f>VLOOKUP(A8792,'Equip, Herr y Transp'!$B$2:$E$217,2,0)</f>
        <v>#N/A</v>
      </c>
      <c r="E8792" s="85" t="e">
        <f>VLOOKUP(A8792,'Equip, Herr y Transp'!$B$2:$E$217,3,0)</f>
        <v>#N/A</v>
      </c>
      <c r="F8792" s="86">
        <f>H8779</f>
        <v>0.52080000000000004</v>
      </c>
      <c r="G8792" s="112" t="e">
        <f>F8792*E8792</f>
        <v>#N/A</v>
      </c>
      <c r="H8792" s="107"/>
    </row>
    <row r="8793" spans="1:15">
      <c r="A8793" s="520" t="s">
        <v>4099</v>
      </c>
      <c r="B8793" s="521"/>
      <c r="C8793" s="521"/>
      <c r="D8793" s="521"/>
      <c r="E8793" s="521"/>
      <c r="F8793" s="521"/>
      <c r="G8793" s="521"/>
      <c r="H8793" s="87" t="e">
        <f>SUM(G8789:G8792)</f>
        <v>#VALUE!</v>
      </c>
    </row>
    <row r="8794" spans="1:15">
      <c r="A8794" s="550" t="s">
        <v>4219</v>
      </c>
      <c r="B8794" s="551"/>
      <c r="C8794" s="551"/>
      <c r="D8794" s="551"/>
      <c r="E8794" s="551"/>
      <c r="F8794" s="551"/>
      <c r="G8794" s="551"/>
      <c r="H8794" s="552"/>
      <c r="K8794" s="50"/>
      <c r="L8794" s="50"/>
      <c r="M8794" s="50"/>
      <c r="N8794" s="50"/>
      <c r="O8794" s="50"/>
    </row>
    <row r="8795" spans="1:15" ht="30" customHeight="1">
      <c r="A8795" s="553" t="s">
        <v>7</v>
      </c>
      <c r="B8795" s="554"/>
      <c r="C8795" s="99" t="s">
        <v>0</v>
      </c>
      <c r="D8795" s="100" t="s">
        <v>4097</v>
      </c>
      <c r="E8795" s="101" t="s">
        <v>1</v>
      </c>
      <c r="F8795" s="555" t="s">
        <v>4207</v>
      </c>
      <c r="G8795" s="555"/>
      <c r="H8795" s="196"/>
      <c r="K8795" s="50"/>
      <c r="L8795" s="50"/>
      <c r="M8795" s="50"/>
      <c r="N8795" s="50"/>
      <c r="O8795" s="50"/>
    </row>
    <row r="8796" spans="1:15">
      <c r="A8796" s="535" t="s">
        <v>4649</v>
      </c>
      <c r="B8796" s="536"/>
      <c r="C8796" s="88">
        <f>VLOOKUP(A8796,'Materiales '!$C$2:$G$396,3,0)</f>
        <v>4</v>
      </c>
      <c r="D8796" s="89" t="str">
        <f>VLOOKUP(A8796,'Materiales '!$C$2:$G$396,4,0)</f>
        <v>Und</v>
      </c>
      <c r="E8796" s="90">
        <v>1</v>
      </c>
      <c r="F8796" s="508" t="e">
        <f>E8796*D8796</f>
        <v>#VALUE!</v>
      </c>
      <c r="G8796" s="519"/>
      <c r="H8796" s="111"/>
      <c r="I8796">
        <f>E8796*G8786</f>
        <v>0</v>
      </c>
      <c r="J8796" s="57"/>
      <c r="K8796" s="50"/>
      <c r="L8796" s="50"/>
      <c r="M8796" s="50"/>
      <c r="N8796" s="50"/>
      <c r="O8796" s="50"/>
    </row>
    <row r="8797" spans="1:15">
      <c r="A8797" s="535" t="s">
        <v>4628</v>
      </c>
      <c r="B8797" s="536"/>
      <c r="C8797" s="88">
        <f>VLOOKUP(A8797,'Materiales '!$C$2:$G$396,3,0)</f>
        <v>4</v>
      </c>
      <c r="D8797" s="89" t="str">
        <f>VLOOKUP(A8797,'Materiales '!$C$2:$G$396,4,0)</f>
        <v>Und</v>
      </c>
      <c r="E8797" s="90">
        <v>0.3</v>
      </c>
      <c r="F8797" s="508" t="e">
        <f t="shared" ref="F8797:F8803" si="510">E8797*D8797</f>
        <v>#VALUE!</v>
      </c>
      <c r="G8797" s="519"/>
      <c r="H8797" s="111"/>
      <c r="I8797">
        <f>E8797*G8786</f>
        <v>0</v>
      </c>
      <c r="J8797" s="57"/>
      <c r="K8797" s="50"/>
      <c r="L8797" s="50"/>
      <c r="M8797" s="50"/>
      <c r="N8797" s="50"/>
      <c r="O8797" s="50"/>
    </row>
    <row r="8798" spans="1:15">
      <c r="A8798" s="517" t="s">
        <v>4651</v>
      </c>
      <c r="B8798" s="518">
        <f>VLOOKUP(A8798,'Materiales '!$C$2:$G$396,3,0)</f>
        <v>4</v>
      </c>
      <c r="C8798" s="88">
        <f>VLOOKUP(A8798,'Materiales '!$C$2:$G$396,3,0)</f>
        <v>4</v>
      </c>
      <c r="D8798" s="89" t="str">
        <f>VLOOKUP(A8798,'Materiales '!$C$2:$G$396,4,0)</f>
        <v>Und</v>
      </c>
      <c r="E8798" s="90">
        <v>1</v>
      </c>
      <c r="F8798" s="508" t="e">
        <f t="shared" si="510"/>
        <v>#VALUE!</v>
      </c>
      <c r="G8798" s="519"/>
      <c r="H8798" s="111"/>
      <c r="I8798">
        <f>E8798*G8786</f>
        <v>0</v>
      </c>
      <c r="J8798" s="58"/>
      <c r="K8798" s="50"/>
      <c r="L8798" s="50"/>
      <c r="M8798" s="50"/>
      <c r="N8798" s="50"/>
      <c r="O8798" s="50"/>
    </row>
    <row r="8799" spans="1:15">
      <c r="A8799" s="517" t="s">
        <v>4652</v>
      </c>
      <c r="B8799" s="518">
        <f>VLOOKUP(A8799,'Materiales '!$C$2:$G$396,3,0)</f>
        <v>4</v>
      </c>
      <c r="C8799" s="88">
        <f>VLOOKUP(A8799,'Materiales '!$C$2:$G$396,3,0)</f>
        <v>4</v>
      </c>
      <c r="D8799" s="89" t="str">
        <f>VLOOKUP(A8799,'Materiales '!$C$2:$G$396,4,0)</f>
        <v>Und</v>
      </c>
      <c r="E8799" s="90">
        <v>1</v>
      </c>
      <c r="F8799" s="508" t="e">
        <f t="shared" si="510"/>
        <v>#VALUE!</v>
      </c>
      <c r="G8799" s="519"/>
      <c r="H8799" s="111"/>
      <c r="I8799">
        <f>E8799*G8786</f>
        <v>0</v>
      </c>
      <c r="J8799" s="58"/>
      <c r="K8799" s="50"/>
      <c r="L8799" s="50"/>
      <c r="M8799" s="50"/>
      <c r="N8799" s="50"/>
      <c r="O8799" s="50"/>
    </row>
    <row r="8800" spans="1:15">
      <c r="A8800" s="517" t="s">
        <v>8</v>
      </c>
      <c r="B8800" s="518">
        <f>VLOOKUP(A8800,'Materiales '!$C$2:$G$396,3,0)</f>
        <v>0</v>
      </c>
      <c r="C8800" s="88">
        <f>VLOOKUP(A8800,'Materiales '!$C$2:$G$396,3,0)</f>
        <v>0</v>
      </c>
      <c r="D8800" s="89" t="str">
        <f>VLOOKUP(A8800,'Materiales '!$C$2:$G$396,4,0)</f>
        <v>-</v>
      </c>
      <c r="E8800" s="90"/>
      <c r="F8800" s="508" t="e">
        <f t="shared" si="510"/>
        <v>#VALUE!</v>
      </c>
      <c r="G8800" s="519"/>
      <c r="H8800" s="111"/>
      <c r="I8800">
        <f>E8800*G8786</f>
        <v>0</v>
      </c>
      <c r="J8800" s="58"/>
      <c r="K8800" s="50"/>
      <c r="L8800" s="50"/>
      <c r="M8800" s="50"/>
      <c r="N8800" s="50"/>
      <c r="O8800" s="50"/>
    </row>
    <row r="8801" spans="1:15">
      <c r="A8801" s="517" t="s">
        <v>8</v>
      </c>
      <c r="B8801" s="518">
        <f>VLOOKUP(A8801,'Materiales '!$C$2:$G$396,3,0)</f>
        <v>0</v>
      </c>
      <c r="C8801" s="88">
        <f>VLOOKUP(A8801,'Materiales '!$C$2:$G$396,3,0)</f>
        <v>0</v>
      </c>
      <c r="D8801" s="89" t="str">
        <f>VLOOKUP(A8801,'Materiales '!$C$2:$G$396,4,0)</f>
        <v>-</v>
      </c>
      <c r="E8801" s="90"/>
      <c r="F8801" s="508" t="e">
        <f t="shared" si="510"/>
        <v>#VALUE!</v>
      </c>
      <c r="G8801" s="519"/>
      <c r="H8801" s="111"/>
      <c r="I8801">
        <f>E8801*G8786</f>
        <v>0</v>
      </c>
      <c r="J8801" s="58"/>
      <c r="K8801" s="50"/>
      <c r="L8801" s="50"/>
      <c r="M8801" s="50"/>
      <c r="N8801" s="50"/>
      <c r="O8801" s="50"/>
    </row>
    <row r="8802" spans="1:15">
      <c r="A8802" s="517" t="s">
        <v>8</v>
      </c>
      <c r="B8802" s="518">
        <f>VLOOKUP(A8802,'Materiales '!$C$2:$G$396,3,0)</f>
        <v>0</v>
      </c>
      <c r="C8802" s="88">
        <f>VLOOKUP(A8802,'Materiales '!$C$2:$G$396,3,0)</f>
        <v>0</v>
      </c>
      <c r="D8802" s="89" t="str">
        <f>VLOOKUP(A8802,'Materiales '!$C$2:$G$396,4,0)</f>
        <v>-</v>
      </c>
      <c r="E8802" s="90"/>
      <c r="F8802" s="508" t="e">
        <f t="shared" si="510"/>
        <v>#VALUE!</v>
      </c>
      <c r="G8802" s="519"/>
      <c r="H8802" s="111"/>
      <c r="I8802">
        <f>E8802*G8786</f>
        <v>0</v>
      </c>
      <c r="J8802" s="58"/>
      <c r="K8802" s="50"/>
      <c r="L8802" s="50"/>
      <c r="M8802" s="50"/>
      <c r="N8802" s="50"/>
      <c r="O8802" s="50"/>
    </row>
    <row r="8803" spans="1:15" ht="21.75" customHeight="1">
      <c r="A8803" s="517" t="s">
        <v>8</v>
      </c>
      <c r="B8803" s="518">
        <f>VLOOKUP(A8803,'Materiales '!$C$2:$G$396,3,0)</f>
        <v>0</v>
      </c>
      <c r="C8803" s="88">
        <f>VLOOKUP(A8803,'Materiales '!$C$2:$G$396,3,0)</f>
        <v>0</v>
      </c>
      <c r="D8803" s="89" t="str">
        <f>VLOOKUP(A8803,'Materiales '!$C$2:$G$396,4,0)</f>
        <v>-</v>
      </c>
      <c r="E8803" s="90"/>
      <c r="F8803" s="508" t="e">
        <f t="shared" si="510"/>
        <v>#VALUE!</v>
      </c>
      <c r="G8803" s="519"/>
      <c r="H8803" s="111"/>
      <c r="I8803">
        <f>E8803*G8786</f>
        <v>0</v>
      </c>
      <c r="J8803" s="58"/>
      <c r="K8803" s="50"/>
      <c r="L8803" s="50"/>
      <c r="M8803" s="50"/>
      <c r="N8803" s="50"/>
      <c r="O8803" s="50"/>
    </row>
    <row r="8804" spans="1:15">
      <c r="A8804" s="517" t="s">
        <v>8</v>
      </c>
      <c r="B8804" s="518">
        <f>VLOOKUP(A8804,'Materiales '!$C$2:$G$396,3,0)</f>
        <v>0</v>
      </c>
      <c r="C8804" s="88">
        <f>VLOOKUP(A8804,'Materiales '!$C$2:$G$396,3,0)</f>
        <v>0</v>
      </c>
      <c r="D8804" s="89" t="str">
        <f>VLOOKUP(A8804,'Materiales '!$C$2:$G$396,4,0)</f>
        <v>-</v>
      </c>
      <c r="E8804" s="90"/>
      <c r="F8804" s="508" t="e">
        <f>E8804*D8804</f>
        <v>#VALUE!</v>
      </c>
      <c r="G8804" s="519"/>
      <c r="H8804" s="110"/>
      <c r="I8804">
        <f>E8804*G8786</f>
        <v>0</v>
      </c>
      <c r="J8804" s="58"/>
      <c r="K8804" s="50"/>
      <c r="L8804" s="50"/>
      <c r="M8804" s="50"/>
      <c r="N8804" s="50"/>
      <c r="O8804" s="50"/>
    </row>
    <row r="8805" spans="1:15">
      <c r="A8805" s="517" t="s">
        <v>8</v>
      </c>
      <c r="B8805" s="518">
        <f>VLOOKUP(A8805,'Materiales '!$C$2:$G$396,3,0)</f>
        <v>0</v>
      </c>
      <c r="C8805" s="88">
        <f>VLOOKUP(A8805,'Materiales '!$C$2:$G$396,3,0)</f>
        <v>0</v>
      </c>
      <c r="D8805" s="89" t="str">
        <f>VLOOKUP(A8805,'Materiales '!$C$2:$G$396,4,0)</f>
        <v>-</v>
      </c>
      <c r="E8805" s="90"/>
      <c r="F8805" s="508" t="e">
        <f t="shared" ref="F8805:F8808" si="511">E8805*D8805</f>
        <v>#VALUE!</v>
      </c>
      <c r="G8805" s="519"/>
      <c r="H8805" s="111"/>
      <c r="I8805">
        <f>E8805*G8786</f>
        <v>0</v>
      </c>
      <c r="J8805" s="58"/>
      <c r="K8805" s="50"/>
      <c r="L8805" s="50"/>
      <c r="M8805" s="50"/>
      <c r="N8805" s="50"/>
      <c r="O8805" s="50"/>
    </row>
    <row r="8806" spans="1:15">
      <c r="A8806" s="517" t="s">
        <v>8</v>
      </c>
      <c r="B8806" s="518">
        <f>VLOOKUP(A8806,'Materiales '!$C$2:$G$396,3,0)</f>
        <v>0</v>
      </c>
      <c r="C8806" s="88">
        <f>VLOOKUP(A8806,'Materiales '!$C$2:$G$396,3,0)</f>
        <v>0</v>
      </c>
      <c r="D8806" s="89" t="str">
        <f>VLOOKUP(A8806,'Materiales '!$C$2:$G$396,4,0)</f>
        <v>-</v>
      </c>
      <c r="E8806" s="90"/>
      <c r="F8806" s="508" t="e">
        <f t="shared" si="511"/>
        <v>#VALUE!</v>
      </c>
      <c r="G8806" s="519"/>
      <c r="H8806" s="111"/>
      <c r="I8806">
        <f>E8806*G8786</f>
        <v>0</v>
      </c>
      <c r="J8806" s="58"/>
      <c r="K8806" s="50"/>
      <c r="L8806" s="50"/>
      <c r="M8806" s="50"/>
      <c r="N8806" s="50"/>
      <c r="O8806" s="50"/>
    </row>
    <row r="8807" spans="1:15">
      <c r="A8807" s="517" t="s">
        <v>8</v>
      </c>
      <c r="B8807" s="518">
        <f>VLOOKUP(A8807,'Materiales '!$C$2:$G$396,3,0)</f>
        <v>0</v>
      </c>
      <c r="C8807" s="88">
        <f>VLOOKUP(A8807,'Materiales '!$C$2:$G$396,3,0)</f>
        <v>0</v>
      </c>
      <c r="D8807" s="89" t="str">
        <f>VLOOKUP(A8807,'Materiales '!$C$2:$G$396,4,0)</f>
        <v>-</v>
      </c>
      <c r="E8807" s="90"/>
      <c r="F8807" s="508" t="e">
        <f t="shared" si="511"/>
        <v>#VALUE!</v>
      </c>
      <c r="G8807" s="519"/>
      <c r="H8807" s="111"/>
      <c r="I8807">
        <f>E8807*G8786</f>
        <v>0</v>
      </c>
      <c r="J8807" s="58"/>
      <c r="K8807" s="50"/>
      <c r="L8807" s="50"/>
      <c r="M8807" s="50"/>
      <c r="N8807" s="50"/>
      <c r="O8807" s="50"/>
    </row>
    <row r="8808" spans="1:15">
      <c r="A8808" s="517" t="s">
        <v>8</v>
      </c>
      <c r="B8808" s="518">
        <f>VLOOKUP(A8808,'Materiales '!$C$2:$G$396,3,0)</f>
        <v>0</v>
      </c>
      <c r="C8808" s="88">
        <f>VLOOKUP(A8808,'Materiales '!$C$2:$G$396,3,0)</f>
        <v>0</v>
      </c>
      <c r="D8808" s="89" t="str">
        <f>VLOOKUP(A8808,'Materiales '!$C$2:$G$396,4,0)</f>
        <v>-</v>
      </c>
      <c r="E8808" s="90"/>
      <c r="F8808" s="508" t="e">
        <f t="shared" si="511"/>
        <v>#VALUE!</v>
      </c>
      <c r="G8808" s="519"/>
      <c r="H8808" s="111"/>
      <c r="I8808">
        <f>E8808*G8786</f>
        <v>0</v>
      </c>
      <c r="J8808" s="58"/>
      <c r="K8808" s="50"/>
      <c r="L8808" s="50"/>
      <c r="M8808" s="50"/>
      <c r="N8808" s="50"/>
      <c r="O8808" s="50"/>
    </row>
    <row r="8809" spans="1:15">
      <c r="A8809" s="517" t="s">
        <v>8</v>
      </c>
      <c r="B8809" s="518">
        <f>VLOOKUP(A8809,'Materiales '!$C$2:$G$396,3,0)</f>
        <v>0</v>
      </c>
      <c r="C8809" s="88">
        <f>VLOOKUP(A8809,'Materiales '!$C$2:$G$396,3,0)</f>
        <v>0</v>
      </c>
      <c r="D8809" s="89" t="str">
        <f>VLOOKUP(A8809,'Materiales '!$C$2:$G$396,4,0)</f>
        <v>-</v>
      </c>
      <c r="E8809" s="90"/>
      <c r="F8809" s="508" t="e">
        <f>E8809*D8809</f>
        <v>#VALUE!</v>
      </c>
      <c r="G8809" s="519"/>
      <c r="H8809" s="110"/>
      <c r="I8809">
        <f>E8809*G8786</f>
        <v>0</v>
      </c>
      <c r="J8809" s="58"/>
      <c r="K8809" s="50"/>
      <c r="L8809" s="50"/>
      <c r="M8809" s="50"/>
      <c r="N8809" s="50"/>
      <c r="O8809" s="50"/>
    </row>
    <row r="8810" spans="1:15">
      <c r="A8810" s="520" t="s">
        <v>4098</v>
      </c>
      <c r="B8810" s="521"/>
      <c r="C8810" s="521"/>
      <c r="D8810" s="521"/>
      <c r="E8810" s="521"/>
      <c r="F8810" s="521"/>
      <c r="G8810" s="522"/>
      <c r="H8810" s="106" t="e">
        <f>SUM(F8796:F8809)</f>
        <v>#VALUE!</v>
      </c>
      <c r="J8810" s="58"/>
      <c r="K8810" s="50"/>
      <c r="L8810" s="50"/>
      <c r="M8810" s="50"/>
      <c r="N8810" s="50"/>
      <c r="O8810" s="50"/>
    </row>
    <row r="8811" spans="1:15">
      <c r="A8811" s="523" t="s">
        <v>4220</v>
      </c>
      <c r="B8811" s="524"/>
      <c r="C8811" s="524"/>
      <c r="D8811" s="524"/>
      <c r="E8811" s="525"/>
      <c r="F8811" s="524"/>
      <c r="G8811" s="524"/>
      <c r="H8811" s="526"/>
      <c r="J8811" s="58"/>
      <c r="K8811" s="50"/>
      <c r="L8811" s="50"/>
      <c r="M8811" s="50"/>
      <c r="N8811" s="50"/>
      <c r="O8811" s="50"/>
    </row>
    <row r="8812" spans="1:15">
      <c r="A8812" s="527" t="s">
        <v>7</v>
      </c>
      <c r="B8812" s="528"/>
      <c r="C8812" s="98" t="s">
        <v>4221</v>
      </c>
      <c r="D8812" s="97" t="s">
        <v>4222</v>
      </c>
      <c r="E8812" s="187" t="s">
        <v>4223</v>
      </c>
      <c r="F8812" s="529" t="s">
        <v>4207</v>
      </c>
      <c r="G8812" s="529"/>
      <c r="H8812" s="109"/>
      <c r="K8812" s="50"/>
      <c r="L8812" s="50"/>
      <c r="M8812" s="50"/>
      <c r="N8812" s="50"/>
      <c r="O8812" s="50"/>
    </row>
    <row r="8813" spans="1:15">
      <c r="A8813" s="506" t="s">
        <v>3928</v>
      </c>
      <c r="B8813" s="507"/>
      <c r="C8813" s="213">
        <v>1</v>
      </c>
      <c r="D8813" s="92">
        <v>0.1</v>
      </c>
      <c r="E8813" s="93" t="str">
        <f>VLOOKUP(A8813,'Equip, Herr y Transp'!$B$2:$E$217,3,0)</f>
        <v>TR</v>
      </c>
      <c r="F8813" s="530" t="e">
        <f>E8813*D8813*C8813</f>
        <v>#VALUE!</v>
      </c>
      <c r="G8813" s="531"/>
      <c r="H8813" s="107"/>
      <c r="M8813" s="50"/>
    </row>
    <row r="8814" spans="1:15">
      <c r="A8814" s="532" t="s">
        <v>4205</v>
      </c>
      <c r="B8814" s="533"/>
      <c r="C8814" s="533"/>
      <c r="D8814" s="533"/>
      <c r="E8814" s="533"/>
      <c r="F8814" s="533"/>
      <c r="G8814" s="533"/>
      <c r="H8814" s="95" t="e">
        <f>F8813</f>
        <v>#VALUE!</v>
      </c>
    </row>
    <row r="8815" spans="1:15">
      <c r="A8815" s="523" t="s">
        <v>4224</v>
      </c>
      <c r="B8815" s="524"/>
      <c r="C8815" s="524"/>
      <c r="D8815" s="524"/>
      <c r="E8815" s="524"/>
      <c r="F8815" s="524"/>
      <c r="G8815" s="524"/>
      <c r="H8815" s="526"/>
    </row>
    <row r="8816" spans="1:15">
      <c r="A8816" s="527" t="s">
        <v>7</v>
      </c>
      <c r="B8816" s="528"/>
      <c r="C8816" s="96" t="s">
        <v>1</v>
      </c>
      <c r="D8816" s="97" t="s">
        <v>4225</v>
      </c>
      <c r="E8816" s="98" t="s">
        <v>4204</v>
      </c>
      <c r="F8816" s="527" t="s">
        <v>5</v>
      </c>
      <c r="G8816" s="534"/>
      <c r="H8816" s="109"/>
    </row>
    <row r="8817" spans="1:10">
      <c r="A8817" s="506" t="s">
        <v>4191</v>
      </c>
      <c r="B8817" s="507"/>
      <c r="C8817" s="91">
        <v>1</v>
      </c>
      <c r="D8817" s="94">
        <f>VLOOKUP(A8817,'Mano Obra'!$B$2:$T$117,19,0)</f>
        <v>152456</v>
      </c>
      <c r="E8817" s="218">
        <f>H8779</f>
        <v>0.52080000000000004</v>
      </c>
      <c r="F8817" s="508">
        <f>E8817*D8817*C8817</f>
        <v>79399.084800000011</v>
      </c>
      <c r="G8817" s="509"/>
      <c r="H8817" s="111"/>
      <c r="I8817" s="59"/>
      <c r="J8817" s="117">
        <f>((('Mano Obra'!$M$4/30)*F8817)/D8817)*G8786</f>
        <v>0</v>
      </c>
    </row>
    <row r="8818" spans="1:10">
      <c r="A8818" s="510" t="s">
        <v>4192</v>
      </c>
      <c r="B8818" s="511">
        <f>VLOOKUP(A8818,'Mano Obra'!$B$3:$D$290,2,0)</f>
        <v>1900000</v>
      </c>
      <c r="C8818" s="91">
        <v>1</v>
      </c>
      <c r="D8818" s="94">
        <f>VLOOKUP(A8818,'Mano Obra'!$B$2:$T$117,19,0)</f>
        <v>110488</v>
      </c>
      <c r="E8818" s="218">
        <f>H8779</f>
        <v>0.52080000000000004</v>
      </c>
      <c r="F8818" s="508">
        <f t="shared" ref="F8818:F8819" si="512">E8818*D8818*C8818</f>
        <v>57542.150400000006</v>
      </c>
      <c r="G8818" s="509"/>
      <c r="H8818" s="111"/>
      <c r="J8818" s="117">
        <f>((('Mano Obra'!$M$5/30)*F8818)/D8818)*G8786</f>
        <v>0</v>
      </c>
    </row>
    <row r="8819" spans="1:10">
      <c r="A8819" s="510" t="s">
        <v>4181</v>
      </c>
      <c r="B8819" s="511">
        <f>VLOOKUP(A8819,'Mano Obra'!$B$3:$D$290,2,0)</f>
        <v>1000000</v>
      </c>
      <c r="C8819" s="91">
        <v>1</v>
      </c>
      <c r="D8819" s="94">
        <f>VLOOKUP(A8819,'Mano Obra'!$B$2:$T$117,19,0)</f>
        <v>67424</v>
      </c>
      <c r="E8819" s="218">
        <f>H8779</f>
        <v>0.52080000000000004</v>
      </c>
      <c r="F8819" s="508">
        <f t="shared" si="512"/>
        <v>35114.419200000004</v>
      </c>
      <c r="G8819" s="509"/>
      <c r="H8819" s="110"/>
      <c r="J8819" s="117">
        <f>((('Mano Obra'!$M$6/30)*F8819)/D8819)*G8786</f>
        <v>0</v>
      </c>
    </row>
    <row r="8820" spans="1:10">
      <c r="A8820" s="512" t="s">
        <v>4100</v>
      </c>
      <c r="B8820" s="512"/>
      <c r="C8820" s="512"/>
      <c r="D8820" s="512"/>
      <c r="E8820" s="512"/>
      <c r="F8820" s="512"/>
      <c r="G8820" s="512"/>
      <c r="H8820" s="95">
        <f>SUM(F8817:F8819)</f>
        <v>172055.65440000003</v>
      </c>
      <c r="J8820" s="117"/>
    </row>
    <row r="8821" spans="1:10">
      <c r="A8821" s="208" t="s">
        <v>4226</v>
      </c>
      <c r="B8821" s="186"/>
      <c r="C8821" s="186"/>
      <c r="D8821" s="183"/>
      <c r="E8821" s="184"/>
      <c r="F8821" s="185"/>
      <c r="G8821" s="184"/>
      <c r="H8821" s="193"/>
    </row>
    <row r="8822" spans="1:10">
      <c r="A8822" s="513" t="s">
        <v>4213</v>
      </c>
      <c r="B8822" s="514"/>
      <c r="C8822" s="514"/>
      <c r="D8822" s="514"/>
      <c r="E8822" s="181"/>
      <c r="F8822" s="182" t="s">
        <v>4227</v>
      </c>
      <c r="G8822" s="181" t="s">
        <v>4228</v>
      </c>
      <c r="H8822" s="194"/>
    </row>
    <row r="8823" spans="1:10">
      <c r="A8823" s="204" t="s">
        <v>4096</v>
      </c>
      <c r="B8823" s="62"/>
      <c r="C8823" s="62"/>
      <c r="D8823" s="63"/>
      <c r="E8823" s="68"/>
      <c r="F8823" s="69">
        <v>0</v>
      </c>
      <c r="G8823" s="70" t="e">
        <f>F8823*H8787</f>
        <v>#VALUE!</v>
      </c>
      <c r="H8823" s="193"/>
    </row>
    <row r="8824" spans="1:10">
      <c r="A8824" s="205" t="s">
        <v>4229</v>
      </c>
      <c r="B8824" s="71"/>
      <c r="C8824" s="71"/>
      <c r="D8824" s="72"/>
      <c r="E8824" s="68"/>
      <c r="F8824" s="69">
        <v>0</v>
      </c>
      <c r="G8824" s="70" t="e">
        <f>F8824*H8787</f>
        <v>#VALUE!</v>
      </c>
      <c r="H8824" s="193"/>
    </row>
    <row r="8825" spans="1:10">
      <c r="A8825" s="205" t="s">
        <v>4</v>
      </c>
      <c r="B8825" s="71"/>
      <c r="C8825" s="71"/>
      <c r="D8825" s="72"/>
      <c r="E8825" s="68"/>
      <c r="F8825" s="69">
        <v>0</v>
      </c>
      <c r="G8825" s="70" t="e">
        <f>F8825*H8787</f>
        <v>#VALUE!</v>
      </c>
      <c r="H8825" s="193"/>
    </row>
    <row r="8826" spans="1:10">
      <c r="A8826" s="206"/>
      <c r="B8826" s="73"/>
      <c r="C8826" s="65"/>
      <c r="D8826" s="74"/>
      <c r="E8826" s="75"/>
      <c r="F8826" s="76"/>
      <c r="G8826" s="77"/>
      <c r="H8826" s="195"/>
    </row>
    <row r="8827" spans="1:10">
      <c r="A8827" s="207"/>
      <c r="B8827" s="73"/>
      <c r="C8827" s="73"/>
      <c r="D8827" s="74"/>
      <c r="E8827" s="78"/>
      <c r="F8827" s="515" t="s">
        <v>4230</v>
      </c>
      <c r="G8827" s="516"/>
      <c r="H8827" s="214" t="e">
        <f>H8787+G8823+G8824+G8825</f>
        <v>#VALUE!</v>
      </c>
    </row>
    <row r="8829" spans="1:10">
      <c r="A8829" s="80"/>
      <c r="B8829" s="80"/>
      <c r="C8829" s="80"/>
      <c r="D8829" s="80"/>
      <c r="E8829" s="80"/>
      <c r="F8829" s="80"/>
      <c r="G8829" s="80"/>
      <c r="H8829" s="353"/>
    </row>
    <row r="8830" spans="1:10">
      <c r="A8830" s="537" t="s">
        <v>4214</v>
      </c>
      <c r="B8830" s="538"/>
      <c r="C8830" s="538"/>
      <c r="D8830" s="538"/>
      <c r="E8830" s="538"/>
      <c r="F8830" s="538"/>
      <c r="G8830" s="538"/>
      <c r="H8830" s="539"/>
    </row>
    <row r="8831" spans="1:10">
      <c r="A8831" s="81"/>
      <c r="B8831" s="82"/>
      <c r="C8831" s="82"/>
      <c r="D8831" s="82"/>
      <c r="E8831" s="82"/>
      <c r="F8831" s="83"/>
      <c r="G8831" s="84"/>
      <c r="H8831" s="352">
        <f>ROUND((480/60)/8,4)</f>
        <v>1</v>
      </c>
      <c r="I8831" s="105"/>
    </row>
    <row r="8832" spans="1:10">
      <c r="A8832" s="540" t="s">
        <v>4209</v>
      </c>
      <c r="B8832" s="542" t="str">
        <f>COSTOS!$C$14</f>
        <v>MODERNIZACION A TECNOLOGIA LED</v>
      </c>
      <c r="C8832" s="542"/>
      <c r="D8832" s="542"/>
      <c r="E8832" s="542"/>
      <c r="F8832" s="542"/>
      <c r="G8832" s="542"/>
      <c r="H8832" s="543" t="s">
        <v>4210</v>
      </c>
    </row>
    <row r="8833" spans="1:15">
      <c r="A8833" s="541"/>
      <c r="B8833" s="542"/>
      <c r="C8833" s="542"/>
      <c r="D8833" s="542"/>
      <c r="E8833" s="542"/>
      <c r="F8833" s="542"/>
      <c r="G8833" s="542"/>
      <c r="H8833" s="543"/>
    </row>
    <row r="8834" spans="1:15">
      <c r="A8834" s="541"/>
      <c r="B8834" s="542"/>
      <c r="C8834" s="542"/>
      <c r="D8834" s="542"/>
      <c r="E8834" s="542"/>
      <c r="F8834" s="542"/>
      <c r="G8834" s="542"/>
      <c r="H8834" s="543"/>
    </row>
    <row r="8835" spans="1:15" ht="15" customHeight="1">
      <c r="A8835" s="541"/>
      <c r="B8835" s="542"/>
      <c r="C8835" s="542"/>
      <c r="D8835" s="542"/>
      <c r="E8835" s="542"/>
      <c r="F8835" s="542"/>
      <c r="G8835" s="542"/>
      <c r="H8835" s="197">
        <f ca="1">TODAY()</f>
        <v>44889</v>
      </c>
      <c r="K8835" t="s">
        <v>4380</v>
      </c>
      <c r="L8835" t="s">
        <v>4381</v>
      </c>
      <c r="M8835" t="s">
        <v>4382</v>
      </c>
      <c r="N8835" t="s">
        <v>4383</v>
      </c>
    </row>
    <row r="8836" spans="1:15" ht="60.75" customHeight="1">
      <c r="A8836" s="209" t="s">
        <v>4211</v>
      </c>
      <c r="B8836" s="544" t="str">
        <f>COSTOS!$D$16</f>
        <v>Luminarias</v>
      </c>
      <c r="C8836" s="544"/>
      <c r="D8836" s="544"/>
      <c r="E8836" s="544"/>
      <c r="F8836" s="544"/>
      <c r="G8836" s="60" t="s">
        <v>4212</v>
      </c>
      <c r="H8836" s="359">
        <v>6.2</v>
      </c>
      <c r="K8836" s="55" t="e">
        <f>H8862</f>
        <v>#VALUE!</v>
      </c>
      <c r="L8836" s="55">
        <f>H8872</f>
        <v>440856</v>
      </c>
      <c r="M8836" s="55" t="e">
        <f>H8845</f>
        <v>#VALUE!</v>
      </c>
      <c r="N8836" s="55" t="e">
        <f>H8866</f>
        <v>#VALUE!</v>
      </c>
    </row>
    <row r="8837" spans="1:15" ht="43.2" customHeight="1">
      <c r="A8837" s="210" t="s">
        <v>4213</v>
      </c>
      <c r="B8837" s="545" t="str">
        <f>VLOOKUP(H8836,COSTOS!C:M,2,0)</f>
        <v>Instalación y montaje de gabinete de control y medida (alimentador a red bt existente). La instalacion del gabinete es empotrada en fachada existente (ver plano)</v>
      </c>
      <c r="C8837" s="546"/>
      <c r="D8837" s="546"/>
      <c r="E8837" s="547"/>
      <c r="F8837" s="61" t="s">
        <v>0</v>
      </c>
      <c r="G8837" s="328" t="str">
        <f>VLOOKUP(H8836,COSTOS!C:M,8,0)</f>
        <v>Und</v>
      </c>
      <c r="H8837" s="248"/>
      <c r="I8837" s="278"/>
      <c r="J8837" s="280"/>
      <c r="K8837" s="280"/>
      <c r="L8837" s="280"/>
    </row>
    <row r="8838" spans="1:15">
      <c r="A8838" s="211"/>
      <c r="B8838" s="102"/>
      <c r="C8838" s="102"/>
      <c r="D8838" s="102"/>
      <c r="E8838" s="103"/>
      <c r="F8838" s="104" t="s">
        <v>1</v>
      </c>
      <c r="G8838" s="328">
        <f>VLOOKUP(H8836,COSTOS!C:M,9,0)</f>
        <v>0</v>
      </c>
      <c r="H8838" s="329"/>
      <c r="I8838" s="279"/>
    </row>
    <row r="8839" spans="1:15">
      <c r="A8839" s="212" t="s">
        <v>4215</v>
      </c>
      <c r="B8839" s="65"/>
      <c r="C8839" s="65"/>
      <c r="D8839" s="66"/>
      <c r="E8839" s="190"/>
      <c r="F8839" s="191"/>
      <c r="G8839" s="192" t="s">
        <v>4216</v>
      </c>
      <c r="H8839" s="198" t="e">
        <f>H8845+H8862+H8866+H8872</f>
        <v>#VALUE!</v>
      </c>
    </row>
    <row r="8840" spans="1:15" ht="41.4">
      <c r="A8840" s="548" t="s">
        <v>4213</v>
      </c>
      <c r="B8840" s="548"/>
      <c r="C8840" s="548"/>
      <c r="D8840" s="67" t="s">
        <v>0</v>
      </c>
      <c r="E8840" s="188" t="s">
        <v>4217</v>
      </c>
      <c r="F8840" s="189" t="s">
        <v>4204</v>
      </c>
      <c r="G8840" s="64" t="s">
        <v>2</v>
      </c>
      <c r="H8840" s="199" t="s">
        <v>4218</v>
      </c>
      <c r="K8840" s="281"/>
    </row>
    <row r="8841" spans="1:15">
      <c r="A8841" s="517" t="s">
        <v>3946</v>
      </c>
      <c r="B8841" s="549">
        <f>VLOOKUP(A8841,'Equip, Herr y Transp'!$B$2:$E$738,2,0)</f>
        <v>2</v>
      </c>
      <c r="C8841" s="549"/>
      <c r="D8841" s="85">
        <f>VLOOKUP(A8841,'Equip, Herr y Transp'!$B$2:$E$217,2,0)</f>
        <v>2</v>
      </c>
      <c r="E8841" s="85" t="str">
        <f>VLOOKUP(A8841,'Equip, Herr y Transp'!$B$2:$E$217,3,0)</f>
        <v>EQU</v>
      </c>
      <c r="F8841" s="86">
        <f>H8831</f>
        <v>1</v>
      </c>
      <c r="G8841" s="112" t="e">
        <f>F8841*E8841</f>
        <v>#VALUE!</v>
      </c>
      <c r="H8841" s="108"/>
    </row>
    <row r="8842" spans="1:15">
      <c r="A8842" s="517" t="s">
        <v>3909</v>
      </c>
      <c r="B8842" s="549">
        <f>VLOOKUP(A8842,'Equip, Herr y Transp'!$B$2:$E$738,2,0)</f>
        <v>1</v>
      </c>
      <c r="C8842" s="549"/>
      <c r="D8842" s="85">
        <f>VLOOKUP(A8842,'Equip, Herr y Transp'!$B$2:$E$217,2,0)</f>
        <v>1</v>
      </c>
      <c r="E8842" s="85" t="str">
        <f>VLOOKUP(A8842,'Equip, Herr y Transp'!$B$2:$E$217,3,0)</f>
        <v>ELEC</v>
      </c>
      <c r="F8842" s="86">
        <f>H8831</f>
        <v>1</v>
      </c>
      <c r="G8842" s="112" t="e">
        <f>F8842*E8842</f>
        <v>#VALUE!</v>
      </c>
      <c r="H8842" s="107"/>
    </row>
    <row r="8843" spans="1:15">
      <c r="A8843" s="517" t="s">
        <v>8</v>
      </c>
      <c r="B8843" s="549" t="e">
        <f>VLOOKUP(A8843,'Equip, Herr y Transp'!$B$2:$E$738,2,0)</f>
        <v>#N/A</v>
      </c>
      <c r="C8843" s="549"/>
      <c r="D8843" s="85" t="e">
        <f>VLOOKUP(A8843,'Equip, Herr y Transp'!$B$2:$E$217,2,0)</f>
        <v>#N/A</v>
      </c>
      <c r="E8843" s="85" t="e">
        <f>VLOOKUP(A8843,'Equip, Herr y Transp'!$B$2:$E$217,3,0)</f>
        <v>#N/A</v>
      </c>
      <c r="F8843" s="86">
        <f>H8831</f>
        <v>1</v>
      </c>
      <c r="G8843" s="112" t="e">
        <f>F8843*E8843</f>
        <v>#N/A</v>
      </c>
      <c r="H8843" s="107"/>
    </row>
    <row r="8844" spans="1:15">
      <c r="A8844" s="517" t="s">
        <v>8</v>
      </c>
      <c r="B8844" s="549" t="e">
        <f>VLOOKUP(A8844,'Equip, Herr y Transp'!$B$2:$E$738,2,0)</f>
        <v>#N/A</v>
      </c>
      <c r="C8844" s="549"/>
      <c r="D8844" s="85" t="e">
        <f>VLOOKUP(A8844,'Equip, Herr y Transp'!$B$2:$E$217,2,0)</f>
        <v>#N/A</v>
      </c>
      <c r="E8844" s="85" t="e">
        <f>VLOOKUP(A8844,'Equip, Herr y Transp'!$B$2:$E$217,3,0)</f>
        <v>#N/A</v>
      </c>
      <c r="F8844" s="86">
        <f>H8831</f>
        <v>1</v>
      </c>
      <c r="G8844" s="112" t="e">
        <f>F8844*E8844</f>
        <v>#N/A</v>
      </c>
      <c r="H8844" s="107"/>
    </row>
    <row r="8845" spans="1:15">
      <c r="A8845" s="520" t="s">
        <v>4099</v>
      </c>
      <c r="B8845" s="521"/>
      <c r="C8845" s="521"/>
      <c r="D8845" s="521"/>
      <c r="E8845" s="521"/>
      <c r="F8845" s="521"/>
      <c r="G8845" s="521"/>
      <c r="H8845" s="87" t="e">
        <f>SUM(G8841:G8844)</f>
        <v>#VALUE!</v>
      </c>
    </row>
    <row r="8846" spans="1:15">
      <c r="A8846" s="550" t="s">
        <v>4219</v>
      </c>
      <c r="B8846" s="551"/>
      <c r="C8846" s="551"/>
      <c r="D8846" s="551"/>
      <c r="E8846" s="551"/>
      <c r="F8846" s="551"/>
      <c r="G8846" s="551"/>
      <c r="H8846" s="552"/>
      <c r="K8846" s="50"/>
      <c r="L8846" s="50"/>
      <c r="M8846" s="50"/>
      <c r="N8846" s="50"/>
      <c r="O8846" s="50"/>
    </row>
    <row r="8847" spans="1:15" ht="30" customHeight="1">
      <c r="A8847" s="553" t="s">
        <v>7</v>
      </c>
      <c r="B8847" s="554"/>
      <c r="C8847" s="99" t="s">
        <v>0</v>
      </c>
      <c r="D8847" s="100" t="s">
        <v>4097</v>
      </c>
      <c r="E8847" s="101" t="s">
        <v>1</v>
      </c>
      <c r="F8847" s="555" t="s">
        <v>4207</v>
      </c>
      <c r="G8847" s="555"/>
      <c r="H8847" s="196"/>
      <c r="K8847" s="50"/>
      <c r="L8847" s="50"/>
      <c r="M8847" s="50"/>
      <c r="N8847" s="50"/>
      <c r="O8847" s="50"/>
    </row>
    <row r="8848" spans="1:15">
      <c r="A8848" s="535" t="s">
        <v>4650</v>
      </c>
      <c r="B8848" s="536"/>
      <c r="C8848" s="88">
        <f>VLOOKUP(A8848,'Materiales '!$C$2:$G$396,3,0)</f>
        <v>4</v>
      </c>
      <c r="D8848" s="89" t="str">
        <f>VLOOKUP(A8848,'Materiales '!$C$2:$G$396,4,0)</f>
        <v>Und</v>
      </c>
      <c r="E8848" s="90">
        <v>1</v>
      </c>
      <c r="F8848" s="508" t="e">
        <f>E8848*D8848</f>
        <v>#VALUE!</v>
      </c>
      <c r="G8848" s="519"/>
      <c r="H8848" s="111"/>
      <c r="I8848">
        <f>E8848*G8838</f>
        <v>0</v>
      </c>
      <c r="J8848" s="57"/>
      <c r="K8848" s="50"/>
      <c r="L8848" s="50"/>
      <c r="M8848" s="50"/>
      <c r="N8848" s="50"/>
      <c r="O8848" s="50"/>
    </row>
    <row r="8849" spans="1:15">
      <c r="A8849" s="535" t="s">
        <v>4628</v>
      </c>
      <c r="B8849" s="536"/>
      <c r="C8849" s="88">
        <f>VLOOKUP(A8849,'Materiales '!$C$2:$G$396,3,0)</f>
        <v>4</v>
      </c>
      <c r="D8849" s="89" t="str">
        <f>VLOOKUP(A8849,'Materiales '!$C$2:$G$396,4,0)</f>
        <v>Und</v>
      </c>
      <c r="E8849" s="90">
        <v>1</v>
      </c>
      <c r="F8849" s="508" t="e">
        <f t="shared" ref="F8849:F8855" si="513">E8849*D8849</f>
        <v>#VALUE!</v>
      </c>
      <c r="G8849" s="519"/>
      <c r="H8849" s="111"/>
      <c r="I8849">
        <f>E8849*G8838</f>
        <v>0</v>
      </c>
      <c r="J8849" s="57"/>
      <c r="K8849" s="50"/>
      <c r="L8849" s="50"/>
      <c r="M8849" s="50"/>
      <c r="N8849" s="50"/>
      <c r="O8849" s="50"/>
    </row>
    <row r="8850" spans="1:15">
      <c r="A8850" s="517" t="s">
        <v>4651</v>
      </c>
      <c r="B8850" s="518">
        <f>VLOOKUP(A8850,'Materiales '!$C$2:$G$396,3,0)</f>
        <v>4</v>
      </c>
      <c r="C8850" s="88">
        <f>VLOOKUP(A8850,'Materiales '!$C$2:$G$396,3,0)</f>
        <v>4</v>
      </c>
      <c r="D8850" s="89" t="str">
        <f>VLOOKUP(A8850,'Materiales '!$C$2:$G$396,4,0)</f>
        <v>Und</v>
      </c>
      <c r="E8850" s="90">
        <v>1</v>
      </c>
      <c r="F8850" s="508" t="e">
        <f t="shared" si="513"/>
        <v>#VALUE!</v>
      </c>
      <c r="G8850" s="519"/>
      <c r="H8850" s="111"/>
      <c r="I8850">
        <f>E8850*G8838</f>
        <v>0</v>
      </c>
      <c r="J8850" s="58"/>
      <c r="K8850" s="50"/>
      <c r="L8850" s="50"/>
      <c r="M8850" s="50"/>
      <c r="N8850" s="50"/>
      <c r="O8850" s="50"/>
    </row>
    <row r="8851" spans="1:15">
      <c r="A8851" s="517" t="s">
        <v>4652</v>
      </c>
      <c r="B8851" s="518">
        <f>VLOOKUP(A8851,'Materiales '!$C$2:$G$396,3,0)</f>
        <v>4</v>
      </c>
      <c r="C8851" s="88">
        <f>VLOOKUP(A8851,'Materiales '!$C$2:$G$396,3,0)</f>
        <v>4</v>
      </c>
      <c r="D8851" s="89" t="str">
        <f>VLOOKUP(A8851,'Materiales '!$C$2:$G$396,4,0)</f>
        <v>Und</v>
      </c>
      <c r="E8851" s="90">
        <v>1</v>
      </c>
      <c r="F8851" s="508" t="e">
        <f t="shared" si="513"/>
        <v>#VALUE!</v>
      </c>
      <c r="G8851" s="519"/>
      <c r="H8851" s="111"/>
      <c r="I8851">
        <f>E8851*G8838</f>
        <v>0</v>
      </c>
      <c r="J8851" s="58"/>
      <c r="K8851" s="50"/>
      <c r="L8851" s="50"/>
      <c r="M8851" s="50"/>
      <c r="N8851" s="50"/>
      <c r="O8851" s="50"/>
    </row>
    <row r="8852" spans="1:15">
      <c r="A8852" s="517" t="s">
        <v>4653</v>
      </c>
      <c r="B8852" s="518">
        <f>VLOOKUP(A8852,'Materiales '!$C$2:$G$396,3,0)</f>
        <v>1</v>
      </c>
      <c r="C8852" s="88">
        <f>VLOOKUP(A8852,'Materiales '!$C$2:$G$396,3,0)</f>
        <v>1</v>
      </c>
      <c r="D8852" s="89" t="str">
        <f>VLOOKUP(A8852,'Materiales '!$C$2:$G$396,4,0)</f>
        <v>Glb</v>
      </c>
      <c r="E8852" s="90">
        <v>0.5</v>
      </c>
      <c r="F8852" s="508" t="e">
        <f t="shared" si="513"/>
        <v>#VALUE!</v>
      </c>
      <c r="G8852" s="519"/>
      <c r="H8852" s="111"/>
      <c r="I8852">
        <f>E8852*G8838</f>
        <v>0</v>
      </c>
      <c r="J8852" s="58"/>
      <c r="K8852" s="50"/>
      <c r="L8852" s="50"/>
      <c r="M8852" s="50"/>
      <c r="N8852" s="50"/>
      <c r="O8852" s="50"/>
    </row>
    <row r="8853" spans="1:15">
      <c r="A8853" s="517" t="s">
        <v>4654</v>
      </c>
      <c r="B8853" s="518">
        <f>VLOOKUP(A8853,'Materiales '!$C$2:$G$396,3,0)</f>
        <v>4</v>
      </c>
      <c r="C8853" s="88">
        <f>VLOOKUP(A8853,'Materiales '!$C$2:$G$396,3,0)</f>
        <v>4</v>
      </c>
      <c r="D8853" s="89" t="str">
        <f>VLOOKUP(A8853,'Materiales '!$C$2:$G$396,4,0)</f>
        <v>Und</v>
      </c>
      <c r="E8853" s="90">
        <v>1</v>
      </c>
      <c r="F8853" s="508" t="e">
        <f t="shared" si="513"/>
        <v>#VALUE!</v>
      </c>
      <c r="G8853" s="519"/>
      <c r="H8853" s="111"/>
      <c r="I8853">
        <f>E8853*G8838</f>
        <v>0</v>
      </c>
      <c r="J8853" s="58"/>
      <c r="K8853" s="50"/>
      <c r="L8853" s="50"/>
      <c r="M8853" s="50"/>
      <c r="N8853" s="50"/>
      <c r="O8853" s="50"/>
    </row>
    <row r="8854" spans="1:15">
      <c r="A8854" s="517" t="s">
        <v>4537</v>
      </c>
      <c r="B8854" s="518">
        <f>VLOOKUP(A8854,'Materiales '!$C$2:$G$396,3,0)</f>
        <v>4</v>
      </c>
      <c r="C8854" s="88">
        <f>VLOOKUP(A8854,'Materiales '!$C$2:$G$396,3,0)</f>
        <v>4</v>
      </c>
      <c r="D8854" s="89" t="str">
        <f>VLOOKUP(A8854,'Materiales '!$C$2:$G$396,4,0)</f>
        <v>Und</v>
      </c>
      <c r="E8854" s="90">
        <v>1</v>
      </c>
      <c r="F8854" s="508" t="e">
        <f t="shared" si="513"/>
        <v>#VALUE!</v>
      </c>
      <c r="G8854" s="519"/>
      <c r="H8854" s="111"/>
      <c r="I8854">
        <f>E8854*G8838</f>
        <v>0</v>
      </c>
      <c r="J8854" s="58"/>
      <c r="K8854" s="50"/>
      <c r="L8854" s="50"/>
      <c r="M8854" s="50"/>
      <c r="N8854" s="50"/>
      <c r="O8854" s="50"/>
    </row>
    <row r="8855" spans="1:15" ht="21.75" customHeight="1">
      <c r="A8855" s="517" t="s">
        <v>8</v>
      </c>
      <c r="B8855" s="518">
        <f>VLOOKUP(A8855,'Materiales '!$C$2:$G$396,3,0)</f>
        <v>0</v>
      </c>
      <c r="C8855" s="88">
        <f>VLOOKUP(A8855,'Materiales '!$C$2:$G$396,3,0)</f>
        <v>0</v>
      </c>
      <c r="D8855" s="89" t="str">
        <f>VLOOKUP(A8855,'Materiales '!$C$2:$G$396,4,0)</f>
        <v>-</v>
      </c>
      <c r="E8855" s="90"/>
      <c r="F8855" s="508" t="e">
        <f t="shared" si="513"/>
        <v>#VALUE!</v>
      </c>
      <c r="G8855" s="519"/>
      <c r="H8855" s="111"/>
      <c r="I8855">
        <f>E8855*G8838</f>
        <v>0</v>
      </c>
      <c r="J8855" s="58"/>
      <c r="K8855" s="50"/>
      <c r="L8855" s="50"/>
      <c r="M8855" s="50"/>
      <c r="N8855" s="50"/>
      <c r="O8855" s="50"/>
    </row>
    <row r="8856" spans="1:15">
      <c r="A8856" s="517" t="s">
        <v>8</v>
      </c>
      <c r="B8856" s="518">
        <f>VLOOKUP(A8856,'Materiales '!$C$2:$G$396,3,0)</f>
        <v>0</v>
      </c>
      <c r="C8856" s="88">
        <f>VLOOKUP(A8856,'Materiales '!$C$2:$G$396,3,0)</f>
        <v>0</v>
      </c>
      <c r="D8856" s="89" t="str">
        <f>VLOOKUP(A8856,'Materiales '!$C$2:$G$396,4,0)</f>
        <v>-</v>
      </c>
      <c r="E8856" s="90"/>
      <c r="F8856" s="508" t="e">
        <f>E8856*D8856</f>
        <v>#VALUE!</v>
      </c>
      <c r="G8856" s="519"/>
      <c r="H8856" s="110"/>
      <c r="I8856">
        <f>E8856*G8838</f>
        <v>0</v>
      </c>
      <c r="J8856" s="58"/>
      <c r="K8856" s="50"/>
      <c r="L8856" s="50"/>
      <c r="M8856" s="50"/>
      <c r="N8856" s="50"/>
      <c r="O8856" s="50"/>
    </row>
    <row r="8857" spans="1:15">
      <c r="A8857" s="517" t="s">
        <v>8</v>
      </c>
      <c r="B8857" s="518">
        <f>VLOOKUP(A8857,'Materiales '!$C$2:$G$396,3,0)</f>
        <v>0</v>
      </c>
      <c r="C8857" s="88">
        <f>VLOOKUP(A8857,'Materiales '!$C$2:$G$396,3,0)</f>
        <v>0</v>
      </c>
      <c r="D8857" s="89" t="str">
        <f>VLOOKUP(A8857,'Materiales '!$C$2:$G$396,4,0)</f>
        <v>-</v>
      </c>
      <c r="E8857" s="90"/>
      <c r="F8857" s="508" t="e">
        <f t="shared" ref="F8857:F8860" si="514">E8857*D8857</f>
        <v>#VALUE!</v>
      </c>
      <c r="G8857" s="519"/>
      <c r="H8857" s="111"/>
      <c r="I8857">
        <f>E8857*G8838</f>
        <v>0</v>
      </c>
      <c r="J8857" s="58"/>
      <c r="K8857" s="50"/>
      <c r="L8857" s="50"/>
      <c r="M8857" s="50"/>
      <c r="N8857" s="50"/>
      <c r="O8857" s="50"/>
    </row>
    <row r="8858" spans="1:15">
      <c r="A8858" s="517" t="s">
        <v>8</v>
      </c>
      <c r="B8858" s="518">
        <f>VLOOKUP(A8858,'Materiales '!$C$2:$G$396,3,0)</f>
        <v>0</v>
      </c>
      <c r="C8858" s="88">
        <f>VLOOKUP(A8858,'Materiales '!$C$2:$G$396,3,0)</f>
        <v>0</v>
      </c>
      <c r="D8858" s="89" t="str">
        <f>VLOOKUP(A8858,'Materiales '!$C$2:$G$396,4,0)</f>
        <v>-</v>
      </c>
      <c r="E8858" s="90"/>
      <c r="F8858" s="508" t="e">
        <f t="shared" si="514"/>
        <v>#VALUE!</v>
      </c>
      <c r="G8858" s="519"/>
      <c r="H8858" s="111"/>
      <c r="I8858">
        <f>E8858*G8838</f>
        <v>0</v>
      </c>
      <c r="J8858" s="58"/>
      <c r="K8858" s="50"/>
      <c r="L8858" s="50"/>
      <c r="M8858" s="50"/>
      <c r="N8858" s="50"/>
      <c r="O8858" s="50"/>
    </row>
    <row r="8859" spans="1:15">
      <c r="A8859" s="517" t="s">
        <v>8</v>
      </c>
      <c r="B8859" s="518">
        <f>VLOOKUP(A8859,'Materiales '!$C$2:$G$396,3,0)</f>
        <v>0</v>
      </c>
      <c r="C8859" s="88">
        <f>VLOOKUP(A8859,'Materiales '!$C$2:$G$396,3,0)</f>
        <v>0</v>
      </c>
      <c r="D8859" s="89" t="str">
        <f>VLOOKUP(A8859,'Materiales '!$C$2:$G$396,4,0)</f>
        <v>-</v>
      </c>
      <c r="E8859" s="90"/>
      <c r="F8859" s="508" t="e">
        <f t="shared" si="514"/>
        <v>#VALUE!</v>
      </c>
      <c r="G8859" s="519"/>
      <c r="H8859" s="111"/>
      <c r="I8859">
        <f>E8859*G8838</f>
        <v>0</v>
      </c>
      <c r="J8859" s="58"/>
      <c r="K8859" s="50"/>
      <c r="L8859" s="50"/>
      <c r="M8859" s="50"/>
      <c r="N8859" s="50"/>
      <c r="O8859" s="50"/>
    </row>
    <row r="8860" spans="1:15">
      <c r="A8860" s="517" t="s">
        <v>8</v>
      </c>
      <c r="B8860" s="518">
        <f>VLOOKUP(A8860,'Materiales '!$C$2:$G$396,3,0)</f>
        <v>0</v>
      </c>
      <c r="C8860" s="88">
        <f>VLOOKUP(A8860,'Materiales '!$C$2:$G$396,3,0)</f>
        <v>0</v>
      </c>
      <c r="D8860" s="89" t="str">
        <f>VLOOKUP(A8860,'Materiales '!$C$2:$G$396,4,0)</f>
        <v>-</v>
      </c>
      <c r="E8860" s="90"/>
      <c r="F8860" s="508" t="e">
        <f t="shared" si="514"/>
        <v>#VALUE!</v>
      </c>
      <c r="G8860" s="519"/>
      <c r="H8860" s="111"/>
      <c r="I8860">
        <f>E8860*G8838</f>
        <v>0</v>
      </c>
      <c r="J8860" s="58"/>
      <c r="K8860" s="50"/>
      <c r="L8860" s="50"/>
      <c r="M8860" s="50"/>
      <c r="N8860" s="50"/>
      <c r="O8860" s="50"/>
    </row>
    <row r="8861" spans="1:15">
      <c r="A8861" s="517" t="s">
        <v>8</v>
      </c>
      <c r="B8861" s="518">
        <f>VLOOKUP(A8861,'Materiales '!$C$2:$G$396,3,0)</f>
        <v>0</v>
      </c>
      <c r="C8861" s="88">
        <f>VLOOKUP(A8861,'Materiales '!$C$2:$G$396,3,0)</f>
        <v>0</v>
      </c>
      <c r="D8861" s="89" t="str">
        <f>VLOOKUP(A8861,'Materiales '!$C$2:$G$396,4,0)</f>
        <v>-</v>
      </c>
      <c r="E8861" s="90"/>
      <c r="F8861" s="508" t="e">
        <f>E8861*D8861</f>
        <v>#VALUE!</v>
      </c>
      <c r="G8861" s="519"/>
      <c r="H8861" s="110"/>
      <c r="I8861">
        <f>E8861*G8838</f>
        <v>0</v>
      </c>
      <c r="J8861" s="58"/>
      <c r="K8861" s="50"/>
      <c r="L8861" s="50"/>
      <c r="M8861" s="50"/>
      <c r="N8861" s="50"/>
      <c r="O8861" s="50"/>
    </row>
    <row r="8862" spans="1:15">
      <c r="A8862" s="520" t="s">
        <v>4098</v>
      </c>
      <c r="B8862" s="521"/>
      <c r="C8862" s="521"/>
      <c r="D8862" s="521"/>
      <c r="E8862" s="521"/>
      <c r="F8862" s="521"/>
      <c r="G8862" s="522"/>
      <c r="H8862" s="106" t="e">
        <f>SUM(F8848:F8861)</f>
        <v>#VALUE!</v>
      </c>
      <c r="J8862" s="58"/>
      <c r="K8862" s="50"/>
      <c r="L8862" s="50"/>
      <c r="M8862" s="50"/>
      <c r="N8862" s="50"/>
      <c r="O8862" s="50"/>
    </row>
    <row r="8863" spans="1:15">
      <c r="A8863" s="523" t="s">
        <v>4220</v>
      </c>
      <c r="B8863" s="524"/>
      <c r="C8863" s="524"/>
      <c r="D8863" s="524"/>
      <c r="E8863" s="525"/>
      <c r="F8863" s="524"/>
      <c r="G8863" s="524"/>
      <c r="H8863" s="526"/>
      <c r="J8863" s="58"/>
      <c r="K8863" s="50"/>
      <c r="L8863" s="50"/>
      <c r="M8863" s="50"/>
      <c r="N8863" s="50"/>
      <c r="O8863" s="50"/>
    </row>
    <row r="8864" spans="1:15">
      <c r="A8864" s="527" t="s">
        <v>7</v>
      </c>
      <c r="B8864" s="528"/>
      <c r="C8864" s="98" t="s">
        <v>4221</v>
      </c>
      <c r="D8864" s="97" t="s">
        <v>4222</v>
      </c>
      <c r="E8864" s="187" t="s">
        <v>4223</v>
      </c>
      <c r="F8864" s="529" t="s">
        <v>4207</v>
      </c>
      <c r="G8864" s="529"/>
      <c r="H8864" s="109"/>
      <c r="K8864" s="50"/>
      <c r="L8864" s="50"/>
      <c r="M8864" s="50"/>
      <c r="N8864" s="50"/>
      <c r="O8864" s="50"/>
    </row>
    <row r="8865" spans="1:13">
      <c r="A8865" s="506" t="s">
        <v>3928</v>
      </c>
      <c r="B8865" s="507"/>
      <c r="C8865" s="213">
        <v>1</v>
      </c>
      <c r="D8865" s="92">
        <v>0.1</v>
      </c>
      <c r="E8865" s="93" t="str">
        <f>VLOOKUP(A8865,'Equip, Herr y Transp'!$B$2:$E$217,3,0)</f>
        <v>TR</v>
      </c>
      <c r="F8865" s="530" t="e">
        <f>E8865*D8865*C8865</f>
        <v>#VALUE!</v>
      </c>
      <c r="G8865" s="531"/>
      <c r="H8865" s="107"/>
      <c r="M8865" s="50"/>
    </row>
    <row r="8866" spans="1:13">
      <c r="A8866" s="532" t="s">
        <v>4205</v>
      </c>
      <c r="B8866" s="533"/>
      <c r="C8866" s="533"/>
      <c r="D8866" s="533"/>
      <c r="E8866" s="533"/>
      <c r="F8866" s="533"/>
      <c r="G8866" s="533"/>
      <c r="H8866" s="95" t="e">
        <f>F8865</f>
        <v>#VALUE!</v>
      </c>
    </row>
    <row r="8867" spans="1:13">
      <c r="A8867" s="523" t="s">
        <v>4224</v>
      </c>
      <c r="B8867" s="524"/>
      <c r="C8867" s="524"/>
      <c r="D8867" s="524"/>
      <c r="E8867" s="524"/>
      <c r="F8867" s="524"/>
      <c r="G8867" s="524"/>
      <c r="H8867" s="526"/>
    </row>
    <row r="8868" spans="1:13">
      <c r="A8868" s="527" t="s">
        <v>7</v>
      </c>
      <c r="B8868" s="528"/>
      <c r="C8868" s="96" t="s">
        <v>1</v>
      </c>
      <c r="D8868" s="97" t="s">
        <v>4225</v>
      </c>
      <c r="E8868" s="98" t="s">
        <v>4204</v>
      </c>
      <c r="F8868" s="527" t="s">
        <v>5</v>
      </c>
      <c r="G8868" s="534"/>
      <c r="H8868" s="109"/>
    </row>
    <row r="8869" spans="1:13">
      <c r="A8869" s="506" t="s">
        <v>4191</v>
      </c>
      <c r="B8869" s="507"/>
      <c r="C8869" s="91">
        <v>1</v>
      </c>
      <c r="D8869" s="94">
        <f>VLOOKUP(A8869,'Mano Obra'!$B$2:$T$117,19,0)</f>
        <v>152456</v>
      </c>
      <c r="E8869" s="218">
        <f>H8831</f>
        <v>1</v>
      </c>
      <c r="F8869" s="508">
        <f>E8869*D8869*C8869</f>
        <v>152456</v>
      </c>
      <c r="G8869" s="509"/>
      <c r="H8869" s="111"/>
      <c r="I8869" s="59"/>
      <c r="J8869" s="117">
        <f>((('Mano Obra'!$M$4/30)*F8869)/D8869)*G8838</f>
        <v>0</v>
      </c>
    </row>
    <row r="8870" spans="1:13">
      <c r="A8870" s="510" t="s">
        <v>4192</v>
      </c>
      <c r="B8870" s="511">
        <f>VLOOKUP(A8870,'Mano Obra'!$B$3:$D$290,2,0)</f>
        <v>1900000</v>
      </c>
      <c r="C8870" s="91">
        <v>2</v>
      </c>
      <c r="D8870" s="94">
        <f>VLOOKUP(A8870,'Mano Obra'!$B$2:$T$117,19,0)</f>
        <v>110488</v>
      </c>
      <c r="E8870" s="218">
        <f>H8831</f>
        <v>1</v>
      </c>
      <c r="F8870" s="508">
        <f t="shared" ref="F8870:F8871" si="515">E8870*D8870*C8870</f>
        <v>220976</v>
      </c>
      <c r="G8870" s="509"/>
      <c r="H8870" s="111"/>
      <c r="J8870" s="117">
        <f>((('Mano Obra'!$M$5/30)*F8870)/D8870)*G8838</f>
        <v>0</v>
      </c>
    </row>
    <row r="8871" spans="1:13">
      <c r="A8871" s="510" t="s">
        <v>4181</v>
      </c>
      <c r="B8871" s="511">
        <f>VLOOKUP(A8871,'Mano Obra'!$B$3:$D$290,2,0)</f>
        <v>1000000</v>
      </c>
      <c r="C8871" s="91">
        <v>1</v>
      </c>
      <c r="D8871" s="94">
        <f>VLOOKUP(A8871,'Mano Obra'!$B$2:$T$117,19,0)</f>
        <v>67424</v>
      </c>
      <c r="E8871" s="218">
        <f>H8831</f>
        <v>1</v>
      </c>
      <c r="F8871" s="508">
        <f t="shared" si="515"/>
        <v>67424</v>
      </c>
      <c r="G8871" s="509"/>
      <c r="H8871" s="110"/>
      <c r="J8871" s="117">
        <f>((('Mano Obra'!$M$6/30)*F8871)/D8871)*G8838</f>
        <v>0</v>
      </c>
    </row>
    <row r="8872" spans="1:13">
      <c r="A8872" s="512" t="s">
        <v>4100</v>
      </c>
      <c r="B8872" s="512"/>
      <c r="C8872" s="512"/>
      <c r="D8872" s="512"/>
      <c r="E8872" s="512"/>
      <c r="F8872" s="512"/>
      <c r="G8872" s="512"/>
      <c r="H8872" s="95">
        <f>SUM(F8869:F8871)</f>
        <v>440856</v>
      </c>
      <c r="J8872" s="117"/>
    </row>
    <row r="8873" spans="1:13">
      <c r="A8873" s="208" t="s">
        <v>4226</v>
      </c>
      <c r="B8873" s="186"/>
      <c r="C8873" s="186"/>
      <c r="D8873" s="183"/>
      <c r="E8873" s="184"/>
      <c r="F8873" s="185"/>
      <c r="G8873" s="184"/>
      <c r="H8873" s="193"/>
    </row>
    <row r="8874" spans="1:13">
      <c r="A8874" s="513" t="s">
        <v>4213</v>
      </c>
      <c r="B8874" s="514"/>
      <c r="C8874" s="514"/>
      <c r="D8874" s="514"/>
      <c r="E8874" s="181"/>
      <c r="F8874" s="182" t="s">
        <v>4227</v>
      </c>
      <c r="G8874" s="181" t="s">
        <v>4228</v>
      </c>
      <c r="H8874" s="194"/>
    </row>
    <row r="8875" spans="1:13">
      <c r="A8875" s="204" t="s">
        <v>4096</v>
      </c>
      <c r="B8875" s="62"/>
      <c r="C8875" s="62"/>
      <c r="D8875" s="63"/>
      <c r="E8875" s="68"/>
      <c r="F8875" s="69">
        <v>0</v>
      </c>
      <c r="G8875" s="70" t="e">
        <f>F8875*H8839</f>
        <v>#VALUE!</v>
      </c>
      <c r="H8875" s="193"/>
    </row>
    <row r="8876" spans="1:13">
      <c r="A8876" s="205" t="s">
        <v>4229</v>
      </c>
      <c r="B8876" s="71"/>
      <c r="C8876" s="71"/>
      <c r="D8876" s="72"/>
      <c r="E8876" s="68"/>
      <c r="F8876" s="69">
        <v>0</v>
      </c>
      <c r="G8876" s="70" t="e">
        <f>F8876*H8839</f>
        <v>#VALUE!</v>
      </c>
      <c r="H8876" s="193"/>
    </row>
    <row r="8877" spans="1:13">
      <c r="A8877" s="205" t="s">
        <v>4</v>
      </c>
      <c r="B8877" s="71"/>
      <c r="C8877" s="71"/>
      <c r="D8877" s="72"/>
      <c r="E8877" s="68"/>
      <c r="F8877" s="69">
        <v>0</v>
      </c>
      <c r="G8877" s="70" t="e">
        <f>F8877*H8839</f>
        <v>#VALUE!</v>
      </c>
      <c r="H8877" s="193"/>
    </row>
    <row r="8878" spans="1:13">
      <c r="A8878" s="206"/>
      <c r="B8878" s="73"/>
      <c r="C8878" s="65"/>
      <c r="D8878" s="74"/>
      <c r="E8878" s="75"/>
      <c r="F8878" s="76"/>
      <c r="G8878" s="77"/>
      <c r="H8878" s="195"/>
    </row>
    <row r="8879" spans="1:13">
      <c r="A8879" s="207"/>
      <c r="B8879" s="73"/>
      <c r="C8879" s="73"/>
      <c r="D8879" s="74"/>
      <c r="E8879" s="78"/>
      <c r="F8879" s="515" t="s">
        <v>4230</v>
      </c>
      <c r="G8879" s="516"/>
      <c r="H8879" s="214" t="e">
        <f>H8839+G8875+G8876+G8877</f>
        <v>#VALUE!</v>
      </c>
    </row>
    <row r="8881" spans="1:14">
      <c r="A8881" s="80"/>
      <c r="B8881" s="80"/>
      <c r="C8881" s="80"/>
      <c r="D8881" s="80"/>
      <c r="E8881" s="80"/>
      <c r="F8881" s="80"/>
      <c r="G8881" s="80"/>
      <c r="H8881" s="353"/>
    </row>
    <row r="8882" spans="1:14">
      <c r="A8882" s="537" t="s">
        <v>4214</v>
      </c>
      <c r="B8882" s="538"/>
      <c r="C8882" s="538"/>
      <c r="D8882" s="538"/>
      <c r="E8882" s="538"/>
      <c r="F8882" s="538"/>
      <c r="G8882" s="538"/>
      <c r="H8882" s="539"/>
    </row>
    <row r="8883" spans="1:14">
      <c r="A8883" s="81"/>
      <c r="B8883" s="82"/>
      <c r="C8883" s="82"/>
      <c r="D8883" s="82"/>
      <c r="E8883" s="82"/>
      <c r="F8883" s="83"/>
      <c r="G8883" s="84"/>
      <c r="H8883" s="352">
        <f>ROUND((480/60)/8,4)</f>
        <v>1</v>
      </c>
      <c r="I8883" s="105"/>
    </row>
    <row r="8884" spans="1:14">
      <c r="A8884" s="540" t="s">
        <v>4209</v>
      </c>
      <c r="B8884" s="542" t="str">
        <f>COSTOS!$C$14</f>
        <v>MODERNIZACION A TECNOLOGIA LED</v>
      </c>
      <c r="C8884" s="542"/>
      <c r="D8884" s="542"/>
      <c r="E8884" s="542"/>
      <c r="F8884" s="542"/>
      <c r="G8884" s="542"/>
      <c r="H8884" s="543" t="s">
        <v>4210</v>
      </c>
    </row>
    <row r="8885" spans="1:14">
      <c r="A8885" s="541"/>
      <c r="B8885" s="542"/>
      <c r="C8885" s="542"/>
      <c r="D8885" s="542"/>
      <c r="E8885" s="542"/>
      <c r="F8885" s="542"/>
      <c r="G8885" s="542"/>
      <c r="H8885" s="543"/>
    </row>
    <row r="8886" spans="1:14">
      <c r="A8886" s="541"/>
      <c r="B8886" s="542"/>
      <c r="C8886" s="542"/>
      <c r="D8886" s="542"/>
      <c r="E8886" s="542"/>
      <c r="F8886" s="542"/>
      <c r="G8886" s="542"/>
      <c r="H8886" s="543"/>
    </row>
    <row r="8887" spans="1:14" ht="15" customHeight="1">
      <c r="A8887" s="541"/>
      <c r="B8887" s="542"/>
      <c r="C8887" s="542"/>
      <c r="D8887" s="542"/>
      <c r="E8887" s="542"/>
      <c r="F8887" s="542"/>
      <c r="G8887" s="542"/>
      <c r="H8887" s="197">
        <f ca="1">TODAY()</f>
        <v>44889</v>
      </c>
      <c r="K8887" t="s">
        <v>4380</v>
      </c>
      <c r="L8887" t="s">
        <v>4381</v>
      </c>
      <c r="M8887" t="s">
        <v>4382</v>
      </c>
      <c r="N8887" t="s">
        <v>4383</v>
      </c>
    </row>
    <row r="8888" spans="1:14" ht="60.75" customHeight="1">
      <c r="A8888" s="209" t="s">
        <v>4211</v>
      </c>
      <c r="B8888" s="544" t="str">
        <f>COSTOS!$D$16</f>
        <v>Luminarias</v>
      </c>
      <c r="C8888" s="544"/>
      <c r="D8888" s="544"/>
      <c r="E8888" s="544"/>
      <c r="F8888" s="544"/>
      <c r="G8888" s="60" t="s">
        <v>4212</v>
      </c>
      <c r="H8888" s="359">
        <v>6.3</v>
      </c>
      <c r="K8888" s="55" t="e">
        <f>H8914</f>
        <v>#VALUE!</v>
      </c>
      <c r="L8888" s="55">
        <f>H8924</f>
        <v>440856</v>
      </c>
      <c r="M8888" s="55" t="e">
        <f>H8897</f>
        <v>#VALUE!</v>
      </c>
      <c r="N8888" s="55" t="e">
        <f>H8918</f>
        <v>#VALUE!</v>
      </c>
    </row>
    <row r="8889" spans="1:14" ht="43.2" customHeight="1">
      <c r="A8889" s="210" t="s">
        <v>4213</v>
      </c>
      <c r="B8889" s="545" t="str">
        <f>VLOOKUP(H8888,COSTOS!C:M,2,0)</f>
        <v>Gabinete en poste</v>
      </c>
      <c r="C8889" s="546"/>
      <c r="D8889" s="546"/>
      <c r="E8889" s="547"/>
      <c r="F8889" s="61" t="s">
        <v>0</v>
      </c>
      <c r="G8889" s="328" t="str">
        <f>VLOOKUP(H8888,COSTOS!C:M,8,0)</f>
        <v>Und</v>
      </c>
      <c r="H8889" s="248"/>
      <c r="I8889" s="278"/>
      <c r="J8889" s="280"/>
      <c r="K8889" s="280"/>
      <c r="L8889" s="280"/>
    </row>
    <row r="8890" spans="1:14">
      <c r="A8890" s="211"/>
      <c r="B8890" s="102"/>
      <c r="C8890" s="102"/>
      <c r="D8890" s="102"/>
      <c r="E8890" s="103"/>
      <c r="F8890" s="104" t="s">
        <v>1</v>
      </c>
      <c r="G8890" s="328">
        <f>VLOOKUP(H8888,COSTOS!C:M,9,0)</f>
        <v>0</v>
      </c>
      <c r="H8890" s="329"/>
      <c r="I8890" s="279"/>
    </row>
    <row r="8891" spans="1:14">
      <c r="A8891" s="212" t="s">
        <v>4215</v>
      </c>
      <c r="B8891" s="65"/>
      <c r="C8891" s="65"/>
      <c r="D8891" s="66"/>
      <c r="E8891" s="190"/>
      <c r="F8891" s="191"/>
      <c r="G8891" s="192" t="s">
        <v>4216</v>
      </c>
      <c r="H8891" s="198" t="e">
        <f>H8897+H8914+H8918+H8924</f>
        <v>#VALUE!</v>
      </c>
    </row>
    <row r="8892" spans="1:14" ht="41.4">
      <c r="A8892" s="548" t="s">
        <v>4213</v>
      </c>
      <c r="B8892" s="548"/>
      <c r="C8892" s="548"/>
      <c r="D8892" s="67" t="s">
        <v>0</v>
      </c>
      <c r="E8892" s="188" t="s">
        <v>4217</v>
      </c>
      <c r="F8892" s="189" t="s">
        <v>4204</v>
      </c>
      <c r="G8892" s="64" t="s">
        <v>2</v>
      </c>
      <c r="H8892" s="199" t="s">
        <v>4218</v>
      </c>
      <c r="K8892" s="281"/>
    </row>
    <row r="8893" spans="1:14">
      <c r="A8893" s="517" t="s">
        <v>3946</v>
      </c>
      <c r="B8893" s="549">
        <f>VLOOKUP(A8893,'Equip, Herr y Transp'!$B$2:$E$738,2,0)</f>
        <v>2</v>
      </c>
      <c r="C8893" s="549"/>
      <c r="D8893" s="85">
        <f>VLOOKUP(A8893,'Equip, Herr y Transp'!$B$2:$E$217,2,0)</f>
        <v>2</v>
      </c>
      <c r="E8893" s="85" t="str">
        <f>VLOOKUP(A8893,'Equip, Herr y Transp'!$B$2:$E$217,3,0)</f>
        <v>EQU</v>
      </c>
      <c r="F8893" s="86">
        <f>H8883</f>
        <v>1</v>
      </c>
      <c r="G8893" s="112" t="e">
        <f>F8893*E8893</f>
        <v>#VALUE!</v>
      </c>
      <c r="H8893" s="108"/>
    </row>
    <row r="8894" spans="1:14">
      <c r="A8894" s="517" t="s">
        <v>3909</v>
      </c>
      <c r="B8894" s="549">
        <f>VLOOKUP(A8894,'Equip, Herr y Transp'!$B$2:$E$738,2,0)</f>
        <v>1</v>
      </c>
      <c r="C8894" s="549"/>
      <c r="D8894" s="85">
        <f>VLOOKUP(A8894,'Equip, Herr y Transp'!$B$2:$E$217,2,0)</f>
        <v>1</v>
      </c>
      <c r="E8894" s="85" t="str">
        <f>VLOOKUP(A8894,'Equip, Herr y Transp'!$B$2:$E$217,3,0)</f>
        <v>ELEC</v>
      </c>
      <c r="F8894" s="86">
        <f>H8883</f>
        <v>1</v>
      </c>
      <c r="G8894" s="112" t="e">
        <f>F8894*E8894</f>
        <v>#VALUE!</v>
      </c>
      <c r="H8894" s="107"/>
    </row>
    <row r="8895" spans="1:14">
      <c r="A8895" s="517" t="s">
        <v>3904</v>
      </c>
      <c r="B8895" s="549">
        <f>VLOOKUP(A8895,'Equip, Herr y Transp'!$B$2:$E$738,2,0)</f>
        <v>2</v>
      </c>
      <c r="C8895" s="549"/>
      <c r="D8895" s="85">
        <f>VLOOKUP(A8895,'Equip, Herr y Transp'!$B$2:$E$217,2,0)</f>
        <v>2</v>
      </c>
      <c r="E8895" s="85" t="str">
        <f>VLOOKUP(A8895,'Equip, Herr y Transp'!$B$2:$E$217,3,0)</f>
        <v>EQU</v>
      </c>
      <c r="F8895" s="86">
        <f>H8883</f>
        <v>1</v>
      </c>
      <c r="G8895" s="112" t="e">
        <f>F8895*E8895</f>
        <v>#VALUE!</v>
      </c>
      <c r="H8895" s="107"/>
    </row>
    <row r="8896" spans="1:14">
      <c r="A8896" s="517" t="s">
        <v>8</v>
      </c>
      <c r="B8896" s="549" t="e">
        <f>VLOOKUP(A8896,'Equip, Herr y Transp'!$B$2:$E$738,2,0)</f>
        <v>#N/A</v>
      </c>
      <c r="C8896" s="549"/>
      <c r="D8896" s="85" t="e">
        <f>VLOOKUP(A8896,'Equip, Herr y Transp'!$B$2:$E$217,2,0)</f>
        <v>#N/A</v>
      </c>
      <c r="E8896" s="85" t="e">
        <f>VLOOKUP(A8896,'Equip, Herr y Transp'!$B$2:$E$217,3,0)</f>
        <v>#N/A</v>
      </c>
      <c r="F8896" s="86">
        <f>H8883</f>
        <v>1</v>
      </c>
      <c r="G8896" s="112" t="e">
        <f>F8896*E8896</f>
        <v>#N/A</v>
      </c>
      <c r="H8896" s="107"/>
    </row>
    <row r="8897" spans="1:15">
      <c r="A8897" s="520" t="s">
        <v>4099</v>
      </c>
      <c r="B8897" s="521"/>
      <c r="C8897" s="521"/>
      <c r="D8897" s="521"/>
      <c r="E8897" s="521"/>
      <c r="F8897" s="521"/>
      <c r="G8897" s="521"/>
      <c r="H8897" s="87" t="e">
        <f>SUM(G8893:G8896)</f>
        <v>#VALUE!</v>
      </c>
    </row>
    <row r="8898" spans="1:15">
      <c r="A8898" s="550" t="s">
        <v>4219</v>
      </c>
      <c r="B8898" s="551"/>
      <c r="C8898" s="551"/>
      <c r="D8898" s="551"/>
      <c r="E8898" s="551"/>
      <c r="F8898" s="551"/>
      <c r="G8898" s="551"/>
      <c r="H8898" s="552"/>
      <c r="K8898" s="50"/>
      <c r="L8898" s="50"/>
      <c r="M8898" s="50"/>
      <c r="N8898" s="50"/>
      <c r="O8898" s="50"/>
    </row>
    <row r="8899" spans="1:15" ht="30" customHeight="1">
      <c r="A8899" s="553" t="s">
        <v>7</v>
      </c>
      <c r="B8899" s="554"/>
      <c r="C8899" s="99" t="s">
        <v>0</v>
      </c>
      <c r="D8899" s="100" t="s">
        <v>4097</v>
      </c>
      <c r="E8899" s="101" t="s">
        <v>1</v>
      </c>
      <c r="F8899" s="555" t="s">
        <v>4207</v>
      </c>
      <c r="G8899" s="555"/>
      <c r="H8899" s="196"/>
      <c r="K8899" s="50"/>
      <c r="L8899" s="50"/>
      <c r="M8899" s="50"/>
      <c r="N8899" s="50"/>
      <c r="O8899" s="50"/>
    </row>
    <row r="8900" spans="1:15">
      <c r="A8900" s="535" t="s">
        <v>4650</v>
      </c>
      <c r="B8900" s="536"/>
      <c r="C8900" s="88">
        <f>VLOOKUP(A8900,'Materiales '!$C$2:$G$396,3,0)</f>
        <v>4</v>
      </c>
      <c r="D8900" s="89" t="str">
        <f>VLOOKUP(A8900,'Materiales '!$C$2:$G$396,4,0)</f>
        <v>Und</v>
      </c>
      <c r="E8900" s="90">
        <v>1</v>
      </c>
      <c r="F8900" s="508" t="e">
        <f>E8900*D8900</f>
        <v>#VALUE!</v>
      </c>
      <c r="G8900" s="519"/>
      <c r="H8900" s="111"/>
      <c r="I8900">
        <f>E8900*G8890</f>
        <v>0</v>
      </c>
      <c r="J8900" s="57"/>
      <c r="K8900" s="50"/>
      <c r="L8900" s="50"/>
      <c r="M8900" s="50"/>
      <c r="N8900" s="50"/>
      <c r="O8900" s="50"/>
    </row>
    <row r="8901" spans="1:15">
      <c r="A8901" s="535" t="s">
        <v>4628</v>
      </c>
      <c r="B8901" s="536"/>
      <c r="C8901" s="88">
        <f>VLOOKUP(A8901,'Materiales '!$C$2:$G$396,3,0)</f>
        <v>4</v>
      </c>
      <c r="D8901" s="89" t="str">
        <f>VLOOKUP(A8901,'Materiales '!$C$2:$G$396,4,0)</f>
        <v>Und</v>
      </c>
      <c r="E8901" s="90">
        <v>1</v>
      </c>
      <c r="F8901" s="508" t="e">
        <f t="shared" ref="F8901:F8907" si="516">E8901*D8901</f>
        <v>#VALUE!</v>
      </c>
      <c r="G8901" s="519"/>
      <c r="H8901" s="111"/>
      <c r="I8901">
        <f>E8901*G8890</f>
        <v>0</v>
      </c>
      <c r="J8901" s="57"/>
      <c r="K8901" s="50"/>
      <c r="L8901" s="50"/>
      <c r="M8901" s="50"/>
      <c r="N8901" s="50"/>
      <c r="O8901" s="50"/>
    </row>
    <row r="8902" spans="1:15">
      <c r="A8902" s="517" t="s">
        <v>4651</v>
      </c>
      <c r="B8902" s="518">
        <f>VLOOKUP(A8902,'Materiales '!$C$2:$G$396,3,0)</f>
        <v>4</v>
      </c>
      <c r="C8902" s="88">
        <f>VLOOKUP(A8902,'Materiales '!$C$2:$G$396,3,0)</f>
        <v>4</v>
      </c>
      <c r="D8902" s="89" t="str">
        <f>VLOOKUP(A8902,'Materiales '!$C$2:$G$396,4,0)</f>
        <v>Und</v>
      </c>
      <c r="E8902" s="90">
        <v>1</v>
      </c>
      <c r="F8902" s="508" t="e">
        <f t="shared" si="516"/>
        <v>#VALUE!</v>
      </c>
      <c r="G8902" s="519"/>
      <c r="H8902" s="111"/>
      <c r="I8902">
        <f>E8902*G8890</f>
        <v>0</v>
      </c>
      <c r="J8902" s="58"/>
      <c r="K8902" s="50"/>
      <c r="L8902" s="50"/>
      <c r="M8902" s="50"/>
      <c r="N8902" s="50"/>
      <c r="O8902" s="50"/>
    </row>
    <row r="8903" spans="1:15">
      <c r="A8903" s="517" t="s">
        <v>4652</v>
      </c>
      <c r="B8903" s="518">
        <f>VLOOKUP(A8903,'Materiales '!$C$2:$G$396,3,0)</f>
        <v>4</v>
      </c>
      <c r="C8903" s="88">
        <f>VLOOKUP(A8903,'Materiales '!$C$2:$G$396,3,0)</f>
        <v>4</v>
      </c>
      <c r="D8903" s="89" t="str">
        <f>VLOOKUP(A8903,'Materiales '!$C$2:$G$396,4,0)</f>
        <v>Und</v>
      </c>
      <c r="E8903" s="90">
        <v>1</v>
      </c>
      <c r="F8903" s="508" t="e">
        <f t="shared" si="516"/>
        <v>#VALUE!</v>
      </c>
      <c r="G8903" s="519"/>
      <c r="H8903" s="111"/>
      <c r="I8903">
        <f>E8903*G8890</f>
        <v>0</v>
      </c>
      <c r="J8903" s="58"/>
      <c r="K8903" s="50"/>
      <c r="L8903" s="50"/>
      <c r="M8903" s="50"/>
      <c r="N8903" s="50"/>
      <c r="O8903" s="50"/>
    </row>
    <row r="8904" spans="1:15">
      <c r="A8904" s="517" t="s">
        <v>4653</v>
      </c>
      <c r="B8904" s="518">
        <f>VLOOKUP(A8904,'Materiales '!$C$2:$G$396,3,0)</f>
        <v>1</v>
      </c>
      <c r="C8904" s="88">
        <f>VLOOKUP(A8904,'Materiales '!$C$2:$G$396,3,0)</f>
        <v>1</v>
      </c>
      <c r="D8904" s="89" t="str">
        <f>VLOOKUP(A8904,'Materiales '!$C$2:$G$396,4,0)</f>
        <v>Glb</v>
      </c>
      <c r="E8904" s="90">
        <v>0.5</v>
      </c>
      <c r="F8904" s="508" t="e">
        <f t="shared" si="516"/>
        <v>#VALUE!</v>
      </c>
      <c r="G8904" s="519"/>
      <c r="H8904" s="111"/>
      <c r="I8904">
        <f>E8904*G8890</f>
        <v>0</v>
      </c>
      <c r="J8904" s="58"/>
      <c r="K8904" s="50"/>
      <c r="L8904" s="50"/>
      <c r="M8904" s="50"/>
      <c r="N8904" s="50"/>
      <c r="O8904" s="50"/>
    </row>
    <row r="8905" spans="1:15">
      <c r="A8905" s="517" t="s">
        <v>4654</v>
      </c>
      <c r="B8905" s="518">
        <f>VLOOKUP(A8905,'Materiales '!$C$2:$G$396,3,0)</f>
        <v>4</v>
      </c>
      <c r="C8905" s="88">
        <f>VLOOKUP(A8905,'Materiales '!$C$2:$G$396,3,0)</f>
        <v>4</v>
      </c>
      <c r="D8905" s="89" t="str">
        <f>VLOOKUP(A8905,'Materiales '!$C$2:$G$396,4,0)</f>
        <v>Und</v>
      </c>
      <c r="E8905" s="90">
        <v>1</v>
      </c>
      <c r="F8905" s="508" t="e">
        <f t="shared" si="516"/>
        <v>#VALUE!</v>
      </c>
      <c r="G8905" s="519"/>
      <c r="H8905" s="111"/>
      <c r="I8905">
        <f>E8905*G8890</f>
        <v>0</v>
      </c>
      <c r="J8905" s="58"/>
      <c r="K8905" s="50"/>
      <c r="L8905" s="50"/>
      <c r="M8905" s="50"/>
      <c r="N8905" s="50"/>
      <c r="O8905" s="50"/>
    </row>
    <row r="8906" spans="1:15">
      <c r="A8906" s="517" t="s">
        <v>4537</v>
      </c>
      <c r="B8906" s="518">
        <f>VLOOKUP(A8906,'Materiales '!$C$2:$G$396,3,0)</f>
        <v>4</v>
      </c>
      <c r="C8906" s="88">
        <f>VLOOKUP(A8906,'Materiales '!$C$2:$G$396,3,0)</f>
        <v>4</v>
      </c>
      <c r="D8906" s="89" t="str">
        <f>VLOOKUP(A8906,'Materiales '!$C$2:$G$396,4,0)</f>
        <v>Und</v>
      </c>
      <c r="E8906" s="90">
        <v>1</v>
      </c>
      <c r="F8906" s="508" t="e">
        <f t="shared" si="516"/>
        <v>#VALUE!</v>
      </c>
      <c r="G8906" s="519"/>
      <c r="H8906" s="111"/>
      <c r="I8906">
        <f>E8906*G8890</f>
        <v>0</v>
      </c>
      <c r="J8906" s="58"/>
      <c r="K8906" s="50"/>
      <c r="L8906" s="50"/>
      <c r="M8906" s="50"/>
      <c r="N8906" s="50"/>
      <c r="O8906" s="50"/>
    </row>
    <row r="8907" spans="1:15" ht="21.75" customHeight="1">
      <c r="A8907" s="517" t="s">
        <v>4465</v>
      </c>
      <c r="B8907" s="518">
        <f>VLOOKUP(A8907,'Materiales '!$C$2:$G$396,3,0)</f>
        <v>2</v>
      </c>
      <c r="C8907" s="88">
        <f>VLOOKUP(A8907,'Materiales '!$C$2:$G$396,3,0)</f>
        <v>2</v>
      </c>
      <c r="D8907" s="89" t="str">
        <f>VLOOKUP(A8907,'Materiales '!$C$2:$G$396,4,0)</f>
        <v>Ml</v>
      </c>
      <c r="E8907" s="90">
        <v>3</v>
      </c>
      <c r="F8907" s="508" t="e">
        <f t="shared" si="516"/>
        <v>#VALUE!</v>
      </c>
      <c r="G8907" s="519"/>
      <c r="H8907" s="111"/>
      <c r="I8907">
        <f>E8907*G8890</f>
        <v>0</v>
      </c>
      <c r="J8907" s="58"/>
      <c r="K8907" s="50"/>
      <c r="L8907" s="50"/>
      <c r="M8907" s="50"/>
      <c r="N8907" s="50"/>
      <c r="O8907" s="50"/>
    </row>
    <row r="8908" spans="1:15">
      <c r="A8908" s="517" t="s">
        <v>4529</v>
      </c>
      <c r="B8908" s="518">
        <f>VLOOKUP(A8908,'Materiales '!$C$2:$G$396,3,0)</f>
        <v>4</v>
      </c>
      <c r="C8908" s="88">
        <f>VLOOKUP(A8908,'Materiales '!$C$2:$G$396,3,0)</f>
        <v>4</v>
      </c>
      <c r="D8908" s="89" t="str">
        <f>VLOOKUP(A8908,'Materiales '!$C$2:$G$396,4,0)</f>
        <v>Und</v>
      </c>
      <c r="E8908" s="90">
        <v>2</v>
      </c>
      <c r="F8908" s="508" t="e">
        <f>E8908*D8908</f>
        <v>#VALUE!</v>
      </c>
      <c r="G8908" s="519"/>
      <c r="H8908" s="110"/>
      <c r="I8908">
        <f>E8908*G8890</f>
        <v>0</v>
      </c>
      <c r="J8908" s="58"/>
      <c r="K8908" s="50"/>
      <c r="L8908" s="50"/>
      <c r="M8908" s="50"/>
      <c r="N8908" s="50"/>
      <c r="O8908" s="50"/>
    </row>
    <row r="8909" spans="1:15">
      <c r="A8909" s="517" t="s">
        <v>8</v>
      </c>
      <c r="B8909" s="518">
        <f>VLOOKUP(A8909,'Materiales '!$C$2:$G$396,3,0)</f>
        <v>0</v>
      </c>
      <c r="C8909" s="88">
        <f>VLOOKUP(A8909,'Materiales '!$C$2:$G$396,3,0)</f>
        <v>0</v>
      </c>
      <c r="D8909" s="89" t="str">
        <f>VLOOKUP(A8909,'Materiales '!$C$2:$G$396,4,0)</f>
        <v>-</v>
      </c>
      <c r="E8909" s="90"/>
      <c r="F8909" s="508" t="e">
        <f t="shared" ref="F8909:F8912" si="517">E8909*D8909</f>
        <v>#VALUE!</v>
      </c>
      <c r="G8909" s="519"/>
      <c r="H8909" s="111"/>
      <c r="I8909">
        <f>E8909*G8890</f>
        <v>0</v>
      </c>
      <c r="J8909" s="58"/>
      <c r="K8909" s="50"/>
      <c r="L8909" s="50"/>
      <c r="M8909" s="50"/>
      <c r="N8909" s="50"/>
      <c r="O8909" s="50"/>
    </row>
    <row r="8910" spans="1:15">
      <c r="A8910" s="517" t="s">
        <v>8</v>
      </c>
      <c r="B8910" s="518">
        <f>VLOOKUP(A8910,'Materiales '!$C$2:$G$396,3,0)</f>
        <v>0</v>
      </c>
      <c r="C8910" s="88">
        <f>VLOOKUP(A8910,'Materiales '!$C$2:$G$396,3,0)</f>
        <v>0</v>
      </c>
      <c r="D8910" s="89" t="str">
        <f>VLOOKUP(A8910,'Materiales '!$C$2:$G$396,4,0)</f>
        <v>-</v>
      </c>
      <c r="E8910" s="90"/>
      <c r="F8910" s="508" t="e">
        <f t="shared" si="517"/>
        <v>#VALUE!</v>
      </c>
      <c r="G8910" s="519"/>
      <c r="H8910" s="111"/>
      <c r="I8910">
        <f>E8910*G8890</f>
        <v>0</v>
      </c>
      <c r="J8910" s="58"/>
      <c r="K8910" s="50"/>
      <c r="L8910" s="50"/>
      <c r="M8910" s="50"/>
      <c r="N8910" s="50"/>
      <c r="O8910" s="50"/>
    </row>
    <row r="8911" spans="1:15">
      <c r="A8911" s="517" t="s">
        <v>8</v>
      </c>
      <c r="B8911" s="518">
        <f>VLOOKUP(A8911,'Materiales '!$C$2:$G$396,3,0)</f>
        <v>0</v>
      </c>
      <c r="C8911" s="88">
        <f>VLOOKUP(A8911,'Materiales '!$C$2:$G$396,3,0)</f>
        <v>0</v>
      </c>
      <c r="D8911" s="89" t="str">
        <f>VLOOKUP(A8911,'Materiales '!$C$2:$G$396,4,0)</f>
        <v>-</v>
      </c>
      <c r="E8911" s="90"/>
      <c r="F8911" s="508" t="e">
        <f t="shared" si="517"/>
        <v>#VALUE!</v>
      </c>
      <c r="G8911" s="519"/>
      <c r="H8911" s="111"/>
      <c r="I8911">
        <f>E8911*G8890</f>
        <v>0</v>
      </c>
      <c r="J8911" s="58"/>
      <c r="K8911" s="50"/>
      <c r="L8911" s="50"/>
      <c r="M8911" s="50"/>
      <c r="N8911" s="50"/>
      <c r="O8911" s="50"/>
    </row>
    <row r="8912" spans="1:15">
      <c r="A8912" s="517" t="s">
        <v>8</v>
      </c>
      <c r="B8912" s="518">
        <f>VLOOKUP(A8912,'Materiales '!$C$2:$G$396,3,0)</f>
        <v>0</v>
      </c>
      <c r="C8912" s="88">
        <f>VLOOKUP(A8912,'Materiales '!$C$2:$G$396,3,0)</f>
        <v>0</v>
      </c>
      <c r="D8912" s="89" t="str">
        <f>VLOOKUP(A8912,'Materiales '!$C$2:$G$396,4,0)</f>
        <v>-</v>
      </c>
      <c r="E8912" s="90"/>
      <c r="F8912" s="508" t="e">
        <f t="shared" si="517"/>
        <v>#VALUE!</v>
      </c>
      <c r="G8912" s="519"/>
      <c r="H8912" s="111"/>
      <c r="I8912">
        <f>E8912*G8890</f>
        <v>0</v>
      </c>
      <c r="J8912" s="58"/>
      <c r="K8912" s="50"/>
      <c r="L8912" s="50"/>
      <c r="M8912" s="50"/>
      <c r="N8912" s="50"/>
      <c r="O8912" s="50"/>
    </row>
    <row r="8913" spans="1:15">
      <c r="A8913" s="517" t="s">
        <v>8</v>
      </c>
      <c r="B8913" s="518">
        <f>VLOOKUP(A8913,'Materiales '!$C$2:$G$396,3,0)</f>
        <v>0</v>
      </c>
      <c r="C8913" s="88">
        <f>VLOOKUP(A8913,'Materiales '!$C$2:$G$396,3,0)</f>
        <v>0</v>
      </c>
      <c r="D8913" s="89" t="str">
        <f>VLOOKUP(A8913,'Materiales '!$C$2:$G$396,4,0)</f>
        <v>-</v>
      </c>
      <c r="E8913" s="90"/>
      <c r="F8913" s="508" t="e">
        <f>E8913*D8913</f>
        <v>#VALUE!</v>
      </c>
      <c r="G8913" s="519"/>
      <c r="H8913" s="110"/>
      <c r="I8913">
        <f>E8913*G8890</f>
        <v>0</v>
      </c>
      <c r="J8913" s="58"/>
      <c r="K8913" s="50"/>
      <c r="L8913" s="50"/>
      <c r="M8913" s="50"/>
      <c r="N8913" s="50"/>
      <c r="O8913" s="50"/>
    </row>
    <row r="8914" spans="1:15">
      <c r="A8914" s="520" t="s">
        <v>4098</v>
      </c>
      <c r="B8914" s="521"/>
      <c r="C8914" s="521"/>
      <c r="D8914" s="521"/>
      <c r="E8914" s="521"/>
      <c r="F8914" s="521"/>
      <c r="G8914" s="522"/>
      <c r="H8914" s="106" t="e">
        <f>SUM(F8900:F8913)</f>
        <v>#VALUE!</v>
      </c>
      <c r="J8914" s="58"/>
      <c r="K8914" s="50"/>
      <c r="L8914" s="50"/>
      <c r="M8914" s="50"/>
      <c r="N8914" s="50"/>
      <c r="O8914" s="50"/>
    </row>
    <row r="8915" spans="1:15">
      <c r="A8915" s="523" t="s">
        <v>4220</v>
      </c>
      <c r="B8915" s="524"/>
      <c r="C8915" s="524"/>
      <c r="D8915" s="524"/>
      <c r="E8915" s="525"/>
      <c r="F8915" s="524"/>
      <c r="G8915" s="524"/>
      <c r="H8915" s="526"/>
      <c r="J8915" s="58"/>
      <c r="K8915" s="50"/>
      <c r="L8915" s="50"/>
      <c r="M8915" s="50"/>
      <c r="N8915" s="50"/>
      <c r="O8915" s="50"/>
    </row>
    <row r="8916" spans="1:15">
      <c r="A8916" s="527" t="s">
        <v>7</v>
      </c>
      <c r="B8916" s="528"/>
      <c r="C8916" s="98" t="s">
        <v>4221</v>
      </c>
      <c r="D8916" s="97" t="s">
        <v>4222</v>
      </c>
      <c r="E8916" s="187" t="s">
        <v>4223</v>
      </c>
      <c r="F8916" s="529" t="s">
        <v>4207</v>
      </c>
      <c r="G8916" s="529"/>
      <c r="H8916" s="109"/>
      <c r="K8916" s="50"/>
      <c r="L8916" s="50"/>
      <c r="M8916" s="50"/>
      <c r="N8916" s="50"/>
      <c r="O8916" s="50"/>
    </row>
    <row r="8917" spans="1:15">
      <c r="A8917" s="506" t="s">
        <v>3928</v>
      </c>
      <c r="B8917" s="507"/>
      <c r="C8917" s="213">
        <v>1</v>
      </c>
      <c r="D8917" s="92">
        <v>0.1</v>
      </c>
      <c r="E8917" s="93" t="str">
        <f>VLOOKUP(A8917,'Equip, Herr y Transp'!$B$2:$E$217,3,0)</f>
        <v>TR</v>
      </c>
      <c r="F8917" s="530" t="e">
        <f>E8917*D8917*C8917</f>
        <v>#VALUE!</v>
      </c>
      <c r="G8917" s="531"/>
      <c r="H8917" s="107"/>
      <c r="M8917" s="50"/>
    </row>
    <row r="8918" spans="1:15">
      <c r="A8918" s="532" t="s">
        <v>4205</v>
      </c>
      <c r="B8918" s="533"/>
      <c r="C8918" s="533"/>
      <c r="D8918" s="533"/>
      <c r="E8918" s="533"/>
      <c r="F8918" s="533"/>
      <c r="G8918" s="533"/>
      <c r="H8918" s="95" t="e">
        <f>F8917</f>
        <v>#VALUE!</v>
      </c>
    </row>
    <row r="8919" spans="1:15">
      <c r="A8919" s="523" t="s">
        <v>4224</v>
      </c>
      <c r="B8919" s="524"/>
      <c r="C8919" s="524"/>
      <c r="D8919" s="524"/>
      <c r="E8919" s="524"/>
      <c r="F8919" s="524"/>
      <c r="G8919" s="524"/>
      <c r="H8919" s="526"/>
    </row>
    <row r="8920" spans="1:15">
      <c r="A8920" s="527" t="s">
        <v>7</v>
      </c>
      <c r="B8920" s="528"/>
      <c r="C8920" s="96" t="s">
        <v>1</v>
      </c>
      <c r="D8920" s="97" t="s">
        <v>4225</v>
      </c>
      <c r="E8920" s="98" t="s">
        <v>4204</v>
      </c>
      <c r="F8920" s="527" t="s">
        <v>5</v>
      </c>
      <c r="G8920" s="534"/>
      <c r="H8920" s="109"/>
    </row>
    <row r="8921" spans="1:15">
      <c r="A8921" s="506" t="s">
        <v>4191</v>
      </c>
      <c r="B8921" s="507"/>
      <c r="C8921" s="91">
        <v>1</v>
      </c>
      <c r="D8921" s="94">
        <f>VLOOKUP(A8921,'Mano Obra'!$B$2:$T$117,19,0)</f>
        <v>152456</v>
      </c>
      <c r="E8921" s="218">
        <f>H8883</f>
        <v>1</v>
      </c>
      <c r="F8921" s="508">
        <f>E8921*D8921*C8921</f>
        <v>152456</v>
      </c>
      <c r="G8921" s="509"/>
      <c r="H8921" s="111"/>
      <c r="I8921" s="59"/>
      <c r="J8921" s="117">
        <f>((('Mano Obra'!$M$4/30)*F8921)/D8921)*G8890</f>
        <v>0</v>
      </c>
    </row>
    <row r="8922" spans="1:15">
      <c r="A8922" s="510" t="s">
        <v>4192</v>
      </c>
      <c r="B8922" s="511">
        <f>VLOOKUP(A8922,'Mano Obra'!$B$3:$D$290,2,0)</f>
        <v>1900000</v>
      </c>
      <c r="C8922" s="91">
        <v>2</v>
      </c>
      <c r="D8922" s="94">
        <f>VLOOKUP(A8922,'Mano Obra'!$B$2:$T$117,19,0)</f>
        <v>110488</v>
      </c>
      <c r="E8922" s="218">
        <f>H8883</f>
        <v>1</v>
      </c>
      <c r="F8922" s="508">
        <f t="shared" ref="F8922:F8923" si="518">E8922*D8922*C8922</f>
        <v>220976</v>
      </c>
      <c r="G8922" s="509"/>
      <c r="H8922" s="111"/>
      <c r="J8922" s="117">
        <f>((('Mano Obra'!$M$5/30)*F8922)/D8922)*G8890</f>
        <v>0</v>
      </c>
    </row>
    <row r="8923" spans="1:15">
      <c r="A8923" s="510" t="s">
        <v>4181</v>
      </c>
      <c r="B8923" s="511">
        <f>VLOOKUP(A8923,'Mano Obra'!$B$3:$D$290,2,0)</f>
        <v>1000000</v>
      </c>
      <c r="C8923" s="91">
        <v>1</v>
      </c>
      <c r="D8923" s="94">
        <f>VLOOKUP(A8923,'Mano Obra'!$B$2:$T$117,19,0)</f>
        <v>67424</v>
      </c>
      <c r="E8923" s="218">
        <f>H8883</f>
        <v>1</v>
      </c>
      <c r="F8923" s="508">
        <f t="shared" si="518"/>
        <v>67424</v>
      </c>
      <c r="G8923" s="509"/>
      <c r="H8923" s="110"/>
      <c r="J8923" s="117">
        <f>((('Mano Obra'!$M$6/30)*F8923)/D8923)*G8890</f>
        <v>0</v>
      </c>
    </row>
    <row r="8924" spans="1:15">
      <c r="A8924" s="512" t="s">
        <v>4100</v>
      </c>
      <c r="B8924" s="512"/>
      <c r="C8924" s="512"/>
      <c r="D8924" s="512"/>
      <c r="E8924" s="512"/>
      <c r="F8924" s="512"/>
      <c r="G8924" s="512"/>
      <c r="H8924" s="95">
        <f>SUM(F8921:F8923)</f>
        <v>440856</v>
      </c>
      <c r="J8924" s="117"/>
    </row>
    <row r="8925" spans="1:15">
      <c r="A8925" s="208" t="s">
        <v>4226</v>
      </c>
      <c r="B8925" s="186"/>
      <c r="C8925" s="186"/>
      <c r="D8925" s="183"/>
      <c r="E8925" s="184"/>
      <c r="F8925" s="185"/>
      <c r="G8925" s="184"/>
      <c r="H8925" s="193"/>
    </row>
    <row r="8926" spans="1:15">
      <c r="A8926" s="513" t="s">
        <v>4213</v>
      </c>
      <c r="B8926" s="514"/>
      <c r="C8926" s="514"/>
      <c r="D8926" s="514"/>
      <c r="E8926" s="181"/>
      <c r="F8926" s="182" t="s">
        <v>4227</v>
      </c>
      <c r="G8926" s="181" t="s">
        <v>4228</v>
      </c>
      <c r="H8926" s="194"/>
    </row>
    <row r="8927" spans="1:15">
      <c r="A8927" s="204" t="s">
        <v>4096</v>
      </c>
      <c r="B8927" s="62"/>
      <c r="C8927" s="62"/>
      <c r="D8927" s="63"/>
      <c r="E8927" s="68"/>
      <c r="F8927" s="69">
        <v>0</v>
      </c>
      <c r="G8927" s="70" t="e">
        <f>F8927*H8891</f>
        <v>#VALUE!</v>
      </c>
      <c r="H8927" s="193"/>
    </row>
    <row r="8928" spans="1:15">
      <c r="A8928" s="205" t="s">
        <v>4229</v>
      </c>
      <c r="B8928" s="71"/>
      <c r="C8928" s="71"/>
      <c r="D8928" s="72"/>
      <c r="E8928" s="68"/>
      <c r="F8928" s="69">
        <v>0</v>
      </c>
      <c r="G8928" s="70" t="e">
        <f>F8928*H8891</f>
        <v>#VALUE!</v>
      </c>
      <c r="H8928" s="193"/>
    </row>
    <row r="8929" spans="1:14">
      <c r="A8929" s="205" t="s">
        <v>4</v>
      </c>
      <c r="B8929" s="71"/>
      <c r="C8929" s="71"/>
      <c r="D8929" s="72"/>
      <c r="E8929" s="68"/>
      <c r="F8929" s="69">
        <v>0</v>
      </c>
      <c r="G8929" s="70" t="e">
        <f>F8929*H8891</f>
        <v>#VALUE!</v>
      </c>
      <c r="H8929" s="193"/>
    </row>
    <row r="8930" spans="1:14">
      <c r="A8930" s="206"/>
      <c r="B8930" s="73"/>
      <c r="C8930" s="65"/>
      <c r="D8930" s="74"/>
      <c r="E8930" s="75"/>
      <c r="F8930" s="76"/>
      <c r="G8930" s="77"/>
      <c r="H8930" s="195"/>
    </row>
    <row r="8931" spans="1:14">
      <c r="A8931" s="207"/>
      <c r="B8931" s="73"/>
      <c r="C8931" s="73"/>
      <c r="D8931" s="74"/>
      <c r="E8931" s="78"/>
      <c r="F8931" s="515" t="s">
        <v>4230</v>
      </c>
      <c r="G8931" s="516"/>
      <c r="H8931" s="214" t="e">
        <f>H8891+G8927+G8928+G8929</f>
        <v>#VALUE!</v>
      </c>
    </row>
    <row r="8936" spans="1:14">
      <c r="A8936" s="80"/>
      <c r="B8936" s="80"/>
      <c r="C8936" s="80"/>
      <c r="D8936" s="80"/>
      <c r="E8936" s="80"/>
      <c r="F8936" s="80"/>
      <c r="G8936" s="80"/>
      <c r="H8936" s="353"/>
    </row>
    <row r="8937" spans="1:14">
      <c r="A8937" s="537" t="s">
        <v>4214</v>
      </c>
      <c r="B8937" s="538"/>
      <c r="C8937" s="538"/>
      <c r="D8937" s="538"/>
      <c r="E8937" s="538"/>
      <c r="F8937" s="538"/>
      <c r="G8937" s="538"/>
      <c r="H8937" s="539"/>
    </row>
    <row r="8938" spans="1:14">
      <c r="A8938" s="81"/>
      <c r="B8938" s="82"/>
      <c r="C8938" s="82"/>
      <c r="D8938" s="82"/>
      <c r="E8938" s="82"/>
      <c r="F8938" s="83"/>
      <c r="G8938" s="84"/>
      <c r="H8938" s="352">
        <f>ROUND((7/60)/8,4)</f>
        <v>1.46E-2</v>
      </c>
      <c r="I8938" s="105"/>
    </row>
    <row r="8939" spans="1:14">
      <c r="A8939" s="540" t="s">
        <v>4209</v>
      </c>
      <c r="B8939" s="542" t="str">
        <f>COSTOS!$C$14</f>
        <v>MODERNIZACION A TECNOLOGIA LED</v>
      </c>
      <c r="C8939" s="542"/>
      <c r="D8939" s="542"/>
      <c r="E8939" s="542"/>
      <c r="F8939" s="542"/>
      <c r="G8939" s="542"/>
      <c r="H8939" s="543" t="s">
        <v>4210</v>
      </c>
    </row>
    <row r="8940" spans="1:14">
      <c r="A8940" s="541"/>
      <c r="B8940" s="542"/>
      <c r="C8940" s="542"/>
      <c r="D8940" s="542"/>
      <c r="E8940" s="542"/>
      <c r="F8940" s="542"/>
      <c r="G8940" s="542"/>
      <c r="H8940" s="543"/>
    </row>
    <row r="8941" spans="1:14">
      <c r="A8941" s="541"/>
      <c r="B8941" s="542"/>
      <c r="C8941" s="542"/>
      <c r="D8941" s="542"/>
      <c r="E8941" s="542"/>
      <c r="F8941" s="542"/>
      <c r="G8941" s="542"/>
      <c r="H8941" s="543"/>
    </row>
    <row r="8942" spans="1:14" ht="15" customHeight="1">
      <c r="A8942" s="541"/>
      <c r="B8942" s="542"/>
      <c r="C8942" s="542"/>
      <c r="D8942" s="542"/>
      <c r="E8942" s="542"/>
      <c r="F8942" s="542"/>
      <c r="G8942" s="542"/>
      <c r="H8942" s="197">
        <f ca="1">TODAY()</f>
        <v>44889</v>
      </c>
      <c r="K8942" t="s">
        <v>4380</v>
      </c>
      <c r="L8942" t="s">
        <v>4381</v>
      </c>
      <c r="M8942" t="s">
        <v>4382</v>
      </c>
      <c r="N8942" t="s">
        <v>4383</v>
      </c>
    </row>
    <row r="8943" spans="1:14" ht="60.75" customHeight="1">
      <c r="A8943" s="209" t="s">
        <v>4211</v>
      </c>
      <c r="B8943" s="544" t="str">
        <f>COSTOS!$D$16</f>
        <v>Luminarias</v>
      </c>
      <c r="C8943" s="544"/>
      <c r="D8943" s="544"/>
      <c r="E8943" s="544"/>
      <c r="F8943" s="544"/>
      <c r="G8943" s="60" t="s">
        <v>4212</v>
      </c>
      <c r="H8943" s="359">
        <v>7.1</v>
      </c>
      <c r="K8943" s="55" t="e">
        <f>H8969</f>
        <v>#VALUE!</v>
      </c>
      <c r="L8943" s="55">
        <f>H8979</f>
        <v>6436.4976000000006</v>
      </c>
      <c r="M8943" s="55" t="e">
        <f>H8952</f>
        <v>#VALUE!</v>
      </c>
      <c r="N8943" s="55" t="e">
        <f>H8973</f>
        <v>#VALUE!</v>
      </c>
    </row>
    <row r="8944" spans="1:14" ht="43.2" customHeight="1">
      <c r="A8944" s="210" t="s">
        <v>4213</v>
      </c>
      <c r="B8944" s="545" t="str">
        <f>VLOOKUP(H8943,COSTOS!C:M,2,0)</f>
        <v>Canalizacion con un ducto 1/2" PVC</v>
      </c>
      <c r="C8944" s="546"/>
      <c r="D8944" s="546"/>
      <c r="E8944" s="547"/>
      <c r="F8944" s="61" t="s">
        <v>0</v>
      </c>
      <c r="G8944" s="328" t="str">
        <f>VLOOKUP(H8943,COSTOS!C:M,8,0)</f>
        <v>Ml</v>
      </c>
      <c r="H8944" s="248"/>
      <c r="I8944" s="278"/>
      <c r="J8944" s="280"/>
      <c r="K8944" s="280"/>
      <c r="L8944" s="280"/>
    </row>
    <row r="8945" spans="1:15">
      <c r="A8945" s="211"/>
      <c r="B8945" s="102"/>
      <c r="C8945" s="102"/>
      <c r="D8945" s="102"/>
      <c r="E8945" s="103"/>
      <c r="F8945" s="104" t="s">
        <v>1</v>
      </c>
      <c r="G8945" s="328">
        <f>VLOOKUP(H8943,COSTOS!C:M,9,0)</f>
        <v>0</v>
      </c>
      <c r="H8945" s="329"/>
      <c r="I8945" s="279"/>
    </row>
    <row r="8946" spans="1:15">
      <c r="A8946" s="212" t="s">
        <v>4215</v>
      </c>
      <c r="B8946" s="65"/>
      <c r="C8946" s="65"/>
      <c r="D8946" s="66"/>
      <c r="E8946" s="190"/>
      <c r="F8946" s="191"/>
      <c r="G8946" s="192" t="s">
        <v>4216</v>
      </c>
      <c r="H8946" s="198" t="e">
        <f>H8952+H8969+H8973+H8979</f>
        <v>#VALUE!</v>
      </c>
    </row>
    <row r="8947" spans="1:15" ht="41.4">
      <c r="A8947" s="548" t="s">
        <v>4213</v>
      </c>
      <c r="B8947" s="548"/>
      <c r="C8947" s="548"/>
      <c r="D8947" s="67" t="s">
        <v>0</v>
      </c>
      <c r="E8947" s="188" t="s">
        <v>4217</v>
      </c>
      <c r="F8947" s="189" t="s">
        <v>4204</v>
      </c>
      <c r="G8947" s="64" t="s">
        <v>2</v>
      </c>
      <c r="H8947" s="199" t="s">
        <v>4218</v>
      </c>
      <c r="K8947" s="281"/>
    </row>
    <row r="8948" spans="1:15">
      <c r="A8948" s="517" t="s">
        <v>3946</v>
      </c>
      <c r="B8948" s="549">
        <f>VLOOKUP(A8948,'Equip, Herr y Transp'!$B$2:$E$738,2,0)</f>
        <v>2</v>
      </c>
      <c r="C8948" s="549"/>
      <c r="D8948" s="85">
        <f>VLOOKUP(A8948,'Equip, Herr y Transp'!$B$2:$E$217,2,0)</f>
        <v>2</v>
      </c>
      <c r="E8948" s="85" t="str">
        <f>VLOOKUP(A8948,'Equip, Herr y Transp'!$B$2:$E$217,3,0)</f>
        <v>EQU</v>
      </c>
      <c r="F8948" s="86">
        <f>H8938</f>
        <v>1.46E-2</v>
      </c>
      <c r="G8948" s="112" t="e">
        <f>F8948*E8948</f>
        <v>#VALUE!</v>
      </c>
      <c r="H8948" s="108"/>
    </row>
    <row r="8949" spans="1:15">
      <c r="A8949" s="517" t="s">
        <v>3927</v>
      </c>
      <c r="B8949" s="549">
        <f>VLOOKUP(A8949,'Equip, Herr y Transp'!$B$2:$E$738,2,0)</f>
        <v>2</v>
      </c>
      <c r="C8949" s="549"/>
      <c r="D8949" s="85">
        <f>VLOOKUP(A8949,'Equip, Herr y Transp'!$B$2:$E$217,2,0)</f>
        <v>2</v>
      </c>
      <c r="E8949" s="85" t="str">
        <f>VLOOKUP(A8949,'Equip, Herr y Transp'!$B$2:$E$217,3,0)</f>
        <v>EQU</v>
      </c>
      <c r="F8949" s="86">
        <f>H8938</f>
        <v>1.46E-2</v>
      </c>
      <c r="G8949" s="112" t="e">
        <f>F8949*E8949</f>
        <v>#VALUE!</v>
      </c>
      <c r="H8949" s="107"/>
    </row>
    <row r="8950" spans="1:15">
      <c r="A8950" s="517" t="s">
        <v>8</v>
      </c>
      <c r="B8950" s="549" t="e">
        <f>VLOOKUP(A8950,'Equip, Herr y Transp'!$B$2:$E$738,2,0)</f>
        <v>#N/A</v>
      </c>
      <c r="C8950" s="549"/>
      <c r="D8950" s="85" t="e">
        <f>VLOOKUP(A8950,'Equip, Herr y Transp'!$B$2:$E$217,2,0)</f>
        <v>#N/A</v>
      </c>
      <c r="E8950" s="85" t="e">
        <f>VLOOKUP(A8950,'Equip, Herr y Transp'!$B$2:$E$217,3,0)</f>
        <v>#N/A</v>
      </c>
      <c r="F8950" s="86">
        <f>H8938</f>
        <v>1.46E-2</v>
      </c>
      <c r="G8950" s="112" t="e">
        <f>F8950*E8950</f>
        <v>#N/A</v>
      </c>
      <c r="H8950" s="107"/>
    </row>
    <row r="8951" spans="1:15">
      <c r="A8951" s="517" t="s">
        <v>8</v>
      </c>
      <c r="B8951" s="549" t="e">
        <f>VLOOKUP(A8951,'Equip, Herr y Transp'!$B$2:$E$738,2,0)</f>
        <v>#N/A</v>
      </c>
      <c r="C8951" s="549"/>
      <c r="D8951" s="85" t="e">
        <f>VLOOKUP(A8951,'Equip, Herr y Transp'!$B$2:$E$217,2,0)</f>
        <v>#N/A</v>
      </c>
      <c r="E8951" s="85" t="e">
        <f>VLOOKUP(A8951,'Equip, Herr y Transp'!$B$2:$E$217,3,0)</f>
        <v>#N/A</v>
      </c>
      <c r="F8951" s="86">
        <f>H8938</f>
        <v>1.46E-2</v>
      </c>
      <c r="G8951" s="112" t="e">
        <f>F8951*E8951</f>
        <v>#N/A</v>
      </c>
      <c r="H8951" s="107"/>
    </row>
    <row r="8952" spans="1:15">
      <c r="A8952" s="520" t="s">
        <v>4099</v>
      </c>
      <c r="B8952" s="521"/>
      <c r="C8952" s="521"/>
      <c r="D8952" s="521"/>
      <c r="E8952" s="521"/>
      <c r="F8952" s="521"/>
      <c r="G8952" s="521"/>
      <c r="H8952" s="87" t="e">
        <f>SUM(G8948:G8951)</f>
        <v>#VALUE!</v>
      </c>
    </row>
    <row r="8953" spans="1:15">
      <c r="A8953" s="550" t="s">
        <v>4219</v>
      </c>
      <c r="B8953" s="551"/>
      <c r="C8953" s="551"/>
      <c r="D8953" s="551"/>
      <c r="E8953" s="551"/>
      <c r="F8953" s="551"/>
      <c r="G8953" s="551"/>
      <c r="H8953" s="552"/>
      <c r="K8953" s="50"/>
      <c r="L8953" s="50"/>
      <c r="M8953" s="50"/>
      <c r="N8953" s="50"/>
      <c r="O8953" s="50"/>
    </row>
    <row r="8954" spans="1:15" ht="30" customHeight="1">
      <c r="A8954" s="553" t="s">
        <v>7</v>
      </c>
      <c r="B8954" s="554"/>
      <c r="C8954" s="99" t="s">
        <v>0</v>
      </c>
      <c r="D8954" s="100" t="s">
        <v>4097</v>
      </c>
      <c r="E8954" s="101" t="s">
        <v>1</v>
      </c>
      <c r="F8954" s="555" t="s">
        <v>4207</v>
      </c>
      <c r="G8954" s="555"/>
      <c r="H8954" s="196"/>
      <c r="K8954" s="50"/>
      <c r="L8954" s="50"/>
      <c r="M8954" s="50"/>
      <c r="N8954" s="50"/>
      <c r="O8954" s="50"/>
    </row>
    <row r="8955" spans="1:15">
      <c r="A8955" s="535" t="s">
        <v>4695</v>
      </c>
      <c r="B8955" s="536"/>
      <c r="C8955" s="88">
        <f>VLOOKUP(A8955,'Materiales '!$C$2:$G$396,3,0)</f>
        <v>4</v>
      </c>
      <c r="D8955" s="89" t="str">
        <f>VLOOKUP(A8955,'Materiales '!$C$2:$G$396,4,0)</f>
        <v>Und</v>
      </c>
      <c r="E8955" s="90">
        <v>0.34</v>
      </c>
      <c r="F8955" s="508" t="e">
        <f>E8955*D8955</f>
        <v>#VALUE!</v>
      </c>
      <c r="G8955" s="519"/>
      <c r="H8955" s="111"/>
      <c r="I8955">
        <f>E8955*G8945</f>
        <v>0</v>
      </c>
      <c r="J8955" s="57"/>
      <c r="K8955" s="50"/>
      <c r="L8955" s="50"/>
      <c r="M8955" s="50"/>
      <c r="N8955" s="50"/>
      <c r="O8955" s="50"/>
    </row>
    <row r="8956" spans="1:15">
      <c r="A8956" s="535" t="s">
        <v>4570</v>
      </c>
      <c r="B8956" s="536"/>
      <c r="C8956" s="88">
        <f>VLOOKUP(A8956,'Materiales '!$C$2:$G$396,3,0)</f>
        <v>4</v>
      </c>
      <c r="D8956" s="89" t="str">
        <f>VLOOKUP(A8956,'Materiales '!$C$2:$G$396,4,0)</f>
        <v>Und</v>
      </c>
      <c r="E8956" s="90">
        <v>0.04</v>
      </c>
      <c r="F8956" s="508" t="e">
        <f t="shared" ref="F8956:F8962" si="519">E8956*D8956</f>
        <v>#VALUE!</v>
      </c>
      <c r="G8956" s="519"/>
      <c r="H8956" s="111"/>
      <c r="I8956">
        <f>E8956*G8945</f>
        <v>0</v>
      </c>
      <c r="J8956" s="57"/>
      <c r="K8956" s="50"/>
      <c r="L8956" s="50"/>
      <c r="M8956" s="50"/>
      <c r="N8956" s="50"/>
      <c r="O8956" s="50"/>
    </row>
    <row r="8957" spans="1:15">
      <c r="A8957" s="517" t="s">
        <v>8</v>
      </c>
      <c r="B8957" s="518">
        <f>VLOOKUP(A8957,'Materiales '!$C$2:$G$396,3,0)</f>
        <v>0</v>
      </c>
      <c r="C8957" s="88">
        <f>VLOOKUP(A8957,'Materiales '!$C$2:$G$396,3,0)</f>
        <v>0</v>
      </c>
      <c r="D8957" s="89" t="str">
        <f>VLOOKUP(A8957,'Materiales '!$C$2:$G$396,4,0)</f>
        <v>-</v>
      </c>
      <c r="E8957" s="90">
        <v>1</v>
      </c>
      <c r="F8957" s="508" t="e">
        <f t="shared" si="519"/>
        <v>#VALUE!</v>
      </c>
      <c r="G8957" s="519"/>
      <c r="H8957" s="111"/>
      <c r="I8957">
        <f>E8957*G8945</f>
        <v>0</v>
      </c>
      <c r="J8957" s="58"/>
      <c r="K8957" s="50"/>
      <c r="L8957" s="50"/>
      <c r="M8957" s="50"/>
      <c r="N8957" s="50"/>
      <c r="O8957" s="50"/>
    </row>
    <row r="8958" spans="1:15">
      <c r="A8958" s="517" t="s">
        <v>8</v>
      </c>
      <c r="B8958" s="518">
        <f>VLOOKUP(A8958,'Materiales '!$C$2:$G$396,3,0)</f>
        <v>0</v>
      </c>
      <c r="C8958" s="88">
        <f>VLOOKUP(A8958,'Materiales '!$C$2:$G$396,3,0)</f>
        <v>0</v>
      </c>
      <c r="D8958" s="89" t="str">
        <f>VLOOKUP(A8958,'Materiales '!$C$2:$G$396,4,0)</f>
        <v>-</v>
      </c>
      <c r="E8958" s="90">
        <v>1</v>
      </c>
      <c r="F8958" s="508" t="e">
        <f t="shared" si="519"/>
        <v>#VALUE!</v>
      </c>
      <c r="G8958" s="519"/>
      <c r="H8958" s="111"/>
      <c r="I8958">
        <f>E8958*G8945</f>
        <v>0</v>
      </c>
      <c r="J8958" s="58"/>
      <c r="K8958" s="50"/>
      <c r="L8958" s="50"/>
      <c r="M8958" s="50"/>
      <c r="N8958" s="50"/>
      <c r="O8958" s="50"/>
    </row>
    <row r="8959" spans="1:15">
      <c r="A8959" s="517" t="s">
        <v>8</v>
      </c>
      <c r="B8959" s="518">
        <f>VLOOKUP(A8959,'Materiales '!$C$2:$G$396,3,0)</f>
        <v>0</v>
      </c>
      <c r="C8959" s="88">
        <f>VLOOKUP(A8959,'Materiales '!$C$2:$G$396,3,0)</f>
        <v>0</v>
      </c>
      <c r="D8959" s="89" t="str">
        <f>VLOOKUP(A8959,'Materiales '!$C$2:$G$396,4,0)</f>
        <v>-</v>
      </c>
      <c r="E8959" s="90">
        <v>0.5</v>
      </c>
      <c r="F8959" s="508" t="e">
        <f t="shared" si="519"/>
        <v>#VALUE!</v>
      </c>
      <c r="G8959" s="519"/>
      <c r="H8959" s="111"/>
      <c r="I8959">
        <f>E8959*G8945</f>
        <v>0</v>
      </c>
      <c r="J8959" s="58"/>
      <c r="K8959" s="50"/>
      <c r="L8959" s="50"/>
      <c r="M8959" s="50"/>
      <c r="N8959" s="50"/>
      <c r="O8959" s="50"/>
    </row>
    <row r="8960" spans="1:15">
      <c r="A8960" s="517" t="s">
        <v>8</v>
      </c>
      <c r="B8960" s="518">
        <f>VLOOKUP(A8960,'Materiales '!$C$2:$G$396,3,0)</f>
        <v>0</v>
      </c>
      <c r="C8960" s="88">
        <f>VLOOKUP(A8960,'Materiales '!$C$2:$G$396,3,0)</f>
        <v>0</v>
      </c>
      <c r="D8960" s="89" t="str">
        <f>VLOOKUP(A8960,'Materiales '!$C$2:$G$396,4,0)</f>
        <v>-</v>
      </c>
      <c r="E8960" s="90">
        <v>1</v>
      </c>
      <c r="F8960" s="508" t="e">
        <f t="shared" si="519"/>
        <v>#VALUE!</v>
      </c>
      <c r="G8960" s="519"/>
      <c r="H8960" s="111"/>
      <c r="I8960">
        <f>E8960*G8945</f>
        <v>0</v>
      </c>
      <c r="J8960" s="58"/>
      <c r="K8960" s="50"/>
      <c r="L8960" s="50"/>
      <c r="M8960" s="50"/>
      <c r="N8960" s="50"/>
      <c r="O8960" s="50"/>
    </row>
    <row r="8961" spans="1:15">
      <c r="A8961" s="517" t="s">
        <v>8</v>
      </c>
      <c r="B8961" s="518">
        <f>VLOOKUP(A8961,'Materiales '!$C$2:$G$396,3,0)</f>
        <v>0</v>
      </c>
      <c r="C8961" s="88">
        <f>VLOOKUP(A8961,'Materiales '!$C$2:$G$396,3,0)</f>
        <v>0</v>
      </c>
      <c r="D8961" s="89" t="str">
        <f>VLOOKUP(A8961,'Materiales '!$C$2:$G$396,4,0)</f>
        <v>-</v>
      </c>
      <c r="E8961" s="90">
        <v>1</v>
      </c>
      <c r="F8961" s="508" t="e">
        <f t="shared" si="519"/>
        <v>#VALUE!</v>
      </c>
      <c r="G8961" s="519"/>
      <c r="H8961" s="111"/>
      <c r="I8961">
        <f>E8961*G8945</f>
        <v>0</v>
      </c>
      <c r="J8961" s="58"/>
      <c r="K8961" s="50"/>
      <c r="L8961" s="50"/>
      <c r="M8961" s="50"/>
      <c r="N8961" s="50"/>
      <c r="O8961" s="50"/>
    </row>
    <row r="8962" spans="1:15" ht="21.75" customHeight="1">
      <c r="A8962" s="517" t="s">
        <v>8</v>
      </c>
      <c r="B8962" s="518">
        <f>VLOOKUP(A8962,'Materiales '!$C$2:$G$396,3,0)</f>
        <v>0</v>
      </c>
      <c r="C8962" s="88">
        <f>VLOOKUP(A8962,'Materiales '!$C$2:$G$396,3,0)</f>
        <v>0</v>
      </c>
      <c r="D8962" s="89" t="str">
        <f>VLOOKUP(A8962,'Materiales '!$C$2:$G$396,4,0)</f>
        <v>-</v>
      </c>
      <c r="E8962" s="90"/>
      <c r="F8962" s="508" t="e">
        <f t="shared" si="519"/>
        <v>#VALUE!</v>
      </c>
      <c r="G8962" s="519"/>
      <c r="H8962" s="111"/>
      <c r="I8962">
        <f>E8962*G8945</f>
        <v>0</v>
      </c>
      <c r="J8962" s="58"/>
      <c r="K8962" s="50"/>
      <c r="L8962" s="50"/>
      <c r="M8962" s="50"/>
      <c r="N8962" s="50"/>
      <c r="O8962" s="50"/>
    </row>
    <row r="8963" spans="1:15">
      <c r="A8963" s="517" t="s">
        <v>8</v>
      </c>
      <c r="B8963" s="518">
        <f>VLOOKUP(A8963,'Materiales '!$C$2:$G$396,3,0)</f>
        <v>0</v>
      </c>
      <c r="C8963" s="88">
        <f>VLOOKUP(A8963,'Materiales '!$C$2:$G$396,3,0)</f>
        <v>0</v>
      </c>
      <c r="D8963" s="89" t="str">
        <f>VLOOKUP(A8963,'Materiales '!$C$2:$G$396,4,0)</f>
        <v>-</v>
      </c>
      <c r="E8963" s="90"/>
      <c r="F8963" s="508" t="e">
        <f>E8963*D8963</f>
        <v>#VALUE!</v>
      </c>
      <c r="G8963" s="519"/>
      <c r="H8963" s="110"/>
      <c r="I8963">
        <f>E8963*G8945</f>
        <v>0</v>
      </c>
      <c r="J8963" s="58"/>
      <c r="K8963" s="50"/>
      <c r="L8963" s="50"/>
      <c r="M8963" s="50"/>
      <c r="N8963" s="50"/>
      <c r="O8963" s="50"/>
    </row>
    <row r="8964" spans="1:15">
      <c r="A8964" s="517" t="s">
        <v>8</v>
      </c>
      <c r="B8964" s="518">
        <f>VLOOKUP(A8964,'Materiales '!$C$2:$G$396,3,0)</f>
        <v>0</v>
      </c>
      <c r="C8964" s="88">
        <f>VLOOKUP(A8964,'Materiales '!$C$2:$G$396,3,0)</f>
        <v>0</v>
      </c>
      <c r="D8964" s="89" t="str">
        <f>VLOOKUP(A8964,'Materiales '!$C$2:$G$396,4,0)</f>
        <v>-</v>
      </c>
      <c r="E8964" s="90"/>
      <c r="F8964" s="508" t="e">
        <f t="shared" ref="F8964:F8967" si="520">E8964*D8964</f>
        <v>#VALUE!</v>
      </c>
      <c r="G8964" s="519"/>
      <c r="H8964" s="111"/>
      <c r="I8964">
        <f>E8964*G8945</f>
        <v>0</v>
      </c>
      <c r="J8964" s="58"/>
      <c r="K8964" s="50"/>
      <c r="L8964" s="50"/>
      <c r="M8964" s="50"/>
      <c r="N8964" s="50"/>
      <c r="O8964" s="50"/>
    </row>
    <row r="8965" spans="1:15">
      <c r="A8965" s="517" t="s">
        <v>8</v>
      </c>
      <c r="B8965" s="518">
        <f>VLOOKUP(A8965,'Materiales '!$C$2:$G$396,3,0)</f>
        <v>0</v>
      </c>
      <c r="C8965" s="88">
        <f>VLOOKUP(A8965,'Materiales '!$C$2:$G$396,3,0)</f>
        <v>0</v>
      </c>
      <c r="D8965" s="89" t="str">
        <f>VLOOKUP(A8965,'Materiales '!$C$2:$G$396,4,0)</f>
        <v>-</v>
      </c>
      <c r="E8965" s="90"/>
      <c r="F8965" s="508" t="e">
        <f t="shared" si="520"/>
        <v>#VALUE!</v>
      </c>
      <c r="G8965" s="519"/>
      <c r="H8965" s="111"/>
      <c r="I8965">
        <f>E8965*G8945</f>
        <v>0</v>
      </c>
      <c r="J8965" s="58"/>
      <c r="K8965" s="50"/>
      <c r="L8965" s="50"/>
      <c r="M8965" s="50"/>
      <c r="N8965" s="50"/>
      <c r="O8965" s="50"/>
    </row>
    <row r="8966" spans="1:15">
      <c r="A8966" s="517" t="s">
        <v>8</v>
      </c>
      <c r="B8966" s="518">
        <f>VLOOKUP(A8966,'Materiales '!$C$2:$G$396,3,0)</f>
        <v>0</v>
      </c>
      <c r="C8966" s="88">
        <f>VLOOKUP(A8966,'Materiales '!$C$2:$G$396,3,0)</f>
        <v>0</v>
      </c>
      <c r="D8966" s="89" t="str">
        <f>VLOOKUP(A8966,'Materiales '!$C$2:$G$396,4,0)</f>
        <v>-</v>
      </c>
      <c r="E8966" s="90"/>
      <c r="F8966" s="508" t="e">
        <f t="shared" si="520"/>
        <v>#VALUE!</v>
      </c>
      <c r="G8966" s="519"/>
      <c r="H8966" s="111"/>
      <c r="I8966">
        <f>E8966*G8945</f>
        <v>0</v>
      </c>
      <c r="J8966" s="58"/>
      <c r="K8966" s="50"/>
      <c r="L8966" s="50"/>
      <c r="M8966" s="50"/>
      <c r="N8966" s="50"/>
      <c r="O8966" s="50"/>
    </row>
    <row r="8967" spans="1:15">
      <c r="A8967" s="517" t="s">
        <v>8</v>
      </c>
      <c r="B8967" s="518">
        <f>VLOOKUP(A8967,'Materiales '!$C$2:$G$396,3,0)</f>
        <v>0</v>
      </c>
      <c r="C8967" s="88">
        <f>VLOOKUP(A8967,'Materiales '!$C$2:$G$396,3,0)</f>
        <v>0</v>
      </c>
      <c r="D8967" s="89" t="str">
        <f>VLOOKUP(A8967,'Materiales '!$C$2:$G$396,4,0)</f>
        <v>-</v>
      </c>
      <c r="E8967" s="90"/>
      <c r="F8967" s="508" t="e">
        <f t="shared" si="520"/>
        <v>#VALUE!</v>
      </c>
      <c r="G8967" s="519"/>
      <c r="H8967" s="111"/>
      <c r="I8967">
        <f>E8967*G8945</f>
        <v>0</v>
      </c>
      <c r="J8967" s="58"/>
      <c r="K8967" s="50"/>
      <c r="L8967" s="50"/>
      <c r="M8967" s="50"/>
      <c r="N8967" s="50"/>
      <c r="O8967" s="50"/>
    </row>
    <row r="8968" spans="1:15">
      <c r="A8968" s="517" t="s">
        <v>8</v>
      </c>
      <c r="B8968" s="518">
        <f>VLOOKUP(A8968,'Materiales '!$C$2:$G$396,3,0)</f>
        <v>0</v>
      </c>
      <c r="C8968" s="88">
        <f>VLOOKUP(A8968,'Materiales '!$C$2:$G$396,3,0)</f>
        <v>0</v>
      </c>
      <c r="D8968" s="89" t="str">
        <f>VLOOKUP(A8968,'Materiales '!$C$2:$G$396,4,0)</f>
        <v>-</v>
      </c>
      <c r="E8968" s="90"/>
      <c r="F8968" s="508" t="e">
        <f>E8968*D8968</f>
        <v>#VALUE!</v>
      </c>
      <c r="G8968" s="519"/>
      <c r="H8968" s="110"/>
      <c r="I8968">
        <f>E8968*G8945</f>
        <v>0</v>
      </c>
      <c r="J8968" s="58"/>
      <c r="K8968" s="50"/>
      <c r="L8968" s="50"/>
      <c r="M8968" s="50"/>
      <c r="N8968" s="50"/>
      <c r="O8968" s="50"/>
    </row>
    <row r="8969" spans="1:15">
      <c r="A8969" s="520" t="s">
        <v>4098</v>
      </c>
      <c r="B8969" s="521"/>
      <c r="C8969" s="521"/>
      <c r="D8969" s="521"/>
      <c r="E8969" s="521"/>
      <c r="F8969" s="521"/>
      <c r="G8969" s="522"/>
      <c r="H8969" s="106" t="e">
        <f>SUM(F8955:F8968)</f>
        <v>#VALUE!</v>
      </c>
      <c r="J8969" s="58"/>
      <c r="K8969" s="50"/>
      <c r="L8969" s="50"/>
      <c r="M8969" s="50"/>
      <c r="N8969" s="50"/>
      <c r="O8969" s="50"/>
    </row>
    <row r="8970" spans="1:15">
      <c r="A8970" s="523" t="s">
        <v>4220</v>
      </c>
      <c r="B8970" s="524"/>
      <c r="C8970" s="524"/>
      <c r="D8970" s="524"/>
      <c r="E8970" s="525"/>
      <c r="F8970" s="524"/>
      <c r="G8970" s="524"/>
      <c r="H8970" s="526"/>
      <c r="J8970" s="58"/>
      <c r="K8970" s="50"/>
      <c r="L8970" s="50"/>
      <c r="M8970" s="50"/>
      <c r="N8970" s="50"/>
      <c r="O8970" s="50"/>
    </row>
    <row r="8971" spans="1:15">
      <c r="A8971" s="527" t="s">
        <v>7</v>
      </c>
      <c r="B8971" s="528"/>
      <c r="C8971" s="98" t="s">
        <v>4221</v>
      </c>
      <c r="D8971" s="97" t="s">
        <v>4222</v>
      </c>
      <c r="E8971" s="187" t="s">
        <v>4223</v>
      </c>
      <c r="F8971" s="529" t="s">
        <v>4207</v>
      </c>
      <c r="G8971" s="529"/>
      <c r="H8971" s="109"/>
      <c r="K8971" s="50"/>
      <c r="L8971" s="50"/>
      <c r="M8971" s="50"/>
      <c r="N8971" s="50"/>
      <c r="O8971" s="50"/>
    </row>
    <row r="8972" spans="1:15">
      <c r="A8972" s="506" t="s">
        <v>3928</v>
      </c>
      <c r="B8972" s="507"/>
      <c r="C8972" s="213">
        <v>1</v>
      </c>
      <c r="D8972" s="92">
        <v>5.0000000000000001E-3</v>
      </c>
      <c r="E8972" s="93" t="str">
        <f>VLOOKUP(A8972,'Equip, Herr y Transp'!$B$2:$E$217,3,0)</f>
        <v>TR</v>
      </c>
      <c r="F8972" s="530" t="e">
        <f>E8972*D8972*C8972</f>
        <v>#VALUE!</v>
      </c>
      <c r="G8972" s="531"/>
      <c r="H8972" s="107"/>
      <c r="M8972" s="50"/>
    </row>
    <row r="8973" spans="1:15">
      <c r="A8973" s="532" t="s">
        <v>4205</v>
      </c>
      <c r="B8973" s="533"/>
      <c r="C8973" s="533"/>
      <c r="D8973" s="533"/>
      <c r="E8973" s="533"/>
      <c r="F8973" s="533"/>
      <c r="G8973" s="533"/>
      <c r="H8973" s="95" t="e">
        <f>F8972</f>
        <v>#VALUE!</v>
      </c>
    </row>
    <row r="8974" spans="1:15">
      <c r="A8974" s="523" t="s">
        <v>4224</v>
      </c>
      <c r="B8974" s="524"/>
      <c r="C8974" s="524"/>
      <c r="D8974" s="524"/>
      <c r="E8974" s="524"/>
      <c r="F8974" s="524"/>
      <c r="G8974" s="524"/>
      <c r="H8974" s="526"/>
    </row>
    <row r="8975" spans="1:15">
      <c r="A8975" s="527" t="s">
        <v>7</v>
      </c>
      <c r="B8975" s="528"/>
      <c r="C8975" s="96" t="s">
        <v>1</v>
      </c>
      <c r="D8975" s="97" t="s">
        <v>4225</v>
      </c>
      <c r="E8975" s="98" t="s">
        <v>4204</v>
      </c>
      <c r="F8975" s="527" t="s">
        <v>5</v>
      </c>
      <c r="G8975" s="534"/>
      <c r="H8975" s="109"/>
    </row>
    <row r="8976" spans="1:15">
      <c r="A8976" s="506" t="s">
        <v>4191</v>
      </c>
      <c r="B8976" s="507"/>
      <c r="C8976" s="91">
        <v>1</v>
      </c>
      <c r="D8976" s="94">
        <f>VLOOKUP(A8976,'Mano Obra'!$B$2:$T$117,19,0)</f>
        <v>152456</v>
      </c>
      <c r="E8976" s="218">
        <f>H8938</f>
        <v>1.46E-2</v>
      </c>
      <c r="F8976" s="508">
        <f>E8976*D8976*C8976</f>
        <v>2225.8575999999998</v>
      </c>
      <c r="G8976" s="509"/>
      <c r="H8976" s="111"/>
      <c r="I8976" s="59"/>
      <c r="J8976" s="117">
        <f>((('Mano Obra'!$M$4/30)*F8976)/D8976)*G8945</f>
        <v>0</v>
      </c>
    </row>
    <row r="8977" spans="1:10">
      <c r="A8977" s="510" t="s">
        <v>4192</v>
      </c>
      <c r="B8977" s="511">
        <f>VLOOKUP(A8977,'Mano Obra'!$B$3:$D$290,2,0)</f>
        <v>1900000</v>
      </c>
      <c r="C8977" s="91">
        <v>2</v>
      </c>
      <c r="D8977" s="94">
        <f>VLOOKUP(A8977,'Mano Obra'!$B$2:$T$117,19,0)</f>
        <v>110488</v>
      </c>
      <c r="E8977" s="218">
        <f>H8938</f>
        <v>1.46E-2</v>
      </c>
      <c r="F8977" s="508">
        <f t="shared" ref="F8977:F8978" si="521">E8977*D8977*C8977</f>
        <v>3226.2496000000001</v>
      </c>
      <c r="G8977" s="509"/>
      <c r="H8977" s="111"/>
      <c r="J8977" s="117">
        <f>((('Mano Obra'!$M$5/30)*F8977)/D8977)*G8945</f>
        <v>0</v>
      </c>
    </row>
    <row r="8978" spans="1:10">
      <c r="A8978" s="510" t="s">
        <v>4181</v>
      </c>
      <c r="B8978" s="511">
        <f>VLOOKUP(A8978,'Mano Obra'!$B$3:$D$290,2,0)</f>
        <v>1000000</v>
      </c>
      <c r="C8978" s="91">
        <v>1</v>
      </c>
      <c r="D8978" s="94">
        <f>VLOOKUP(A8978,'Mano Obra'!$B$2:$T$117,19,0)</f>
        <v>67424</v>
      </c>
      <c r="E8978" s="218">
        <f>H8938</f>
        <v>1.46E-2</v>
      </c>
      <c r="F8978" s="508">
        <f t="shared" si="521"/>
        <v>984.3904</v>
      </c>
      <c r="G8978" s="509"/>
      <c r="H8978" s="110"/>
      <c r="J8978" s="117">
        <f>((('Mano Obra'!$M$6/30)*F8978)/D8978)*G8945</f>
        <v>0</v>
      </c>
    </row>
    <row r="8979" spans="1:10">
      <c r="A8979" s="512" t="s">
        <v>4100</v>
      </c>
      <c r="B8979" s="512"/>
      <c r="C8979" s="512"/>
      <c r="D8979" s="512"/>
      <c r="E8979" s="512"/>
      <c r="F8979" s="512"/>
      <c r="G8979" s="512"/>
      <c r="H8979" s="95">
        <f>SUM(F8976:F8978)</f>
        <v>6436.4976000000006</v>
      </c>
      <c r="J8979" s="117"/>
    </row>
    <row r="8980" spans="1:10">
      <c r="A8980" s="208" t="s">
        <v>4226</v>
      </c>
      <c r="B8980" s="186"/>
      <c r="C8980" s="186"/>
      <c r="D8980" s="183"/>
      <c r="E8980" s="184"/>
      <c r="F8980" s="185"/>
      <c r="G8980" s="184"/>
      <c r="H8980" s="193"/>
    </row>
    <row r="8981" spans="1:10">
      <c r="A8981" s="513" t="s">
        <v>4213</v>
      </c>
      <c r="B8981" s="514"/>
      <c r="C8981" s="514"/>
      <c r="D8981" s="514"/>
      <c r="E8981" s="181"/>
      <c r="F8981" s="182" t="s">
        <v>4227</v>
      </c>
      <c r="G8981" s="181" t="s">
        <v>4228</v>
      </c>
      <c r="H8981" s="194"/>
    </row>
    <row r="8982" spans="1:10">
      <c r="A8982" s="204" t="s">
        <v>4096</v>
      </c>
      <c r="B8982" s="62"/>
      <c r="C8982" s="62"/>
      <c r="D8982" s="63"/>
      <c r="E8982" s="68"/>
      <c r="F8982" s="69">
        <v>0</v>
      </c>
      <c r="G8982" s="70" t="e">
        <f>F8982*H8946</f>
        <v>#VALUE!</v>
      </c>
      <c r="H8982" s="193"/>
    </row>
    <row r="8983" spans="1:10">
      <c r="A8983" s="205" t="s">
        <v>4229</v>
      </c>
      <c r="B8983" s="71"/>
      <c r="C8983" s="71"/>
      <c r="D8983" s="72"/>
      <c r="E8983" s="68"/>
      <c r="F8983" s="69">
        <v>0</v>
      </c>
      <c r="G8983" s="70" t="e">
        <f>F8983*H8946</f>
        <v>#VALUE!</v>
      </c>
      <c r="H8983" s="193"/>
    </row>
    <row r="8984" spans="1:10">
      <c r="A8984" s="205" t="s">
        <v>4</v>
      </c>
      <c r="B8984" s="71"/>
      <c r="C8984" s="71"/>
      <c r="D8984" s="72"/>
      <c r="E8984" s="68"/>
      <c r="F8984" s="69">
        <v>0</v>
      </c>
      <c r="G8984" s="70" t="e">
        <f>F8984*H8946</f>
        <v>#VALUE!</v>
      </c>
      <c r="H8984" s="193"/>
    </row>
    <row r="8985" spans="1:10">
      <c r="A8985" s="206"/>
      <c r="B8985" s="73"/>
      <c r="C8985" s="65"/>
      <c r="D8985" s="74"/>
      <c r="E8985" s="75"/>
      <c r="F8985" s="76"/>
      <c r="G8985" s="77"/>
      <c r="H8985" s="195"/>
    </row>
    <row r="8986" spans="1:10">
      <c r="A8986" s="207"/>
      <c r="B8986" s="73"/>
      <c r="C8986" s="73"/>
      <c r="D8986" s="74"/>
      <c r="E8986" s="78"/>
      <c r="F8986" s="515" t="s">
        <v>4230</v>
      </c>
      <c r="G8986" s="516"/>
      <c r="H8986" s="214" t="e">
        <f>H8946+G8982+G8983+G8984</f>
        <v>#VALUE!</v>
      </c>
    </row>
    <row r="8988" spans="1:10">
      <c r="A8988" s="80"/>
      <c r="B8988" s="80"/>
      <c r="C8988" s="80"/>
      <c r="D8988" s="80"/>
      <c r="E8988" s="80"/>
      <c r="F8988" s="80"/>
      <c r="G8988" s="80"/>
      <c r="H8988" s="353"/>
    </row>
    <row r="8989" spans="1:10">
      <c r="A8989" s="537" t="s">
        <v>4214</v>
      </c>
      <c r="B8989" s="538"/>
      <c r="C8989" s="538"/>
      <c r="D8989" s="538"/>
      <c r="E8989" s="538"/>
      <c r="F8989" s="538"/>
      <c r="G8989" s="538"/>
      <c r="H8989" s="539"/>
    </row>
    <row r="8990" spans="1:10">
      <c r="A8990" s="81"/>
      <c r="B8990" s="82"/>
      <c r="C8990" s="82"/>
      <c r="D8990" s="82"/>
      <c r="E8990" s="82"/>
      <c r="F8990" s="83"/>
      <c r="G8990" s="84"/>
      <c r="H8990" s="352">
        <f>ROUND((10/60)/8,4)</f>
        <v>2.0799999999999999E-2</v>
      </c>
      <c r="I8990" s="105"/>
    </row>
    <row r="8991" spans="1:10">
      <c r="A8991" s="540" t="s">
        <v>4209</v>
      </c>
      <c r="B8991" s="542" t="str">
        <f>COSTOS!$C$14</f>
        <v>MODERNIZACION A TECNOLOGIA LED</v>
      </c>
      <c r="C8991" s="542"/>
      <c r="D8991" s="542"/>
      <c r="E8991" s="542"/>
      <c r="F8991" s="542"/>
      <c r="G8991" s="542"/>
      <c r="H8991" s="543" t="s">
        <v>4210</v>
      </c>
    </row>
    <row r="8992" spans="1:10">
      <c r="A8992" s="541"/>
      <c r="B8992" s="542"/>
      <c r="C8992" s="542"/>
      <c r="D8992" s="542"/>
      <c r="E8992" s="542"/>
      <c r="F8992" s="542"/>
      <c r="G8992" s="542"/>
      <c r="H8992" s="543"/>
    </row>
    <row r="8993" spans="1:15">
      <c r="A8993" s="541"/>
      <c r="B8993" s="542"/>
      <c r="C8993" s="542"/>
      <c r="D8993" s="542"/>
      <c r="E8993" s="542"/>
      <c r="F8993" s="542"/>
      <c r="G8993" s="542"/>
      <c r="H8993" s="543"/>
    </row>
    <row r="8994" spans="1:15" ht="15" customHeight="1">
      <c r="A8994" s="541"/>
      <c r="B8994" s="542"/>
      <c r="C8994" s="542"/>
      <c r="D8994" s="542"/>
      <c r="E8994" s="542"/>
      <c r="F8994" s="542"/>
      <c r="G8994" s="542"/>
      <c r="H8994" s="197">
        <f ca="1">TODAY()</f>
        <v>44889</v>
      </c>
      <c r="K8994" t="s">
        <v>4380</v>
      </c>
      <c r="L8994" t="s">
        <v>4381</v>
      </c>
      <c r="M8994" t="s">
        <v>4382</v>
      </c>
      <c r="N8994" t="s">
        <v>4383</v>
      </c>
    </row>
    <row r="8995" spans="1:15" ht="60.75" customHeight="1">
      <c r="A8995" s="209" t="s">
        <v>4211</v>
      </c>
      <c r="B8995" s="544" t="str">
        <f>COSTOS!$D$16</f>
        <v>Luminarias</v>
      </c>
      <c r="C8995" s="544"/>
      <c r="D8995" s="544"/>
      <c r="E8995" s="544"/>
      <c r="F8995" s="544"/>
      <c r="G8995" s="60" t="s">
        <v>4212</v>
      </c>
      <c r="H8995" s="359">
        <v>7.2</v>
      </c>
      <c r="K8995" s="55" t="e">
        <f>H9021</f>
        <v>#VALUE!</v>
      </c>
      <c r="L8995" s="55">
        <f>H9031</f>
        <v>9169.8047999999999</v>
      </c>
      <c r="M8995" s="55" t="e">
        <f>H9004</f>
        <v>#VALUE!</v>
      </c>
      <c r="N8995" s="55" t="e">
        <f>H9025</f>
        <v>#VALUE!</v>
      </c>
    </row>
    <row r="8996" spans="1:15" ht="43.2" customHeight="1">
      <c r="A8996" s="210" t="s">
        <v>4213</v>
      </c>
      <c r="B8996" s="545" t="str">
        <f>VLOOKUP(H8995,COSTOS!C:M,2,0)</f>
        <v>Canalizacion con un ducto 1" PVC</v>
      </c>
      <c r="C8996" s="546"/>
      <c r="D8996" s="546"/>
      <c r="E8996" s="547"/>
      <c r="F8996" s="61" t="s">
        <v>0</v>
      </c>
      <c r="G8996" s="328" t="str">
        <f>VLOOKUP(H8995,COSTOS!C:M,8,0)</f>
        <v>Ml</v>
      </c>
      <c r="H8996" s="248"/>
      <c r="I8996" s="278"/>
      <c r="J8996" s="280"/>
      <c r="K8996" s="280"/>
      <c r="L8996" s="280"/>
    </row>
    <row r="8997" spans="1:15">
      <c r="A8997" s="211"/>
      <c r="B8997" s="102"/>
      <c r="C8997" s="102"/>
      <c r="D8997" s="102"/>
      <c r="E8997" s="103"/>
      <c r="F8997" s="104" t="s">
        <v>1</v>
      </c>
      <c r="G8997" s="328">
        <f>VLOOKUP(H8995,COSTOS!C:M,9,0)</f>
        <v>0</v>
      </c>
      <c r="H8997" s="329"/>
      <c r="I8997" s="279"/>
    </row>
    <row r="8998" spans="1:15">
      <c r="A8998" s="212" t="s">
        <v>4215</v>
      </c>
      <c r="B8998" s="65"/>
      <c r="C8998" s="65"/>
      <c r="D8998" s="66"/>
      <c r="E8998" s="190"/>
      <c r="F8998" s="191"/>
      <c r="G8998" s="192" t="s">
        <v>4216</v>
      </c>
      <c r="H8998" s="198" t="e">
        <f>H9004+H9021+H9025+H9031</f>
        <v>#VALUE!</v>
      </c>
    </row>
    <row r="8999" spans="1:15" ht="41.4">
      <c r="A8999" s="548" t="s">
        <v>4213</v>
      </c>
      <c r="B8999" s="548"/>
      <c r="C8999" s="548"/>
      <c r="D8999" s="67" t="s">
        <v>0</v>
      </c>
      <c r="E8999" s="188" t="s">
        <v>4217</v>
      </c>
      <c r="F8999" s="189" t="s">
        <v>4204</v>
      </c>
      <c r="G8999" s="64" t="s">
        <v>2</v>
      </c>
      <c r="H8999" s="199" t="s">
        <v>4218</v>
      </c>
      <c r="K8999" s="281"/>
    </row>
    <row r="9000" spans="1:15">
      <c r="A9000" s="517" t="s">
        <v>3946</v>
      </c>
      <c r="B9000" s="549">
        <f>VLOOKUP(A9000,'Equip, Herr y Transp'!$B$2:$E$738,2,0)</f>
        <v>2</v>
      </c>
      <c r="C9000" s="549"/>
      <c r="D9000" s="85">
        <f>VLOOKUP(A9000,'Equip, Herr y Transp'!$B$2:$E$217,2,0)</f>
        <v>2</v>
      </c>
      <c r="E9000" s="85" t="str">
        <f>VLOOKUP(A9000,'Equip, Herr y Transp'!$B$2:$E$217,3,0)</f>
        <v>EQU</v>
      </c>
      <c r="F9000" s="86">
        <f>H8990</f>
        <v>2.0799999999999999E-2</v>
      </c>
      <c r="G9000" s="112" t="e">
        <f>F9000*E9000</f>
        <v>#VALUE!</v>
      </c>
      <c r="H9000" s="108"/>
    </row>
    <row r="9001" spans="1:15">
      <c r="A9001" s="517" t="s">
        <v>3927</v>
      </c>
      <c r="B9001" s="549">
        <f>VLOOKUP(A9001,'Equip, Herr y Transp'!$B$2:$E$738,2,0)</f>
        <v>2</v>
      </c>
      <c r="C9001" s="549"/>
      <c r="D9001" s="85">
        <f>VLOOKUP(A9001,'Equip, Herr y Transp'!$B$2:$E$217,2,0)</f>
        <v>2</v>
      </c>
      <c r="E9001" s="85" t="str">
        <f>VLOOKUP(A9001,'Equip, Herr y Transp'!$B$2:$E$217,3,0)</f>
        <v>EQU</v>
      </c>
      <c r="F9001" s="86">
        <f>H8990</f>
        <v>2.0799999999999999E-2</v>
      </c>
      <c r="G9001" s="112" t="e">
        <f>F9001*E9001</f>
        <v>#VALUE!</v>
      </c>
      <c r="H9001" s="107"/>
    </row>
    <row r="9002" spans="1:15">
      <c r="A9002" s="517" t="s">
        <v>8</v>
      </c>
      <c r="B9002" s="549" t="e">
        <f>VLOOKUP(A9002,'Equip, Herr y Transp'!$B$2:$E$738,2,0)</f>
        <v>#N/A</v>
      </c>
      <c r="C9002" s="549"/>
      <c r="D9002" s="85" t="e">
        <f>VLOOKUP(A9002,'Equip, Herr y Transp'!$B$2:$E$217,2,0)</f>
        <v>#N/A</v>
      </c>
      <c r="E9002" s="85" t="e">
        <f>VLOOKUP(A9002,'Equip, Herr y Transp'!$B$2:$E$217,3,0)</f>
        <v>#N/A</v>
      </c>
      <c r="F9002" s="86">
        <f>H8990</f>
        <v>2.0799999999999999E-2</v>
      </c>
      <c r="G9002" s="112" t="e">
        <f>F9002*E9002</f>
        <v>#N/A</v>
      </c>
      <c r="H9002" s="107"/>
    </row>
    <row r="9003" spans="1:15">
      <c r="A9003" s="517" t="s">
        <v>8</v>
      </c>
      <c r="B9003" s="549" t="e">
        <f>VLOOKUP(A9003,'Equip, Herr y Transp'!$B$2:$E$738,2,0)</f>
        <v>#N/A</v>
      </c>
      <c r="C9003" s="549"/>
      <c r="D9003" s="85" t="e">
        <f>VLOOKUP(A9003,'Equip, Herr y Transp'!$B$2:$E$217,2,0)</f>
        <v>#N/A</v>
      </c>
      <c r="E9003" s="85" t="e">
        <f>VLOOKUP(A9003,'Equip, Herr y Transp'!$B$2:$E$217,3,0)</f>
        <v>#N/A</v>
      </c>
      <c r="F9003" s="86">
        <f>H8990</f>
        <v>2.0799999999999999E-2</v>
      </c>
      <c r="G9003" s="112" t="e">
        <f>F9003*E9003</f>
        <v>#N/A</v>
      </c>
      <c r="H9003" s="107"/>
    </row>
    <row r="9004" spans="1:15">
      <c r="A9004" s="520" t="s">
        <v>4099</v>
      </c>
      <c r="B9004" s="521"/>
      <c r="C9004" s="521"/>
      <c r="D9004" s="521"/>
      <c r="E9004" s="521"/>
      <c r="F9004" s="521"/>
      <c r="G9004" s="521"/>
      <c r="H9004" s="87" t="e">
        <f>SUM(G9000:G9003)</f>
        <v>#VALUE!</v>
      </c>
    </row>
    <row r="9005" spans="1:15">
      <c r="A9005" s="550" t="s">
        <v>4219</v>
      </c>
      <c r="B9005" s="551"/>
      <c r="C9005" s="551"/>
      <c r="D9005" s="551"/>
      <c r="E9005" s="551"/>
      <c r="F9005" s="551"/>
      <c r="G9005" s="551"/>
      <c r="H9005" s="552"/>
      <c r="K9005" s="50"/>
      <c r="L9005" s="50"/>
      <c r="M9005" s="50"/>
      <c r="N9005" s="50"/>
      <c r="O9005" s="50"/>
    </row>
    <row r="9006" spans="1:15" ht="30" customHeight="1">
      <c r="A9006" s="553" t="s">
        <v>7</v>
      </c>
      <c r="B9006" s="554"/>
      <c r="C9006" s="99" t="s">
        <v>0</v>
      </c>
      <c r="D9006" s="100" t="s">
        <v>4097</v>
      </c>
      <c r="E9006" s="101" t="s">
        <v>1</v>
      </c>
      <c r="F9006" s="555" t="s">
        <v>4207</v>
      </c>
      <c r="G9006" s="555"/>
      <c r="H9006" s="196"/>
      <c r="K9006" s="50"/>
      <c r="L9006" s="50"/>
      <c r="M9006" s="50"/>
      <c r="N9006" s="50"/>
      <c r="O9006" s="50"/>
    </row>
    <row r="9007" spans="1:15">
      <c r="A9007" s="535" t="s">
        <v>4587</v>
      </c>
      <c r="B9007" s="536"/>
      <c r="C9007" s="88">
        <f>VLOOKUP(A9007,'Materiales '!$C$2:$G$396,3,0)</f>
        <v>4</v>
      </c>
      <c r="D9007" s="89" t="str">
        <f>VLOOKUP(A9007,'Materiales '!$C$2:$G$396,4,0)</f>
        <v>Und</v>
      </c>
      <c r="E9007" s="90">
        <v>0.34</v>
      </c>
      <c r="F9007" s="508" t="e">
        <f>E9007*D9007</f>
        <v>#VALUE!</v>
      </c>
      <c r="G9007" s="519"/>
      <c r="H9007" s="111"/>
      <c r="I9007">
        <f>E9007*G8997</f>
        <v>0</v>
      </c>
      <c r="J9007" s="57"/>
      <c r="K9007" s="50"/>
      <c r="L9007" s="50"/>
      <c r="M9007" s="50"/>
      <c r="N9007" s="50"/>
      <c r="O9007" s="50"/>
    </row>
    <row r="9008" spans="1:15">
      <c r="A9008" s="535" t="s">
        <v>4570</v>
      </c>
      <c r="B9008" s="536"/>
      <c r="C9008" s="88">
        <f>VLOOKUP(A9008,'Materiales '!$C$2:$G$396,3,0)</f>
        <v>4</v>
      </c>
      <c r="D9008" s="89" t="str">
        <f>VLOOKUP(A9008,'Materiales '!$C$2:$G$396,4,0)</f>
        <v>Und</v>
      </c>
      <c r="E9008" s="90">
        <v>0.04</v>
      </c>
      <c r="F9008" s="508" t="e">
        <f t="shared" ref="F9008:F9014" si="522">E9008*D9008</f>
        <v>#VALUE!</v>
      </c>
      <c r="G9008" s="519"/>
      <c r="H9008" s="111"/>
      <c r="I9008">
        <f>E9008*G8997</f>
        <v>0</v>
      </c>
      <c r="J9008" s="57"/>
      <c r="K9008" s="50"/>
      <c r="L9008" s="50"/>
      <c r="M9008" s="50"/>
      <c r="N9008" s="50"/>
      <c r="O9008" s="50"/>
    </row>
    <row r="9009" spans="1:15">
      <c r="A9009" s="517" t="s">
        <v>8</v>
      </c>
      <c r="B9009" s="518">
        <f>VLOOKUP(A9009,'Materiales '!$C$2:$G$396,3,0)</f>
        <v>0</v>
      </c>
      <c r="C9009" s="88">
        <f>VLOOKUP(A9009,'Materiales '!$C$2:$G$396,3,0)</f>
        <v>0</v>
      </c>
      <c r="D9009" s="89" t="str">
        <f>VLOOKUP(A9009,'Materiales '!$C$2:$G$396,4,0)</f>
        <v>-</v>
      </c>
      <c r="E9009" s="90">
        <v>1</v>
      </c>
      <c r="F9009" s="508" t="e">
        <f t="shared" si="522"/>
        <v>#VALUE!</v>
      </c>
      <c r="G9009" s="519"/>
      <c r="H9009" s="111"/>
      <c r="I9009">
        <f>E9009*G8997</f>
        <v>0</v>
      </c>
      <c r="J9009" s="58"/>
      <c r="K9009" s="50"/>
      <c r="L9009" s="50"/>
      <c r="M9009" s="50"/>
      <c r="N9009" s="50"/>
      <c r="O9009" s="50"/>
    </row>
    <row r="9010" spans="1:15">
      <c r="A9010" s="517" t="s">
        <v>8</v>
      </c>
      <c r="B9010" s="518">
        <f>VLOOKUP(A9010,'Materiales '!$C$2:$G$396,3,0)</f>
        <v>0</v>
      </c>
      <c r="C9010" s="88">
        <f>VLOOKUP(A9010,'Materiales '!$C$2:$G$396,3,0)</f>
        <v>0</v>
      </c>
      <c r="D9010" s="89" t="str">
        <f>VLOOKUP(A9010,'Materiales '!$C$2:$G$396,4,0)</f>
        <v>-</v>
      </c>
      <c r="E9010" s="90">
        <v>1</v>
      </c>
      <c r="F9010" s="508" t="e">
        <f t="shared" si="522"/>
        <v>#VALUE!</v>
      </c>
      <c r="G9010" s="519"/>
      <c r="H9010" s="111"/>
      <c r="I9010">
        <f>E9010*G8997</f>
        <v>0</v>
      </c>
      <c r="J9010" s="58"/>
      <c r="K9010" s="50"/>
      <c r="L9010" s="50"/>
      <c r="M9010" s="50"/>
      <c r="N9010" s="50"/>
      <c r="O9010" s="50"/>
    </row>
    <row r="9011" spans="1:15">
      <c r="A9011" s="517" t="s">
        <v>8</v>
      </c>
      <c r="B9011" s="518">
        <f>VLOOKUP(A9011,'Materiales '!$C$2:$G$396,3,0)</f>
        <v>0</v>
      </c>
      <c r="C9011" s="88">
        <f>VLOOKUP(A9011,'Materiales '!$C$2:$G$396,3,0)</f>
        <v>0</v>
      </c>
      <c r="D9011" s="89" t="str">
        <f>VLOOKUP(A9011,'Materiales '!$C$2:$G$396,4,0)</f>
        <v>-</v>
      </c>
      <c r="E9011" s="90">
        <v>0.5</v>
      </c>
      <c r="F9011" s="508" t="e">
        <f t="shared" si="522"/>
        <v>#VALUE!</v>
      </c>
      <c r="G9011" s="519"/>
      <c r="H9011" s="111"/>
      <c r="I9011">
        <f>E9011*G8997</f>
        <v>0</v>
      </c>
      <c r="J9011" s="58"/>
      <c r="K9011" s="50"/>
      <c r="L9011" s="50"/>
      <c r="M9011" s="50"/>
      <c r="N9011" s="50"/>
      <c r="O9011" s="50"/>
    </row>
    <row r="9012" spans="1:15">
      <c r="A9012" s="517" t="s">
        <v>8</v>
      </c>
      <c r="B9012" s="518">
        <f>VLOOKUP(A9012,'Materiales '!$C$2:$G$396,3,0)</f>
        <v>0</v>
      </c>
      <c r="C9012" s="88">
        <f>VLOOKUP(A9012,'Materiales '!$C$2:$G$396,3,0)</f>
        <v>0</v>
      </c>
      <c r="D9012" s="89" t="str">
        <f>VLOOKUP(A9012,'Materiales '!$C$2:$G$396,4,0)</f>
        <v>-</v>
      </c>
      <c r="E9012" s="90">
        <v>1</v>
      </c>
      <c r="F9012" s="508" t="e">
        <f t="shared" si="522"/>
        <v>#VALUE!</v>
      </c>
      <c r="G9012" s="519"/>
      <c r="H9012" s="111"/>
      <c r="I9012">
        <f>E9012*G8997</f>
        <v>0</v>
      </c>
      <c r="J9012" s="58"/>
      <c r="K9012" s="50"/>
      <c r="L9012" s="50"/>
      <c r="M9012" s="50"/>
      <c r="N9012" s="50"/>
      <c r="O9012" s="50"/>
    </row>
    <row r="9013" spans="1:15">
      <c r="A9013" s="517" t="s">
        <v>8</v>
      </c>
      <c r="B9013" s="518">
        <f>VLOOKUP(A9013,'Materiales '!$C$2:$G$396,3,0)</f>
        <v>0</v>
      </c>
      <c r="C9013" s="88">
        <f>VLOOKUP(A9013,'Materiales '!$C$2:$G$396,3,0)</f>
        <v>0</v>
      </c>
      <c r="D9013" s="89" t="str">
        <f>VLOOKUP(A9013,'Materiales '!$C$2:$G$396,4,0)</f>
        <v>-</v>
      </c>
      <c r="E9013" s="90">
        <v>1</v>
      </c>
      <c r="F9013" s="508" t="e">
        <f t="shared" si="522"/>
        <v>#VALUE!</v>
      </c>
      <c r="G9013" s="519"/>
      <c r="H9013" s="111"/>
      <c r="I9013">
        <f>E9013*G8997</f>
        <v>0</v>
      </c>
      <c r="J9013" s="58"/>
      <c r="K9013" s="50"/>
      <c r="L9013" s="50"/>
      <c r="M9013" s="50"/>
      <c r="N9013" s="50"/>
      <c r="O9013" s="50"/>
    </row>
    <row r="9014" spans="1:15" ht="21.75" customHeight="1">
      <c r="A9014" s="517" t="s">
        <v>8</v>
      </c>
      <c r="B9014" s="518">
        <f>VLOOKUP(A9014,'Materiales '!$C$2:$G$396,3,0)</f>
        <v>0</v>
      </c>
      <c r="C9014" s="88">
        <f>VLOOKUP(A9014,'Materiales '!$C$2:$G$396,3,0)</f>
        <v>0</v>
      </c>
      <c r="D9014" s="89" t="str">
        <f>VLOOKUP(A9014,'Materiales '!$C$2:$G$396,4,0)</f>
        <v>-</v>
      </c>
      <c r="E9014" s="90"/>
      <c r="F9014" s="508" t="e">
        <f t="shared" si="522"/>
        <v>#VALUE!</v>
      </c>
      <c r="G9014" s="519"/>
      <c r="H9014" s="111"/>
      <c r="I9014">
        <f>E9014*G8997</f>
        <v>0</v>
      </c>
      <c r="J9014" s="58"/>
      <c r="K9014" s="50"/>
      <c r="L9014" s="50"/>
      <c r="M9014" s="50"/>
      <c r="N9014" s="50"/>
      <c r="O9014" s="50"/>
    </row>
    <row r="9015" spans="1:15">
      <c r="A9015" s="517" t="s">
        <v>8</v>
      </c>
      <c r="B9015" s="518">
        <f>VLOOKUP(A9015,'Materiales '!$C$2:$G$396,3,0)</f>
        <v>0</v>
      </c>
      <c r="C9015" s="88">
        <f>VLOOKUP(A9015,'Materiales '!$C$2:$G$396,3,0)</f>
        <v>0</v>
      </c>
      <c r="D9015" s="89" t="str">
        <f>VLOOKUP(A9015,'Materiales '!$C$2:$G$396,4,0)</f>
        <v>-</v>
      </c>
      <c r="E9015" s="90"/>
      <c r="F9015" s="508" t="e">
        <f>E9015*D9015</f>
        <v>#VALUE!</v>
      </c>
      <c r="G9015" s="519"/>
      <c r="H9015" s="110"/>
      <c r="I9015">
        <f>E9015*G8997</f>
        <v>0</v>
      </c>
      <c r="J9015" s="58"/>
      <c r="K9015" s="50"/>
      <c r="L9015" s="50"/>
      <c r="M9015" s="50"/>
      <c r="N9015" s="50"/>
      <c r="O9015" s="50"/>
    </row>
    <row r="9016" spans="1:15">
      <c r="A9016" s="517" t="s">
        <v>8</v>
      </c>
      <c r="B9016" s="518">
        <f>VLOOKUP(A9016,'Materiales '!$C$2:$G$396,3,0)</f>
        <v>0</v>
      </c>
      <c r="C9016" s="88">
        <f>VLOOKUP(A9016,'Materiales '!$C$2:$G$396,3,0)</f>
        <v>0</v>
      </c>
      <c r="D9016" s="89" t="str">
        <f>VLOOKUP(A9016,'Materiales '!$C$2:$G$396,4,0)</f>
        <v>-</v>
      </c>
      <c r="E9016" s="90"/>
      <c r="F9016" s="508" t="e">
        <f t="shared" ref="F9016:F9019" si="523">E9016*D9016</f>
        <v>#VALUE!</v>
      </c>
      <c r="G9016" s="519"/>
      <c r="H9016" s="111"/>
      <c r="I9016">
        <f>E9016*G8997</f>
        <v>0</v>
      </c>
      <c r="J9016" s="58"/>
      <c r="K9016" s="50"/>
      <c r="L9016" s="50"/>
      <c r="M9016" s="50"/>
      <c r="N9016" s="50"/>
      <c r="O9016" s="50"/>
    </row>
    <row r="9017" spans="1:15">
      <c r="A9017" s="517" t="s">
        <v>8</v>
      </c>
      <c r="B9017" s="518">
        <f>VLOOKUP(A9017,'Materiales '!$C$2:$G$396,3,0)</f>
        <v>0</v>
      </c>
      <c r="C9017" s="88">
        <f>VLOOKUP(A9017,'Materiales '!$C$2:$G$396,3,0)</f>
        <v>0</v>
      </c>
      <c r="D9017" s="89" t="str">
        <f>VLOOKUP(A9017,'Materiales '!$C$2:$G$396,4,0)</f>
        <v>-</v>
      </c>
      <c r="E9017" s="90"/>
      <c r="F9017" s="508" t="e">
        <f t="shared" si="523"/>
        <v>#VALUE!</v>
      </c>
      <c r="G9017" s="519"/>
      <c r="H9017" s="111"/>
      <c r="I9017">
        <f>E9017*G8997</f>
        <v>0</v>
      </c>
      <c r="J9017" s="58"/>
      <c r="K9017" s="50"/>
      <c r="L9017" s="50"/>
      <c r="M9017" s="50"/>
      <c r="N9017" s="50"/>
      <c r="O9017" s="50"/>
    </row>
    <row r="9018" spans="1:15">
      <c r="A9018" s="517" t="s">
        <v>8</v>
      </c>
      <c r="B9018" s="518">
        <f>VLOOKUP(A9018,'Materiales '!$C$2:$G$396,3,0)</f>
        <v>0</v>
      </c>
      <c r="C9018" s="88">
        <f>VLOOKUP(A9018,'Materiales '!$C$2:$G$396,3,0)</f>
        <v>0</v>
      </c>
      <c r="D9018" s="89" t="str">
        <f>VLOOKUP(A9018,'Materiales '!$C$2:$G$396,4,0)</f>
        <v>-</v>
      </c>
      <c r="E9018" s="90"/>
      <c r="F9018" s="508" t="e">
        <f t="shared" si="523"/>
        <v>#VALUE!</v>
      </c>
      <c r="G9018" s="519"/>
      <c r="H9018" s="111"/>
      <c r="I9018">
        <f>E9018*G8997</f>
        <v>0</v>
      </c>
      <c r="J9018" s="58"/>
      <c r="K9018" s="50"/>
      <c r="L9018" s="50"/>
      <c r="M9018" s="50"/>
      <c r="N9018" s="50"/>
      <c r="O9018" s="50"/>
    </row>
    <row r="9019" spans="1:15">
      <c r="A9019" s="517" t="s">
        <v>8</v>
      </c>
      <c r="B9019" s="518">
        <f>VLOOKUP(A9019,'Materiales '!$C$2:$G$396,3,0)</f>
        <v>0</v>
      </c>
      <c r="C9019" s="88">
        <f>VLOOKUP(A9019,'Materiales '!$C$2:$G$396,3,0)</f>
        <v>0</v>
      </c>
      <c r="D9019" s="89" t="str">
        <f>VLOOKUP(A9019,'Materiales '!$C$2:$G$396,4,0)</f>
        <v>-</v>
      </c>
      <c r="E9019" s="90"/>
      <c r="F9019" s="508" t="e">
        <f t="shared" si="523"/>
        <v>#VALUE!</v>
      </c>
      <c r="G9019" s="519"/>
      <c r="H9019" s="111"/>
      <c r="I9019">
        <f>E9019*G8997</f>
        <v>0</v>
      </c>
      <c r="J9019" s="58"/>
      <c r="K9019" s="50"/>
      <c r="L9019" s="50"/>
      <c r="M9019" s="50"/>
      <c r="N9019" s="50"/>
      <c r="O9019" s="50"/>
    </row>
    <row r="9020" spans="1:15">
      <c r="A9020" s="517" t="s">
        <v>8</v>
      </c>
      <c r="B9020" s="518">
        <f>VLOOKUP(A9020,'Materiales '!$C$2:$G$396,3,0)</f>
        <v>0</v>
      </c>
      <c r="C9020" s="88">
        <f>VLOOKUP(A9020,'Materiales '!$C$2:$G$396,3,0)</f>
        <v>0</v>
      </c>
      <c r="D9020" s="89" t="str">
        <f>VLOOKUP(A9020,'Materiales '!$C$2:$G$396,4,0)</f>
        <v>-</v>
      </c>
      <c r="E9020" s="90"/>
      <c r="F9020" s="508" t="e">
        <f>E9020*D9020</f>
        <v>#VALUE!</v>
      </c>
      <c r="G9020" s="519"/>
      <c r="H9020" s="110"/>
      <c r="I9020">
        <f>E9020*G8997</f>
        <v>0</v>
      </c>
      <c r="J9020" s="58"/>
      <c r="K9020" s="50"/>
      <c r="L9020" s="50"/>
      <c r="M9020" s="50"/>
      <c r="N9020" s="50"/>
      <c r="O9020" s="50"/>
    </row>
    <row r="9021" spans="1:15">
      <c r="A9021" s="520" t="s">
        <v>4098</v>
      </c>
      <c r="B9021" s="521"/>
      <c r="C9021" s="521"/>
      <c r="D9021" s="521"/>
      <c r="E9021" s="521"/>
      <c r="F9021" s="521"/>
      <c r="G9021" s="522"/>
      <c r="H9021" s="106" t="e">
        <f>SUM(F9007:F9020)</f>
        <v>#VALUE!</v>
      </c>
      <c r="J9021" s="58"/>
      <c r="K9021" s="50"/>
      <c r="L9021" s="50"/>
      <c r="M9021" s="50"/>
      <c r="N9021" s="50"/>
      <c r="O9021" s="50"/>
    </row>
    <row r="9022" spans="1:15">
      <c r="A9022" s="523" t="s">
        <v>4220</v>
      </c>
      <c r="B9022" s="524"/>
      <c r="C9022" s="524"/>
      <c r="D9022" s="524"/>
      <c r="E9022" s="525"/>
      <c r="F9022" s="524"/>
      <c r="G9022" s="524"/>
      <c r="H9022" s="526"/>
      <c r="J9022" s="58"/>
      <c r="K9022" s="50"/>
      <c r="L9022" s="50"/>
      <c r="M9022" s="50"/>
      <c r="N9022" s="50"/>
      <c r="O9022" s="50"/>
    </row>
    <row r="9023" spans="1:15">
      <c r="A9023" s="527" t="s">
        <v>7</v>
      </c>
      <c r="B9023" s="528"/>
      <c r="C9023" s="98" t="s">
        <v>4221</v>
      </c>
      <c r="D9023" s="97" t="s">
        <v>4222</v>
      </c>
      <c r="E9023" s="187" t="s">
        <v>4223</v>
      </c>
      <c r="F9023" s="529" t="s">
        <v>4207</v>
      </c>
      <c r="G9023" s="529"/>
      <c r="H9023" s="109"/>
      <c r="K9023" s="50"/>
      <c r="L9023" s="50"/>
      <c r="M9023" s="50"/>
      <c r="N9023" s="50"/>
      <c r="O9023" s="50"/>
    </row>
    <row r="9024" spans="1:15">
      <c r="A9024" s="506" t="s">
        <v>3928</v>
      </c>
      <c r="B9024" s="507"/>
      <c r="C9024" s="213">
        <v>1</v>
      </c>
      <c r="D9024" s="92">
        <v>5.0000000000000001E-3</v>
      </c>
      <c r="E9024" s="93" t="str">
        <f>VLOOKUP(A9024,'Equip, Herr y Transp'!$B$2:$E$217,3,0)</f>
        <v>TR</v>
      </c>
      <c r="F9024" s="530" t="e">
        <f>E9024*D9024*C9024</f>
        <v>#VALUE!</v>
      </c>
      <c r="G9024" s="531"/>
      <c r="H9024" s="107"/>
      <c r="M9024" s="50"/>
    </row>
    <row r="9025" spans="1:10">
      <c r="A9025" s="532" t="s">
        <v>4205</v>
      </c>
      <c r="B9025" s="533"/>
      <c r="C9025" s="533"/>
      <c r="D9025" s="533"/>
      <c r="E9025" s="533"/>
      <c r="F9025" s="533"/>
      <c r="G9025" s="533"/>
      <c r="H9025" s="95" t="e">
        <f>F9024</f>
        <v>#VALUE!</v>
      </c>
    </row>
    <row r="9026" spans="1:10">
      <c r="A9026" s="523" t="s">
        <v>4224</v>
      </c>
      <c r="B9026" s="524"/>
      <c r="C9026" s="524"/>
      <c r="D9026" s="524"/>
      <c r="E9026" s="524"/>
      <c r="F9026" s="524"/>
      <c r="G9026" s="524"/>
      <c r="H9026" s="526"/>
    </row>
    <row r="9027" spans="1:10">
      <c r="A9027" s="527" t="s">
        <v>7</v>
      </c>
      <c r="B9027" s="528"/>
      <c r="C9027" s="96" t="s">
        <v>1</v>
      </c>
      <c r="D9027" s="97" t="s">
        <v>4225</v>
      </c>
      <c r="E9027" s="98" t="s">
        <v>4204</v>
      </c>
      <c r="F9027" s="527" t="s">
        <v>5</v>
      </c>
      <c r="G9027" s="534"/>
      <c r="H9027" s="109"/>
    </row>
    <row r="9028" spans="1:10">
      <c r="A9028" s="506" t="s">
        <v>4191</v>
      </c>
      <c r="B9028" s="507"/>
      <c r="C9028" s="91">
        <v>1</v>
      </c>
      <c r="D9028" s="94">
        <f>VLOOKUP(A9028,'Mano Obra'!$B$2:$T$117,19,0)</f>
        <v>152456</v>
      </c>
      <c r="E9028" s="218">
        <f>H8990</f>
        <v>2.0799999999999999E-2</v>
      </c>
      <c r="F9028" s="508">
        <f>E9028*D9028*C9028</f>
        <v>3171.0847999999996</v>
      </c>
      <c r="G9028" s="509"/>
      <c r="H9028" s="111"/>
      <c r="I9028" s="59"/>
      <c r="J9028" s="117">
        <f>((('Mano Obra'!$M$4/30)*F9028)/D9028)*G8997</f>
        <v>0</v>
      </c>
    </row>
    <row r="9029" spans="1:10">
      <c r="A9029" s="510" t="s">
        <v>4192</v>
      </c>
      <c r="B9029" s="511">
        <f>VLOOKUP(A9029,'Mano Obra'!$B$3:$D$290,2,0)</f>
        <v>1900000</v>
      </c>
      <c r="C9029" s="91">
        <v>2</v>
      </c>
      <c r="D9029" s="94">
        <f>VLOOKUP(A9029,'Mano Obra'!$B$2:$T$117,19,0)</f>
        <v>110488</v>
      </c>
      <c r="E9029" s="218">
        <f>H8990</f>
        <v>2.0799999999999999E-2</v>
      </c>
      <c r="F9029" s="508">
        <f t="shared" ref="F9029:F9030" si="524">E9029*D9029*C9029</f>
        <v>4596.3008</v>
      </c>
      <c r="G9029" s="509"/>
      <c r="H9029" s="111"/>
      <c r="J9029" s="117">
        <f>((('Mano Obra'!$M$5/30)*F9029)/D9029)*G8997</f>
        <v>0</v>
      </c>
    </row>
    <row r="9030" spans="1:10">
      <c r="A9030" s="510" t="s">
        <v>4181</v>
      </c>
      <c r="B9030" s="511">
        <f>VLOOKUP(A9030,'Mano Obra'!$B$3:$D$290,2,0)</f>
        <v>1000000</v>
      </c>
      <c r="C9030" s="91">
        <v>1</v>
      </c>
      <c r="D9030" s="94">
        <f>VLOOKUP(A9030,'Mano Obra'!$B$2:$T$117,19,0)</f>
        <v>67424</v>
      </c>
      <c r="E9030" s="218">
        <f>H8990</f>
        <v>2.0799999999999999E-2</v>
      </c>
      <c r="F9030" s="508">
        <f t="shared" si="524"/>
        <v>1402.4192</v>
      </c>
      <c r="G9030" s="509"/>
      <c r="H9030" s="110"/>
      <c r="J9030" s="117">
        <f>((('Mano Obra'!$M$6/30)*F9030)/D9030)*G8997</f>
        <v>0</v>
      </c>
    </row>
    <row r="9031" spans="1:10">
      <c r="A9031" s="512" t="s">
        <v>4100</v>
      </c>
      <c r="B9031" s="512"/>
      <c r="C9031" s="512"/>
      <c r="D9031" s="512"/>
      <c r="E9031" s="512"/>
      <c r="F9031" s="512"/>
      <c r="G9031" s="512"/>
      <c r="H9031" s="95">
        <f>SUM(F9028:F9030)</f>
        <v>9169.8047999999999</v>
      </c>
      <c r="J9031" s="117"/>
    </row>
    <row r="9032" spans="1:10">
      <c r="A9032" s="208" t="s">
        <v>4226</v>
      </c>
      <c r="B9032" s="186"/>
      <c r="C9032" s="186"/>
      <c r="D9032" s="183"/>
      <c r="E9032" s="184"/>
      <c r="F9032" s="185"/>
      <c r="G9032" s="184"/>
      <c r="H9032" s="193"/>
    </row>
    <row r="9033" spans="1:10">
      <c r="A9033" s="513" t="s">
        <v>4213</v>
      </c>
      <c r="B9033" s="514"/>
      <c r="C9033" s="514"/>
      <c r="D9033" s="514"/>
      <c r="E9033" s="181"/>
      <c r="F9033" s="182" t="s">
        <v>4227</v>
      </c>
      <c r="G9033" s="181" t="s">
        <v>4228</v>
      </c>
      <c r="H9033" s="194"/>
    </row>
    <row r="9034" spans="1:10">
      <c r="A9034" s="204" t="s">
        <v>4096</v>
      </c>
      <c r="B9034" s="62"/>
      <c r="C9034" s="62"/>
      <c r="D9034" s="63"/>
      <c r="E9034" s="68"/>
      <c r="F9034" s="69">
        <v>0</v>
      </c>
      <c r="G9034" s="70" t="e">
        <f>F9034*H8998</f>
        <v>#VALUE!</v>
      </c>
      <c r="H9034" s="193"/>
    </row>
    <row r="9035" spans="1:10">
      <c r="A9035" s="205" t="s">
        <v>4229</v>
      </c>
      <c r="B9035" s="71"/>
      <c r="C9035" s="71"/>
      <c r="D9035" s="72"/>
      <c r="E9035" s="68"/>
      <c r="F9035" s="69">
        <v>0</v>
      </c>
      <c r="G9035" s="70" t="e">
        <f>F9035*H8998</f>
        <v>#VALUE!</v>
      </c>
      <c r="H9035" s="193"/>
    </row>
    <row r="9036" spans="1:10">
      <c r="A9036" s="205" t="s">
        <v>4</v>
      </c>
      <c r="B9036" s="71"/>
      <c r="C9036" s="71"/>
      <c r="D9036" s="72"/>
      <c r="E9036" s="68"/>
      <c r="F9036" s="69">
        <v>0</v>
      </c>
      <c r="G9036" s="70" t="e">
        <f>F9036*H8998</f>
        <v>#VALUE!</v>
      </c>
      <c r="H9036" s="193"/>
    </row>
    <row r="9037" spans="1:10">
      <c r="A9037" s="206"/>
      <c r="B9037" s="73"/>
      <c r="C9037" s="65"/>
      <c r="D9037" s="74"/>
      <c r="E9037" s="75"/>
      <c r="F9037" s="76"/>
      <c r="G9037" s="77"/>
      <c r="H9037" s="195"/>
    </row>
    <row r="9038" spans="1:10">
      <c r="A9038" s="207"/>
      <c r="B9038" s="73"/>
      <c r="C9038" s="73"/>
      <c r="D9038" s="74"/>
      <c r="E9038" s="78"/>
      <c r="F9038" s="515" t="s">
        <v>4230</v>
      </c>
      <c r="G9038" s="516"/>
      <c r="H9038" s="214" t="e">
        <f>H8998+G9034+G9035+G9036</f>
        <v>#VALUE!</v>
      </c>
    </row>
    <row r="9040" spans="1:10">
      <c r="A9040" s="80"/>
      <c r="B9040" s="80"/>
      <c r="C9040" s="80"/>
      <c r="D9040" s="80"/>
      <c r="E9040" s="80"/>
      <c r="F9040" s="80"/>
      <c r="G9040" s="80"/>
      <c r="H9040" s="353"/>
    </row>
    <row r="9041" spans="1:14">
      <c r="A9041" s="537" t="s">
        <v>4214</v>
      </c>
      <c r="B9041" s="538"/>
      <c r="C9041" s="538"/>
      <c r="D9041" s="538"/>
      <c r="E9041" s="538"/>
      <c r="F9041" s="538"/>
      <c r="G9041" s="538"/>
      <c r="H9041" s="539"/>
    </row>
    <row r="9042" spans="1:14">
      <c r="A9042" s="81"/>
      <c r="B9042" s="82"/>
      <c r="C9042" s="82"/>
      <c r="D9042" s="82"/>
      <c r="E9042" s="82"/>
      <c r="F9042" s="83"/>
      <c r="G9042" s="84"/>
      <c r="H9042" s="352">
        <f>ROUND((15/60)/8,4)</f>
        <v>3.1300000000000001E-2</v>
      </c>
      <c r="I9042" s="105"/>
    </row>
    <row r="9043" spans="1:14">
      <c r="A9043" s="540" t="s">
        <v>4209</v>
      </c>
      <c r="B9043" s="542" t="str">
        <f>COSTOS!$C$14</f>
        <v>MODERNIZACION A TECNOLOGIA LED</v>
      </c>
      <c r="C9043" s="542"/>
      <c r="D9043" s="542"/>
      <c r="E9043" s="542"/>
      <c r="F9043" s="542"/>
      <c r="G9043" s="542"/>
      <c r="H9043" s="543" t="s">
        <v>4210</v>
      </c>
    </row>
    <row r="9044" spans="1:14">
      <c r="A9044" s="541"/>
      <c r="B9044" s="542"/>
      <c r="C9044" s="542"/>
      <c r="D9044" s="542"/>
      <c r="E9044" s="542"/>
      <c r="F9044" s="542"/>
      <c r="G9044" s="542"/>
      <c r="H9044" s="543"/>
    </row>
    <row r="9045" spans="1:14">
      <c r="A9045" s="541"/>
      <c r="B9045" s="542"/>
      <c r="C9045" s="542"/>
      <c r="D9045" s="542"/>
      <c r="E9045" s="542"/>
      <c r="F9045" s="542"/>
      <c r="G9045" s="542"/>
      <c r="H9045" s="543"/>
    </row>
    <row r="9046" spans="1:14" ht="15" customHeight="1">
      <c r="A9046" s="541"/>
      <c r="B9046" s="542"/>
      <c r="C9046" s="542"/>
      <c r="D9046" s="542"/>
      <c r="E9046" s="542"/>
      <c r="F9046" s="542"/>
      <c r="G9046" s="542"/>
      <c r="H9046" s="197">
        <f ca="1">TODAY()</f>
        <v>44889</v>
      </c>
      <c r="K9046" t="s">
        <v>4380</v>
      </c>
      <c r="L9046" t="s">
        <v>4381</v>
      </c>
      <c r="M9046" t="s">
        <v>4382</v>
      </c>
      <c r="N9046" t="s">
        <v>4383</v>
      </c>
    </row>
    <row r="9047" spans="1:14" ht="60.75" customHeight="1">
      <c r="A9047" s="209" t="s">
        <v>4211</v>
      </c>
      <c r="B9047" s="544" t="str">
        <f>COSTOS!$D$16</f>
        <v>Luminarias</v>
      </c>
      <c r="C9047" s="544"/>
      <c r="D9047" s="544"/>
      <c r="E9047" s="544"/>
      <c r="F9047" s="544"/>
      <c r="G9047" s="60" t="s">
        <v>4212</v>
      </c>
      <c r="H9047" s="359">
        <v>7.3</v>
      </c>
      <c r="K9047" s="55" t="e">
        <f>H9073</f>
        <v>#VALUE!</v>
      </c>
      <c r="L9047" s="55">
        <f>H9083</f>
        <v>13798.792800000001</v>
      </c>
      <c r="M9047" s="55" t="e">
        <f>H9056</f>
        <v>#VALUE!</v>
      </c>
      <c r="N9047" s="55" t="e">
        <f>H9077</f>
        <v>#VALUE!</v>
      </c>
    </row>
    <row r="9048" spans="1:14" ht="43.2" customHeight="1">
      <c r="A9048" s="210" t="s">
        <v>4213</v>
      </c>
      <c r="B9048" s="545" t="str">
        <f>VLOOKUP(H9047,COSTOS!C:M,2,0)</f>
        <v>Canalizacion con un ducto 1 1/2" PVC</v>
      </c>
      <c r="C9048" s="546"/>
      <c r="D9048" s="546"/>
      <c r="E9048" s="547"/>
      <c r="F9048" s="61" t="s">
        <v>0</v>
      </c>
      <c r="G9048" s="328" t="str">
        <f>VLOOKUP(H9047,COSTOS!C:M,8,0)</f>
        <v>Ml</v>
      </c>
      <c r="H9048" s="248"/>
      <c r="I9048" s="278"/>
      <c r="J9048" s="280"/>
      <c r="K9048" s="280"/>
      <c r="L9048" s="280"/>
    </row>
    <row r="9049" spans="1:14">
      <c r="A9049" s="211"/>
      <c r="B9049" s="102"/>
      <c r="C9049" s="102"/>
      <c r="D9049" s="102"/>
      <c r="E9049" s="103"/>
      <c r="F9049" s="104" t="s">
        <v>1</v>
      </c>
      <c r="G9049" s="328">
        <f>VLOOKUP(H9047,COSTOS!C:M,9,0)</f>
        <v>0</v>
      </c>
      <c r="H9049" s="329"/>
      <c r="I9049" s="279"/>
    </row>
    <row r="9050" spans="1:14">
      <c r="A9050" s="212" t="s">
        <v>4215</v>
      </c>
      <c r="B9050" s="65"/>
      <c r="C9050" s="65"/>
      <c r="D9050" s="66"/>
      <c r="E9050" s="190"/>
      <c r="F9050" s="191"/>
      <c r="G9050" s="192" t="s">
        <v>4216</v>
      </c>
      <c r="H9050" s="198" t="e">
        <f>H9056+H9073+H9077+H9083</f>
        <v>#VALUE!</v>
      </c>
    </row>
    <row r="9051" spans="1:14" ht="41.4">
      <c r="A9051" s="548" t="s">
        <v>4213</v>
      </c>
      <c r="B9051" s="548"/>
      <c r="C9051" s="548"/>
      <c r="D9051" s="67" t="s">
        <v>0</v>
      </c>
      <c r="E9051" s="188" t="s">
        <v>4217</v>
      </c>
      <c r="F9051" s="189" t="s">
        <v>4204</v>
      </c>
      <c r="G9051" s="64" t="s">
        <v>2</v>
      </c>
      <c r="H9051" s="199" t="s">
        <v>4218</v>
      </c>
      <c r="K9051" s="281"/>
    </row>
    <row r="9052" spans="1:14">
      <c r="A9052" s="517" t="s">
        <v>3946</v>
      </c>
      <c r="B9052" s="549">
        <f>VLOOKUP(A9052,'Equip, Herr y Transp'!$B$2:$E$738,2,0)</f>
        <v>2</v>
      </c>
      <c r="C9052" s="549"/>
      <c r="D9052" s="85">
        <f>VLOOKUP(A9052,'Equip, Herr y Transp'!$B$2:$E$217,2,0)</f>
        <v>2</v>
      </c>
      <c r="E9052" s="85" t="str">
        <f>VLOOKUP(A9052,'Equip, Herr y Transp'!$B$2:$E$217,3,0)</f>
        <v>EQU</v>
      </c>
      <c r="F9052" s="86">
        <f>H9042</f>
        <v>3.1300000000000001E-2</v>
      </c>
      <c r="G9052" s="112" t="e">
        <f>F9052*E9052</f>
        <v>#VALUE!</v>
      </c>
      <c r="H9052" s="108"/>
    </row>
    <row r="9053" spans="1:14">
      <c r="A9053" s="517" t="s">
        <v>3927</v>
      </c>
      <c r="B9053" s="549">
        <f>VLOOKUP(A9053,'Equip, Herr y Transp'!$B$2:$E$738,2,0)</f>
        <v>2</v>
      </c>
      <c r="C9053" s="549"/>
      <c r="D9053" s="85">
        <f>VLOOKUP(A9053,'Equip, Herr y Transp'!$B$2:$E$217,2,0)</f>
        <v>2</v>
      </c>
      <c r="E9053" s="85" t="str">
        <f>VLOOKUP(A9053,'Equip, Herr y Transp'!$B$2:$E$217,3,0)</f>
        <v>EQU</v>
      </c>
      <c r="F9053" s="86">
        <f>H9042</f>
        <v>3.1300000000000001E-2</v>
      </c>
      <c r="G9053" s="112" t="e">
        <f>F9053*E9053</f>
        <v>#VALUE!</v>
      </c>
      <c r="H9053" s="107"/>
    </row>
    <row r="9054" spans="1:14">
      <c r="A9054" s="517" t="s">
        <v>8</v>
      </c>
      <c r="B9054" s="549" t="e">
        <f>VLOOKUP(A9054,'Equip, Herr y Transp'!$B$2:$E$738,2,0)</f>
        <v>#N/A</v>
      </c>
      <c r="C9054" s="549"/>
      <c r="D9054" s="85" t="e">
        <f>VLOOKUP(A9054,'Equip, Herr y Transp'!$B$2:$E$217,2,0)</f>
        <v>#N/A</v>
      </c>
      <c r="E9054" s="85" t="e">
        <f>VLOOKUP(A9054,'Equip, Herr y Transp'!$B$2:$E$217,3,0)</f>
        <v>#N/A</v>
      </c>
      <c r="F9054" s="86">
        <f>H9042</f>
        <v>3.1300000000000001E-2</v>
      </c>
      <c r="G9054" s="112" t="e">
        <f>F9054*E9054</f>
        <v>#N/A</v>
      </c>
      <c r="H9054" s="107"/>
    </row>
    <row r="9055" spans="1:14">
      <c r="A9055" s="517" t="s">
        <v>8</v>
      </c>
      <c r="B9055" s="549" t="e">
        <f>VLOOKUP(A9055,'Equip, Herr y Transp'!$B$2:$E$738,2,0)</f>
        <v>#N/A</v>
      </c>
      <c r="C9055" s="549"/>
      <c r="D9055" s="85" t="e">
        <f>VLOOKUP(A9055,'Equip, Herr y Transp'!$B$2:$E$217,2,0)</f>
        <v>#N/A</v>
      </c>
      <c r="E9055" s="85" t="e">
        <f>VLOOKUP(A9055,'Equip, Herr y Transp'!$B$2:$E$217,3,0)</f>
        <v>#N/A</v>
      </c>
      <c r="F9055" s="86">
        <f>H9042</f>
        <v>3.1300000000000001E-2</v>
      </c>
      <c r="G9055" s="112" t="e">
        <f>F9055*E9055</f>
        <v>#N/A</v>
      </c>
      <c r="H9055" s="107"/>
    </row>
    <row r="9056" spans="1:14">
      <c r="A9056" s="520" t="s">
        <v>4099</v>
      </c>
      <c r="B9056" s="521"/>
      <c r="C9056" s="521"/>
      <c r="D9056" s="521"/>
      <c r="E9056" s="521"/>
      <c r="F9056" s="521"/>
      <c r="G9056" s="521"/>
      <c r="H9056" s="87" t="e">
        <f>SUM(G9052:G9055)</f>
        <v>#VALUE!</v>
      </c>
    </row>
    <row r="9057" spans="1:15">
      <c r="A9057" s="550" t="s">
        <v>4219</v>
      </c>
      <c r="B9057" s="551"/>
      <c r="C9057" s="551"/>
      <c r="D9057" s="551"/>
      <c r="E9057" s="551"/>
      <c r="F9057" s="551"/>
      <c r="G9057" s="551"/>
      <c r="H9057" s="552"/>
      <c r="K9057" s="50"/>
      <c r="L9057" s="50"/>
      <c r="M9057" s="50"/>
      <c r="N9057" s="50"/>
      <c r="O9057" s="50"/>
    </row>
    <row r="9058" spans="1:15" ht="30" customHeight="1">
      <c r="A9058" s="553" t="s">
        <v>7</v>
      </c>
      <c r="B9058" s="554"/>
      <c r="C9058" s="99" t="s">
        <v>0</v>
      </c>
      <c r="D9058" s="100" t="s">
        <v>4097</v>
      </c>
      <c r="E9058" s="101" t="s">
        <v>1</v>
      </c>
      <c r="F9058" s="555" t="s">
        <v>4207</v>
      </c>
      <c r="G9058" s="555"/>
      <c r="H9058" s="196"/>
      <c r="K9058" s="50"/>
      <c r="L9058" s="50"/>
      <c r="M9058" s="50"/>
      <c r="N9058" s="50"/>
      <c r="O9058" s="50"/>
    </row>
    <row r="9059" spans="1:15">
      <c r="A9059" s="535" t="s">
        <v>4586</v>
      </c>
      <c r="B9059" s="536"/>
      <c r="C9059" s="88">
        <f>VLOOKUP(A9059,'Materiales '!$C$2:$G$396,3,0)</f>
        <v>4</v>
      </c>
      <c r="D9059" s="89" t="str">
        <f>VLOOKUP(A9059,'Materiales '!$C$2:$G$396,4,0)</f>
        <v>Und</v>
      </c>
      <c r="E9059" s="90">
        <v>0.34</v>
      </c>
      <c r="F9059" s="508" t="e">
        <f>E9059*D9059</f>
        <v>#VALUE!</v>
      </c>
      <c r="G9059" s="519"/>
      <c r="H9059" s="111"/>
      <c r="I9059">
        <f>E9059*G9049</f>
        <v>0</v>
      </c>
      <c r="J9059" s="57"/>
      <c r="K9059" s="50"/>
      <c r="L9059" s="50"/>
      <c r="M9059" s="50"/>
      <c r="N9059" s="50"/>
      <c r="O9059" s="50"/>
    </row>
    <row r="9060" spans="1:15">
      <c r="A9060" s="535" t="s">
        <v>4570</v>
      </c>
      <c r="B9060" s="536"/>
      <c r="C9060" s="88">
        <f>VLOOKUP(A9060,'Materiales '!$C$2:$G$396,3,0)</f>
        <v>4</v>
      </c>
      <c r="D9060" s="89" t="str">
        <f>VLOOKUP(A9060,'Materiales '!$C$2:$G$396,4,0)</f>
        <v>Und</v>
      </c>
      <c r="E9060" s="90">
        <v>0.04</v>
      </c>
      <c r="F9060" s="508" t="e">
        <f t="shared" ref="F9060:F9066" si="525">E9060*D9060</f>
        <v>#VALUE!</v>
      </c>
      <c r="G9060" s="519"/>
      <c r="H9060" s="111"/>
      <c r="I9060">
        <f>E9060*G9049</f>
        <v>0</v>
      </c>
      <c r="J9060" s="57"/>
      <c r="K9060" s="50"/>
      <c r="L9060" s="50"/>
      <c r="M9060" s="50"/>
      <c r="N9060" s="50"/>
      <c r="O9060" s="50"/>
    </row>
    <row r="9061" spans="1:15">
      <c r="A9061" s="517" t="s">
        <v>8</v>
      </c>
      <c r="B9061" s="518">
        <f>VLOOKUP(A9061,'Materiales '!$C$2:$G$396,3,0)</f>
        <v>0</v>
      </c>
      <c r="C9061" s="88">
        <f>VLOOKUP(A9061,'Materiales '!$C$2:$G$396,3,0)</f>
        <v>0</v>
      </c>
      <c r="D9061" s="89" t="str">
        <f>VLOOKUP(A9061,'Materiales '!$C$2:$G$396,4,0)</f>
        <v>-</v>
      </c>
      <c r="E9061" s="90">
        <v>1</v>
      </c>
      <c r="F9061" s="508" t="e">
        <f t="shared" si="525"/>
        <v>#VALUE!</v>
      </c>
      <c r="G9061" s="519"/>
      <c r="H9061" s="111"/>
      <c r="I9061">
        <f>E9061*G9049</f>
        <v>0</v>
      </c>
      <c r="J9061" s="58"/>
      <c r="K9061" s="50"/>
      <c r="L9061" s="50"/>
      <c r="M9061" s="50"/>
      <c r="N9061" s="50"/>
      <c r="O9061" s="50"/>
    </row>
    <row r="9062" spans="1:15">
      <c r="A9062" s="517" t="s">
        <v>8</v>
      </c>
      <c r="B9062" s="518">
        <f>VLOOKUP(A9062,'Materiales '!$C$2:$G$396,3,0)</f>
        <v>0</v>
      </c>
      <c r="C9062" s="88">
        <f>VLOOKUP(A9062,'Materiales '!$C$2:$G$396,3,0)</f>
        <v>0</v>
      </c>
      <c r="D9062" s="89" t="str">
        <f>VLOOKUP(A9062,'Materiales '!$C$2:$G$396,4,0)</f>
        <v>-</v>
      </c>
      <c r="E9062" s="90">
        <v>1</v>
      </c>
      <c r="F9062" s="508" t="e">
        <f t="shared" si="525"/>
        <v>#VALUE!</v>
      </c>
      <c r="G9062" s="519"/>
      <c r="H9062" s="111"/>
      <c r="I9062">
        <f>E9062*G9049</f>
        <v>0</v>
      </c>
      <c r="J9062" s="58"/>
      <c r="K9062" s="50"/>
      <c r="L9062" s="50"/>
      <c r="M9062" s="50"/>
      <c r="N9062" s="50"/>
      <c r="O9062" s="50"/>
    </row>
    <row r="9063" spans="1:15">
      <c r="A9063" s="517" t="s">
        <v>8</v>
      </c>
      <c r="B9063" s="518">
        <f>VLOOKUP(A9063,'Materiales '!$C$2:$G$396,3,0)</f>
        <v>0</v>
      </c>
      <c r="C9063" s="88">
        <f>VLOOKUP(A9063,'Materiales '!$C$2:$G$396,3,0)</f>
        <v>0</v>
      </c>
      <c r="D9063" s="89" t="str">
        <f>VLOOKUP(A9063,'Materiales '!$C$2:$G$396,4,0)</f>
        <v>-</v>
      </c>
      <c r="E9063" s="90">
        <v>0.5</v>
      </c>
      <c r="F9063" s="508" t="e">
        <f t="shared" si="525"/>
        <v>#VALUE!</v>
      </c>
      <c r="G9063" s="519"/>
      <c r="H9063" s="111"/>
      <c r="I9063">
        <f>E9063*G9049</f>
        <v>0</v>
      </c>
      <c r="J9063" s="58"/>
      <c r="K9063" s="50"/>
      <c r="L9063" s="50"/>
      <c r="M9063" s="50"/>
      <c r="N9063" s="50"/>
      <c r="O9063" s="50"/>
    </row>
    <row r="9064" spans="1:15">
      <c r="A9064" s="517" t="s">
        <v>8</v>
      </c>
      <c r="B9064" s="518">
        <f>VLOOKUP(A9064,'Materiales '!$C$2:$G$396,3,0)</f>
        <v>0</v>
      </c>
      <c r="C9064" s="88">
        <f>VLOOKUP(A9064,'Materiales '!$C$2:$G$396,3,0)</f>
        <v>0</v>
      </c>
      <c r="D9064" s="89" t="str">
        <f>VLOOKUP(A9064,'Materiales '!$C$2:$G$396,4,0)</f>
        <v>-</v>
      </c>
      <c r="E9064" s="90">
        <v>1</v>
      </c>
      <c r="F9064" s="508" t="e">
        <f t="shared" si="525"/>
        <v>#VALUE!</v>
      </c>
      <c r="G9064" s="519"/>
      <c r="H9064" s="111"/>
      <c r="I9064">
        <f>E9064*G9049</f>
        <v>0</v>
      </c>
      <c r="J9064" s="58"/>
      <c r="K9064" s="50"/>
      <c r="L9064" s="50"/>
      <c r="M9064" s="50"/>
      <c r="N9064" s="50"/>
      <c r="O9064" s="50"/>
    </row>
    <row r="9065" spans="1:15">
      <c r="A9065" s="517" t="s">
        <v>8</v>
      </c>
      <c r="B9065" s="518">
        <f>VLOOKUP(A9065,'Materiales '!$C$2:$G$396,3,0)</f>
        <v>0</v>
      </c>
      <c r="C9065" s="88">
        <f>VLOOKUP(A9065,'Materiales '!$C$2:$G$396,3,0)</f>
        <v>0</v>
      </c>
      <c r="D9065" s="89" t="str">
        <f>VLOOKUP(A9065,'Materiales '!$C$2:$G$396,4,0)</f>
        <v>-</v>
      </c>
      <c r="E9065" s="90">
        <v>1</v>
      </c>
      <c r="F9065" s="508" t="e">
        <f t="shared" si="525"/>
        <v>#VALUE!</v>
      </c>
      <c r="G9065" s="519"/>
      <c r="H9065" s="111"/>
      <c r="I9065">
        <f>E9065*G9049</f>
        <v>0</v>
      </c>
      <c r="J9065" s="58"/>
      <c r="K9065" s="50"/>
      <c r="L9065" s="50"/>
      <c r="M9065" s="50"/>
      <c r="N9065" s="50"/>
      <c r="O9065" s="50"/>
    </row>
    <row r="9066" spans="1:15" ht="21.75" customHeight="1">
      <c r="A9066" s="517" t="s">
        <v>8</v>
      </c>
      <c r="B9066" s="518">
        <f>VLOOKUP(A9066,'Materiales '!$C$2:$G$396,3,0)</f>
        <v>0</v>
      </c>
      <c r="C9066" s="88">
        <f>VLOOKUP(A9066,'Materiales '!$C$2:$G$396,3,0)</f>
        <v>0</v>
      </c>
      <c r="D9066" s="89" t="str">
        <f>VLOOKUP(A9066,'Materiales '!$C$2:$G$396,4,0)</f>
        <v>-</v>
      </c>
      <c r="E9066" s="90"/>
      <c r="F9066" s="508" t="e">
        <f t="shared" si="525"/>
        <v>#VALUE!</v>
      </c>
      <c r="G9066" s="519"/>
      <c r="H9066" s="111"/>
      <c r="I9066">
        <f>E9066*G9049</f>
        <v>0</v>
      </c>
      <c r="J9066" s="58"/>
      <c r="K9066" s="50"/>
      <c r="L9066" s="50"/>
      <c r="M9066" s="50"/>
      <c r="N9066" s="50"/>
      <c r="O9066" s="50"/>
    </row>
    <row r="9067" spans="1:15">
      <c r="A9067" s="517" t="s">
        <v>8</v>
      </c>
      <c r="B9067" s="518">
        <f>VLOOKUP(A9067,'Materiales '!$C$2:$G$396,3,0)</f>
        <v>0</v>
      </c>
      <c r="C9067" s="88">
        <f>VLOOKUP(A9067,'Materiales '!$C$2:$G$396,3,0)</f>
        <v>0</v>
      </c>
      <c r="D9067" s="89" t="str">
        <f>VLOOKUP(A9067,'Materiales '!$C$2:$G$396,4,0)</f>
        <v>-</v>
      </c>
      <c r="E9067" s="90"/>
      <c r="F9067" s="508" t="e">
        <f>E9067*D9067</f>
        <v>#VALUE!</v>
      </c>
      <c r="G9067" s="519"/>
      <c r="H9067" s="110"/>
      <c r="I9067">
        <f>E9067*G9049</f>
        <v>0</v>
      </c>
      <c r="J9067" s="58"/>
      <c r="K9067" s="50"/>
      <c r="L9067" s="50"/>
      <c r="M9067" s="50"/>
      <c r="N9067" s="50"/>
      <c r="O9067" s="50"/>
    </row>
    <row r="9068" spans="1:15">
      <c r="A9068" s="517" t="s">
        <v>8</v>
      </c>
      <c r="B9068" s="518">
        <f>VLOOKUP(A9068,'Materiales '!$C$2:$G$396,3,0)</f>
        <v>0</v>
      </c>
      <c r="C9068" s="88">
        <f>VLOOKUP(A9068,'Materiales '!$C$2:$G$396,3,0)</f>
        <v>0</v>
      </c>
      <c r="D9068" s="89" t="str">
        <f>VLOOKUP(A9068,'Materiales '!$C$2:$G$396,4,0)</f>
        <v>-</v>
      </c>
      <c r="E9068" s="90"/>
      <c r="F9068" s="508" t="e">
        <f t="shared" ref="F9068:F9071" si="526">E9068*D9068</f>
        <v>#VALUE!</v>
      </c>
      <c r="G9068" s="519"/>
      <c r="H9068" s="111"/>
      <c r="I9068">
        <f>E9068*G9049</f>
        <v>0</v>
      </c>
      <c r="J9068" s="58"/>
      <c r="K9068" s="50"/>
      <c r="L9068" s="50"/>
      <c r="M9068" s="50"/>
      <c r="N9068" s="50"/>
      <c r="O9068" s="50"/>
    </row>
    <row r="9069" spans="1:15">
      <c r="A9069" s="517" t="s">
        <v>8</v>
      </c>
      <c r="B9069" s="518">
        <f>VLOOKUP(A9069,'Materiales '!$C$2:$G$396,3,0)</f>
        <v>0</v>
      </c>
      <c r="C9069" s="88">
        <f>VLOOKUP(A9069,'Materiales '!$C$2:$G$396,3,0)</f>
        <v>0</v>
      </c>
      <c r="D9069" s="89" t="str">
        <f>VLOOKUP(A9069,'Materiales '!$C$2:$G$396,4,0)</f>
        <v>-</v>
      </c>
      <c r="E9069" s="90"/>
      <c r="F9069" s="508" t="e">
        <f t="shared" si="526"/>
        <v>#VALUE!</v>
      </c>
      <c r="G9069" s="519"/>
      <c r="H9069" s="111"/>
      <c r="I9069">
        <f>E9069*G9049</f>
        <v>0</v>
      </c>
      <c r="J9069" s="58"/>
      <c r="K9069" s="50"/>
      <c r="L9069" s="50"/>
      <c r="M9069" s="50"/>
      <c r="N9069" s="50"/>
      <c r="O9069" s="50"/>
    </row>
    <row r="9070" spans="1:15">
      <c r="A9070" s="517" t="s">
        <v>8</v>
      </c>
      <c r="B9070" s="518">
        <f>VLOOKUP(A9070,'Materiales '!$C$2:$G$396,3,0)</f>
        <v>0</v>
      </c>
      <c r="C9070" s="88">
        <f>VLOOKUP(A9070,'Materiales '!$C$2:$G$396,3,0)</f>
        <v>0</v>
      </c>
      <c r="D9070" s="89" t="str">
        <f>VLOOKUP(A9070,'Materiales '!$C$2:$G$396,4,0)</f>
        <v>-</v>
      </c>
      <c r="E9070" s="90"/>
      <c r="F9070" s="508" t="e">
        <f t="shared" si="526"/>
        <v>#VALUE!</v>
      </c>
      <c r="G9070" s="519"/>
      <c r="H9070" s="111"/>
      <c r="I9070">
        <f>E9070*G9049</f>
        <v>0</v>
      </c>
      <c r="J9070" s="58"/>
      <c r="K9070" s="50"/>
      <c r="L9070" s="50"/>
      <c r="M9070" s="50"/>
      <c r="N9070" s="50"/>
      <c r="O9070" s="50"/>
    </row>
    <row r="9071" spans="1:15">
      <c r="A9071" s="517" t="s">
        <v>8</v>
      </c>
      <c r="B9071" s="518">
        <f>VLOOKUP(A9071,'Materiales '!$C$2:$G$396,3,0)</f>
        <v>0</v>
      </c>
      <c r="C9071" s="88">
        <f>VLOOKUP(A9071,'Materiales '!$C$2:$G$396,3,0)</f>
        <v>0</v>
      </c>
      <c r="D9071" s="89" t="str">
        <f>VLOOKUP(A9071,'Materiales '!$C$2:$G$396,4,0)</f>
        <v>-</v>
      </c>
      <c r="E9071" s="90"/>
      <c r="F9071" s="508" t="e">
        <f t="shared" si="526"/>
        <v>#VALUE!</v>
      </c>
      <c r="G9071" s="519"/>
      <c r="H9071" s="111"/>
      <c r="I9071">
        <f>E9071*G9049</f>
        <v>0</v>
      </c>
      <c r="J9071" s="58"/>
      <c r="K9071" s="50"/>
      <c r="L9071" s="50"/>
      <c r="M9071" s="50"/>
      <c r="N9071" s="50"/>
      <c r="O9071" s="50"/>
    </row>
    <row r="9072" spans="1:15">
      <c r="A9072" s="517" t="s">
        <v>8</v>
      </c>
      <c r="B9072" s="518">
        <f>VLOOKUP(A9072,'Materiales '!$C$2:$G$396,3,0)</f>
        <v>0</v>
      </c>
      <c r="C9072" s="88">
        <f>VLOOKUP(A9072,'Materiales '!$C$2:$G$396,3,0)</f>
        <v>0</v>
      </c>
      <c r="D9072" s="89" t="str">
        <f>VLOOKUP(A9072,'Materiales '!$C$2:$G$396,4,0)</f>
        <v>-</v>
      </c>
      <c r="E9072" s="90"/>
      <c r="F9072" s="508" t="e">
        <f>E9072*D9072</f>
        <v>#VALUE!</v>
      </c>
      <c r="G9072" s="519"/>
      <c r="H9072" s="110"/>
      <c r="I9072">
        <f>E9072*G9049</f>
        <v>0</v>
      </c>
      <c r="J9072" s="58"/>
      <c r="K9072" s="50"/>
      <c r="L9072" s="50"/>
      <c r="M9072" s="50"/>
      <c r="N9072" s="50"/>
      <c r="O9072" s="50"/>
    </row>
    <row r="9073" spans="1:15">
      <c r="A9073" s="520" t="s">
        <v>4098</v>
      </c>
      <c r="B9073" s="521"/>
      <c r="C9073" s="521"/>
      <c r="D9073" s="521"/>
      <c r="E9073" s="521"/>
      <c r="F9073" s="521"/>
      <c r="G9073" s="522"/>
      <c r="H9073" s="106" t="e">
        <f>SUM(F9059:F9072)</f>
        <v>#VALUE!</v>
      </c>
      <c r="J9073" s="58"/>
      <c r="K9073" s="50"/>
      <c r="L9073" s="50"/>
      <c r="M9073" s="50"/>
      <c r="N9073" s="50"/>
      <c r="O9073" s="50"/>
    </row>
    <row r="9074" spans="1:15">
      <c r="A9074" s="523" t="s">
        <v>4220</v>
      </c>
      <c r="B9074" s="524"/>
      <c r="C9074" s="524"/>
      <c r="D9074" s="524"/>
      <c r="E9074" s="525"/>
      <c r="F9074" s="524"/>
      <c r="G9074" s="524"/>
      <c r="H9074" s="526"/>
      <c r="J9074" s="58"/>
      <c r="K9074" s="50"/>
      <c r="L9074" s="50"/>
      <c r="M9074" s="50"/>
      <c r="N9074" s="50"/>
      <c r="O9074" s="50"/>
    </row>
    <row r="9075" spans="1:15">
      <c r="A9075" s="527" t="s">
        <v>7</v>
      </c>
      <c r="B9075" s="528"/>
      <c r="C9075" s="98" t="s">
        <v>4221</v>
      </c>
      <c r="D9075" s="97" t="s">
        <v>4222</v>
      </c>
      <c r="E9075" s="187" t="s">
        <v>4223</v>
      </c>
      <c r="F9075" s="529" t="s">
        <v>4207</v>
      </c>
      <c r="G9075" s="529"/>
      <c r="H9075" s="109"/>
      <c r="K9075" s="50"/>
      <c r="L9075" s="50"/>
      <c r="M9075" s="50"/>
      <c r="N9075" s="50"/>
      <c r="O9075" s="50"/>
    </row>
    <row r="9076" spans="1:15">
      <c r="A9076" s="506" t="s">
        <v>3928</v>
      </c>
      <c r="B9076" s="507"/>
      <c r="C9076" s="213">
        <v>1</v>
      </c>
      <c r="D9076" s="92">
        <v>5.0000000000000001E-3</v>
      </c>
      <c r="E9076" s="93" t="str">
        <f>VLOOKUP(A9076,'Equip, Herr y Transp'!$B$2:$E$217,3,0)</f>
        <v>TR</v>
      </c>
      <c r="F9076" s="530" t="e">
        <f>E9076*D9076*C9076</f>
        <v>#VALUE!</v>
      </c>
      <c r="G9076" s="531"/>
      <c r="H9076" s="107"/>
      <c r="M9076" s="50"/>
    </row>
    <row r="9077" spans="1:15">
      <c r="A9077" s="532" t="s">
        <v>4205</v>
      </c>
      <c r="B9077" s="533"/>
      <c r="C9077" s="533"/>
      <c r="D9077" s="533"/>
      <c r="E9077" s="533"/>
      <c r="F9077" s="533"/>
      <c r="G9077" s="533"/>
      <c r="H9077" s="95" t="e">
        <f>F9076</f>
        <v>#VALUE!</v>
      </c>
    </row>
    <row r="9078" spans="1:15">
      <c r="A9078" s="523" t="s">
        <v>4224</v>
      </c>
      <c r="B9078" s="524"/>
      <c r="C9078" s="524"/>
      <c r="D9078" s="524"/>
      <c r="E9078" s="524"/>
      <c r="F9078" s="524"/>
      <c r="G9078" s="524"/>
      <c r="H9078" s="526"/>
    </row>
    <row r="9079" spans="1:15">
      <c r="A9079" s="527" t="s">
        <v>7</v>
      </c>
      <c r="B9079" s="528"/>
      <c r="C9079" s="96" t="s">
        <v>1</v>
      </c>
      <c r="D9079" s="97" t="s">
        <v>4225</v>
      </c>
      <c r="E9079" s="98" t="s">
        <v>4204</v>
      </c>
      <c r="F9079" s="527" t="s">
        <v>5</v>
      </c>
      <c r="G9079" s="534"/>
      <c r="H9079" s="109"/>
    </row>
    <row r="9080" spans="1:15">
      <c r="A9080" s="506" t="s">
        <v>4191</v>
      </c>
      <c r="B9080" s="507"/>
      <c r="C9080" s="91">
        <v>1</v>
      </c>
      <c r="D9080" s="94">
        <f>VLOOKUP(A9080,'Mano Obra'!$B$2:$T$117,19,0)</f>
        <v>152456</v>
      </c>
      <c r="E9080" s="218">
        <f>H9042</f>
        <v>3.1300000000000001E-2</v>
      </c>
      <c r="F9080" s="508">
        <f>E9080*D9080*C9080</f>
        <v>4771.8728000000001</v>
      </c>
      <c r="G9080" s="509"/>
      <c r="H9080" s="111"/>
      <c r="I9080" s="59"/>
      <c r="J9080" s="117">
        <f>((('Mano Obra'!$M$4/30)*F9080)/D9080)*G9049</f>
        <v>0</v>
      </c>
    </row>
    <row r="9081" spans="1:15">
      <c r="A9081" s="510" t="s">
        <v>4192</v>
      </c>
      <c r="B9081" s="511">
        <f>VLOOKUP(A9081,'Mano Obra'!$B$3:$D$290,2,0)</f>
        <v>1900000</v>
      </c>
      <c r="C9081" s="91">
        <v>2</v>
      </c>
      <c r="D9081" s="94">
        <f>VLOOKUP(A9081,'Mano Obra'!$B$2:$T$117,19,0)</f>
        <v>110488</v>
      </c>
      <c r="E9081" s="218">
        <f>H9042</f>
        <v>3.1300000000000001E-2</v>
      </c>
      <c r="F9081" s="508">
        <f t="shared" ref="F9081:F9082" si="527">E9081*D9081*C9081</f>
        <v>6916.5488000000005</v>
      </c>
      <c r="G9081" s="509"/>
      <c r="H9081" s="111"/>
      <c r="J9081" s="117">
        <f>((('Mano Obra'!$M$5/30)*F9081)/D9081)*G9049</f>
        <v>0</v>
      </c>
    </row>
    <row r="9082" spans="1:15">
      <c r="A9082" s="510" t="s">
        <v>4181</v>
      </c>
      <c r="B9082" s="511">
        <f>VLOOKUP(A9082,'Mano Obra'!$B$3:$D$290,2,0)</f>
        <v>1000000</v>
      </c>
      <c r="C9082" s="91">
        <v>1</v>
      </c>
      <c r="D9082" s="94">
        <f>VLOOKUP(A9082,'Mano Obra'!$B$2:$T$117,19,0)</f>
        <v>67424</v>
      </c>
      <c r="E9082" s="218">
        <f>H9042</f>
        <v>3.1300000000000001E-2</v>
      </c>
      <c r="F9082" s="508">
        <f t="shared" si="527"/>
        <v>2110.3712</v>
      </c>
      <c r="G9082" s="509"/>
      <c r="H9082" s="110"/>
      <c r="J9082" s="117">
        <f>((('Mano Obra'!$M$6/30)*F9082)/D9082)*G9049</f>
        <v>0</v>
      </c>
    </row>
    <row r="9083" spans="1:15">
      <c r="A9083" s="512" t="s">
        <v>4100</v>
      </c>
      <c r="B9083" s="512"/>
      <c r="C9083" s="512"/>
      <c r="D9083" s="512"/>
      <c r="E9083" s="512"/>
      <c r="F9083" s="512"/>
      <c r="G9083" s="512"/>
      <c r="H9083" s="95">
        <f>SUM(F9080:F9082)</f>
        <v>13798.792800000001</v>
      </c>
      <c r="J9083" s="117"/>
    </row>
    <row r="9084" spans="1:15">
      <c r="A9084" s="208" t="s">
        <v>4226</v>
      </c>
      <c r="B9084" s="186"/>
      <c r="C9084" s="186"/>
      <c r="D9084" s="183"/>
      <c r="E9084" s="184"/>
      <c r="F9084" s="185"/>
      <c r="G9084" s="184"/>
      <c r="H9084" s="193"/>
    </row>
    <row r="9085" spans="1:15">
      <c r="A9085" s="513" t="s">
        <v>4213</v>
      </c>
      <c r="B9085" s="514"/>
      <c r="C9085" s="514"/>
      <c r="D9085" s="514"/>
      <c r="E9085" s="181"/>
      <c r="F9085" s="182" t="s">
        <v>4227</v>
      </c>
      <c r="G9085" s="181" t="s">
        <v>4228</v>
      </c>
      <c r="H9085" s="194"/>
    </row>
    <row r="9086" spans="1:15">
      <c r="A9086" s="204" t="s">
        <v>4096</v>
      </c>
      <c r="B9086" s="62"/>
      <c r="C9086" s="62"/>
      <c r="D9086" s="63"/>
      <c r="E9086" s="68"/>
      <c r="F9086" s="69">
        <v>0</v>
      </c>
      <c r="G9086" s="70" t="e">
        <f>F9086*H9050</f>
        <v>#VALUE!</v>
      </c>
      <c r="H9086" s="193"/>
    </row>
    <row r="9087" spans="1:15">
      <c r="A9087" s="205" t="s">
        <v>4229</v>
      </c>
      <c r="B9087" s="71"/>
      <c r="C9087" s="71"/>
      <c r="D9087" s="72"/>
      <c r="E9087" s="68"/>
      <c r="F9087" s="69">
        <v>0</v>
      </c>
      <c r="G9087" s="70" t="e">
        <f>F9087*H9050</f>
        <v>#VALUE!</v>
      </c>
      <c r="H9087" s="193"/>
    </row>
    <row r="9088" spans="1:15">
      <c r="A9088" s="205" t="s">
        <v>4</v>
      </c>
      <c r="B9088" s="71"/>
      <c r="C9088" s="71"/>
      <c r="D9088" s="72"/>
      <c r="E9088" s="68"/>
      <c r="F9088" s="69">
        <v>0</v>
      </c>
      <c r="G9088" s="70" t="e">
        <f>F9088*H9050</f>
        <v>#VALUE!</v>
      </c>
      <c r="H9088" s="193"/>
    </row>
    <row r="9089" spans="1:14">
      <c r="A9089" s="206"/>
      <c r="B9089" s="73"/>
      <c r="C9089" s="65"/>
      <c r="D9089" s="74"/>
      <c r="E9089" s="75"/>
      <c r="F9089" s="76"/>
      <c r="G9089" s="77"/>
      <c r="H9089" s="195"/>
    </row>
    <row r="9090" spans="1:14">
      <c r="A9090" s="207"/>
      <c r="B9090" s="73"/>
      <c r="C9090" s="73"/>
      <c r="D9090" s="74"/>
      <c r="E9090" s="78"/>
      <c r="F9090" s="515" t="s">
        <v>4230</v>
      </c>
      <c r="G9090" s="516"/>
      <c r="H9090" s="214" t="e">
        <f>H9050+G9086+G9087+G9088</f>
        <v>#VALUE!</v>
      </c>
    </row>
    <row r="9093" spans="1:14">
      <c r="A9093" s="80"/>
      <c r="B9093" s="80"/>
      <c r="C9093" s="80"/>
      <c r="D9093" s="80"/>
      <c r="E9093" s="80"/>
      <c r="F9093" s="80"/>
      <c r="G9093" s="80"/>
      <c r="H9093" s="353"/>
    </row>
    <row r="9094" spans="1:14">
      <c r="A9094" s="537" t="s">
        <v>4214</v>
      </c>
      <c r="B9094" s="538"/>
      <c r="C9094" s="538"/>
      <c r="D9094" s="538"/>
      <c r="E9094" s="538"/>
      <c r="F9094" s="538"/>
      <c r="G9094" s="538"/>
      <c r="H9094" s="539"/>
    </row>
    <row r="9095" spans="1:14">
      <c r="A9095" s="81"/>
      <c r="B9095" s="82"/>
      <c r="C9095" s="82"/>
      <c r="D9095" s="82"/>
      <c r="E9095" s="82"/>
      <c r="F9095" s="83"/>
      <c r="G9095" s="84"/>
      <c r="H9095" s="352">
        <f>ROUND((6/60)/8,4)</f>
        <v>1.2500000000000001E-2</v>
      </c>
      <c r="I9095" s="105"/>
    </row>
    <row r="9096" spans="1:14">
      <c r="A9096" s="540" t="s">
        <v>4209</v>
      </c>
      <c r="B9096" s="542" t="str">
        <f>COSTOS!$C$14</f>
        <v>MODERNIZACION A TECNOLOGIA LED</v>
      </c>
      <c r="C9096" s="542"/>
      <c r="D9096" s="542"/>
      <c r="E9096" s="542"/>
      <c r="F9096" s="542"/>
      <c r="G9096" s="542"/>
      <c r="H9096" s="543" t="s">
        <v>4210</v>
      </c>
    </row>
    <row r="9097" spans="1:14">
      <c r="A9097" s="541"/>
      <c r="B9097" s="542"/>
      <c r="C9097" s="542"/>
      <c r="D9097" s="542"/>
      <c r="E9097" s="542"/>
      <c r="F9097" s="542"/>
      <c r="G9097" s="542"/>
      <c r="H9097" s="543"/>
    </row>
    <row r="9098" spans="1:14">
      <c r="A9098" s="541"/>
      <c r="B9098" s="542"/>
      <c r="C9098" s="542"/>
      <c r="D9098" s="542"/>
      <c r="E9098" s="542"/>
      <c r="F9098" s="542"/>
      <c r="G9098" s="542"/>
      <c r="H9098" s="543"/>
    </row>
    <row r="9099" spans="1:14" ht="15" customHeight="1">
      <c r="A9099" s="541"/>
      <c r="B9099" s="542"/>
      <c r="C9099" s="542"/>
      <c r="D9099" s="542"/>
      <c r="E9099" s="542"/>
      <c r="F9099" s="542"/>
      <c r="G9099" s="542"/>
      <c r="H9099" s="197">
        <f ca="1">TODAY()</f>
        <v>44889</v>
      </c>
      <c r="K9099" t="s">
        <v>4380</v>
      </c>
      <c r="L9099" t="s">
        <v>4381</v>
      </c>
      <c r="M9099" t="s">
        <v>4382</v>
      </c>
      <c r="N9099" t="s">
        <v>4383</v>
      </c>
    </row>
    <row r="9100" spans="1:14" ht="60.75" customHeight="1">
      <c r="A9100" s="209" t="s">
        <v>4211</v>
      </c>
      <c r="B9100" s="544" t="str">
        <f>COSTOS!$D$16</f>
        <v>Luminarias</v>
      </c>
      <c r="C9100" s="544"/>
      <c r="D9100" s="544"/>
      <c r="E9100" s="544"/>
      <c r="F9100" s="544"/>
      <c r="G9100" s="60" t="s">
        <v>4212</v>
      </c>
      <c r="H9100" s="359">
        <v>7.4</v>
      </c>
      <c r="K9100" s="55" t="e">
        <f>H9126</f>
        <v>#VALUE!</v>
      </c>
      <c r="L9100" s="55">
        <f>H9136</f>
        <v>5510.7000000000007</v>
      </c>
      <c r="M9100" s="55" t="e">
        <f>H9109</f>
        <v>#VALUE!</v>
      </c>
      <c r="N9100" s="55" t="e">
        <f>H9130</f>
        <v>#VALUE!</v>
      </c>
    </row>
    <row r="9101" spans="1:14" ht="43.2" customHeight="1">
      <c r="A9101" s="210" t="s">
        <v>4213</v>
      </c>
      <c r="B9101" s="545" t="str">
        <f>VLOOKUP(H9100,COSTOS!C:M,2,0)</f>
        <v>Canalizacion con un ducto 1" EMT</v>
      </c>
      <c r="C9101" s="546"/>
      <c r="D9101" s="546"/>
      <c r="E9101" s="547"/>
      <c r="F9101" s="61" t="s">
        <v>0</v>
      </c>
      <c r="G9101" s="328" t="str">
        <f>VLOOKUP(H9100,COSTOS!C:M,8,0)</f>
        <v>Ml</v>
      </c>
      <c r="H9101" s="248"/>
      <c r="I9101" s="278"/>
      <c r="J9101" s="280"/>
      <c r="K9101" s="280"/>
      <c r="L9101" s="280"/>
    </row>
    <row r="9102" spans="1:14">
      <c r="A9102" s="211"/>
      <c r="B9102" s="102"/>
      <c r="C9102" s="102"/>
      <c r="D9102" s="102"/>
      <c r="E9102" s="103"/>
      <c r="F9102" s="104" t="s">
        <v>1</v>
      </c>
      <c r="G9102" s="328">
        <f>VLOOKUP(H9100,COSTOS!C:M,9,0)</f>
        <v>0</v>
      </c>
      <c r="H9102" s="329"/>
      <c r="I9102" s="279"/>
    </row>
    <row r="9103" spans="1:14">
      <c r="A9103" s="212" t="s">
        <v>4215</v>
      </c>
      <c r="B9103" s="65"/>
      <c r="C9103" s="65"/>
      <c r="D9103" s="66"/>
      <c r="E9103" s="190"/>
      <c r="F9103" s="191"/>
      <c r="G9103" s="192" t="s">
        <v>4216</v>
      </c>
      <c r="H9103" s="198" t="e">
        <f>H9109+H9126+H9130+H9136</f>
        <v>#VALUE!</v>
      </c>
    </row>
    <row r="9104" spans="1:14" ht="41.4">
      <c r="A9104" s="548" t="s">
        <v>4213</v>
      </c>
      <c r="B9104" s="548"/>
      <c r="C9104" s="548"/>
      <c r="D9104" s="67" t="s">
        <v>0</v>
      </c>
      <c r="E9104" s="188" t="s">
        <v>4217</v>
      </c>
      <c r="F9104" s="189" t="s">
        <v>4204</v>
      </c>
      <c r="G9104" s="64" t="s">
        <v>2</v>
      </c>
      <c r="H9104" s="199" t="s">
        <v>4218</v>
      </c>
      <c r="K9104" s="281"/>
    </row>
    <row r="9105" spans="1:15">
      <c r="A9105" s="517" t="s">
        <v>3946</v>
      </c>
      <c r="B9105" s="549">
        <f>VLOOKUP(A9105,'Equip, Herr y Transp'!$B$2:$E$738,2,0)</f>
        <v>2</v>
      </c>
      <c r="C9105" s="549"/>
      <c r="D9105" s="85">
        <f>VLOOKUP(A9105,'Equip, Herr y Transp'!$B$2:$E$217,2,0)</f>
        <v>2</v>
      </c>
      <c r="E9105" s="85" t="str">
        <f>VLOOKUP(A9105,'Equip, Herr y Transp'!$B$2:$E$217,3,0)</f>
        <v>EQU</v>
      </c>
      <c r="F9105" s="86">
        <f>H9095</f>
        <v>1.2500000000000001E-2</v>
      </c>
      <c r="G9105" s="112" t="e">
        <f>F9105*E9105</f>
        <v>#VALUE!</v>
      </c>
      <c r="H9105" s="108"/>
    </row>
    <row r="9106" spans="1:15">
      <c r="A9106" s="517" t="s">
        <v>3914</v>
      </c>
      <c r="B9106" s="549">
        <f>VLOOKUP(A9106,'Equip, Herr y Transp'!$B$2:$E$738,2,0)</f>
        <v>2</v>
      </c>
      <c r="C9106" s="549"/>
      <c r="D9106" s="85">
        <f>VLOOKUP(A9106,'Equip, Herr y Transp'!$B$2:$E$217,2,0)</f>
        <v>2</v>
      </c>
      <c r="E9106" s="85" t="str">
        <f>VLOOKUP(A9106,'Equip, Herr y Transp'!$B$2:$E$217,3,0)</f>
        <v>EQU</v>
      </c>
      <c r="F9106" s="86">
        <f>H9095</f>
        <v>1.2500000000000001E-2</v>
      </c>
      <c r="G9106" s="112" t="e">
        <f>F9106*E9106</f>
        <v>#VALUE!</v>
      </c>
      <c r="H9106" s="107"/>
    </row>
    <row r="9107" spans="1:15">
      <c r="A9107" s="517" t="s">
        <v>4142</v>
      </c>
      <c r="B9107" s="549">
        <f>VLOOKUP(A9107,'Equip, Herr y Transp'!$B$2:$E$738,2,0)</f>
        <v>2</v>
      </c>
      <c r="C9107" s="549"/>
      <c r="D9107" s="85">
        <f>VLOOKUP(A9107,'Equip, Herr y Transp'!$B$2:$E$217,2,0)</f>
        <v>2</v>
      </c>
      <c r="E9107" s="85" t="str">
        <f>VLOOKUP(A9107,'Equip, Herr y Transp'!$B$2:$E$217,3,0)</f>
        <v>EQU</v>
      </c>
      <c r="F9107" s="86">
        <f>H9095</f>
        <v>1.2500000000000001E-2</v>
      </c>
      <c r="G9107" s="112" t="e">
        <f>F9107*E9107</f>
        <v>#VALUE!</v>
      </c>
      <c r="H9107" s="107"/>
    </row>
    <row r="9108" spans="1:15">
      <c r="A9108" s="517" t="s">
        <v>3903</v>
      </c>
      <c r="B9108" s="549">
        <f>VLOOKUP(A9108,'Equip, Herr y Transp'!$B$2:$E$738,2,0)</f>
        <v>2</v>
      </c>
      <c r="C9108" s="549"/>
      <c r="D9108" s="85">
        <f>VLOOKUP(A9108,'Equip, Herr y Transp'!$B$2:$E$217,2,0)</f>
        <v>2</v>
      </c>
      <c r="E9108" s="85" t="str">
        <f>VLOOKUP(A9108,'Equip, Herr y Transp'!$B$2:$E$217,3,0)</f>
        <v>EQU</v>
      </c>
      <c r="F9108" s="86">
        <f>H9095</f>
        <v>1.2500000000000001E-2</v>
      </c>
      <c r="G9108" s="112" t="e">
        <f>F9108*E9108</f>
        <v>#VALUE!</v>
      </c>
      <c r="H9108" s="107"/>
    </row>
    <row r="9109" spans="1:15">
      <c r="A9109" s="520" t="s">
        <v>4099</v>
      </c>
      <c r="B9109" s="521"/>
      <c r="C9109" s="521"/>
      <c r="D9109" s="521"/>
      <c r="E9109" s="521"/>
      <c r="F9109" s="521"/>
      <c r="G9109" s="521"/>
      <c r="H9109" s="87" t="e">
        <f>SUM(G9105:G9108)</f>
        <v>#VALUE!</v>
      </c>
    </row>
    <row r="9110" spans="1:15">
      <c r="A9110" s="550" t="s">
        <v>4219</v>
      </c>
      <c r="B9110" s="551"/>
      <c r="C9110" s="551"/>
      <c r="D9110" s="551"/>
      <c r="E9110" s="551"/>
      <c r="F9110" s="551"/>
      <c r="G9110" s="551"/>
      <c r="H9110" s="552"/>
      <c r="K9110" s="50"/>
      <c r="L9110" s="50"/>
      <c r="M9110" s="50"/>
      <c r="N9110" s="50"/>
      <c r="O9110" s="50"/>
    </row>
    <row r="9111" spans="1:15" ht="30" customHeight="1">
      <c r="A9111" s="553" t="s">
        <v>7</v>
      </c>
      <c r="B9111" s="554"/>
      <c r="C9111" s="99" t="s">
        <v>0</v>
      </c>
      <c r="D9111" s="100" t="s">
        <v>4097</v>
      </c>
      <c r="E9111" s="101" t="s">
        <v>1</v>
      </c>
      <c r="F9111" s="555" t="s">
        <v>4207</v>
      </c>
      <c r="G9111" s="555"/>
      <c r="H9111" s="196"/>
      <c r="K9111" s="50"/>
      <c r="L9111" s="50"/>
      <c r="M9111" s="50"/>
      <c r="N9111" s="50"/>
      <c r="O9111" s="50"/>
    </row>
    <row r="9112" spans="1:15">
      <c r="A9112" s="535" t="s">
        <v>4696</v>
      </c>
      <c r="B9112" s="536"/>
      <c r="C9112" s="88">
        <f>VLOOKUP(A9112,'Materiales '!$C$2:$G$396,3,0)</f>
        <v>4</v>
      </c>
      <c r="D9112" s="89" t="str">
        <f>VLOOKUP(A9112,'Materiales '!$C$2:$G$396,4,0)</f>
        <v>Und</v>
      </c>
      <c r="E9112" s="90">
        <v>0.34</v>
      </c>
      <c r="F9112" s="508" t="e">
        <f>E9112*D9112</f>
        <v>#VALUE!</v>
      </c>
      <c r="G9112" s="519"/>
      <c r="H9112" s="111"/>
      <c r="I9112">
        <f>E9112*G9102</f>
        <v>0</v>
      </c>
      <c r="J9112" s="57"/>
      <c r="K9112" s="50"/>
      <c r="L9112" s="50"/>
      <c r="M9112" s="50"/>
      <c r="N9112" s="50"/>
      <c r="O9112" s="50"/>
    </row>
    <row r="9113" spans="1:15">
      <c r="A9113" s="535" t="s">
        <v>4628</v>
      </c>
      <c r="B9113" s="536"/>
      <c r="C9113" s="88">
        <f>VLOOKUP(A9113,'Materiales '!$C$2:$G$396,3,0)</f>
        <v>4</v>
      </c>
      <c r="D9113" s="89" t="str">
        <f>VLOOKUP(A9113,'Materiales '!$C$2:$G$396,4,0)</f>
        <v>Und</v>
      </c>
      <c r="E9113" s="90">
        <v>0.04</v>
      </c>
      <c r="F9113" s="508" t="e">
        <f t="shared" ref="F9113:F9119" si="528">E9113*D9113</f>
        <v>#VALUE!</v>
      </c>
      <c r="G9113" s="519"/>
      <c r="H9113" s="111"/>
      <c r="I9113">
        <f>E9113*G9102</f>
        <v>0</v>
      </c>
      <c r="J9113" s="57"/>
      <c r="K9113" s="50"/>
      <c r="L9113" s="50"/>
      <c r="M9113" s="50"/>
      <c r="N9113" s="50"/>
      <c r="O9113" s="50"/>
    </row>
    <row r="9114" spans="1:15">
      <c r="A9114" s="517" t="s">
        <v>4698</v>
      </c>
      <c r="B9114" s="518">
        <f>VLOOKUP(A9114,'Materiales '!$C$2:$G$396,3,0)</f>
        <v>4</v>
      </c>
      <c r="C9114" s="88">
        <f>VLOOKUP(A9114,'Materiales '!$C$2:$G$396,3,0)</f>
        <v>4</v>
      </c>
      <c r="D9114" s="89" t="str">
        <f>VLOOKUP(A9114,'Materiales '!$C$2:$G$396,4,0)</f>
        <v>Und</v>
      </c>
      <c r="E9114" s="90">
        <v>0.34</v>
      </c>
      <c r="F9114" s="508" t="e">
        <f t="shared" si="528"/>
        <v>#VALUE!</v>
      </c>
      <c r="G9114" s="519"/>
      <c r="H9114" s="111"/>
      <c r="I9114">
        <f>E9114*G9102</f>
        <v>0</v>
      </c>
      <c r="J9114" s="58"/>
      <c r="K9114" s="50"/>
      <c r="L9114" s="50"/>
      <c r="M9114" s="50"/>
      <c r="N9114" s="50"/>
      <c r="O9114" s="50"/>
    </row>
    <row r="9115" spans="1:15">
      <c r="A9115" s="517" t="s">
        <v>4697</v>
      </c>
      <c r="B9115" s="518">
        <f>VLOOKUP(A9115,'Materiales '!$C$2:$G$396,3,0)</f>
        <v>4</v>
      </c>
      <c r="C9115" s="88">
        <f>VLOOKUP(A9115,'Materiales '!$C$2:$G$396,3,0)</f>
        <v>4</v>
      </c>
      <c r="D9115" s="89" t="str">
        <f>VLOOKUP(A9115,'Materiales '!$C$2:$G$396,4,0)</f>
        <v>Und</v>
      </c>
      <c r="E9115" s="90">
        <v>0.02</v>
      </c>
      <c r="F9115" s="508" t="e">
        <f t="shared" si="528"/>
        <v>#VALUE!</v>
      </c>
      <c r="G9115" s="519"/>
      <c r="H9115" s="111"/>
      <c r="I9115">
        <f>E9115*G9102</f>
        <v>0</v>
      </c>
      <c r="J9115" s="58"/>
      <c r="K9115" s="50"/>
      <c r="L9115" s="50"/>
      <c r="M9115" s="50"/>
      <c r="N9115" s="50"/>
      <c r="O9115" s="50"/>
    </row>
    <row r="9116" spans="1:15">
      <c r="A9116" s="517" t="s">
        <v>8</v>
      </c>
      <c r="B9116" s="518">
        <f>VLOOKUP(A9116,'Materiales '!$C$2:$G$396,3,0)</f>
        <v>0</v>
      </c>
      <c r="C9116" s="88">
        <f>VLOOKUP(A9116,'Materiales '!$C$2:$G$396,3,0)</f>
        <v>0</v>
      </c>
      <c r="D9116" s="89" t="str">
        <f>VLOOKUP(A9116,'Materiales '!$C$2:$G$396,4,0)</f>
        <v>-</v>
      </c>
      <c r="E9116" s="90">
        <v>0.5</v>
      </c>
      <c r="F9116" s="508" t="e">
        <f t="shared" si="528"/>
        <v>#VALUE!</v>
      </c>
      <c r="G9116" s="519"/>
      <c r="H9116" s="111"/>
      <c r="I9116">
        <f>E9116*G9102</f>
        <v>0</v>
      </c>
      <c r="J9116" s="58"/>
      <c r="K9116" s="50"/>
      <c r="L9116" s="50"/>
      <c r="M9116" s="50"/>
      <c r="N9116" s="50"/>
      <c r="O9116" s="50"/>
    </row>
    <row r="9117" spans="1:15">
      <c r="A9117" s="517" t="s">
        <v>8</v>
      </c>
      <c r="B9117" s="518">
        <f>VLOOKUP(A9117,'Materiales '!$C$2:$G$396,3,0)</f>
        <v>0</v>
      </c>
      <c r="C9117" s="88">
        <f>VLOOKUP(A9117,'Materiales '!$C$2:$G$396,3,0)</f>
        <v>0</v>
      </c>
      <c r="D9117" s="89" t="str">
        <f>VLOOKUP(A9117,'Materiales '!$C$2:$G$396,4,0)</f>
        <v>-</v>
      </c>
      <c r="E9117" s="90">
        <v>1</v>
      </c>
      <c r="F9117" s="508" t="e">
        <f t="shared" si="528"/>
        <v>#VALUE!</v>
      </c>
      <c r="G9117" s="519"/>
      <c r="H9117" s="111"/>
      <c r="I9117">
        <f>E9117*G9102</f>
        <v>0</v>
      </c>
      <c r="J9117" s="58"/>
      <c r="K9117" s="50"/>
      <c r="L9117" s="50"/>
      <c r="M9117" s="50"/>
      <c r="N9117" s="50"/>
      <c r="O9117" s="50"/>
    </row>
    <row r="9118" spans="1:15">
      <c r="A9118" s="517" t="s">
        <v>8</v>
      </c>
      <c r="B9118" s="518">
        <f>VLOOKUP(A9118,'Materiales '!$C$2:$G$396,3,0)</f>
        <v>0</v>
      </c>
      <c r="C9118" s="88">
        <f>VLOOKUP(A9118,'Materiales '!$C$2:$G$396,3,0)</f>
        <v>0</v>
      </c>
      <c r="D9118" s="89" t="str">
        <f>VLOOKUP(A9118,'Materiales '!$C$2:$G$396,4,0)</f>
        <v>-</v>
      </c>
      <c r="E9118" s="90">
        <v>1</v>
      </c>
      <c r="F9118" s="508" t="e">
        <f t="shared" si="528"/>
        <v>#VALUE!</v>
      </c>
      <c r="G9118" s="519"/>
      <c r="H9118" s="111"/>
      <c r="I9118">
        <f>E9118*G9102</f>
        <v>0</v>
      </c>
      <c r="J9118" s="58"/>
      <c r="K9118" s="50"/>
      <c r="L9118" s="50"/>
      <c r="M9118" s="50"/>
      <c r="N9118" s="50"/>
      <c r="O9118" s="50"/>
    </row>
    <row r="9119" spans="1:15" ht="21.75" customHeight="1">
      <c r="A9119" s="517" t="s">
        <v>8</v>
      </c>
      <c r="B9119" s="518">
        <f>VLOOKUP(A9119,'Materiales '!$C$2:$G$396,3,0)</f>
        <v>0</v>
      </c>
      <c r="C9119" s="88">
        <f>VLOOKUP(A9119,'Materiales '!$C$2:$G$396,3,0)</f>
        <v>0</v>
      </c>
      <c r="D9119" s="89" t="str">
        <f>VLOOKUP(A9119,'Materiales '!$C$2:$G$396,4,0)</f>
        <v>-</v>
      </c>
      <c r="E9119" s="90"/>
      <c r="F9119" s="508" t="e">
        <f t="shared" si="528"/>
        <v>#VALUE!</v>
      </c>
      <c r="G9119" s="519"/>
      <c r="H9119" s="111"/>
      <c r="I9119">
        <f>E9119*G9102</f>
        <v>0</v>
      </c>
      <c r="J9119" s="58"/>
      <c r="K9119" s="50"/>
      <c r="L9119" s="50"/>
      <c r="M9119" s="50"/>
      <c r="N9119" s="50"/>
      <c r="O9119" s="50"/>
    </row>
    <row r="9120" spans="1:15">
      <c r="A9120" s="517" t="s">
        <v>8</v>
      </c>
      <c r="B9120" s="518">
        <f>VLOOKUP(A9120,'Materiales '!$C$2:$G$396,3,0)</f>
        <v>0</v>
      </c>
      <c r="C9120" s="88">
        <f>VLOOKUP(A9120,'Materiales '!$C$2:$G$396,3,0)</f>
        <v>0</v>
      </c>
      <c r="D9120" s="89" t="str">
        <f>VLOOKUP(A9120,'Materiales '!$C$2:$G$396,4,0)</f>
        <v>-</v>
      </c>
      <c r="E9120" s="90"/>
      <c r="F9120" s="508" t="e">
        <f>E9120*D9120</f>
        <v>#VALUE!</v>
      </c>
      <c r="G9120" s="519"/>
      <c r="H9120" s="110"/>
      <c r="I9120">
        <f>E9120*G9102</f>
        <v>0</v>
      </c>
      <c r="J9120" s="58"/>
      <c r="K9120" s="50"/>
      <c r="L9120" s="50"/>
      <c r="M9120" s="50"/>
      <c r="N9120" s="50"/>
      <c r="O9120" s="50"/>
    </row>
    <row r="9121" spans="1:15">
      <c r="A9121" s="517" t="s">
        <v>8</v>
      </c>
      <c r="B9121" s="518">
        <f>VLOOKUP(A9121,'Materiales '!$C$2:$G$396,3,0)</f>
        <v>0</v>
      </c>
      <c r="C9121" s="88">
        <f>VLOOKUP(A9121,'Materiales '!$C$2:$G$396,3,0)</f>
        <v>0</v>
      </c>
      <c r="D9121" s="89" t="str">
        <f>VLOOKUP(A9121,'Materiales '!$C$2:$G$396,4,0)</f>
        <v>-</v>
      </c>
      <c r="E9121" s="90"/>
      <c r="F9121" s="508" t="e">
        <f t="shared" ref="F9121:F9124" si="529">E9121*D9121</f>
        <v>#VALUE!</v>
      </c>
      <c r="G9121" s="519"/>
      <c r="H9121" s="111"/>
      <c r="I9121">
        <f>E9121*G9102</f>
        <v>0</v>
      </c>
      <c r="J9121" s="58"/>
      <c r="K9121" s="50"/>
      <c r="L9121" s="50"/>
      <c r="M9121" s="50"/>
      <c r="N9121" s="50"/>
      <c r="O9121" s="50"/>
    </row>
    <row r="9122" spans="1:15">
      <c r="A9122" s="517" t="s">
        <v>8</v>
      </c>
      <c r="B9122" s="518">
        <f>VLOOKUP(A9122,'Materiales '!$C$2:$G$396,3,0)</f>
        <v>0</v>
      </c>
      <c r="C9122" s="88">
        <f>VLOOKUP(A9122,'Materiales '!$C$2:$G$396,3,0)</f>
        <v>0</v>
      </c>
      <c r="D9122" s="89" t="str">
        <f>VLOOKUP(A9122,'Materiales '!$C$2:$G$396,4,0)</f>
        <v>-</v>
      </c>
      <c r="E9122" s="90"/>
      <c r="F9122" s="508" t="e">
        <f t="shared" si="529"/>
        <v>#VALUE!</v>
      </c>
      <c r="G9122" s="519"/>
      <c r="H9122" s="111"/>
      <c r="I9122">
        <f>E9122*G9102</f>
        <v>0</v>
      </c>
      <c r="J9122" s="58"/>
      <c r="K9122" s="50"/>
      <c r="L9122" s="50"/>
      <c r="M9122" s="50"/>
      <c r="N9122" s="50"/>
      <c r="O9122" s="50"/>
    </row>
    <row r="9123" spans="1:15">
      <c r="A9123" s="517" t="s">
        <v>8</v>
      </c>
      <c r="B9123" s="518">
        <f>VLOOKUP(A9123,'Materiales '!$C$2:$G$396,3,0)</f>
        <v>0</v>
      </c>
      <c r="C9123" s="88">
        <f>VLOOKUP(A9123,'Materiales '!$C$2:$G$396,3,0)</f>
        <v>0</v>
      </c>
      <c r="D9123" s="89" t="str">
        <f>VLOOKUP(A9123,'Materiales '!$C$2:$G$396,4,0)</f>
        <v>-</v>
      </c>
      <c r="E9123" s="90"/>
      <c r="F9123" s="508" t="e">
        <f t="shared" si="529"/>
        <v>#VALUE!</v>
      </c>
      <c r="G9123" s="519"/>
      <c r="H9123" s="111"/>
      <c r="I9123">
        <f>E9123*G9102</f>
        <v>0</v>
      </c>
      <c r="J9123" s="58"/>
      <c r="K9123" s="50"/>
      <c r="L9123" s="50"/>
      <c r="M9123" s="50"/>
      <c r="N9123" s="50"/>
      <c r="O9123" s="50"/>
    </row>
    <row r="9124" spans="1:15">
      <c r="A9124" s="517" t="s">
        <v>8</v>
      </c>
      <c r="B9124" s="518">
        <f>VLOOKUP(A9124,'Materiales '!$C$2:$G$396,3,0)</f>
        <v>0</v>
      </c>
      <c r="C9124" s="88">
        <f>VLOOKUP(A9124,'Materiales '!$C$2:$G$396,3,0)</f>
        <v>0</v>
      </c>
      <c r="D9124" s="89" t="str">
        <f>VLOOKUP(A9124,'Materiales '!$C$2:$G$396,4,0)</f>
        <v>-</v>
      </c>
      <c r="E9124" s="90"/>
      <c r="F9124" s="508" t="e">
        <f t="shared" si="529"/>
        <v>#VALUE!</v>
      </c>
      <c r="G9124" s="519"/>
      <c r="H9124" s="111"/>
      <c r="I9124">
        <f>E9124*G9102</f>
        <v>0</v>
      </c>
      <c r="J9124" s="58"/>
      <c r="K9124" s="50"/>
      <c r="L9124" s="50"/>
      <c r="M9124" s="50"/>
      <c r="N9124" s="50"/>
      <c r="O9124" s="50"/>
    </row>
    <row r="9125" spans="1:15">
      <c r="A9125" s="517" t="s">
        <v>8</v>
      </c>
      <c r="B9125" s="518">
        <f>VLOOKUP(A9125,'Materiales '!$C$2:$G$396,3,0)</f>
        <v>0</v>
      </c>
      <c r="C9125" s="88">
        <f>VLOOKUP(A9125,'Materiales '!$C$2:$G$396,3,0)</f>
        <v>0</v>
      </c>
      <c r="D9125" s="89" t="str">
        <f>VLOOKUP(A9125,'Materiales '!$C$2:$G$396,4,0)</f>
        <v>-</v>
      </c>
      <c r="E9125" s="90"/>
      <c r="F9125" s="508" t="e">
        <f>E9125*D9125</f>
        <v>#VALUE!</v>
      </c>
      <c r="G9125" s="519"/>
      <c r="H9125" s="110"/>
      <c r="I9125">
        <f>E9125*G9102</f>
        <v>0</v>
      </c>
      <c r="J9125" s="58"/>
      <c r="K9125" s="50"/>
      <c r="L9125" s="50"/>
      <c r="M9125" s="50"/>
      <c r="N9125" s="50"/>
      <c r="O9125" s="50"/>
    </row>
    <row r="9126" spans="1:15">
      <c r="A9126" s="520" t="s">
        <v>4098</v>
      </c>
      <c r="B9126" s="521"/>
      <c r="C9126" s="521"/>
      <c r="D9126" s="521"/>
      <c r="E9126" s="521"/>
      <c r="F9126" s="521"/>
      <c r="G9126" s="522"/>
      <c r="H9126" s="106" t="e">
        <f>SUM(F9112:F9125)</f>
        <v>#VALUE!</v>
      </c>
      <c r="J9126" s="58"/>
      <c r="K9126" s="50"/>
      <c r="L9126" s="50"/>
      <c r="M9126" s="50"/>
      <c r="N9126" s="50"/>
      <c r="O9126" s="50"/>
    </row>
    <row r="9127" spans="1:15">
      <c r="A9127" s="523" t="s">
        <v>4220</v>
      </c>
      <c r="B9127" s="524"/>
      <c r="C9127" s="524"/>
      <c r="D9127" s="524"/>
      <c r="E9127" s="525"/>
      <c r="F9127" s="524"/>
      <c r="G9127" s="524"/>
      <c r="H9127" s="526"/>
      <c r="J9127" s="58"/>
      <c r="K9127" s="50"/>
      <c r="L9127" s="50"/>
      <c r="M9127" s="50"/>
      <c r="N9127" s="50"/>
      <c r="O9127" s="50"/>
    </row>
    <row r="9128" spans="1:15">
      <c r="A9128" s="527" t="s">
        <v>7</v>
      </c>
      <c r="B9128" s="528"/>
      <c r="C9128" s="98" t="s">
        <v>4221</v>
      </c>
      <c r="D9128" s="97" t="s">
        <v>4222</v>
      </c>
      <c r="E9128" s="187" t="s">
        <v>4223</v>
      </c>
      <c r="F9128" s="529" t="s">
        <v>4207</v>
      </c>
      <c r="G9128" s="529"/>
      <c r="H9128" s="109"/>
      <c r="K9128" s="50"/>
      <c r="L9128" s="50"/>
      <c r="M9128" s="50"/>
      <c r="N9128" s="50"/>
      <c r="O9128" s="50"/>
    </row>
    <row r="9129" spans="1:15">
      <c r="A9129" s="506" t="s">
        <v>3928</v>
      </c>
      <c r="B9129" s="507"/>
      <c r="C9129" s="213">
        <v>1</v>
      </c>
      <c r="D9129" s="92">
        <v>5.0000000000000001E-3</v>
      </c>
      <c r="E9129" s="93" t="str">
        <f>VLOOKUP(A9129,'Equip, Herr y Transp'!$B$2:$E$217,3,0)</f>
        <v>TR</v>
      </c>
      <c r="F9129" s="530" t="e">
        <f>E9129*D9129*C9129</f>
        <v>#VALUE!</v>
      </c>
      <c r="G9129" s="531"/>
      <c r="H9129" s="107"/>
      <c r="M9129" s="50"/>
    </row>
    <row r="9130" spans="1:15">
      <c r="A9130" s="532" t="s">
        <v>4205</v>
      </c>
      <c r="B9130" s="533"/>
      <c r="C9130" s="533"/>
      <c r="D9130" s="533"/>
      <c r="E9130" s="533"/>
      <c r="F9130" s="533"/>
      <c r="G9130" s="533"/>
      <c r="H9130" s="95" t="e">
        <f>F9129</f>
        <v>#VALUE!</v>
      </c>
    </row>
    <row r="9131" spans="1:15">
      <c r="A9131" s="523" t="s">
        <v>4224</v>
      </c>
      <c r="B9131" s="524"/>
      <c r="C9131" s="524"/>
      <c r="D9131" s="524"/>
      <c r="E9131" s="524"/>
      <c r="F9131" s="524"/>
      <c r="G9131" s="524"/>
      <c r="H9131" s="526"/>
    </row>
    <row r="9132" spans="1:15">
      <c r="A9132" s="527" t="s">
        <v>7</v>
      </c>
      <c r="B9132" s="528"/>
      <c r="C9132" s="96" t="s">
        <v>1</v>
      </c>
      <c r="D9132" s="97" t="s">
        <v>4225</v>
      </c>
      <c r="E9132" s="98" t="s">
        <v>4204</v>
      </c>
      <c r="F9132" s="527" t="s">
        <v>5</v>
      </c>
      <c r="G9132" s="534"/>
      <c r="H9132" s="109"/>
    </row>
    <row r="9133" spans="1:15">
      <c r="A9133" s="506" t="s">
        <v>4191</v>
      </c>
      <c r="B9133" s="507"/>
      <c r="C9133" s="91">
        <v>1</v>
      </c>
      <c r="D9133" s="94">
        <f>VLOOKUP(A9133,'Mano Obra'!$B$2:$T$117,19,0)</f>
        <v>152456</v>
      </c>
      <c r="E9133" s="218">
        <f>H9095</f>
        <v>1.2500000000000001E-2</v>
      </c>
      <c r="F9133" s="508">
        <f>E9133*D9133*C9133</f>
        <v>1905.7</v>
      </c>
      <c r="G9133" s="509"/>
      <c r="H9133" s="111"/>
      <c r="I9133" s="59"/>
      <c r="J9133" s="117">
        <f>((('Mano Obra'!$M$4/30)*F9133)/D9133)*G9102</f>
        <v>0</v>
      </c>
    </row>
    <row r="9134" spans="1:15">
      <c r="A9134" s="510" t="s">
        <v>4192</v>
      </c>
      <c r="B9134" s="511">
        <f>VLOOKUP(A9134,'Mano Obra'!$B$3:$D$290,2,0)</f>
        <v>1900000</v>
      </c>
      <c r="C9134" s="91">
        <v>2</v>
      </c>
      <c r="D9134" s="94">
        <f>VLOOKUP(A9134,'Mano Obra'!$B$2:$T$117,19,0)</f>
        <v>110488</v>
      </c>
      <c r="E9134" s="218">
        <f>H9095</f>
        <v>1.2500000000000001E-2</v>
      </c>
      <c r="F9134" s="508">
        <f t="shared" ref="F9134:F9135" si="530">E9134*D9134*C9134</f>
        <v>2762.2000000000003</v>
      </c>
      <c r="G9134" s="509"/>
      <c r="H9134" s="111"/>
      <c r="J9134" s="117">
        <f>((('Mano Obra'!$M$5/30)*F9134)/D9134)*G9102</f>
        <v>0</v>
      </c>
    </row>
    <row r="9135" spans="1:15">
      <c r="A9135" s="510" t="s">
        <v>4181</v>
      </c>
      <c r="B9135" s="511">
        <f>VLOOKUP(A9135,'Mano Obra'!$B$3:$D$290,2,0)</f>
        <v>1000000</v>
      </c>
      <c r="C9135" s="91">
        <v>1</v>
      </c>
      <c r="D9135" s="94">
        <f>VLOOKUP(A9135,'Mano Obra'!$B$2:$T$117,19,0)</f>
        <v>67424</v>
      </c>
      <c r="E9135" s="218">
        <f>H9095</f>
        <v>1.2500000000000001E-2</v>
      </c>
      <c r="F9135" s="508">
        <f t="shared" si="530"/>
        <v>842.80000000000007</v>
      </c>
      <c r="G9135" s="509"/>
      <c r="H9135" s="110"/>
      <c r="J9135" s="117">
        <f>((('Mano Obra'!$M$6/30)*F9135)/D9135)*G9102</f>
        <v>0</v>
      </c>
    </row>
    <row r="9136" spans="1:15">
      <c r="A9136" s="512" t="s">
        <v>4100</v>
      </c>
      <c r="B9136" s="512"/>
      <c r="C9136" s="512"/>
      <c r="D9136" s="512"/>
      <c r="E9136" s="512"/>
      <c r="F9136" s="512"/>
      <c r="G9136" s="512"/>
      <c r="H9136" s="95">
        <f>SUM(F9133:F9135)</f>
        <v>5510.7000000000007</v>
      </c>
      <c r="J9136" s="117"/>
    </row>
    <row r="9137" spans="1:14">
      <c r="A9137" s="208" t="s">
        <v>4226</v>
      </c>
      <c r="B9137" s="186"/>
      <c r="C9137" s="186"/>
      <c r="D9137" s="183"/>
      <c r="E9137" s="184"/>
      <c r="F9137" s="185"/>
      <c r="G9137" s="184"/>
      <c r="H9137" s="193"/>
    </row>
    <row r="9138" spans="1:14">
      <c r="A9138" s="513" t="s">
        <v>4213</v>
      </c>
      <c r="B9138" s="514"/>
      <c r="C9138" s="514"/>
      <c r="D9138" s="514"/>
      <c r="E9138" s="181"/>
      <c r="F9138" s="182" t="s">
        <v>4227</v>
      </c>
      <c r="G9138" s="181" t="s">
        <v>4228</v>
      </c>
      <c r="H9138" s="194"/>
    </row>
    <row r="9139" spans="1:14">
      <c r="A9139" s="204" t="s">
        <v>4096</v>
      </c>
      <c r="B9139" s="62"/>
      <c r="C9139" s="62"/>
      <c r="D9139" s="63"/>
      <c r="E9139" s="68"/>
      <c r="F9139" s="69">
        <v>0</v>
      </c>
      <c r="G9139" s="70" t="e">
        <f>F9139*H9103</f>
        <v>#VALUE!</v>
      </c>
      <c r="H9139" s="193"/>
    </row>
    <row r="9140" spans="1:14">
      <c r="A9140" s="205" t="s">
        <v>4229</v>
      </c>
      <c r="B9140" s="71"/>
      <c r="C9140" s="71"/>
      <c r="D9140" s="72"/>
      <c r="E9140" s="68"/>
      <c r="F9140" s="69">
        <v>0</v>
      </c>
      <c r="G9140" s="70" t="e">
        <f>F9140*H9103</f>
        <v>#VALUE!</v>
      </c>
      <c r="H9140" s="193"/>
    </row>
    <row r="9141" spans="1:14">
      <c r="A9141" s="205" t="s">
        <v>4</v>
      </c>
      <c r="B9141" s="71"/>
      <c r="C9141" s="71"/>
      <c r="D9141" s="72"/>
      <c r="E9141" s="68"/>
      <c r="F9141" s="69">
        <v>0</v>
      </c>
      <c r="G9141" s="70" t="e">
        <f>F9141*H9103</f>
        <v>#VALUE!</v>
      </c>
      <c r="H9141" s="193"/>
    </row>
    <row r="9142" spans="1:14">
      <c r="A9142" s="206"/>
      <c r="B9142" s="73"/>
      <c r="C9142" s="65"/>
      <c r="D9142" s="74"/>
      <c r="E9142" s="75"/>
      <c r="F9142" s="76"/>
      <c r="G9142" s="77"/>
      <c r="H9142" s="195"/>
    </row>
    <row r="9143" spans="1:14">
      <c r="A9143" s="207"/>
      <c r="B9143" s="73"/>
      <c r="C9143" s="73"/>
      <c r="D9143" s="74"/>
      <c r="E9143" s="78"/>
      <c r="F9143" s="515" t="s">
        <v>4230</v>
      </c>
      <c r="G9143" s="516"/>
      <c r="H9143" s="214" t="e">
        <f>H9103+G9139+G9140+G9141</f>
        <v>#VALUE!</v>
      </c>
    </row>
    <row r="9145" spans="1:14">
      <c r="A9145" s="80"/>
      <c r="B9145" s="80"/>
      <c r="C9145" s="80"/>
      <c r="D9145" s="80"/>
      <c r="E9145" s="80"/>
      <c r="F9145" s="80"/>
      <c r="G9145" s="80"/>
      <c r="H9145" s="353"/>
    </row>
    <row r="9146" spans="1:14">
      <c r="A9146" s="537" t="s">
        <v>4214</v>
      </c>
      <c r="B9146" s="538"/>
      <c r="C9146" s="538"/>
      <c r="D9146" s="538"/>
      <c r="E9146" s="538"/>
      <c r="F9146" s="538"/>
      <c r="G9146" s="538"/>
      <c r="H9146" s="539"/>
    </row>
    <row r="9147" spans="1:14">
      <c r="A9147" s="81"/>
      <c r="B9147" s="82"/>
      <c r="C9147" s="82"/>
      <c r="D9147" s="82"/>
      <c r="E9147" s="82"/>
      <c r="F9147" s="83"/>
      <c r="G9147" s="84"/>
      <c r="H9147" s="352">
        <f>ROUND((4/60)/8,4)</f>
        <v>8.3000000000000001E-3</v>
      </c>
      <c r="I9147" s="105"/>
    </row>
    <row r="9148" spans="1:14">
      <c r="A9148" s="540" t="s">
        <v>4209</v>
      </c>
      <c r="B9148" s="542" t="str">
        <f>COSTOS!$C$14</f>
        <v>MODERNIZACION A TECNOLOGIA LED</v>
      </c>
      <c r="C9148" s="542"/>
      <c r="D9148" s="542"/>
      <c r="E9148" s="542"/>
      <c r="F9148" s="542"/>
      <c r="G9148" s="542"/>
      <c r="H9148" s="543" t="s">
        <v>4210</v>
      </c>
    </row>
    <row r="9149" spans="1:14">
      <c r="A9149" s="541"/>
      <c r="B9149" s="542"/>
      <c r="C9149" s="542"/>
      <c r="D9149" s="542"/>
      <c r="E9149" s="542"/>
      <c r="F9149" s="542"/>
      <c r="G9149" s="542"/>
      <c r="H9149" s="543"/>
    </row>
    <row r="9150" spans="1:14">
      <c r="A9150" s="541"/>
      <c r="B9150" s="542"/>
      <c r="C9150" s="542"/>
      <c r="D9150" s="542"/>
      <c r="E9150" s="542"/>
      <c r="F9150" s="542"/>
      <c r="G9150" s="542"/>
      <c r="H9150" s="543"/>
    </row>
    <row r="9151" spans="1:14" ht="15" customHeight="1">
      <c r="A9151" s="541"/>
      <c r="B9151" s="542"/>
      <c r="C9151" s="542"/>
      <c r="D9151" s="542"/>
      <c r="E9151" s="542"/>
      <c r="F9151" s="542"/>
      <c r="G9151" s="542"/>
      <c r="H9151" s="197">
        <f ca="1">TODAY()</f>
        <v>44889</v>
      </c>
      <c r="K9151" t="s">
        <v>4380</v>
      </c>
      <c r="L9151" t="s">
        <v>4381</v>
      </c>
      <c r="M9151" t="s">
        <v>4382</v>
      </c>
      <c r="N9151" t="s">
        <v>4383</v>
      </c>
    </row>
    <row r="9152" spans="1:14" ht="60.75" customHeight="1">
      <c r="A9152" s="209" t="s">
        <v>4211</v>
      </c>
      <c r="B9152" s="544" t="str">
        <f>COSTOS!$D$16</f>
        <v>Luminarias</v>
      </c>
      <c r="C9152" s="544"/>
      <c r="D9152" s="544"/>
      <c r="E9152" s="544"/>
      <c r="F9152" s="544"/>
      <c r="G9152" s="60" t="s">
        <v>4212</v>
      </c>
      <c r="H9152" s="359">
        <v>7.5</v>
      </c>
      <c r="K9152" s="55" t="e">
        <f>H9178</f>
        <v>#VALUE!</v>
      </c>
      <c r="L9152" s="55">
        <f>H9188</f>
        <v>3659.1048000000001</v>
      </c>
      <c r="M9152" s="55" t="e">
        <f>H9161</f>
        <v>#VALUE!</v>
      </c>
      <c r="N9152" s="55" t="e">
        <f>H9182</f>
        <v>#VALUE!</v>
      </c>
    </row>
    <row r="9153" spans="1:15" ht="43.2" customHeight="1">
      <c r="A9153" s="210" t="s">
        <v>4213</v>
      </c>
      <c r="B9153" s="545" t="str">
        <f>VLOOKUP(H9152,COSTOS!C:M,2,0)</f>
        <v>Canalizacion con un ducto 1/2" EMT</v>
      </c>
      <c r="C9153" s="546"/>
      <c r="D9153" s="546"/>
      <c r="E9153" s="547"/>
      <c r="F9153" s="61" t="s">
        <v>0</v>
      </c>
      <c r="G9153" s="328" t="str">
        <f>VLOOKUP(H9152,COSTOS!C:M,8,0)</f>
        <v>Ml</v>
      </c>
      <c r="H9153" s="248"/>
      <c r="I9153" s="278"/>
      <c r="J9153" s="280"/>
      <c r="K9153" s="280"/>
      <c r="L9153" s="280"/>
    </row>
    <row r="9154" spans="1:15">
      <c r="A9154" s="211"/>
      <c r="B9154" s="102"/>
      <c r="C9154" s="102"/>
      <c r="D9154" s="102"/>
      <c r="E9154" s="103"/>
      <c r="F9154" s="104" t="s">
        <v>1</v>
      </c>
      <c r="G9154" s="328">
        <f>VLOOKUP(H9152,COSTOS!C:M,9,0)</f>
        <v>0</v>
      </c>
      <c r="H9154" s="329"/>
      <c r="I9154" s="279"/>
    </row>
    <row r="9155" spans="1:15">
      <c r="A9155" s="212" t="s">
        <v>4215</v>
      </c>
      <c r="B9155" s="65"/>
      <c r="C9155" s="65"/>
      <c r="D9155" s="66"/>
      <c r="E9155" s="190"/>
      <c r="F9155" s="191"/>
      <c r="G9155" s="192" t="s">
        <v>4216</v>
      </c>
      <c r="H9155" s="198" t="e">
        <f>H9161+H9178+H9182+H9188</f>
        <v>#VALUE!</v>
      </c>
    </row>
    <row r="9156" spans="1:15" ht="41.4">
      <c r="A9156" s="548" t="s">
        <v>4213</v>
      </c>
      <c r="B9156" s="548"/>
      <c r="C9156" s="548"/>
      <c r="D9156" s="67" t="s">
        <v>0</v>
      </c>
      <c r="E9156" s="188" t="s">
        <v>4217</v>
      </c>
      <c r="F9156" s="189" t="s">
        <v>4204</v>
      </c>
      <c r="G9156" s="64" t="s">
        <v>2</v>
      </c>
      <c r="H9156" s="199" t="s">
        <v>4218</v>
      </c>
      <c r="K9156" s="281"/>
    </row>
    <row r="9157" spans="1:15">
      <c r="A9157" s="517" t="s">
        <v>3946</v>
      </c>
      <c r="B9157" s="549">
        <f>VLOOKUP(A9157,'Equip, Herr y Transp'!$B$2:$E$738,2,0)</f>
        <v>2</v>
      </c>
      <c r="C9157" s="549"/>
      <c r="D9157" s="85">
        <f>VLOOKUP(A9157,'Equip, Herr y Transp'!$B$2:$E$217,2,0)</f>
        <v>2</v>
      </c>
      <c r="E9157" s="85" t="str">
        <f>VLOOKUP(A9157,'Equip, Herr y Transp'!$B$2:$E$217,3,0)</f>
        <v>EQU</v>
      </c>
      <c r="F9157" s="86">
        <f>H9147</f>
        <v>8.3000000000000001E-3</v>
      </c>
      <c r="G9157" s="112" t="e">
        <f>F9157*E9157</f>
        <v>#VALUE!</v>
      </c>
      <c r="H9157" s="108"/>
    </row>
    <row r="9158" spans="1:15">
      <c r="A9158" s="517" t="s">
        <v>3914</v>
      </c>
      <c r="B9158" s="549">
        <f>VLOOKUP(A9158,'Equip, Herr y Transp'!$B$2:$E$738,2,0)</f>
        <v>2</v>
      </c>
      <c r="C9158" s="549"/>
      <c r="D9158" s="85">
        <f>VLOOKUP(A9158,'Equip, Herr y Transp'!$B$2:$E$217,2,0)</f>
        <v>2</v>
      </c>
      <c r="E9158" s="85" t="str">
        <f>VLOOKUP(A9158,'Equip, Herr y Transp'!$B$2:$E$217,3,0)</f>
        <v>EQU</v>
      </c>
      <c r="F9158" s="86">
        <f>H9147</f>
        <v>8.3000000000000001E-3</v>
      </c>
      <c r="G9158" s="112" t="e">
        <f>F9158*E9158</f>
        <v>#VALUE!</v>
      </c>
      <c r="H9158" s="107"/>
    </row>
    <row r="9159" spans="1:15">
      <c r="A9159" s="517" t="s">
        <v>4142</v>
      </c>
      <c r="B9159" s="549">
        <f>VLOOKUP(A9159,'Equip, Herr y Transp'!$B$2:$E$738,2,0)</f>
        <v>2</v>
      </c>
      <c r="C9159" s="549"/>
      <c r="D9159" s="85">
        <f>VLOOKUP(A9159,'Equip, Herr y Transp'!$B$2:$E$217,2,0)</f>
        <v>2</v>
      </c>
      <c r="E9159" s="85" t="str">
        <f>VLOOKUP(A9159,'Equip, Herr y Transp'!$B$2:$E$217,3,0)</f>
        <v>EQU</v>
      </c>
      <c r="F9159" s="86">
        <f>H9147</f>
        <v>8.3000000000000001E-3</v>
      </c>
      <c r="G9159" s="112" t="e">
        <f>F9159*E9159</f>
        <v>#VALUE!</v>
      </c>
      <c r="H9159" s="107"/>
    </row>
    <row r="9160" spans="1:15">
      <c r="A9160" s="517" t="s">
        <v>3903</v>
      </c>
      <c r="B9160" s="549">
        <f>VLOOKUP(A9160,'Equip, Herr y Transp'!$B$2:$E$738,2,0)</f>
        <v>2</v>
      </c>
      <c r="C9160" s="549"/>
      <c r="D9160" s="85">
        <f>VLOOKUP(A9160,'Equip, Herr y Transp'!$B$2:$E$217,2,0)</f>
        <v>2</v>
      </c>
      <c r="E9160" s="85" t="str">
        <f>VLOOKUP(A9160,'Equip, Herr y Transp'!$B$2:$E$217,3,0)</f>
        <v>EQU</v>
      </c>
      <c r="F9160" s="86">
        <f>H9147</f>
        <v>8.3000000000000001E-3</v>
      </c>
      <c r="G9160" s="112" t="e">
        <f>F9160*E9160</f>
        <v>#VALUE!</v>
      </c>
      <c r="H9160" s="107"/>
    </row>
    <row r="9161" spans="1:15">
      <c r="A9161" s="520" t="s">
        <v>4099</v>
      </c>
      <c r="B9161" s="521"/>
      <c r="C9161" s="521"/>
      <c r="D9161" s="521"/>
      <c r="E9161" s="521"/>
      <c r="F9161" s="521"/>
      <c r="G9161" s="521"/>
      <c r="H9161" s="87" t="e">
        <f>SUM(G9157:G9160)</f>
        <v>#VALUE!</v>
      </c>
    </row>
    <row r="9162" spans="1:15">
      <c r="A9162" s="550" t="s">
        <v>4219</v>
      </c>
      <c r="B9162" s="551"/>
      <c r="C9162" s="551"/>
      <c r="D9162" s="551"/>
      <c r="E9162" s="551"/>
      <c r="F9162" s="551"/>
      <c r="G9162" s="551"/>
      <c r="H9162" s="552"/>
      <c r="K9162" s="50"/>
      <c r="L9162" s="50"/>
      <c r="M9162" s="50"/>
      <c r="N9162" s="50"/>
      <c r="O9162" s="50"/>
    </row>
    <row r="9163" spans="1:15" ht="30" customHeight="1">
      <c r="A9163" s="553" t="s">
        <v>7</v>
      </c>
      <c r="B9163" s="554"/>
      <c r="C9163" s="99" t="s">
        <v>0</v>
      </c>
      <c r="D9163" s="100" t="s">
        <v>4097</v>
      </c>
      <c r="E9163" s="101" t="s">
        <v>1</v>
      </c>
      <c r="F9163" s="555" t="s">
        <v>4207</v>
      </c>
      <c r="G9163" s="555"/>
      <c r="H9163" s="196"/>
      <c r="K9163" s="50"/>
      <c r="L9163" s="50"/>
      <c r="M9163" s="50"/>
      <c r="N9163" s="50"/>
      <c r="O9163" s="50"/>
    </row>
    <row r="9164" spans="1:15">
      <c r="A9164" s="535" t="s">
        <v>4639</v>
      </c>
      <c r="B9164" s="536"/>
      <c r="C9164" s="88">
        <f>VLOOKUP(A9164,'Materiales '!$C$2:$G$396,3,0)</f>
        <v>4</v>
      </c>
      <c r="D9164" s="89" t="str">
        <f>VLOOKUP(A9164,'Materiales '!$C$2:$G$396,4,0)</f>
        <v>Und</v>
      </c>
      <c r="E9164" s="90">
        <v>0.34</v>
      </c>
      <c r="F9164" s="508" t="e">
        <f>E9164*D9164</f>
        <v>#VALUE!</v>
      </c>
      <c r="G9164" s="519"/>
      <c r="H9164" s="111"/>
      <c r="I9164">
        <f>E9164*G9154</f>
        <v>0</v>
      </c>
      <c r="J9164" s="57"/>
      <c r="K9164" s="50"/>
      <c r="L9164" s="50"/>
      <c r="M9164" s="50"/>
      <c r="N9164" s="50"/>
      <c r="O9164" s="50"/>
    </row>
    <row r="9165" spans="1:15">
      <c r="A9165" s="535" t="s">
        <v>4628</v>
      </c>
      <c r="B9165" s="536"/>
      <c r="C9165" s="88">
        <f>VLOOKUP(A9165,'Materiales '!$C$2:$G$396,3,0)</f>
        <v>4</v>
      </c>
      <c r="D9165" s="89" t="str">
        <f>VLOOKUP(A9165,'Materiales '!$C$2:$G$396,4,0)</f>
        <v>Und</v>
      </c>
      <c r="E9165" s="90">
        <v>0.04</v>
      </c>
      <c r="F9165" s="508" t="e">
        <f t="shared" ref="F9165:F9171" si="531">E9165*D9165</f>
        <v>#VALUE!</v>
      </c>
      <c r="G9165" s="519"/>
      <c r="H9165" s="111"/>
      <c r="I9165">
        <f>E9165*G9154</f>
        <v>0</v>
      </c>
      <c r="J9165" s="57"/>
      <c r="K9165" s="50"/>
      <c r="L9165" s="50"/>
      <c r="M9165" s="50"/>
      <c r="N9165" s="50"/>
      <c r="O9165" s="50"/>
    </row>
    <row r="9166" spans="1:15">
      <c r="A9166" s="517" t="s">
        <v>4699</v>
      </c>
      <c r="B9166" s="518">
        <f>VLOOKUP(A9166,'Materiales '!$C$2:$G$396,3,0)</f>
        <v>4</v>
      </c>
      <c r="C9166" s="88">
        <f>VLOOKUP(A9166,'Materiales '!$C$2:$G$396,3,0)</f>
        <v>4</v>
      </c>
      <c r="D9166" s="89" t="str">
        <f>VLOOKUP(A9166,'Materiales '!$C$2:$G$396,4,0)</f>
        <v>Und</v>
      </c>
      <c r="E9166" s="90">
        <v>0.34</v>
      </c>
      <c r="F9166" s="508" t="e">
        <f t="shared" si="531"/>
        <v>#VALUE!</v>
      </c>
      <c r="G9166" s="519"/>
      <c r="H9166" s="111"/>
      <c r="I9166">
        <f>E9166*G9154</f>
        <v>0</v>
      </c>
      <c r="J9166" s="58"/>
      <c r="K9166" s="50"/>
      <c r="L9166" s="50"/>
      <c r="M9166" s="50"/>
      <c r="N9166" s="50"/>
      <c r="O9166" s="50"/>
    </row>
    <row r="9167" spans="1:15">
      <c r="A9167" s="517" t="s">
        <v>4700</v>
      </c>
      <c r="B9167" s="518">
        <f>VLOOKUP(A9167,'Materiales '!$C$2:$G$396,3,0)</f>
        <v>4</v>
      </c>
      <c r="C9167" s="88">
        <f>VLOOKUP(A9167,'Materiales '!$C$2:$G$396,3,0)</f>
        <v>4</v>
      </c>
      <c r="D9167" s="89" t="str">
        <f>VLOOKUP(A9167,'Materiales '!$C$2:$G$396,4,0)</f>
        <v>Und</v>
      </c>
      <c r="E9167" s="90">
        <v>0.02</v>
      </c>
      <c r="F9167" s="508" t="e">
        <f t="shared" si="531"/>
        <v>#VALUE!</v>
      </c>
      <c r="G9167" s="519"/>
      <c r="H9167" s="111"/>
      <c r="I9167">
        <f>E9167*G9154</f>
        <v>0</v>
      </c>
      <c r="J9167" s="58"/>
      <c r="K9167" s="50"/>
      <c r="L9167" s="50"/>
      <c r="M9167" s="50"/>
      <c r="N9167" s="50"/>
      <c r="O9167" s="50"/>
    </row>
    <row r="9168" spans="1:15">
      <c r="A9168" s="517" t="s">
        <v>8</v>
      </c>
      <c r="B9168" s="518">
        <f>VLOOKUP(A9168,'Materiales '!$C$2:$G$396,3,0)</f>
        <v>0</v>
      </c>
      <c r="C9168" s="88">
        <f>VLOOKUP(A9168,'Materiales '!$C$2:$G$396,3,0)</f>
        <v>0</v>
      </c>
      <c r="D9168" s="89" t="str">
        <f>VLOOKUP(A9168,'Materiales '!$C$2:$G$396,4,0)</f>
        <v>-</v>
      </c>
      <c r="E9168" s="90">
        <v>0.5</v>
      </c>
      <c r="F9168" s="508" t="e">
        <f t="shared" si="531"/>
        <v>#VALUE!</v>
      </c>
      <c r="G9168" s="519"/>
      <c r="H9168" s="111"/>
      <c r="I9168">
        <f>E9168*G9154</f>
        <v>0</v>
      </c>
      <c r="J9168" s="58"/>
      <c r="K9168" s="50"/>
      <c r="L9168" s="50"/>
      <c r="M9168" s="50"/>
      <c r="N9168" s="50"/>
      <c r="O9168" s="50"/>
    </row>
    <row r="9169" spans="1:15">
      <c r="A9169" s="517" t="s">
        <v>8</v>
      </c>
      <c r="B9169" s="518">
        <f>VLOOKUP(A9169,'Materiales '!$C$2:$G$396,3,0)</f>
        <v>0</v>
      </c>
      <c r="C9169" s="88">
        <f>VLOOKUP(A9169,'Materiales '!$C$2:$G$396,3,0)</f>
        <v>0</v>
      </c>
      <c r="D9169" s="89" t="str">
        <f>VLOOKUP(A9169,'Materiales '!$C$2:$G$396,4,0)</f>
        <v>-</v>
      </c>
      <c r="E9169" s="90">
        <v>1</v>
      </c>
      <c r="F9169" s="508" t="e">
        <f t="shared" si="531"/>
        <v>#VALUE!</v>
      </c>
      <c r="G9169" s="519"/>
      <c r="H9169" s="111"/>
      <c r="I9169">
        <f>E9169*G9154</f>
        <v>0</v>
      </c>
      <c r="J9169" s="58"/>
      <c r="K9169" s="50"/>
      <c r="L9169" s="50"/>
      <c r="M9169" s="50"/>
      <c r="N9169" s="50"/>
      <c r="O9169" s="50"/>
    </row>
    <row r="9170" spans="1:15">
      <c r="A9170" s="517" t="s">
        <v>8</v>
      </c>
      <c r="B9170" s="518">
        <f>VLOOKUP(A9170,'Materiales '!$C$2:$G$396,3,0)</f>
        <v>0</v>
      </c>
      <c r="C9170" s="88">
        <f>VLOOKUP(A9170,'Materiales '!$C$2:$G$396,3,0)</f>
        <v>0</v>
      </c>
      <c r="D9170" s="89" t="str">
        <f>VLOOKUP(A9170,'Materiales '!$C$2:$G$396,4,0)</f>
        <v>-</v>
      </c>
      <c r="E9170" s="90">
        <v>1</v>
      </c>
      <c r="F9170" s="508" t="e">
        <f t="shared" si="531"/>
        <v>#VALUE!</v>
      </c>
      <c r="G9170" s="519"/>
      <c r="H9170" s="111"/>
      <c r="I9170">
        <f>E9170*G9154</f>
        <v>0</v>
      </c>
      <c r="J9170" s="58"/>
      <c r="K9170" s="50"/>
      <c r="L9170" s="50"/>
      <c r="M9170" s="50"/>
      <c r="N9170" s="50"/>
      <c r="O9170" s="50"/>
    </row>
    <row r="9171" spans="1:15" ht="21.75" customHeight="1">
      <c r="A9171" s="517" t="s">
        <v>8</v>
      </c>
      <c r="B9171" s="518">
        <f>VLOOKUP(A9171,'Materiales '!$C$2:$G$396,3,0)</f>
        <v>0</v>
      </c>
      <c r="C9171" s="88">
        <f>VLOOKUP(A9171,'Materiales '!$C$2:$G$396,3,0)</f>
        <v>0</v>
      </c>
      <c r="D9171" s="89" t="str">
        <f>VLOOKUP(A9171,'Materiales '!$C$2:$G$396,4,0)</f>
        <v>-</v>
      </c>
      <c r="E9171" s="90"/>
      <c r="F9171" s="508" t="e">
        <f t="shared" si="531"/>
        <v>#VALUE!</v>
      </c>
      <c r="G9171" s="519"/>
      <c r="H9171" s="111"/>
      <c r="I9171">
        <f>E9171*G9154</f>
        <v>0</v>
      </c>
      <c r="J9171" s="58"/>
      <c r="K9171" s="50"/>
      <c r="L9171" s="50"/>
      <c r="M9171" s="50"/>
      <c r="N9171" s="50"/>
      <c r="O9171" s="50"/>
    </row>
    <row r="9172" spans="1:15">
      <c r="A9172" s="517" t="s">
        <v>8</v>
      </c>
      <c r="B9172" s="518">
        <f>VLOOKUP(A9172,'Materiales '!$C$2:$G$396,3,0)</f>
        <v>0</v>
      </c>
      <c r="C9172" s="88">
        <f>VLOOKUP(A9172,'Materiales '!$C$2:$G$396,3,0)</f>
        <v>0</v>
      </c>
      <c r="D9172" s="89" t="str">
        <f>VLOOKUP(A9172,'Materiales '!$C$2:$G$396,4,0)</f>
        <v>-</v>
      </c>
      <c r="E9172" s="90"/>
      <c r="F9172" s="508" t="e">
        <f>E9172*D9172</f>
        <v>#VALUE!</v>
      </c>
      <c r="G9172" s="519"/>
      <c r="H9172" s="110"/>
      <c r="I9172">
        <f>E9172*G9154</f>
        <v>0</v>
      </c>
      <c r="J9172" s="58"/>
      <c r="K9172" s="50"/>
      <c r="L9172" s="50"/>
      <c r="M9172" s="50"/>
      <c r="N9172" s="50"/>
      <c r="O9172" s="50"/>
    </row>
    <row r="9173" spans="1:15">
      <c r="A9173" s="517" t="s">
        <v>8</v>
      </c>
      <c r="B9173" s="518">
        <f>VLOOKUP(A9173,'Materiales '!$C$2:$G$396,3,0)</f>
        <v>0</v>
      </c>
      <c r="C9173" s="88">
        <f>VLOOKUP(A9173,'Materiales '!$C$2:$G$396,3,0)</f>
        <v>0</v>
      </c>
      <c r="D9173" s="89" t="str">
        <f>VLOOKUP(A9173,'Materiales '!$C$2:$G$396,4,0)</f>
        <v>-</v>
      </c>
      <c r="E9173" s="90"/>
      <c r="F9173" s="508" t="e">
        <f t="shared" ref="F9173:F9176" si="532">E9173*D9173</f>
        <v>#VALUE!</v>
      </c>
      <c r="G9173" s="519"/>
      <c r="H9173" s="111"/>
      <c r="I9173">
        <f>E9173*G9154</f>
        <v>0</v>
      </c>
      <c r="J9173" s="58"/>
      <c r="K9173" s="50"/>
      <c r="L9173" s="50"/>
      <c r="M9173" s="50"/>
      <c r="N9173" s="50"/>
      <c r="O9173" s="50"/>
    </row>
    <row r="9174" spans="1:15">
      <c r="A9174" s="517" t="s">
        <v>8</v>
      </c>
      <c r="B9174" s="518">
        <f>VLOOKUP(A9174,'Materiales '!$C$2:$G$396,3,0)</f>
        <v>0</v>
      </c>
      <c r="C9174" s="88">
        <f>VLOOKUP(A9174,'Materiales '!$C$2:$G$396,3,0)</f>
        <v>0</v>
      </c>
      <c r="D9174" s="89" t="str">
        <f>VLOOKUP(A9174,'Materiales '!$C$2:$G$396,4,0)</f>
        <v>-</v>
      </c>
      <c r="E9174" s="90"/>
      <c r="F9174" s="508" t="e">
        <f t="shared" si="532"/>
        <v>#VALUE!</v>
      </c>
      <c r="G9174" s="519"/>
      <c r="H9174" s="111"/>
      <c r="I9174">
        <f>E9174*G9154</f>
        <v>0</v>
      </c>
      <c r="J9174" s="58"/>
      <c r="K9174" s="50"/>
      <c r="L9174" s="50"/>
      <c r="M9174" s="50"/>
      <c r="N9174" s="50"/>
      <c r="O9174" s="50"/>
    </row>
    <row r="9175" spans="1:15">
      <c r="A9175" s="517" t="s">
        <v>8</v>
      </c>
      <c r="B9175" s="518">
        <f>VLOOKUP(A9175,'Materiales '!$C$2:$G$396,3,0)</f>
        <v>0</v>
      </c>
      <c r="C9175" s="88">
        <f>VLOOKUP(A9175,'Materiales '!$C$2:$G$396,3,0)</f>
        <v>0</v>
      </c>
      <c r="D9175" s="89" t="str">
        <f>VLOOKUP(A9175,'Materiales '!$C$2:$G$396,4,0)</f>
        <v>-</v>
      </c>
      <c r="E9175" s="90"/>
      <c r="F9175" s="508" t="e">
        <f t="shared" si="532"/>
        <v>#VALUE!</v>
      </c>
      <c r="G9175" s="519"/>
      <c r="H9175" s="111"/>
      <c r="I9175">
        <f>E9175*G9154</f>
        <v>0</v>
      </c>
      <c r="J9175" s="58"/>
      <c r="K9175" s="50"/>
      <c r="L9175" s="50"/>
      <c r="M9175" s="50"/>
      <c r="N9175" s="50"/>
      <c r="O9175" s="50"/>
    </row>
    <row r="9176" spans="1:15">
      <c r="A9176" s="517" t="s">
        <v>8</v>
      </c>
      <c r="B9176" s="518">
        <f>VLOOKUP(A9176,'Materiales '!$C$2:$G$396,3,0)</f>
        <v>0</v>
      </c>
      <c r="C9176" s="88">
        <f>VLOOKUP(A9176,'Materiales '!$C$2:$G$396,3,0)</f>
        <v>0</v>
      </c>
      <c r="D9176" s="89" t="str">
        <f>VLOOKUP(A9176,'Materiales '!$C$2:$G$396,4,0)</f>
        <v>-</v>
      </c>
      <c r="E9176" s="90"/>
      <c r="F9176" s="508" t="e">
        <f t="shared" si="532"/>
        <v>#VALUE!</v>
      </c>
      <c r="G9176" s="519"/>
      <c r="H9176" s="111"/>
      <c r="I9176">
        <f>E9176*G9154</f>
        <v>0</v>
      </c>
      <c r="J9176" s="58"/>
      <c r="K9176" s="50"/>
      <c r="L9176" s="50"/>
      <c r="M9176" s="50"/>
      <c r="N9176" s="50"/>
      <c r="O9176" s="50"/>
    </row>
    <row r="9177" spans="1:15">
      <c r="A9177" s="517" t="s">
        <v>8</v>
      </c>
      <c r="B9177" s="518">
        <f>VLOOKUP(A9177,'Materiales '!$C$2:$G$396,3,0)</f>
        <v>0</v>
      </c>
      <c r="C9177" s="88">
        <f>VLOOKUP(A9177,'Materiales '!$C$2:$G$396,3,0)</f>
        <v>0</v>
      </c>
      <c r="D9177" s="89" t="str">
        <f>VLOOKUP(A9177,'Materiales '!$C$2:$G$396,4,0)</f>
        <v>-</v>
      </c>
      <c r="E9177" s="90"/>
      <c r="F9177" s="508" t="e">
        <f>E9177*D9177</f>
        <v>#VALUE!</v>
      </c>
      <c r="G9177" s="519"/>
      <c r="H9177" s="110"/>
      <c r="I9177">
        <f>E9177*G9154</f>
        <v>0</v>
      </c>
      <c r="J9177" s="58"/>
      <c r="K9177" s="50"/>
      <c r="L9177" s="50"/>
      <c r="M9177" s="50"/>
      <c r="N9177" s="50"/>
      <c r="O9177" s="50"/>
    </row>
    <row r="9178" spans="1:15">
      <c r="A9178" s="520" t="s">
        <v>4098</v>
      </c>
      <c r="B9178" s="521"/>
      <c r="C9178" s="521"/>
      <c r="D9178" s="521"/>
      <c r="E9178" s="521"/>
      <c r="F9178" s="521"/>
      <c r="G9178" s="522"/>
      <c r="H9178" s="106" t="e">
        <f>SUM(F9164:F9177)</f>
        <v>#VALUE!</v>
      </c>
      <c r="J9178" s="58"/>
      <c r="K9178" s="50"/>
      <c r="L9178" s="50"/>
      <c r="M9178" s="50"/>
      <c r="N9178" s="50"/>
      <c r="O9178" s="50"/>
    </row>
    <row r="9179" spans="1:15">
      <c r="A9179" s="523" t="s">
        <v>4220</v>
      </c>
      <c r="B9179" s="524"/>
      <c r="C9179" s="524"/>
      <c r="D9179" s="524"/>
      <c r="E9179" s="525"/>
      <c r="F9179" s="524"/>
      <c r="G9179" s="524"/>
      <c r="H9179" s="526"/>
      <c r="J9179" s="58"/>
      <c r="K9179" s="50"/>
      <c r="L9179" s="50"/>
      <c r="M9179" s="50"/>
      <c r="N9179" s="50"/>
      <c r="O9179" s="50"/>
    </row>
    <row r="9180" spans="1:15">
      <c r="A9180" s="527" t="s">
        <v>7</v>
      </c>
      <c r="B9180" s="528"/>
      <c r="C9180" s="98" t="s">
        <v>4221</v>
      </c>
      <c r="D9180" s="97" t="s">
        <v>4222</v>
      </c>
      <c r="E9180" s="187" t="s">
        <v>4223</v>
      </c>
      <c r="F9180" s="529" t="s">
        <v>4207</v>
      </c>
      <c r="G9180" s="529"/>
      <c r="H9180" s="109"/>
      <c r="K9180" s="50"/>
      <c r="L9180" s="50"/>
      <c r="M9180" s="50"/>
      <c r="N9180" s="50"/>
      <c r="O9180" s="50"/>
    </row>
    <row r="9181" spans="1:15">
      <c r="A9181" s="506" t="s">
        <v>3928</v>
      </c>
      <c r="B9181" s="507"/>
      <c r="C9181" s="213">
        <v>1</v>
      </c>
      <c r="D9181" s="92">
        <v>5.0000000000000001E-3</v>
      </c>
      <c r="E9181" s="93" t="str">
        <f>VLOOKUP(A9181,'Equip, Herr y Transp'!$B$2:$E$217,3,0)</f>
        <v>TR</v>
      </c>
      <c r="F9181" s="530" t="e">
        <f>E9181*D9181*C9181</f>
        <v>#VALUE!</v>
      </c>
      <c r="G9181" s="531"/>
      <c r="H9181" s="107"/>
      <c r="M9181" s="50"/>
    </row>
    <row r="9182" spans="1:15">
      <c r="A9182" s="532" t="s">
        <v>4205</v>
      </c>
      <c r="B9182" s="533"/>
      <c r="C9182" s="533"/>
      <c r="D9182" s="533"/>
      <c r="E9182" s="533"/>
      <c r="F9182" s="533"/>
      <c r="G9182" s="533"/>
      <c r="H9182" s="95" t="e">
        <f>F9181</f>
        <v>#VALUE!</v>
      </c>
    </row>
    <row r="9183" spans="1:15">
      <c r="A9183" s="523" t="s">
        <v>4224</v>
      </c>
      <c r="B9183" s="524"/>
      <c r="C9183" s="524"/>
      <c r="D9183" s="524"/>
      <c r="E9183" s="524"/>
      <c r="F9183" s="524"/>
      <c r="G9183" s="524"/>
      <c r="H9183" s="526"/>
    </row>
    <row r="9184" spans="1:15">
      <c r="A9184" s="527" t="s">
        <v>7</v>
      </c>
      <c r="B9184" s="528"/>
      <c r="C9184" s="96" t="s">
        <v>1</v>
      </c>
      <c r="D9184" s="97" t="s">
        <v>4225</v>
      </c>
      <c r="E9184" s="98" t="s">
        <v>4204</v>
      </c>
      <c r="F9184" s="527" t="s">
        <v>5</v>
      </c>
      <c r="G9184" s="534"/>
      <c r="H9184" s="109"/>
    </row>
    <row r="9185" spans="1:10">
      <c r="A9185" s="506" t="s">
        <v>4191</v>
      </c>
      <c r="B9185" s="507"/>
      <c r="C9185" s="91">
        <v>1</v>
      </c>
      <c r="D9185" s="94">
        <f>VLOOKUP(A9185,'Mano Obra'!$B$2:$T$117,19,0)</f>
        <v>152456</v>
      </c>
      <c r="E9185" s="218">
        <f>H9147</f>
        <v>8.3000000000000001E-3</v>
      </c>
      <c r="F9185" s="508">
        <f>E9185*D9185*C9185</f>
        <v>1265.3848</v>
      </c>
      <c r="G9185" s="509"/>
      <c r="H9185" s="111"/>
      <c r="I9185" s="59"/>
      <c r="J9185" s="117">
        <f>((('Mano Obra'!$M$4/30)*F9185)/D9185)*G9154</f>
        <v>0</v>
      </c>
    </row>
    <row r="9186" spans="1:10">
      <c r="A9186" s="510" t="s">
        <v>4192</v>
      </c>
      <c r="B9186" s="511">
        <f>VLOOKUP(A9186,'Mano Obra'!$B$3:$D$290,2,0)</f>
        <v>1900000</v>
      </c>
      <c r="C9186" s="91">
        <v>2</v>
      </c>
      <c r="D9186" s="94">
        <f>VLOOKUP(A9186,'Mano Obra'!$B$2:$T$117,19,0)</f>
        <v>110488</v>
      </c>
      <c r="E9186" s="218">
        <f>H9147</f>
        <v>8.3000000000000001E-3</v>
      </c>
      <c r="F9186" s="508">
        <f t="shared" ref="F9186:F9187" si="533">E9186*D9186*C9186</f>
        <v>1834.1007999999999</v>
      </c>
      <c r="G9186" s="509"/>
      <c r="H9186" s="111"/>
      <c r="J9186" s="117">
        <f>((('Mano Obra'!$M$5/30)*F9186)/D9186)*G9154</f>
        <v>0</v>
      </c>
    </row>
    <row r="9187" spans="1:10">
      <c r="A9187" s="510" t="s">
        <v>4181</v>
      </c>
      <c r="B9187" s="511">
        <f>VLOOKUP(A9187,'Mano Obra'!$B$3:$D$290,2,0)</f>
        <v>1000000</v>
      </c>
      <c r="C9187" s="91">
        <v>1</v>
      </c>
      <c r="D9187" s="94">
        <f>VLOOKUP(A9187,'Mano Obra'!$B$2:$T$117,19,0)</f>
        <v>67424</v>
      </c>
      <c r="E9187" s="218">
        <f>H9147</f>
        <v>8.3000000000000001E-3</v>
      </c>
      <c r="F9187" s="508">
        <f t="shared" si="533"/>
        <v>559.61919999999998</v>
      </c>
      <c r="G9187" s="509"/>
      <c r="H9187" s="110"/>
      <c r="J9187" s="117">
        <f>((('Mano Obra'!$M$6/30)*F9187)/D9187)*G9154</f>
        <v>0</v>
      </c>
    </row>
    <row r="9188" spans="1:10">
      <c r="A9188" s="512" t="s">
        <v>4100</v>
      </c>
      <c r="B9188" s="512"/>
      <c r="C9188" s="512"/>
      <c r="D9188" s="512"/>
      <c r="E9188" s="512"/>
      <c r="F9188" s="512"/>
      <c r="G9188" s="512"/>
      <c r="H9188" s="95">
        <f>SUM(F9185:F9187)</f>
        <v>3659.1048000000001</v>
      </c>
      <c r="J9188" s="117"/>
    </row>
    <row r="9189" spans="1:10">
      <c r="A9189" s="208" t="s">
        <v>4226</v>
      </c>
      <c r="B9189" s="186"/>
      <c r="C9189" s="186"/>
      <c r="D9189" s="183"/>
      <c r="E9189" s="184"/>
      <c r="F9189" s="185"/>
      <c r="G9189" s="184"/>
      <c r="H9189" s="193"/>
    </row>
    <row r="9190" spans="1:10">
      <c r="A9190" s="513" t="s">
        <v>4213</v>
      </c>
      <c r="B9190" s="514"/>
      <c r="C9190" s="514"/>
      <c r="D9190" s="514"/>
      <c r="E9190" s="181"/>
      <c r="F9190" s="182" t="s">
        <v>4227</v>
      </c>
      <c r="G9190" s="181" t="s">
        <v>4228</v>
      </c>
      <c r="H9190" s="194"/>
    </row>
    <row r="9191" spans="1:10">
      <c r="A9191" s="204" t="s">
        <v>4096</v>
      </c>
      <c r="B9191" s="62"/>
      <c r="C9191" s="62"/>
      <c r="D9191" s="63"/>
      <c r="E9191" s="68"/>
      <c r="F9191" s="69">
        <v>0</v>
      </c>
      <c r="G9191" s="70" t="e">
        <f>F9191*H9155</f>
        <v>#VALUE!</v>
      </c>
      <c r="H9191" s="193"/>
    </row>
    <row r="9192" spans="1:10">
      <c r="A9192" s="205" t="s">
        <v>4229</v>
      </c>
      <c r="B9192" s="71"/>
      <c r="C9192" s="71"/>
      <c r="D9192" s="72"/>
      <c r="E9192" s="68"/>
      <c r="F9192" s="69">
        <v>0</v>
      </c>
      <c r="G9192" s="70" t="e">
        <f>F9192*H9155</f>
        <v>#VALUE!</v>
      </c>
      <c r="H9192" s="193"/>
    </row>
    <row r="9193" spans="1:10">
      <c r="A9193" s="205" t="s">
        <v>4</v>
      </c>
      <c r="B9193" s="71"/>
      <c r="C9193" s="71"/>
      <c r="D9193" s="72"/>
      <c r="E9193" s="68"/>
      <c r="F9193" s="69">
        <v>0</v>
      </c>
      <c r="G9193" s="70" t="e">
        <f>F9193*H9155</f>
        <v>#VALUE!</v>
      </c>
      <c r="H9193" s="193"/>
    </row>
    <row r="9194" spans="1:10">
      <c r="A9194" s="206"/>
      <c r="B9194" s="73"/>
      <c r="C9194" s="65"/>
      <c r="D9194" s="74"/>
      <c r="E9194" s="75"/>
      <c r="F9194" s="76"/>
      <c r="G9194" s="77"/>
      <c r="H9194" s="195"/>
    </row>
    <row r="9195" spans="1:10">
      <c r="A9195" s="207"/>
      <c r="B9195" s="73"/>
      <c r="C9195" s="73"/>
      <c r="D9195" s="74"/>
      <c r="E9195" s="78"/>
      <c r="F9195" s="515" t="s">
        <v>4230</v>
      </c>
      <c r="G9195" s="516"/>
      <c r="H9195" s="214" t="e">
        <f>H9155+G9191+G9192+G9193</f>
        <v>#VALUE!</v>
      </c>
    </row>
    <row r="9197" spans="1:10">
      <c r="A9197" s="80"/>
      <c r="B9197" s="80"/>
      <c r="C9197" s="80"/>
      <c r="D9197" s="80"/>
      <c r="E9197" s="80"/>
      <c r="F9197" s="80"/>
      <c r="G9197" s="80"/>
      <c r="H9197" s="353"/>
    </row>
    <row r="9198" spans="1:10">
      <c r="A9198" s="537" t="s">
        <v>4214</v>
      </c>
      <c r="B9198" s="538"/>
      <c r="C9198" s="538"/>
      <c r="D9198" s="538"/>
      <c r="E9198" s="538"/>
      <c r="F9198" s="538"/>
      <c r="G9198" s="538"/>
      <c r="H9198" s="539"/>
    </row>
    <row r="9199" spans="1:10">
      <c r="A9199" s="81"/>
      <c r="B9199" s="82"/>
      <c r="C9199" s="82"/>
      <c r="D9199" s="82"/>
      <c r="E9199" s="82"/>
      <c r="F9199" s="83"/>
      <c r="G9199" s="84"/>
      <c r="H9199" s="352">
        <f>ROUND((4/60)/8,4)</f>
        <v>8.3000000000000001E-3</v>
      </c>
      <c r="I9199" s="105"/>
    </row>
    <row r="9200" spans="1:10">
      <c r="A9200" s="540" t="s">
        <v>4209</v>
      </c>
      <c r="B9200" s="542" t="str">
        <f>COSTOS!$C$14</f>
        <v>MODERNIZACION A TECNOLOGIA LED</v>
      </c>
      <c r="C9200" s="542"/>
      <c r="D9200" s="542"/>
      <c r="E9200" s="542"/>
      <c r="F9200" s="542"/>
      <c r="G9200" s="542"/>
      <c r="H9200" s="543" t="s">
        <v>4210</v>
      </c>
    </row>
    <row r="9201" spans="1:15">
      <c r="A9201" s="541"/>
      <c r="B9201" s="542"/>
      <c r="C9201" s="542"/>
      <c r="D9201" s="542"/>
      <c r="E9201" s="542"/>
      <c r="F9201" s="542"/>
      <c r="G9201" s="542"/>
      <c r="H9201" s="543"/>
    </row>
    <row r="9202" spans="1:15">
      <c r="A9202" s="541"/>
      <c r="B9202" s="542"/>
      <c r="C9202" s="542"/>
      <c r="D9202" s="542"/>
      <c r="E9202" s="542"/>
      <c r="F9202" s="542"/>
      <c r="G9202" s="542"/>
      <c r="H9202" s="543"/>
    </row>
    <row r="9203" spans="1:15" ht="15" customHeight="1">
      <c r="A9203" s="541"/>
      <c r="B9203" s="542"/>
      <c r="C9203" s="542"/>
      <c r="D9203" s="542"/>
      <c r="E9203" s="542"/>
      <c r="F9203" s="542"/>
      <c r="G9203" s="542"/>
      <c r="H9203" s="197">
        <f ca="1">TODAY()</f>
        <v>44889</v>
      </c>
      <c r="K9203" t="s">
        <v>4380</v>
      </c>
      <c r="L9203" t="s">
        <v>4381</v>
      </c>
      <c r="M9203" t="s">
        <v>4382</v>
      </c>
      <c r="N9203" t="s">
        <v>4383</v>
      </c>
    </row>
    <row r="9204" spans="1:15" ht="60.75" customHeight="1">
      <c r="A9204" s="209" t="s">
        <v>4211</v>
      </c>
      <c r="B9204" s="544" t="str">
        <f>COSTOS!$D$16</f>
        <v>Luminarias</v>
      </c>
      <c r="C9204" s="544"/>
      <c r="D9204" s="544"/>
      <c r="E9204" s="544"/>
      <c r="F9204" s="544"/>
      <c r="G9204" s="60" t="s">
        <v>4212</v>
      </c>
      <c r="H9204" s="359">
        <v>7.6</v>
      </c>
      <c r="K9204" s="55" t="e">
        <f>H9230</f>
        <v>#VALUE!</v>
      </c>
      <c r="L9204" s="55">
        <f>H9240</f>
        <v>3659.1048000000001</v>
      </c>
      <c r="M9204" s="55" t="e">
        <f>H9213</f>
        <v>#VALUE!</v>
      </c>
      <c r="N9204" s="55" t="e">
        <f>H9234</f>
        <v>#VALUE!</v>
      </c>
    </row>
    <row r="9205" spans="1:15" ht="43.2" customHeight="1">
      <c r="A9205" s="210" t="s">
        <v>4213</v>
      </c>
      <c r="B9205" s="545" t="str">
        <f>VLOOKUP(H9204,COSTOS!C:M,2,0)</f>
        <v>Canalizacion con un ducto 1/2" IMC</v>
      </c>
      <c r="C9205" s="546"/>
      <c r="D9205" s="546"/>
      <c r="E9205" s="547"/>
      <c r="F9205" s="61" t="s">
        <v>0</v>
      </c>
      <c r="G9205" s="328" t="str">
        <f>VLOOKUP(H9204,COSTOS!C:M,8,0)</f>
        <v>Ml</v>
      </c>
      <c r="H9205" s="248"/>
      <c r="I9205" s="278"/>
      <c r="J9205" s="280"/>
      <c r="K9205" s="280"/>
      <c r="L9205" s="280"/>
    </row>
    <row r="9206" spans="1:15">
      <c r="A9206" s="211"/>
      <c r="B9206" s="102"/>
      <c r="C9206" s="102"/>
      <c r="D9206" s="102"/>
      <c r="E9206" s="103"/>
      <c r="F9206" s="104" t="s">
        <v>1</v>
      </c>
      <c r="G9206" s="328">
        <f>VLOOKUP(H9204,COSTOS!C:M,9,0)</f>
        <v>0</v>
      </c>
      <c r="H9206" s="329"/>
      <c r="I9206" s="279"/>
    </row>
    <row r="9207" spans="1:15">
      <c r="A9207" s="212" t="s">
        <v>4215</v>
      </c>
      <c r="B9207" s="65"/>
      <c r="C9207" s="65"/>
      <c r="D9207" s="66"/>
      <c r="E9207" s="190"/>
      <c r="F9207" s="191"/>
      <c r="G9207" s="192" t="s">
        <v>4216</v>
      </c>
      <c r="H9207" s="198" t="e">
        <f>H9213+H9230+H9234+H9240</f>
        <v>#VALUE!</v>
      </c>
    </row>
    <row r="9208" spans="1:15" ht="41.4">
      <c r="A9208" s="548" t="s">
        <v>4213</v>
      </c>
      <c r="B9208" s="548"/>
      <c r="C9208" s="548"/>
      <c r="D9208" s="67" t="s">
        <v>0</v>
      </c>
      <c r="E9208" s="188" t="s">
        <v>4217</v>
      </c>
      <c r="F9208" s="189" t="s">
        <v>4204</v>
      </c>
      <c r="G9208" s="64" t="s">
        <v>2</v>
      </c>
      <c r="H9208" s="199" t="s">
        <v>4218</v>
      </c>
      <c r="K9208" s="281"/>
    </row>
    <row r="9209" spans="1:15">
      <c r="A9209" s="517" t="s">
        <v>3946</v>
      </c>
      <c r="B9209" s="549">
        <f>VLOOKUP(A9209,'Equip, Herr y Transp'!$B$2:$E$738,2,0)</f>
        <v>2</v>
      </c>
      <c r="C9209" s="549"/>
      <c r="D9209" s="85">
        <f>VLOOKUP(A9209,'Equip, Herr y Transp'!$B$2:$E$217,2,0)</f>
        <v>2</v>
      </c>
      <c r="E9209" s="85" t="str">
        <f>VLOOKUP(A9209,'Equip, Herr y Transp'!$B$2:$E$217,3,0)</f>
        <v>EQU</v>
      </c>
      <c r="F9209" s="86">
        <f>H9199</f>
        <v>8.3000000000000001E-3</v>
      </c>
      <c r="G9209" s="112" t="e">
        <f>F9209*E9209</f>
        <v>#VALUE!</v>
      </c>
      <c r="H9209" s="108"/>
    </row>
    <row r="9210" spans="1:15">
      <c r="A9210" s="517" t="s">
        <v>3914</v>
      </c>
      <c r="B9210" s="549">
        <f>VLOOKUP(A9210,'Equip, Herr y Transp'!$B$2:$E$738,2,0)</f>
        <v>2</v>
      </c>
      <c r="C9210" s="549"/>
      <c r="D9210" s="85">
        <f>VLOOKUP(A9210,'Equip, Herr y Transp'!$B$2:$E$217,2,0)</f>
        <v>2</v>
      </c>
      <c r="E9210" s="85" t="str">
        <f>VLOOKUP(A9210,'Equip, Herr y Transp'!$B$2:$E$217,3,0)</f>
        <v>EQU</v>
      </c>
      <c r="F9210" s="86">
        <f>H9199</f>
        <v>8.3000000000000001E-3</v>
      </c>
      <c r="G9210" s="112" t="e">
        <f>F9210*E9210</f>
        <v>#VALUE!</v>
      </c>
      <c r="H9210" s="107"/>
    </row>
    <row r="9211" spans="1:15">
      <c r="A9211" s="517" t="s">
        <v>4142</v>
      </c>
      <c r="B9211" s="549">
        <f>VLOOKUP(A9211,'Equip, Herr y Transp'!$B$2:$E$738,2,0)</f>
        <v>2</v>
      </c>
      <c r="C9211" s="549"/>
      <c r="D9211" s="85">
        <f>VLOOKUP(A9211,'Equip, Herr y Transp'!$B$2:$E$217,2,0)</f>
        <v>2</v>
      </c>
      <c r="E9211" s="85" t="str">
        <f>VLOOKUP(A9211,'Equip, Herr y Transp'!$B$2:$E$217,3,0)</f>
        <v>EQU</v>
      </c>
      <c r="F9211" s="86">
        <f>H9199</f>
        <v>8.3000000000000001E-3</v>
      </c>
      <c r="G9211" s="112" t="e">
        <f>F9211*E9211</f>
        <v>#VALUE!</v>
      </c>
      <c r="H9211" s="107"/>
    </row>
    <row r="9212" spans="1:15">
      <c r="A9212" s="517" t="s">
        <v>3903</v>
      </c>
      <c r="B9212" s="549">
        <f>VLOOKUP(A9212,'Equip, Herr y Transp'!$B$2:$E$738,2,0)</f>
        <v>2</v>
      </c>
      <c r="C9212" s="549"/>
      <c r="D9212" s="85">
        <f>VLOOKUP(A9212,'Equip, Herr y Transp'!$B$2:$E$217,2,0)</f>
        <v>2</v>
      </c>
      <c r="E9212" s="85" t="str">
        <f>VLOOKUP(A9212,'Equip, Herr y Transp'!$B$2:$E$217,3,0)</f>
        <v>EQU</v>
      </c>
      <c r="F9212" s="86">
        <f>H9199</f>
        <v>8.3000000000000001E-3</v>
      </c>
      <c r="G9212" s="112" t="e">
        <f>F9212*E9212</f>
        <v>#VALUE!</v>
      </c>
      <c r="H9212" s="107"/>
    </row>
    <row r="9213" spans="1:15">
      <c r="A9213" s="520" t="s">
        <v>4099</v>
      </c>
      <c r="B9213" s="521"/>
      <c r="C9213" s="521"/>
      <c r="D9213" s="521"/>
      <c r="E9213" s="521"/>
      <c r="F9213" s="521"/>
      <c r="G9213" s="521"/>
      <c r="H9213" s="87" t="e">
        <f>SUM(G9209:G9212)</f>
        <v>#VALUE!</v>
      </c>
    </row>
    <row r="9214" spans="1:15">
      <c r="A9214" s="550" t="s">
        <v>4219</v>
      </c>
      <c r="B9214" s="551"/>
      <c r="C9214" s="551"/>
      <c r="D9214" s="551"/>
      <c r="E9214" s="551"/>
      <c r="F9214" s="551"/>
      <c r="G9214" s="551"/>
      <c r="H9214" s="552"/>
      <c r="K9214" s="50"/>
      <c r="L9214" s="50"/>
      <c r="M9214" s="50"/>
      <c r="N9214" s="50"/>
      <c r="O9214" s="50"/>
    </row>
    <row r="9215" spans="1:15" ht="30" customHeight="1">
      <c r="A9215" s="553" t="s">
        <v>7</v>
      </c>
      <c r="B9215" s="554"/>
      <c r="C9215" s="99" t="s">
        <v>0</v>
      </c>
      <c r="D9215" s="100" t="s">
        <v>4097</v>
      </c>
      <c r="E9215" s="101" t="s">
        <v>1</v>
      </c>
      <c r="F9215" s="555" t="s">
        <v>4207</v>
      </c>
      <c r="G9215" s="555"/>
      <c r="H9215" s="196"/>
      <c r="K9215" s="50"/>
      <c r="L9215" s="50"/>
      <c r="M9215" s="50"/>
      <c r="N9215" s="50"/>
      <c r="O9215" s="50"/>
    </row>
    <row r="9216" spans="1:15">
      <c r="A9216" s="535" t="s">
        <v>4642</v>
      </c>
      <c r="B9216" s="536"/>
      <c r="C9216" s="88">
        <f>VLOOKUP(A9216,'Materiales '!$C$2:$G$396,3,0)</f>
        <v>4</v>
      </c>
      <c r="D9216" s="89" t="str">
        <f>VLOOKUP(A9216,'Materiales '!$C$2:$G$396,4,0)</f>
        <v>Und</v>
      </c>
      <c r="E9216" s="90">
        <v>0.34</v>
      </c>
      <c r="F9216" s="508" t="e">
        <f>E9216*D9216</f>
        <v>#VALUE!</v>
      </c>
      <c r="G9216" s="519"/>
      <c r="H9216" s="111"/>
      <c r="I9216">
        <f>E9216*G9206</f>
        <v>0</v>
      </c>
      <c r="J9216" s="57"/>
      <c r="K9216" s="50"/>
      <c r="L9216" s="50"/>
      <c r="M9216" s="50"/>
      <c r="N9216" s="50"/>
      <c r="O9216" s="50"/>
    </row>
    <row r="9217" spans="1:15">
      <c r="A9217" s="535" t="s">
        <v>4628</v>
      </c>
      <c r="B9217" s="536"/>
      <c r="C9217" s="88">
        <f>VLOOKUP(A9217,'Materiales '!$C$2:$G$396,3,0)</f>
        <v>4</v>
      </c>
      <c r="D9217" s="89" t="str">
        <f>VLOOKUP(A9217,'Materiales '!$C$2:$G$396,4,0)</f>
        <v>Und</v>
      </c>
      <c r="E9217" s="90">
        <v>0.04</v>
      </c>
      <c r="F9217" s="508" t="e">
        <f t="shared" ref="F9217:F9223" si="534">E9217*D9217</f>
        <v>#VALUE!</v>
      </c>
      <c r="G9217" s="519"/>
      <c r="H9217" s="111"/>
      <c r="I9217">
        <f>E9217*G9206</f>
        <v>0</v>
      </c>
      <c r="J9217" s="57"/>
      <c r="K9217" s="50"/>
      <c r="L9217" s="50"/>
      <c r="M9217" s="50"/>
      <c r="N9217" s="50"/>
      <c r="O9217" s="50"/>
    </row>
    <row r="9218" spans="1:15">
      <c r="A9218" s="517" t="s">
        <v>8</v>
      </c>
      <c r="B9218" s="518">
        <f>VLOOKUP(A9218,'Materiales '!$C$2:$G$396,3,0)</f>
        <v>0</v>
      </c>
      <c r="C9218" s="88">
        <f>VLOOKUP(A9218,'Materiales '!$C$2:$G$396,3,0)</f>
        <v>0</v>
      </c>
      <c r="D9218" s="89" t="str">
        <f>VLOOKUP(A9218,'Materiales '!$C$2:$G$396,4,0)</f>
        <v>-</v>
      </c>
      <c r="E9218" s="90">
        <v>0.34</v>
      </c>
      <c r="F9218" s="508" t="e">
        <f t="shared" si="534"/>
        <v>#VALUE!</v>
      </c>
      <c r="G9218" s="519"/>
      <c r="H9218" s="111"/>
      <c r="I9218">
        <f>E9218*G9206</f>
        <v>0</v>
      </c>
      <c r="J9218" s="58"/>
      <c r="K9218" s="50"/>
      <c r="L9218" s="50"/>
      <c r="M9218" s="50"/>
      <c r="N9218" s="50"/>
      <c r="O9218" s="50"/>
    </row>
    <row r="9219" spans="1:15">
      <c r="A9219" s="517" t="s">
        <v>8</v>
      </c>
      <c r="B9219" s="518">
        <f>VLOOKUP(A9219,'Materiales '!$C$2:$G$396,3,0)</f>
        <v>0</v>
      </c>
      <c r="C9219" s="88">
        <f>VLOOKUP(A9219,'Materiales '!$C$2:$G$396,3,0)</f>
        <v>0</v>
      </c>
      <c r="D9219" s="89" t="str">
        <f>VLOOKUP(A9219,'Materiales '!$C$2:$G$396,4,0)</f>
        <v>-</v>
      </c>
      <c r="E9219" s="90">
        <v>0.02</v>
      </c>
      <c r="F9219" s="508" t="e">
        <f t="shared" si="534"/>
        <v>#VALUE!</v>
      </c>
      <c r="G9219" s="519"/>
      <c r="H9219" s="111"/>
      <c r="I9219">
        <f>E9219*G9206</f>
        <v>0</v>
      </c>
      <c r="J9219" s="58"/>
      <c r="K9219" s="50"/>
      <c r="L9219" s="50"/>
      <c r="M9219" s="50"/>
      <c r="N9219" s="50"/>
      <c r="O9219" s="50"/>
    </row>
    <row r="9220" spans="1:15">
      <c r="A9220" s="517" t="s">
        <v>8</v>
      </c>
      <c r="B9220" s="518">
        <f>VLOOKUP(A9220,'Materiales '!$C$2:$G$396,3,0)</f>
        <v>0</v>
      </c>
      <c r="C9220" s="88">
        <f>VLOOKUP(A9220,'Materiales '!$C$2:$G$396,3,0)</f>
        <v>0</v>
      </c>
      <c r="D9220" s="89" t="str">
        <f>VLOOKUP(A9220,'Materiales '!$C$2:$G$396,4,0)</f>
        <v>-</v>
      </c>
      <c r="E9220" s="90">
        <v>0.5</v>
      </c>
      <c r="F9220" s="508" t="e">
        <f t="shared" si="534"/>
        <v>#VALUE!</v>
      </c>
      <c r="G9220" s="519"/>
      <c r="H9220" s="111"/>
      <c r="I9220">
        <f>E9220*G9206</f>
        <v>0</v>
      </c>
      <c r="J9220" s="58"/>
      <c r="K9220" s="50"/>
      <c r="L9220" s="50"/>
      <c r="M9220" s="50"/>
      <c r="N9220" s="50"/>
      <c r="O9220" s="50"/>
    </row>
    <row r="9221" spans="1:15">
      <c r="A9221" s="517" t="s">
        <v>8</v>
      </c>
      <c r="B9221" s="518">
        <f>VLOOKUP(A9221,'Materiales '!$C$2:$G$396,3,0)</f>
        <v>0</v>
      </c>
      <c r="C9221" s="88">
        <f>VLOOKUP(A9221,'Materiales '!$C$2:$G$396,3,0)</f>
        <v>0</v>
      </c>
      <c r="D9221" s="89" t="str">
        <f>VLOOKUP(A9221,'Materiales '!$C$2:$G$396,4,0)</f>
        <v>-</v>
      </c>
      <c r="E9221" s="90">
        <v>1</v>
      </c>
      <c r="F9221" s="508" t="e">
        <f t="shared" si="534"/>
        <v>#VALUE!</v>
      </c>
      <c r="G9221" s="519"/>
      <c r="H9221" s="111"/>
      <c r="I9221">
        <f>E9221*G9206</f>
        <v>0</v>
      </c>
      <c r="J9221" s="58"/>
      <c r="K9221" s="50"/>
      <c r="L9221" s="50"/>
      <c r="M9221" s="50"/>
      <c r="N9221" s="50"/>
      <c r="O9221" s="50"/>
    </row>
    <row r="9222" spans="1:15">
      <c r="A9222" s="517" t="s">
        <v>8</v>
      </c>
      <c r="B9222" s="518">
        <f>VLOOKUP(A9222,'Materiales '!$C$2:$G$396,3,0)</f>
        <v>0</v>
      </c>
      <c r="C9222" s="88">
        <f>VLOOKUP(A9222,'Materiales '!$C$2:$G$396,3,0)</f>
        <v>0</v>
      </c>
      <c r="D9222" s="89" t="str">
        <f>VLOOKUP(A9222,'Materiales '!$C$2:$G$396,4,0)</f>
        <v>-</v>
      </c>
      <c r="E9222" s="90">
        <v>1</v>
      </c>
      <c r="F9222" s="508" t="e">
        <f t="shared" si="534"/>
        <v>#VALUE!</v>
      </c>
      <c r="G9222" s="519"/>
      <c r="H9222" s="111"/>
      <c r="I9222">
        <f>E9222*G9206</f>
        <v>0</v>
      </c>
      <c r="J9222" s="58"/>
      <c r="K9222" s="50"/>
      <c r="L9222" s="50"/>
      <c r="M9222" s="50"/>
      <c r="N9222" s="50"/>
      <c r="O9222" s="50"/>
    </row>
    <row r="9223" spans="1:15" ht="21.75" customHeight="1">
      <c r="A9223" s="517" t="s">
        <v>8</v>
      </c>
      <c r="B9223" s="518">
        <f>VLOOKUP(A9223,'Materiales '!$C$2:$G$396,3,0)</f>
        <v>0</v>
      </c>
      <c r="C9223" s="88">
        <f>VLOOKUP(A9223,'Materiales '!$C$2:$G$396,3,0)</f>
        <v>0</v>
      </c>
      <c r="D9223" s="89" t="str">
        <f>VLOOKUP(A9223,'Materiales '!$C$2:$G$396,4,0)</f>
        <v>-</v>
      </c>
      <c r="E9223" s="90"/>
      <c r="F9223" s="508" t="e">
        <f t="shared" si="534"/>
        <v>#VALUE!</v>
      </c>
      <c r="G9223" s="519"/>
      <c r="H9223" s="111"/>
      <c r="I9223">
        <f>E9223*G9206</f>
        <v>0</v>
      </c>
      <c r="J9223" s="58"/>
      <c r="K9223" s="50"/>
      <c r="L9223" s="50"/>
      <c r="M9223" s="50"/>
      <c r="N9223" s="50"/>
      <c r="O9223" s="50"/>
    </row>
    <row r="9224" spans="1:15">
      <c r="A9224" s="517" t="s">
        <v>8</v>
      </c>
      <c r="B9224" s="518">
        <f>VLOOKUP(A9224,'Materiales '!$C$2:$G$396,3,0)</f>
        <v>0</v>
      </c>
      <c r="C9224" s="88">
        <f>VLOOKUP(A9224,'Materiales '!$C$2:$G$396,3,0)</f>
        <v>0</v>
      </c>
      <c r="D9224" s="89" t="str">
        <f>VLOOKUP(A9224,'Materiales '!$C$2:$G$396,4,0)</f>
        <v>-</v>
      </c>
      <c r="E9224" s="90"/>
      <c r="F9224" s="508" t="e">
        <f>E9224*D9224</f>
        <v>#VALUE!</v>
      </c>
      <c r="G9224" s="519"/>
      <c r="H9224" s="110"/>
      <c r="I9224">
        <f>E9224*G9206</f>
        <v>0</v>
      </c>
      <c r="J9224" s="58"/>
      <c r="K9224" s="50"/>
      <c r="L9224" s="50"/>
      <c r="M9224" s="50"/>
      <c r="N9224" s="50"/>
      <c r="O9224" s="50"/>
    </row>
    <row r="9225" spans="1:15">
      <c r="A9225" s="517" t="s">
        <v>8</v>
      </c>
      <c r="B9225" s="518">
        <f>VLOOKUP(A9225,'Materiales '!$C$2:$G$396,3,0)</f>
        <v>0</v>
      </c>
      <c r="C9225" s="88">
        <f>VLOOKUP(A9225,'Materiales '!$C$2:$G$396,3,0)</f>
        <v>0</v>
      </c>
      <c r="D9225" s="89" t="str">
        <f>VLOOKUP(A9225,'Materiales '!$C$2:$G$396,4,0)</f>
        <v>-</v>
      </c>
      <c r="E9225" s="90"/>
      <c r="F9225" s="508" t="e">
        <f t="shared" ref="F9225:F9228" si="535">E9225*D9225</f>
        <v>#VALUE!</v>
      </c>
      <c r="G9225" s="519"/>
      <c r="H9225" s="111"/>
      <c r="I9225">
        <f>E9225*G9206</f>
        <v>0</v>
      </c>
      <c r="J9225" s="58"/>
      <c r="K9225" s="50"/>
      <c r="L9225" s="50"/>
      <c r="M9225" s="50"/>
      <c r="N9225" s="50"/>
      <c r="O9225" s="50"/>
    </row>
    <row r="9226" spans="1:15">
      <c r="A9226" s="517" t="s">
        <v>8</v>
      </c>
      <c r="B9226" s="518">
        <f>VLOOKUP(A9226,'Materiales '!$C$2:$G$396,3,0)</f>
        <v>0</v>
      </c>
      <c r="C9226" s="88">
        <f>VLOOKUP(A9226,'Materiales '!$C$2:$G$396,3,0)</f>
        <v>0</v>
      </c>
      <c r="D9226" s="89" t="str">
        <f>VLOOKUP(A9226,'Materiales '!$C$2:$G$396,4,0)</f>
        <v>-</v>
      </c>
      <c r="E9226" s="90"/>
      <c r="F9226" s="508" t="e">
        <f t="shared" si="535"/>
        <v>#VALUE!</v>
      </c>
      <c r="G9226" s="519"/>
      <c r="H9226" s="111"/>
      <c r="I9226">
        <f>E9226*G9206</f>
        <v>0</v>
      </c>
      <c r="J9226" s="58"/>
      <c r="K9226" s="50"/>
      <c r="L9226" s="50"/>
      <c r="M9226" s="50"/>
      <c r="N9226" s="50"/>
      <c r="O9226" s="50"/>
    </row>
    <row r="9227" spans="1:15">
      <c r="A9227" s="517" t="s">
        <v>8</v>
      </c>
      <c r="B9227" s="518">
        <f>VLOOKUP(A9227,'Materiales '!$C$2:$G$396,3,0)</f>
        <v>0</v>
      </c>
      <c r="C9227" s="88">
        <f>VLOOKUP(A9227,'Materiales '!$C$2:$G$396,3,0)</f>
        <v>0</v>
      </c>
      <c r="D9227" s="89" t="str">
        <f>VLOOKUP(A9227,'Materiales '!$C$2:$G$396,4,0)</f>
        <v>-</v>
      </c>
      <c r="E9227" s="90"/>
      <c r="F9227" s="508" t="e">
        <f t="shared" si="535"/>
        <v>#VALUE!</v>
      </c>
      <c r="G9227" s="519"/>
      <c r="H9227" s="111"/>
      <c r="I9227">
        <f>E9227*G9206</f>
        <v>0</v>
      </c>
      <c r="J9227" s="58"/>
      <c r="K9227" s="50"/>
      <c r="L9227" s="50"/>
      <c r="M9227" s="50"/>
      <c r="N9227" s="50"/>
      <c r="O9227" s="50"/>
    </row>
    <row r="9228" spans="1:15">
      <c r="A9228" s="517" t="s">
        <v>8</v>
      </c>
      <c r="B9228" s="518">
        <f>VLOOKUP(A9228,'Materiales '!$C$2:$G$396,3,0)</f>
        <v>0</v>
      </c>
      <c r="C9228" s="88">
        <f>VLOOKUP(A9228,'Materiales '!$C$2:$G$396,3,0)</f>
        <v>0</v>
      </c>
      <c r="D9228" s="89" t="str">
        <f>VLOOKUP(A9228,'Materiales '!$C$2:$G$396,4,0)</f>
        <v>-</v>
      </c>
      <c r="E9228" s="90"/>
      <c r="F9228" s="508" t="e">
        <f t="shared" si="535"/>
        <v>#VALUE!</v>
      </c>
      <c r="G9228" s="519"/>
      <c r="H9228" s="111"/>
      <c r="I9228">
        <f>E9228*G9206</f>
        <v>0</v>
      </c>
      <c r="J9228" s="58"/>
      <c r="K9228" s="50"/>
      <c r="L9228" s="50"/>
      <c r="M9228" s="50"/>
      <c r="N9228" s="50"/>
      <c r="O9228" s="50"/>
    </row>
    <row r="9229" spans="1:15">
      <c r="A9229" s="517" t="s">
        <v>8</v>
      </c>
      <c r="B9229" s="518">
        <f>VLOOKUP(A9229,'Materiales '!$C$2:$G$396,3,0)</f>
        <v>0</v>
      </c>
      <c r="C9229" s="88">
        <f>VLOOKUP(A9229,'Materiales '!$C$2:$G$396,3,0)</f>
        <v>0</v>
      </c>
      <c r="D9229" s="89" t="str">
        <f>VLOOKUP(A9229,'Materiales '!$C$2:$G$396,4,0)</f>
        <v>-</v>
      </c>
      <c r="E9229" s="90"/>
      <c r="F9229" s="508" t="e">
        <f>E9229*D9229</f>
        <v>#VALUE!</v>
      </c>
      <c r="G9229" s="519"/>
      <c r="H9229" s="110"/>
      <c r="I9229">
        <f>E9229*G9206</f>
        <v>0</v>
      </c>
      <c r="J9229" s="58"/>
      <c r="K9229" s="50"/>
      <c r="L9229" s="50"/>
      <c r="M9229" s="50"/>
      <c r="N9229" s="50"/>
      <c r="O9229" s="50"/>
    </row>
    <row r="9230" spans="1:15">
      <c r="A9230" s="520" t="s">
        <v>4098</v>
      </c>
      <c r="B9230" s="521"/>
      <c r="C9230" s="521"/>
      <c r="D9230" s="521"/>
      <c r="E9230" s="521"/>
      <c r="F9230" s="521"/>
      <c r="G9230" s="522"/>
      <c r="H9230" s="106" t="e">
        <f>SUM(F9216:F9229)</f>
        <v>#VALUE!</v>
      </c>
      <c r="J9230" s="58"/>
      <c r="K9230" s="50"/>
      <c r="L9230" s="50"/>
      <c r="M9230" s="50"/>
      <c r="N9230" s="50"/>
      <c r="O9230" s="50"/>
    </row>
    <row r="9231" spans="1:15">
      <c r="A9231" s="523" t="s">
        <v>4220</v>
      </c>
      <c r="B9231" s="524"/>
      <c r="C9231" s="524"/>
      <c r="D9231" s="524"/>
      <c r="E9231" s="525"/>
      <c r="F9231" s="524"/>
      <c r="G9231" s="524"/>
      <c r="H9231" s="526"/>
      <c r="J9231" s="58"/>
      <c r="K9231" s="50"/>
      <c r="L9231" s="50"/>
      <c r="M9231" s="50"/>
      <c r="N9231" s="50"/>
      <c r="O9231" s="50"/>
    </row>
    <row r="9232" spans="1:15">
      <c r="A9232" s="527" t="s">
        <v>7</v>
      </c>
      <c r="B9232" s="528"/>
      <c r="C9232" s="98" t="s">
        <v>4221</v>
      </c>
      <c r="D9232" s="97" t="s">
        <v>4222</v>
      </c>
      <c r="E9232" s="187" t="s">
        <v>4223</v>
      </c>
      <c r="F9232" s="529" t="s">
        <v>4207</v>
      </c>
      <c r="G9232" s="529"/>
      <c r="H9232" s="109"/>
      <c r="K9232" s="50"/>
      <c r="L9232" s="50"/>
      <c r="M9232" s="50"/>
      <c r="N9232" s="50"/>
      <c r="O9232" s="50"/>
    </row>
    <row r="9233" spans="1:13">
      <c r="A9233" s="506" t="s">
        <v>3928</v>
      </c>
      <c r="B9233" s="507"/>
      <c r="C9233" s="213">
        <v>1</v>
      </c>
      <c r="D9233" s="92">
        <v>5.0000000000000001E-3</v>
      </c>
      <c r="E9233" s="93" t="str">
        <f>VLOOKUP(A9233,'Equip, Herr y Transp'!$B$2:$E$217,3,0)</f>
        <v>TR</v>
      </c>
      <c r="F9233" s="530" t="e">
        <f>E9233*D9233*C9233</f>
        <v>#VALUE!</v>
      </c>
      <c r="G9233" s="531"/>
      <c r="H9233" s="107"/>
      <c r="M9233" s="50"/>
    </row>
    <row r="9234" spans="1:13">
      <c r="A9234" s="532" t="s">
        <v>4205</v>
      </c>
      <c r="B9234" s="533"/>
      <c r="C9234" s="533"/>
      <c r="D9234" s="533"/>
      <c r="E9234" s="533"/>
      <c r="F9234" s="533"/>
      <c r="G9234" s="533"/>
      <c r="H9234" s="95" t="e">
        <f>F9233</f>
        <v>#VALUE!</v>
      </c>
    </row>
    <row r="9235" spans="1:13">
      <c r="A9235" s="523" t="s">
        <v>4224</v>
      </c>
      <c r="B9235" s="524"/>
      <c r="C9235" s="524"/>
      <c r="D9235" s="524"/>
      <c r="E9235" s="524"/>
      <c r="F9235" s="524"/>
      <c r="G9235" s="524"/>
      <c r="H9235" s="526"/>
    </row>
    <row r="9236" spans="1:13">
      <c r="A9236" s="527" t="s">
        <v>7</v>
      </c>
      <c r="B9236" s="528"/>
      <c r="C9236" s="96" t="s">
        <v>1</v>
      </c>
      <c r="D9236" s="97" t="s">
        <v>4225</v>
      </c>
      <c r="E9236" s="98" t="s">
        <v>4204</v>
      </c>
      <c r="F9236" s="527" t="s">
        <v>5</v>
      </c>
      <c r="G9236" s="534"/>
      <c r="H9236" s="109"/>
    </row>
    <row r="9237" spans="1:13">
      <c r="A9237" s="506" t="s">
        <v>4191</v>
      </c>
      <c r="B9237" s="507"/>
      <c r="C9237" s="91">
        <v>1</v>
      </c>
      <c r="D9237" s="94">
        <f>VLOOKUP(A9237,'Mano Obra'!$B$2:$T$117,19,0)</f>
        <v>152456</v>
      </c>
      <c r="E9237" s="218">
        <f>H9199</f>
        <v>8.3000000000000001E-3</v>
      </c>
      <c r="F9237" s="508">
        <f>E9237*D9237*C9237</f>
        <v>1265.3848</v>
      </c>
      <c r="G9237" s="509"/>
      <c r="H9237" s="111"/>
      <c r="I9237" s="59"/>
      <c r="J9237" s="117">
        <f>((('Mano Obra'!$M$4/30)*F9237)/D9237)*G9206</f>
        <v>0</v>
      </c>
    </row>
    <row r="9238" spans="1:13">
      <c r="A9238" s="510" t="s">
        <v>4192</v>
      </c>
      <c r="B9238" s="511">
        <f>VLOOKUP(A9238,'Mano Obra'!$B$3:$D$290,2,0)</f>
        <v>1900000</v>
      </c>
      <c r="C9238" s="91">
        <v>2</v>
      </c>
      <c r="D9238" s="94">
        <f>VLOOKUP(A9238,'Mano Obra'!$B$2:$T$117,19,0)</f>
        <v>110488</v>
      </c>
      <c r="E9238" s="218">
        <f>H9199</f>
        <v>8.3000000000000001E-3</v>
      </c>
      <c r="F9238" s="508">
        <f t="shared" ref="F9238:F9239" si="536">E9238*D9238*C9238</f>
        <v>1834.1007999999999</v>
      </c>
      <c r="G9238" s="509"/>
      <c r="H9238" s="111"/>
      <c r="J9238" s="117">
        <f>((('Mano Obra'!$M$5/30)*F9238)/D9238)*G9206</f>
        <v>0</v>
      </c>
    </row>
    <row r="9239" spans="1:13">
      <c r="A9239" s="510" t="s">
        <v>4181</v>
      </c>
      <c r="B9239" s="511">
        <f>VLOOKUP(A9239,'Mano Obra'!$B$3:$D$290,2,0)</f>
        <v>1000000</v>
      </c>
      <c r="C9239" s="91">
        <v>1</v>
      </c>
      <c r="D9239" s="94">
        <f>VLOOKUP(A9239,'Mano Obra'!$B$2:$T$117,19,0)</f>
        <v>67424</v>
      </c>
      <c r="E9239" s="218">
        <f>H9199</f>
        <v>8.3000000000000001E-3</v>
      </c>
      <c r="F9239" s="508">
        <f t="shared" si="536"/>
        <v>559.61919999999998</v>
      </c>
      <c r="G9239" s="509"/>
      <c r="H9239" s="110"/>
      <c r="J9239" s="117">
        <f>((('Mano Obra'!$M$6/30)*F9239)/D9239)*G9206</f>
        <v>0</v>
      </c>
    </row>
    <row r="9240" spans="1:13">
      <c r="A9240" s="512" t="s">
        <v>4100</v>
      </c>
      <c r="B9240" s="512"/>
      <c r="C9240" s="512"/>
      <c r="D9240" s="512"/>
      <c r="E9240" s="512"/>
      <c r="F9240" s="512"/>
      <c r="G9240" s="512"/>
      <c r="H9240" s="95">
        <f>SUM(F9237:F9239)</f>
        <v>3659.1048000000001</v>
      </c>
      <c r="J9240" s="117"/>
    </row>
    <row r="9241" spans="1:13">
      <c r="A9241" s="208" t="s">
        <v>4226</v>
      </c>
      <c r="B9241" s="186"/>
      <c r="C9241" s="186"/>
      <c r="D9241" s="183"/>
      <c r="E9241" s="184"/>
      <c r="F9241" s="185"/>
      <c r="G9241" s="184"/>
      <c r="H9241" s="193"/>
    </row>
    <row r="9242" spans="1:13">
      <c r="A9242" s="513" t="s">
        <v>4213</v>
      </c>
      <c r="B9242" s="514"/>
      <c r="C9242" s="514"/>
      <c r="D9242" s="514"/>
      <c r="E9242" s="181"/>
      <c r="F9242" s="182" t="s">
        <v>4227</v>
      </c>
      <c r="G9242" s="181" t="s">
        <v>4228</v>
      </c>
      <c r="H9242" s="194"/>
    </row>
    <row r="9243" spans="1:13">
      <c r="A9243" s="204" t="s">
        <v>4096</v>
      </c>
      <c r="B9243" s="62"/>
      <c r="C9243" s="62"/>
      <c r="D9243" s="63"/>
      <c r="E9243" s="68"/>
      <c r="F9243" s="69">
        <v>0</v>
      </c>
      <c r="G9243" s="70" t="e">
        <f>F9243*H9207</f>
        <v>#VALUE!</v>
      </c>
      <c r="H9243" s="193"/>
    </row>
    <row r="9244" spans="1:13">
      <c r="A9244" s="205" t="s">
        <v>4229</v>
      </c>
      <c r="B9244" s="71"/>
      <c r="C9244" s="71"/>
      <c r="D9244" s="72"/>
      <c r="E9244" s="68"/>
      <c r="F9244" s="69">
        <v>0</v>
      </c>
      <c r="G9244" s="70" t="e">
        <f>F9244*H9207</f>
        <v>#VALUE!</v>
      </c>
      <c r="H9244" s="193"/>
    </row>
    <row r="9245" spans="1:13">
      <c r="A9245" s="205" t="s">
        <v>4</v>
      </c>
      <c r="B9245" s="71"/>
      <c r="C9245" s="71"/>
      <c r="D9245" s="72"/>
      <c r="E9245" s="68"/>
      <c r="F9245" s="69">
        <v>0</v>
      </c>
      <c r="G9245" s="70" t="e">
        <f>F9245*H9207</f>
        <v>#VALUE!</v>
      </c>
      <c r="H9245" s="193"/>
    </row>
    <row r="9246" spans="1:13">
      <c r="A9246" s="206"/>
      <c r="B9246" s="73"/>
      <c r="C9246" s="65"/>
      <c r="D9246" s="74"/>
      <c r="E9246" s="75"/>
      <c r="F9246" s="76"/>
      <c r="G9246" s="77"/>
      <c r="H9246" s="195"/>
    </row>
    <row r="9247" spans="1:13">
      <c r="A9247" s="207"/>
      <c r="B9247" s="73"/>
      <c r="C9247" s="73"/>
      <c r="D9247" s="74"/>
      <c r="E9247" s="78"/>
      <c r="F9247" s="515" t="s">
        <v>4230</v>
      </c>
      <c r="G9247" s="516"/>
      <c r="H9247" s="214" t="e">
        <f>H9207+G9243+G9244+G9245</f>
        <v>#VALUE!</v>
      </c>
    </row>
    <row r="9249" spans="1:14">
      <c r="A9249" s="80"/>
      <c r="B9249" s="80"/>
      <c r="C9249" s="80"/>
      <c r="D9249" s="80"/>
      <c r="E9249" s="80"/>
      <c r="F9249" s="80"/>
      <c r="G9249" s="80"/>
      <c r="H9249" s="353"/>
    </row>
    <row r="9250" spans="1:14">
      <c r="A9250" s="537" t="s">
        <v>4214</v>
      </c>
      <c r="B9250" s="538"/>
      <c r="C9250" s="538"/>
      <c r="D9250" s="538"/>
      <c r="E9250" s="538"/>
      <c r="F9250" s="538"/>
      <c r="G9250" s="538"/>
      <c r="H9250" s="539"/>
    </row>
    <row r="9251" spans="1:14">
      <c r="A9251" s="81"/>
      <c r="B9251" s="82"/>
      <c r="C9251" s="82"/>
      <c r="D9251" s="82"/>
      <c r="E9251" s="82"/>
      <c r="F9251" s="83"/>
      <c r="G9251" s="84"/>
      <c r="H9251" s="352">
        <f>ROUND((6/60)/8,4)</f>
        <v>1.2500000000000001E-2</v>
      </c>
      <c r="I9251" s="105"/>
    </row>
    <row r="9252" spans="1:14">
      <c r="A9252" s="540" t="s">
        <v>4209</v>
      </c>
      <c r="B9252" s="542" t="str">
        <f>COSTOS!$C$14</f>
        <v>MODERNIZACION A TECNOLOGIA LED</v>
      </c>
      <c r="C9252" s="542"/>
      <c r="D9252" s="542"/>
      <c r="E9252" s="542"/>
      <c r="F9252" s="542"/>
      <c r="G9252" s="542"/>
      <c r="H9252" s="543" t="s">
        <v>4210</v>
      </c>
    </row>
    <row r="9253" spans="1:14">
      <c r="A9253" s="541"/>
      <c r="B9253" s="542"/>
      <c r="C9253" s="542"/>
      <c r="D9253" s="542"/>
      <c r="E9253" s="542"/>
      <c r="F9253" s="542"/>
      <c r="G9253" s="542"/>
      <c r="H9253" s="543"/>
    </row>
    <row r="9254" spans="1:14">
      <c r="A9254" s="541"/>
      <c r="B9254" s="542"/>
      <c r="C9254" s="542"/>
      <c r="D9254" s="542"/>
      <c r="E9254" s="542"/>
      <c r="F9254" s="542"/>
      <c r="G9254" s="542"/>
      <c r="H9254" s="543"/>
    </row>
    <row r="9255" spans="1:14" ht="15" customHeight="1">
      <c r="A9255" s="541"/>
      <c r="B9255" s="542"/>
      <c r="C9255" s="542"/>
      <c r="D9255" s="542"/>
      <c r="E9255" s="542"/>
      <c r="F9255" s="542"/>
      <c r="G9255" s="542"/>
      <c r="H9255" s="197">
        <f ca="1">TODAY()</f>
        <v>44889</v>
      </c>
      <c r="K9255" t="s">
        <v>4380</v>
      </c>
      <c r="L9255" t="s">
        <v>4381</v>
      </c>
      <c r="M9255" t="s">
        <v>4382</v>
      </c>
      <c r="N9255" t="s">
        <v>4383</v>
      </c>
    </row>
    <row r="9256" spans="1:14" ht="60.75" customHeight="1">
      <c r="A9256" s="209" t="s">
        <v>4211</v>
      </c>
      <c r="B9256" s="544" t="str">
        <f>COSTOS!$D$16</f>
        <v>Luminarias</v>
      </c>
      <c r="C9256" s="544"/>
      <c r="D9256" s="544"/>
      <c r="E9256" s="544"/>
      <c r="F9256" s="544"/>
      <c r="G9256" s="60" t="s">
        <v>4212</v>
      </c>
      <c r="H9256" s="359">
        <v>7.7</v>
      </c>
      <c r="K9256" s="55" t="e">
        <f>H9282</f>
        <v>#VALUE!</v>
      </c>
      <c r="L9256" s="55">
        <f>H9292</f>
        <v>5510.7000000000007</v>
      </c>
      <c r="M9256" s="55" t="e">
        <f>H9265</f>
        <v>#VALUE!</v>
      </c>
      <c r="N9256" s="55" t="e">
        <f>H9286</f>
        <v>#VALUE!</v>
      </c>
    </row>
    <row r="9257" spans="1:14" ht="43.2" customHeight="1">
      <c r="A9257" s="210" t="s">
        <v>4213</v>
      </c>
      <c r="B9257" s="545" t="str">
        <f>VLOOKUP(H9256,COSTOS!C:M,2,0)</f>
        <v>Canalizacion con un ducto 1" IMC</v>
      </c>
      <c r="C9257" s="546"/>
      <c r="D9257" s="546"/>
      <c r="E9257" s="547"/>
      <c r="F9257" s="61" t="s">
        <v>0</v>
      </c>
      <c r="G9257" s="328" t="str">
        <f>VLOOKUP(H9256,COSTOS!C:M,8,0)</f>
        <v>Ml</v>
      </c>
      <c r="H9257" s="248"/>
      <c r="I9257" s="278"/>
      <c r="J9257" s="280"/>
      <c r="K9257" s="280"/>
      <c r="L9257" s="280"/>
    </row>
    <row r="9258" spans="1:14">
      <c r="A9258" s="211"/>
      <c r="B9258" s="102"/>
      <c r="C9258" s="102"/>
      <c r="D9258" s="102"/>
      <c r="E9258" s="103"/>
      <c r="F9258" s="104" t="s">
        <v>1</v>
      </c>
      <c r="G9258" s="328">
        <f>VLOOKUP(H9256,COSTOS!C:M,9,0)</f>
        <v>0</v>
      </c>
      <c r="H9258" s="329"/>
      <c r="I9258" s="279"/>
    </row>
    <row r="9259" spans="1:14">
      <c r="A9259" s="212" t="s">
        <v>4215</v>
      </c>
      <c r="B9259" s="65"/>
      <c r="C9259" s="65"/>
      <c r="D9259" s="66"/>
      <c r="E9259" s="190"/>
      <c r="F9259" s="191"/>
      <c r="G9259" s="192" t="s">
        <v>4216</v>
      </c>
      <c r="H9259" s="198" t="e">
        <f>H9265+H9282+H9286+H9292</f>
        <v>#VALUE!</v>
      </c>
    </row>
    <row r="9260" spans="1:14" ht="41.4">
      <c r="A9260" s="548" t="s">
        <v>4213</v>
      </c>
      <c r="B9260" s="548"/>
      <c r="C9260" s="548"/>
      <c r="D9260" s="67" t="s">
        <v>0</v>
      </c>
      <c r="E9260" s="188" t="s">
        <v>4217</v>
      </c>
      <c r="F9260" s="189" t="s">
        <v>4204</v>
      </c>
      <c r="G9260" s="64" t="s">
        <v>2</v>
      </c>
      <c r="H9260" s="199" t="s">
        <v>4218</v>
      </c>
      <c r="K9260" s="281"/>
    </row>
    <row r="9261" spans="1:14">
      <c r="A9261" s="517" t="s">
        <v>3946</v>
      </c>
      <c r="B9261" s="549">
        <f>VLOOKUP(A9261,'Equip, Herr y Transp'!$B$2:$E$738,2,0)</f>
        <v>2</v>
      </c>
      <c r="C9261" s="549"/>
      <c r="D9261" s="85">
        <f>VLOOKUP(A9261,'Equip, Herr y Transp'!$B$2:$E$217,2,0)</f>
        <v>2</v>
      </c>
      <c r="E9261" s="85" t="str">
        <f>VLOOKUP(A9261,'Equip, Herr y Transp'!$B$2:$E$217,3,0)</f>
        <v>EQU</v>
      </c>
      <c r="F9261" s="86">
        <f>H9251</f>
        <v>1.2500000000000001E-2</v>
      </c>
      <c r="G9261" s="112" t="e">
        <f>F9261*E9261</f>
        <v>#VALUE!</v>
      </c>
      <c r="H9261" s="108"/>
    </row>
    <row r="9262" spans="1:14">
      <c r="A9262" s="517" t="s">
        <v>3914</v>
      </c>
      <c r="B9262" s="549">
        <f>VLOOKUP(A9262,'Equip, Herr y Transp'!$B$2:$E$738,2,0)</f>
        <v>2</v>
      </c>
      <c r="C9262" s="549"/>
      <c r="D9262" s="85">
        <f>VLOOKUP(A9262,'Equip, Herr y Transp'!$B$2:$E$217,2,0)</f>
        <v>2</v>
      </c>
      <c r="E9262" s="85" t="str">
        <f>VLOOKUP(A9262,'Equip, Herr y Transp'!$B$2:$E$217,3,0)</f>
        <v>EQU</v>
      </c>
      <c r="F9262" s="86">
        <f>H9251</f>
        <v>1.2500000000000001E-2</v>
      </c>
      <c r="G9262" s="112" t="e">
        <f>F9262*E9262</f>
        <v>#VALUE!</v>
      </c>
      <c r="H9262" s="107"/>
    </row>
    <row r="9263" spans="1:14">
      <c r="A9263" s="517" t="s">
        <v>4142</v>
      </c>
      <c r="B9263" s="549">
        <f>VLOOKUP(A9263,'Equip, Herr y Transp'!$B$2:$E$738,2,0)</f>
        <v>2</v>
      </c>
      <c r="C9263" s="549"/>
      <c r="D9263" s="85">
        <f>VLOOKUP(A9263,'Equip, Herr y Transp'!$B$2:$E$217,2,0)</f>
        <v>2</v>
      </c>
      <c r="E9263" s="85" t="str">
        <f>VLOOKUP(A9263,'Equip, Herr y Transp'!$B$2:$E$217,3,0)</f>
        <v>EQU</v>
      </c>
      <c r="F9263" s="86">
        <f>H9251</f>
        <v>1.2500000000000001E-2</v>
      </c>
      <c r="G9263" s="112" t="e">
        <f>F9263*E9263</f>
        <v>#VALUE!</v>
      </c>
      <c r="H9263" s="107"/>
    </row>
    <row r="9264" spans="1:14">
      <c r="A9264" s="517" t="s">
        <v>3903</v>
      </c>
      <c r="B9264" s="549">
        <f>VLOOKUP(A9264,'Equip, Herr y Transp'!$B$2:$E$738,2,0)</f>
        <v>2</v>
      </c>
      <c r="C9264" s="549"/>
      <c r="D9264" s="85">
        <f>VLOOKUP(A9264,'Equip, Herr y Transp'!$B$2:$E$217,2,0)</f>
        <v>2</v>
      </c>
      <c r="E9264" s="85" t="str">
        <f>VLOOKUP(A9264,'Equip, Herr y Transp'!$B$2:$E$217,3,0)</f>
        <v>EQU</v>
      </c>
      <c r="F9264" s="86">
        <f>H9251</f>
        <v>1.2500000000000001E-2</v>
      </c>
      <c r="G9264" s="112" t="e">
        <f>F9264*E9264</f>
        <v>#VALUE!</v>
      </c>
      <c r="H9264" s="107"/>
    </row>
    <row r="9265" spans="1:15">
      <c r="A9265" s="520" t="s">
        <v>4099</v>
      </c>
      <c r="B9265" s="521"/>
      <c r="C9265" s="521"/>
      <c r="D9265" s="521"/>
      <c r="E9265" s="521"/>
      <c r="F9265" s="521"/>
      <c r="G9265" s="521"/>
      <c r="H9265" s="87" t="e">
        <f>SUM(G9261:G9264)</f>
        <v>#VALUE!</v>
      </c>
    </row>
    <row r="9266" spans="1:15">
      <c r="A9266" s="550" t="s">
        <v>4219</v>
      </c>
      <c r="B9266" s="551"/>
      <c r="C9266" s="551"/>
      <c r="D9266" s="551"/>
      <c r="E9266" s="551"/>
      <c r="F9266" s="551"/>
      <c r="G9266" s="551"/>
      <c r="H9266" s="552"/>
      <c r="K9266" s="50"/>
      <c r="L9266" s="50"/>
      <c r="M9266" s="50"/>
      <c r="N9266" s="50"/>
      <c r="O9266" s="50"/>
    </row>
    <row r="9267" spans="1:15" ht="30" customHeight="1">
      <c r="A9267" s="553" t="s">
        <v>7</v>
      </c>
      <c r="B9267" s="554"/>
      <c r="C9267" s="99" t="s">
        <v>0</v>
      </c>
      <c r="D9267" s="100" t="s">
        <v>4097</v>
      </c>
      <c r="E9267" s="101" t="s">
        <v>1</v>
      </c>
      <c r="F9267" s="555" t="s">
        <v>4207</v>
      </c>
      <c r="G9267" s="555"/>
      <c r="H9267" s="196"/>
      <c r="K9267" s="50"/>
      <c r="L9267" s="50"/>
      <c r="M9267" s="50"/>
      <c r="N9267" s="50"/>
      <c r="O9267" s="50"/>
    </row>
    <row r="9268" spans="1:15">
      <c r="A9268" s="535" t="s">
        <v>4583</v>
      </c>
      <c r="B9268" s="536"/>
      <c r="C9268" s="88">
        <f>VLOOKUP(A9268,'Materiales '!$C$2:$G$396,3,0)</f>
        <v>4</v>
      </c>
      <c r="D9268" s="89" t="str">
        <f>VLOOKUP(A9268,'Materiales '!$C$2:$G$396,4,0)</f>
        <v>Und</v>
      </c>
      <c r="E9268" s="90">
        <v>0.34</v>
      </c>
      <c r="F9268" s="508" t="e">
        <f>E9268*D9268</f>
        <v>#VALUE!</v>
      </c>
      <c r="G9268" s="519"/>
      <c r="H9268" s="111"/>
      <c r="I9268">
        <f>E9268*G9258</f>
        <v>0</v>
      </c>
      <c r="J9268" s="57"/>
      <c r="K9268" s="50"/>
      <c r="L9268" s="50"/>
      <c r="M9268" s="50"/>
      <c r="N9268" s="50"/>
      <c r="O9268" s="50"/>
    </row>
    <row r="9269" spans="1:15">
      <c r="A9269" s="535" t="s">
        <v>4628</v>
      </c>
      <c r="B9269" s="536"/>
      <c r="C9269" s="88">
        <f>VLOOKUP(A9269,'Materiales '!$C$2:$G$396,3,0)</f>
        <v>4</v>
      </c>
      <c r="D9269" s="89" t="str">
        <f>VLOOKUP(A9269,'Materiales '!$C$2:$G$396,4,0)</f>
        <v>Und</v>
      </c>
      <c r="E9269" s="90">
        <v>0.1</v>
      </c>
      <c r="F9269" s="508" t="e">
        <f t="shared" ref="F9269:F9275" si="537">E9269*D9269</f>
        <v>#VALUE!</v>
      </c>
      <c r="G9269" s="519"/>
      <c r="H9269" s="111"/>
      <c r="I9269">
        <f>E9269*G9258</f>
        <v>0</v>
      </c>
      <c r="J9269" s="57"/>
      <c r="K9269" s="50"/>
      <c r="L9269" s="50"/>
      <c r="M9269" s="50"/>
      <c r="N9269" s="50"/>
      <c r="O9269" s="50"/>
    </row>
    <row r="9270" spans="1:15">
      <c r="A9270" s="517" t="s">
        <v>8</v>
      </c>
      <c r="B9270" s="518">
        <f>VLOOKUP(A9270,'Materiales '!$C$2:$G$396,3,0)</f>
        <v>0</v>
      </c>
      <c r="C9270" s="88">
        <f>VLOOKUP(A9270,'Materiales '!$C$2:$G$396,3,0)</f>
        <v>0</v>
      </c>
      <c r="D9270" s="89" t="str">
        <f>VLOOKUP(A9270,'Materiales '!$C$2:$G$396,4,0)</f>
        <v>-</v>
      </c>
      <c r="E9270" s="90">
        <v>0.34</v>
      </c>
      <c r="F9270" s="508" t="e">
        <f t="shared" si="537"/>
        <v>#VALUE!</v>
      </c>
      <c r="G9270" s="519"/>
      <c r="H9270" s="111"/>
      <c r="I9270">
        <f>E9270*G9258</f>
        <v>0</v>
      </c>
      <c r="J9270" s="58"/>
      <c r="K9270" s="50"/>
      <c r="L9270" s="50"/>
      <c r="M9270" s="50"/>
      <c r="N9270" s="50"/>
      <c r="O9270" s="50"/>
    </row>
    <row r="9271" spans="1:15">
      <c r="A9271" s="517" t="s">
        <v>8</v>
      </c>
      <c r="B9271" s="518">
        <f>VLOOKUP(A9271,'Materiales '!$C$2:$G$396,3,0)</f>
        <v>0</v>
      </c>
      <c r="C9271" s="88">
        <f>VLOOKUP(A9271,'Materiales '!$C$2:$G$396,3,0)</f>
        <v>0</v>
      </c>
      <c r="D9271" s="89" t="str">
        <f>VLOOKUP(A9271,'Materiales '!$C$2:$G$396,4,0)</f>
        <v>-</v>
      </c>
      <c r="E9271" s="90">
        <v>0.02</v>
      </c>
      <c r="F9271" s="508" t="e">
        <f t="shared" si="537"/>
        <v>#VALUE!</v>
      </c>
      <c r="G9271" s="519"/>
      <c r="H9271" s="111"/>
      <c r="I9271">
        <f>E9271*G9258</f>
        <v>0</v>
      </c>
      <c r="J9271" s="58"/>
      <c r="K9271" s="50"/>
      <c r="L9271" s="50"/>
      <c r="M9271" s="50"/>
      <c r="N9271" s="50"/>
      <c r="O9271" s="50"/>
    </row>
    <row r="9272" spans="1:15">
      <c r="A9272" s="517" t="s">
        <v>8</v>
      </c>
      <c r="B9272" s="518">
        <f>VLOOKUP(A9272,'Materiales '!$C$2:$G$396,3,0)</f>
        <v>0</v>
      </c>
      <c r="C9272" s="88">
        <f>VLOOKUP(A9272,'Materiales '!$C$2:$G$396,3,0)</f>
        <v>0</v>
      </c>
      <c r="D9272" s="89" t="str">
        <f>VLOOKUP(A9272,'Materiales '!$C$2:$G$396,4,0)</f>
        <v>-</v>
      </c>
      <c r="E9272" s="90">
        <v>0.5</v>
      </c>
      <c r="F9272" s="508" t="e">
        <f t="shared" si="537"/>
        <v>#VALUE!</v>
      </c>
      <c r="G9272" s="519"/>
      <c r="H9272" s="111"/>
      <c r="I9272">
        <f>E9272*G9258</f>
        <v>0</v>
      </c>
      <c r="J9272" s="58"/>
      <c r="K9272" s="50"/>
      <c r="L9272" s="50"/>
      <c r="M9272" s="50"/>
      <c r="N9272" s="50"/>
      <c r="O9272" s="50"/>
    </row>
    <row r="9273" spans="1:15">
      <c r="A9273" s="517" t="s">
        <v>8</v>
      </c>
      <c r="B9273" s="518">
        <f>VLOOKUP(A9273,'Materiales '!$C$2:$G$396,3,0)</f>
        <v>0</v>
      </c>
      <c r="C9273" s="88">
        <f>VLOOKUP(A9273,'Materiales '!$C$2:$G$396,3,0)</f>
        <v>0</v>
      </c>
      <c r="D9273" s="89" t="str">
        <f>VLOOKUP(A9273,'Materiales '!$C$2:$G$396,4,0)</f>
        <v>-</v>
      </c>
      <c r="E9273" s="90">
        <v>1</v>
      </c>
      <c r="F9273" s="508" t="e">
        <f t="shared" si="537"/>
        <v>#VALUE!</v>
      </c>
      <c r="G9273" s="519"/>
      <c r="H9273" s="111"/>
      <c r="I9273">
        <f>E9273*G9258</f>
        <v>0</v>
      </c>
      <c r="J9273" s="58"/>
      <c r="K9273" s="50"/>
      <c r="L9273" s="50"/>
      <c r="M9273" s="50"/>
      <c r="N9273" s="50"/>
      <c r="O9273" s="50"/>
    </row>
    <row r="9274" spans="1:15">
      <c r="A9274" s="517" t="s">
        <v>8</v>
      </c>
      <c r="B9274" s="518">
        <f>VLOOKUP(A9274,'Materiales '!$C$2:$G$396,3,0)</f>
        <v>0</v>
      </c>
      <c r="C9274" s="88">
        <f>VLOOKUP(A9274,'Materiales '!$C$2:$G$396,3,0)</f>
        <v>0</v>
      </c>
      <c r="D9274" s="89" t="str">
        <f>VLOOKUP(A9274,'Materiales '!$C$2:$G$396,4,0)</f>
        <v>-</v>
      </c>
      <c r="E9274" s="90">
        <v>1</v>
      </c>
      <c r="F9274" s="508" t="e">
        <f t="shared" si="537"/>
        <v>#VALUE!</v>
      </c>
      <c r="G9274" s="519"/>
      <c r="H9274" s="111"/>
      <c r="I9274">
        <f>E9274*G9258</f>
        <v>0</v>
      </c>
      <c r="J9274" s="58"/>
      <c r="K9274" s="50"/>
      <c r="L9274" s="50"/>
      <c r="M9274" s="50"/>
      <c r="N9274" s="50"/>
      <c r="O9274" s="50"/>
    </row>
    <row r="9275" spans="1:15" ht="21.75" customHeight="1">
      <c r="A9275" s="517" t="s">
        <v>8</v>
      </c>
      <c r="B9275" s="518">
        <f>VLOOKUP(A9275,'Materiales '!$C$2:$G$396,3,0)</f>
        <v>0</v>
      </c>
      <c r="C9275" s="88">
        <f>VLOOKUP(A9275,'Materiales '!$C$2:$G$396,3,0)</f>
        <v>0</v>
      </c>
      <c r="D9275" s="89" t="str">
        <f>VLOOKUP(A9275,'Materiales '!$C$2:$G$396,4,0)</f>
        <v>-</v>
      </c>
      <c r="E9275" s="90"/>
      <c r="F9275" s="508" t="e">
        <f t="shared" si="537"/>
        <v>#VALUE!</v>
      </c>
      <c r="G9275" s="519"/>
      <c r="H9275" s="111"/>
      <c r="I9275">
        <f>E9275*G9258</f>
        <v>0</v>
      </c>
      <c r="J9275" s="58"/>
      <c r="K9275" s="50"/>
      <c r="L9275" s="50"/>
      <c r="M9275" s="50"/>
      <c r="N9275" s="50"/>
      <c r="O9275" s="50"/>
    </row>
    <row r="9276" spans="1:15">
      <c r="A9276" s="517" t="s">
        <v>8</v>
      </c>
      <c r="B9276" s="518">
        <f>VLOOKUP(A9276,'Materiales '!$C$2:$G$396,3,0)</f>
        <v>0</v>
      </c>
      <c r="C9276" s="88">
        <f>VLOOKUP(A9276,'Materiales '!$C$2:$G$396,3,0)</f>
        <v>0</v>
      </c>
      <c r="D9276" s="89" t="str">
        <f>VLOOKUP(A9276,'Materiales '!$C$2:$G$396,4,0)</f>
        <v>-</v>
      </c>
      <c r="E9276" s="90"/>
      <c r="F9276" s="508" t="e">
        <f>E9276*D9276</f>
        <v>#VALUE!</v>
      </c>
      <c r="G9276" s="519"/>
      <c r="H9276" s="110"/>
      <c r="I9276">
        <f>E9276*G9258</f>
        <v>0</v>
      </c>
      <c r="J9276" s="58"/>
      <c r="K9276" s="50"/>
      <c r="L9276" s="50"/>
      <c r="M9276" s="50"/>
      <c r="N9276" s="50"/>
      <c r="O9276" s="50"/>
    </row>
    <row r="9277" spans="1:15">
      <c r="A9277" s="517" t="s">
        <v>8</v>
      </c>
      <c r="B9277" s="518">
        <f>VLOOKUP(A9277,'Materiales '!$C$2:$G$396,3,0)</f>
        <v>0</v>
      </c>
      <c r="C9277" s="88">
        <f>VLOOKUP(A9277,'Materiales '!$C$2:$G$396,3,0)</f>
        <v>0</v>
      </c>
      <c r="D9277" s="89" t="str">
        <f>VLOOKUP(A9277,'Materiales '!$C$2:$G$396,4,0)</f>
        <v>-</v>
      </c>
      <c r="E9277" s="90"/>
      <c r="F9277" s="508" t="e">
        <f t="shared" ref="F9277:F9280" si="538">E9277*D9277</f>
        <v>#VALUE!</v>
      </c>
      <c r="G9277" s="519"/>
      <c r="H9277" s="111"/>
      <c r="I9277">
        <f>E9277*G9258</f>
        <v>0</v>
      </c>
      <c r="J9277" s="58"/>
      <c r="K9277" s="50"/>
      <c r="L9277" s="50"/>
      <c r="M9277" s="50"/>
      <c r="N9277" s="50"/>
      <c r="O9277" s="50"/>
    </row>
    <row r="9278" spans="1:15">
      <c r="A9278" s="517" t="s">
        <v>8</v>
      </c>
      <c r="B9278" s="518">
        <f>VLOOKUP(A9278,'Materiales '!$C$2:$G$396,3,0)</f>
        <v>0</v>
      </c>
      <c r="C9278" s="88">
        <f>VLOOKUP(A9278,'Materiales '!$C$2:$G$396,3,0)</f>
        <v>0</v>
      </c>
      <c r="D9278" s="89" t="str">
        <f>VLOOKUP(A9278,'Materiales '!$C$2:$G$396,4,0)</f>
        <v>-</v>
      </c>
      <c r="E9278" s="90"/>
      <c r="F9278" s="508" t="e">
        <f t="shared" si="538"/>
        <v>#VALUE!</v>
      </c>
      <c r="G9278" s="519"/>
      <c r="H9278" s="111"/>
      <c r="I9278">
        <f>E9278*G9258</f>
        <v>0</v>
      </c>
      <c r="J9278" s="58"/>
      <c r="K9278" s="50"/>
      <c r="L9278" s="50"/>
      <c r="M9278" s="50"/>
      <c r="N9278" s="50"/>
      <c r="O9278" s="50"/>
    </row>
    <row r="9279" spans="1:15">
      <c r="A9279" s="517" t="s">
        <v>8</v>
      </c>
      <c r="B9279" s="518">
        <f>VLOOKUP(A9279,'Materiales '!$C$2:$G$396,3,0)</f>
        <v>0</v>
      </c>
      <c r="C9279" s="88">
        <f>VLOOKUP(A9279,'Materiales '!$C$2:$G$396,3,0)</f>
        <v>0</v>
      </c>
      <c r="D9279" s="89" t="str">
        <f>VLOOKUP(A9279,'Materiales '!$C$2:$G$396,4,0)</f>
        <v>-</v>
      </c>
      <c r="E9279" s="90"/>
      <c r="F9279" s="508" t="e">
        <f t="shared" si="538"/>
        <v>#VALUE!</v>
      </c>
      <c r="G9279" s="519"/>
      <c r="H9279" s="111"/>
      <c r="I9279">
        <f>E9279*G9258</f>
        <v>0</v>
      </c>
      <c r="J9279" s="58"/>
      <c r="K9279" s="50"/>
      <c r="L9279" s="50"/>
      <c r="M9279" s="50"/>
      <c r="N9279" s="50"/>
      <c r="O9279" s="50"/>
    </row>
    <row r="9280" spans="1:15">
      <c r="A9280" s="517" t="s">
        <v>8</v>
      </c>
      <c r="B9280" s="518">
        <f>VLOOKUP(A9280,'Materiales '!$C$2:$G$396,3,0)</f>
        <v>0</v>
      </c>
      <c r="C9280" s="88">
        <f>VLOOKUP(A9280,'Materiales '!$C$2:$G$396,3,0)</f>
        <v>0</v>
      </c>
      <c r="D9280" s="89" t="str">
        <f>VLOOKUP(A9280,'Materiales '!$C$2:$G$396,4,0)</f>
        <v>-</v>
      </c>
      <c r="E9280" s="90"/>
      <c r="F9280" s="508" t="e">
        <f t="shared" si="538"/>
        <v>#VALUE!</v>
      </c>
      <c r="G9280" s="519"/>
      <c r="H9280" s="111"/>
      <c r="I9280">
        <f>E9280*G9258</f>
        <v>0</v>
      </c>
      <c r="J9280" s="58"/>
      <c r="K9280" s="50"/>
      <c r="L9280" s="50"/>
      <c r="M9280" s="50"/>
      <c r="N9280" s="50"/>
      <c r="O9280" s="50"/>
    </row>
    <row r="9281" spans="1:15">
      <c r="A9281" s="517" t="s">
        <v>8</v>
      </c>
      <c r="B9281" s="518">
        <f>VLOOKUP(A9281,'Materiales '!$C$2:$G$396,3,0)</f>
        <v>0</v>
      </c>
      <c r="C9281" s="88">
        <f>VLOOKUP(A9281,'Materiales '!$C$2:$G$396,3,0)</f>
        <v>0</v>
      </c>
      <c r="D9281" s="89" t="str">
        <f>VLOOKUP(A9281,'Materiales '!$C$2:$G$396,4,0)</f>
        <v>-</v>
      </c>
      <c r="E9281" s="90"/>
      <c r="F9281" s="508" t="e">
        <f>E9281*D9281</f>
        <v>#VALUE!</v>
      </c>
      <c r="G9281" s="519"/>
      <c r="H9281" s="110"/>
      <c r="I9281">
        <f>E9281*G9258</f>
        <v>0</v>
      </c>
      <c r="J9281" s="58"/>
      <c r="K9281" s="50"/>
      <c r="L9281" s="50"/>
      <c r="M9281" s="50"/>
      <c r="N9281" s="50"/>
      <c r="O9281" s="50"/>
    </row>
    <row r="9282" spans="1:15">
      <c r="A9282" s="520" t="s">
        <v>4098</v>
      </c>
      <c r="B9282" s="521"/>
      <c r="C9282" s="521"/>
      <c r="D9282" s="521"/>
      <c r="E9282" s="521"/>
      <c r="F9282" s="521"/>
      <c r="G9282" s="522"/>
      <c r="H9282" s="106" t="e">
        <f>SUM(F9268:F9281)</f>
        <v>#VALUE!</v>
      </c>
      <c r="J9282" s="58"/>
      <c r="K9282" s="50"/>
      <c r="L9282" s="50"/>
      <c r="M9282" s="50"/>
      <c r="N9282" s="50"/>
      <c r="O9282" s="50"/>
    </row>
    <row r="9283" spans="1:15">
      <c r="A9283" s="523" t="s">
        <v>4220</v>
      </c>
      <c r="B9283" s="524"/>
      <c r="C9283" s="524"/>
      <c r="D9283" s="524"/>
      <c r="E9283" s="525"/>
      <c r="F9283" s="524"/>
      <c r="G9283" s="524"/>
      <c r="H9283" s="526"/>
      <c r="J9283" s="58"/>
      <c r="K9283" s="50"/>
      <c r="L9283" s="50"/>
      <c r="M9283" s="50"/>
      <c r="N9283" s="50"/>
      <c r="O9283" s="50"/>
    </row>
    <row r="9284" spans="1:15">
      <c r="A9284" s="527" t="s">
        <v>7</v>
      </c>
      <c r="B9284" s="528"/>
      <c r="C9284" s="98" t="s">
        <v>4221</v>
      </c>
      <c r="D9284" s="97" t="s">
        <v>4222</v>
      </c>
      <c r="E9284" s="187" t="s">
        <v>4223</v>
      </c>
      <c r="F9284" s="529" t="s">
        <v>4207</v>
      </c>
      <c r="G9284" s="529"/>
      <c r="H9284" s="109"/>
      <c r="K9284" s="50"/>
      <c r="L9284" s="50"/>
      <c r="M9284" s="50"/>
      <c r="N9284" s="50"/>
      <c r="O9284" s="50"/>
    </row>
    <row r="9285" spans="1:15">
      <c r="A9285" s="506" t="s">
        <v>3928</v>
      </c>
      <c r="B9285" s="507"/>
      <c r="C9285" s="213">
        <v>1</v>
      </c>
      <c r="D9285" s="92">
        <v>8.0000000000000002E-3</v>
      </c>
      <c r="E9285" s="93" t="str">
        <f>VLOOKUP(A9285,'Equip, Herr y Transp'!$B$2:$E$217,3,0)</f>
        <v>TR</v>
      </c>
      <c r="F9285" s="530" t="e">
        <f>E9285*D9285*C9285</f>
        <v>#VALUE!</v>
      </c>
      <c r="G9285" s="531"/>
      <c r="H9285" s="107"/>
      <c r="M9285" s="50"/>
    </row>
    <row r="9286" spans="1:15">
      <c r="A9286" s="532" t="s">
        <v>4205</v>
      </c>
      <c r="B9286" s="533"/>
      <c r="C9286" s="533"/>
      <c r="D9286" s="533"/>
      <c r="E9286" s="533"/>
      <c r="F9286" s="533"/>
      <c r="G9286" s="533"/>
      <c r="H9286" s="95" t="e">
        <f>F9285</f>
        <v>#VALUE!</v>
      </c>
    </row>
    <row r="9287" spans="1:15">
      <c r="A9287" s="523" t="s">
        <v>4224</v>
      </c>
      <c r="B9287" s="524"/>
      <c r="C9287" s="524"/>
      <c r="D9287" s="524"/>
      <c r="E9287" s="524"/>
      <c r="F9287" s="524"/>
      <c r="G9287" s="524"/>
      <c r="H9287" s="526"/>
    </row>
    <row r="9288" spans="1:15">
      <c r="A9288" s="527" t="s">
        <v>7</v>
      </c>
      <c r="B9288" s="528"/>
      <c r="C9288" s="96" t="s">
        <v>1</v>
      </c>
      <c r="D9288" s="97" t="s">
        <v>4225</v>
      </c>
      <c r="E9288" s="98" t="s">
        <v>4204</v>
      </c>
      <c r="F9288" s="527" t="s">
        <v>5</v>
      </c>
      <c r="G9288" s="534"/>
      <c r="H9288" s="109"/>
    </row>
    <row r="9289" spans="1:15">
      <c r="A9289" s="506" t="s">
        <v>4191</v>
      </c>
      <c r="B9289" s="507"/>
      <c r="C9289" s="91">
        <v>1</v>
      </c>
      <c r="D9289" s="94">
        <f>VLOOKUP(A9289,'Mano Obra'!$B$2:$T$117,19,0)</f>
        <v>152456</v>
      </c>
      <c r="E9289" s="218">
        <f>H9251</f>
        <v>1.2500000000000001E-2</v>
      </c>
      <c r="F9289" s="508">
        <f>E9289*D9289*C9289</f>
        <v>1905.7</v>
      </c>
      <c r="G9289" s="509"/>
      <c r="H9289" s="111"/>
      <c r="I9289" s="59"/>
      <c r="J9289" s="117">
        <f>((('Mano Obra'!$M$4/30)*F9289)/D9289)*G9258</f>
        <v>0</v>
      </c>
    </row>
    <row r="9290" spans="1:15">
      <c r="A9290" s="510" t="s">
        <v>4192</v>
      </c>
      <c r="B9290" s="511">
        <f>VLOOKUP(A9290,'Mano Obra'!$B$3:$D$290,2,0)</f>
        <v>1900000</v>
      </c>
      <c r="C9290" s="91">
        <v>2</v>
      </c>
      <c r="D9290" s="94">
        <f>VLOOKUP(A9290,'Mano Obra'!$B$2:$T$117,19,0)</f>
        <v>110488</v>
      </c>
      <c r="E9290" s="218">
        <f>H9251</f>
        <v>1.2500000000000001E-2</v>
      </c>
      <c r="F9290" s="508">
        <f t="shared" ref="F9290:F9291" si="539">E9290*D9290*C9290</f>
        <v>2762.2000000000003</v>
      </c>
      <c r="G9290" s="509"/>
      <c r="H9290" s="111"/>
      <c r="J9290" s="117">
        <f>((('Mano Obra'!$M$5/30)*F9290)/D9290)*G9258</f>
        <v>0</v>
      </c>
    </row>
    <row r="9291" spans="1:15">
      <c r="A9291" s="510" t="s">
        <v>4181</v>
      </c>
      <c r="B9291" s="511">
        <f>VLOOKUP(A9291,'Mano Obra'!$B$3:$D$290,2,0)</f>
        <v>1000000</v>
      </c>
      <c r="C9291" s="91">
        <v>1</v>
      </c>
      <c r="D9291" s="94">
        <f>VLOOKUP(A9291,'Mano Obra'!$B$2:$T$117,19,0)</f>
        <v>67424</v>
      </c>
      <c r="E9291" s="218">
        <f>H9251</f>
        <v>1.2500000000000001E-2</v>
      </c>
      <c r="F9291" s="508">
        <f t="shared" si="539"/>
        <v>842.80000000000007</v>
      </c>
      <c r="G9291" s="509"/>
      <c r="H9291" s="110"/>
      <c r="J9291" s="117">
        <f>((('Mano Obra'!$M$6/30)*F9291)/D9291)*G9258</f>
        <v>0</v>
      </c>
    </row>
    <row r="9292" spans="1:15">
      <c r="A9292" s="512" t="s">
        <v>4100</v>
      </c>
      <c r="B9292" s="512"/>
      <c r="C9292" s="512"/>
      <c r="D9292" s="512"/>
      <c r="E9292" s="512"/>
      <c r="F9292" s="512"/>
      <c r="G9292" s="512"/>
      <c r="H9292" s="95">
        <f>SUM(F9289:F9291)</f>
        <v>5510.7000000000007</v>
      </c>
      <c r="J9292" s="117"/>
    </row>
    <row r="9293" spans="1:15">
      <c r="A9293" s="208" t="s">
        <v>4226</v>
      </c>
      <c r="B9293" s="186"/>
      <c r="C9293" s="186"/>
      <c r="D9293" s="183"/>
      <c r="E9293" s="184"/>
      <c r="F9293" s="185"/>
      <c r="G9293" s="184"/>
      <c r="H9293" s="193"/>
    </row>
    <row r="9294" spans="1:15">
      <c r="A9294" s="513" t="s">
        <v>4213</v>
      </c>
      <c r="B9294" s="514"/>
      <c r="C9294" s="514"/>
      <c r="D9294" s="514"/>
      <c r="E9294" s="181"/>
      <c r="F9294" s="182" t="s">
        <v>4227</v>
      </c>
      <c r="G9294" s="181" t="s">
        <v>4228</v>
      </c>
      <c r="H9294" s="194"/>
    </row>
    <row r="9295" spans="1:15">
      <c r="A9295" s="204" t="s">
        <v>4096</v>
      </c>
      <c r="B9295" s="62"/>
      <c r="C9295" s="62"/>
      <c r="D9295" s="63"/>
      <c r="E9295" s="68"/>
      <c r="F9295" s="69">
        <v>0</v>
      </c>
      <c r="G9295" s="70" t="e">
        <f>F9295*H9259</f>
        <v>#VALUE!</v>
      </c>
      <c r="H9295" s="193"/>
    </row>
    <row r="9296" spans="1:15">
      <c r="A9296" s="205" t="s">
        <v>4229</v>
      </c>
      <c r="B9296" s="71"/>
      <c r="C9296" s="71"/>
      <c r="D9296" s="72"/>
      <c r="E9296" s="68"/>
      <c r="F9296" s="69">
        <v>0</v>
      </c>
      <c r="G9296" s="70" t="e">
        <f>F9296*H9259</f>
        <v>#VALUE!</v>
      </c>
      <c r="H9296" s="193"/>
    </row>
    <row r="9297" spans="1:14">
      <c r="A9297" s="205" t="s">
        <v>4</v>
      </c>
      <c r="B9297" s="71"/>
      <c r="C9297" s="71"/>
      <c r="D9297" s="72"/>
      <c r="E9297" s="68"/>
      <c r="F9297" s="69">
        <v>0</v>
      </c>
      <c r="G9297" s="70" t="e">
        <f>F9297*H9259</f>
        <v>#VALUE!</v>
      </c>
      <c r="H9297" s="193"/>
    </row>
    <row r="9298" spans="1:14">
      <c r="A9298" s="206"/>
      <c r="B9298" s="73"/>
      <c r="C9298" s="65"/>
      <c r="D9298" s="74"/>
      <c r="E9298" s="75"/>
      <c r="F9298" s="76"/>
      <c r="G9298" s="77"/>
      <c r="H9298" s="195"/>
    </row>
    <row r="9299" spans="1:14">
      <c r="A9299" s="207"/>
      <c r="B9299" s="73"/>
      <c r="C9299" s="73"/>
      <c r="D9299" s="74"/>
      <c r="E9299" s="78"/>
      <c r="F9299" s="515" t="s">
        <v>4230</v>
      </c>
      <c r="G9299" s="516"/>
      <c r="H9299" s="214" t="e">
        <f>H9259+G9295+G9296+G9297</f>
        <v>#VALUE!</v>
      </c>
    </row>
    <row r="9301" spans="1:14">
      <c r="A9301" s="80"/>
      <c r="B9301" s="80"/>
      <c r="C9301" s="80"/>
      <c r="D9301" s="80"/>
      <c r="E9301" s="80"/>
      <c r="F9301" s="80"/>
      <c r="G9301" s="80"/>
      <c r="H9301" s="353"/>
    </row>
    <row r="9302" spans="1:14">
      <c r="A9302" s="537" t="s">
        <v>4214</v>
      </c>
      <c r="B9302" s="538"/>
      <c r="C9302" s="538"/>
      <c r="D9302" s="538"/>
      <c r="E9302" s="538"/>
      <c r="F9302" s="538"/>
      <c r="G9302" s="538"/>
      <c r="H9302" s="539"/>
    </row>
    <row r="9303" spans="1:14">
      <c r="A9303" s="81"/>
      <c r="B9303" s="82"/>
      <c r="C9303" s="82"/>
      <c r="D9303" s="82"/>
      <c r="E9303" s="82"/>
      <c r="F9303" s="83"/>
      <c r="G9303" s="84"/>
      <c r="H9303" s="352">
        <f>ROUND((8/60)/8,4)</f>
        <v>1.67E-2</v>
      </c>
      <c r="I9303" s="105"/>
    </row>
    <row r="9304" spans="1:14">
      <c r="A9304" s="540" t="s">
        <v>4209</v>
      </c>
      <c r="B9304" s="542" t="str">
        <f>COSTOS!$C$14</f>
        <v>MODERNIZACION A TECNOLOGIA LED</v>
      </c>
      <c r="C9304" s="542"/>
      <c r="D9304" s="542"/>
      <c r="E9304" s="542"/>
      <c r="F9304" s="542"/>
      <c r="G9304" s="542"/>
      <c r="H9304" s="543" t="s">
        <v>4210</v>
      </c>
    </row>
    <row r="9305" spans="1:14">
      <c r="A9305" s="541"/>
      <c r="B9305" s="542"/>
      <c r="C9305" s="542"/>
      <c r="D9305" s="542"/>
      <c r="E9305" s="542"/>
      <c r="F9305" s="542"/>
      <c r="G9305" s="542"/>
      <c r="H9305" s="543"/>
    </row>
    <row r="9306" spans="1:14">
      <c r="A9306" s="541"/>
      <c r="B9306" s="542"/>
      <c r="C9306" s="542"/>
      <c r="D9306" s="542"/>
      <c r="E9306" s="542"/>
      <c r="F9306" s="542"/>
      <c r="G9306" s="542"/>
      <c r="H9306" s="543"/>
    </row>
    <row r="9307" spans="1:14" ht="15" customHeight="1">
      <c r="A9307" s="541"/>
      <c r="B9307" s="542"/>
      <c r="C9307" s="542"/>
      <c r="D9307" s="542"/>
      <c r="E9307" s="542"/>
      <c r="F9307" s="542"/>
      <c r="G9307" s="542"/>
      <c r="H9307" s="197">
        <f ca="1">TODAY()</f>
        <v>44889</v>
      </c>
      <c r="K9307" t="s">
        <v>4380</v>
      </c>
      <c r="L9307" t="s">
        <v>4381</v>
      </c>
      <c r="M9307" t="s">
        <v>4382</v>
      </c>
      <c r="N9307" t="s">
        <v>4383</v>
      </c>
    </row>
    <row r="9308" spans="1:14" ht="60.75" customHeight="1">
      <c r="A9308" s="209" t="s">
        <v>4211</v>
      </c>
      <c r="B9308" s="544" t="str">
        <f>COSTOS!$D$16</f>
        <v>Luminarias</v>
      </c>
      <c r="C9308" s="544"/>
      <c r="D9308" s="544"/>
      <c r="E9308" s="544"/>
      <c r="F9308" s="544"/>
      <c r="G9308" s="60" t="s">
        <v>4212</v>
      </c>
      <c r="H9308" s="359">
        <v>7.8</v>
      </c>
      <c r="K9308" s="55" t="e">
        <f>H9334</f>
        <v>#VALUE!</v>
      </c>
      <c r="L9308" s="55">
        <f>H9344</f>
        <v>7362.2951999999996</v>
      </c>
      <c r="M9308" s="55" t="e">
        <f>H9317</f>
        <v>#VALUE!</v>
      </c>
      <c r="N9308" s="55" t="e">
        <f>H9338</f>
        <v>#VALUE!</v>
      </c>
    </row>
    <row r="9309" spans="1:14" ht="43.2" customHeight="1">
      <c r="A9309" s="210" t="s">
        <v>4213</v>
      </c>
      <c r="B9309" s="545" t="str">
        <f>VLOOKUP(H9308,COSTOS!C:M,2,0)</f>
        <v>Canalizacion con un ducto 3/4" PVC</v>
      </c>
      <c r="C9309" s="546"/>
      <c r="D9309" s="546"/>
      <c r="E9309" s="547"/>
      <c r="F9309" s="61" t="s">
        <v>0</v>
      </c>
      <c r="G9309" s="328" t="str">
        <f>VLOOKUP(H9308,COSTOS!C:M,8,0)</f>
        <v>Ml</v>
      </c>
      <c r="H9309" s="248"/>
      <c r="I9309" s="278"/>
      <c r="J9309" s="280"/>
      <c r="K9309" s="280"/>
      <c r="L9309" s="280"/>
    </row>
    <row r="9310" spans="1:14">
      <c r="A9310" s="211"/>
      <c r="B9310" s="102"/>
      <c r="C9310" s="102"/>
      <c r="D9310" s="102"/>
      <c r="E9310" s="103"/>
      <c r="F9310" s="104" t="s">
        <v>1</v>
      </c>
      <c r="G9310" s="328">
        <f>VLOOKUP(H9308,COSTOS!C:M,9,0)</f>
        <v>0</v>
      </c>
      <c r="H9310" s="329"/>
      <c r="I9310" s="279"/>
    </row>
    <row r="9311" spans="1:14">
      <c r="A9311" s="212" t="s">
        <v>4215</v>
      </c>
      <c r="B9311" s="65"/>
      <c r="C9311" s="65"/>
      <c r="D9311" s="66"/>
      <c r="E9311" s="190"/>
      <c r="F9311" s="191"/>
      <c r="G9311" s="192" t="s">
        <v>4216</v>
      </c>
      <c r="H9311" s="198" t="e">
        <f>H9317+H9334+H9338+H9344</f>
        <v>#VALUE!</v>
      </c>
    </row>
    <row r="9312" spans="1:14" ht="41.4">
      <c r="A9312" s="548" t="s">
        <v>4213</v>
      </c>
      <c r="B9312" s="548"/>
      <c r="C9312" s="548"/>
      <c r="D9312" s="67" t="s">
        <v>0</v>
      </c>
      <c r="E9312" s="188" t="s">
        <v>4217</v>
      </c>
      <c r="F9312" s="189" t="s">
        <v>4204</v>
      </c>
      <c r="G9312" s="64" t="s">
        <v>2</v>
      </c>
      <c r="H9312" s="199" t="s">
        <v>4218</v>
      </c>
      <c r="K9312" s="281"/>
    </row>
    <row r="9313" spans="1:15">
      <c r="A9313" s="517" t="s">
        <v>3946</v>
      </c>
      <c r="B9313" s="549">
        <f>VLOOKUP(A9313,'Equip, Herr y Transp'!$B$2:$E$738,2,0)</f>
        <v>2</v>
      </c>
      <c r="C9313" s="549"/>
      <c r="D9313" s="85">
        <f>VLOOKUP(A9313,'Equip, Herr y Transp'!$B$2:$E$217,2,0)</f>
        <v>2</v>
      </c>
      <c r="E9313" s="85" t="str">
        <f>VLOOKUP(A9313,'Equip, Herr y Transp'!$B$2:$E$217,3,0)</f>
        <v>EQU</v>
      </c>
      <c r="F9313" s="86">
        <f>H9303</f>
        <v>1.67E-2</v>
      </c>
      <c r="G9313" s="112" t="e">
        <f>F9313*E9313</f>
        <v>#VALUE!</v>
      </c>
      <c r="H9313" s="108"/>
    </row>
    <row r="9314" spans="1:15">
      <c r="A9314" s="517" t="s">
        <v>3927</v>
      </c>
      <c r="B9314" s="549">
        <f>VLOOKUP(A9314,'Equip, Herr y Transp'!$B$2:$E$738,2,0)</f>
        <v>2</v>
      </c>
      <c r="C9314" s="549"/>
      <c r="D9314" s="85">
        <f>VLOOKUP(A9314,'Equip, Herr y Transp'!$B$2:$E$217,2,0)</f>
        <v>2</v>
      </c>
      <c r="E9314" s="85" t="str">
        <f>VLOOKUP(A9314,'Equip, Herr y Transp'!$B$2:$E$217,3,0)</f>
        <v>EQU</v>
      </c>
      <c r="F9314" s="86">
        <f>H9303</f>
        <v>1.67E-2</v>
      </c>
      <c r="G9314" s="112" t="e">
        <f>F9314*E9314</f>
        <v>#VALUE!</v>
      </c>
      <c r="H9314" s="107"/>
    </row>
    <row r="9315" spans="1:15">
      <c r="A9315" s="517" t="s">
        <v>8</v>
      </c>
      <c r="B9315" s="549" t="e">
        <f>VLOOKUP(A9315,'Equip, Herr y Transp'!$B$2:$E$738,2,0)</f>
        <v>#N/A</v>
      </c>
      <c r="C9315" s="549"/>
      <c r="D9315" s="85" t="e">
        <f>VLOOKUP(A9315,'Equip, Herr y Transp'!$B$2:$E$217,2,0)</f>
        <v>#N/A</v>
      </c>
      <c r="E9315" s="85" t="e">
        <f>VLOOKUP(A9315,'Equip, Herr y Transp'!$B$2:$E$217,3,0)</f>
        <v>#N/A</v>
      </c>
      <c r="F9315" s="86">
        <f>H9303</f>
        <v>1.67E-2</v>
      </c>
      <c r="G9315" s="112" t="e">
        <f>F9315*E9315</f>
        <v>#N/A</v>
      </c>
      <c r="H9315" s="107"/>
    </row>
    <row r="9316" spans="1:15">
      <c r="A9316" s="517" t="s">
        <v>8</v>
      </c>
      <c r="B9316" s="549" t="e">
        <f>VLOOKUP(A9316,'Equip, Herr y Transp'!$B$2:$E$738,2,0)</f>
        <v>#N/A</v>
      </c>
      <c r="C9316" s="549"/>
      <c r="D9316" s="85" t="e">
        <f>VLOOKUP(A9316,'Equip, Herr y Transp'!$B$2:$E$217,2,0)</f>
        <v>#N/A</v>
      </c>
      <c r="E9316" s="85" t="e">
        <f>VLOOKUP(A9316,'Equip, Herr y Transp'!$B$2:$E$217,3,0)</f>
        <v>#N/A</v>
      </c>
      <c r="F9316" s="86">
        <f>H9303</f>
        <v>1.67E-2</v>
      </c>
      <c r="G9316" s="112" t="e">
        <f>F9316*E9316</f>
        <v>#N/A</v>
      </c>
      <c r="H9316" s="107"/>
    </row>
    <row r="9317" spans="1:15">
      <c r="A9317" s="520" t="s">
        <v>4099</v>
      </c>
      <c r="B9317" s="521"/>
      <c r="C9317" s="521"/>
      <c r="D9317" s="521"/>
      <c r="E9317" s="521"/>
      <c r="F9317" s="521"/>
      <c r="G9317" s="521"/>
      <c r="H9317" s="87" t="e">
        <f>SUM(G9313:G9316)</f>
        <v>#VALUE!</v>
      </c>
    </row>
    <row r="9318" spans="1:15">
      <c r="A9318" s="550" t="s">
        <v>4219</v>
      </c>
      <c r="B9318" s="551"/>
      <c r="C9318" s="551"/>
      <c r="D9318" s="551"/>
      <c r="E9318" s="551"/>
      <c r="F9318" s="551"/>
      <c r="G9318" s="551"/>
      <c r="H9318" s="552"/>
      <c r="K9318" s="50"/>
      <c r="L9318" s="50"/>
      <c r="M9318" s="50"/>
      <c r="N9318" s="50"/>
      <c r="O9318" s="50"/>
    </row>
    <row r="9319" spans="1:15" ht="30" customHeight="1">
      <c r="A9319" s="553" t="s">
        <v>7</v>
      </c>
      <c r="B9319" s="554"/>
      <c r="C9319" s="99" t="s">
        <v>0</v>
      </c>
      <c r="D9319" s="100" t="s">
        <v>4097</v>
      </c>
      <c r="E9319" s="101" t="s">
        <v>1</v>
      </c>
      <c r="F9319" s="555" t="s">
        <v>4207</v>
      </c>
      <c r="G9319" s="555"/>
      <c r="H9319" s="196"/>
      <c r="K9319" s="50"/>
      <c r="L9319" s="50"/>
      <c r="M9319" s="50"/>
      <c r="N9319" s="50"/>
      <c r="O9319" s="50"/>
    </row>
    <row r="9320" spans="1:15">
      <c r="A9320" s="535" t="s">
        <v>4588</v>
      </c>
      <c r="B9320" s="536"/>
      <c r="C9320" s="88">
        <f>VLOOKUP(A9320,'Materiales '!$C$2:$G$396,3,0)</f>
        <v>4</v>
      </c>
      <c r="D9320" s="89" t="str">
        <f>VLOOKUP(A9320,'Materiales '!$C$2:$G$396,4,0)</f>
        <v>Und</v>
      </c>
      <c r="E9320" s="90">
        <v>0.34</v>
      </c>
      <c r="F9320" s="508" t="e">
        <f>E9320*D9320</f>
        <v>#VALUE!</v>
      </c>
      <c r="G9320" s="519"/>
      <c r="H9320" s="111"/>
      <c r="I9320">
        <f>E9320*G9310</f>
        <v>0</v>
      </c>
      <c r="J9320" s="57"/>
      <c r="K9320" s="50"/>
      <c r="L9320" s="50"/>
      <c r="M9320" s="50"/>
      <c r="N9320" s="50"/>
      <c r="O9320" s="50"/>
    </row>
    <row r="9321" spans="1:15">
      <c r="A9321" s="535" t="s">
        <v>4570</v>
      </c>
      <c r="B9321" s="536"/>
      <c r="C9321" s="88">
        <f>VLOOKUP(A9321,'Materiales '!$C$2:$G$396,3,0)</f>
        <v>4</v>
      </c>
      <c r="D9321" s="89" t="str">
        <f>VLOOKUP(A9321,'Materiales '!$C$2:$G$396,4,0)</f>
        <v>Und</v>
      </c>
      <c r="E9321" s="90">
        <v>0.1</v>
      </c>
      <c r="F9321" s="508" t="e">
        <f t="shared" ref="F9321:F9327" si="540">E9321*D9321</f>
        <v>#VALUE!</v>
      </c>
      <c r="G9321" s="519"/>
      <c r="H9321" s="111"/>
      <c r="I9321">
        <f>E9321*G9310</f>
        <v>0</v>
      </c>
      <c r="J9321" s="57"/>
      <c r="K9321" s="50"/>
      <c r="L9321" s="50"/>
      <c r="M9321" s="50"/>
      <c r="N9321" s="50"/>
      <c r="O9321" s="50"/>
    </row>
    <row r="9322" spans="1:15">
      <c r="A9322" s="517" t="s">
        <v>8</v>
      </c>
      <c r="B9322" s="518">
        <f>VLOOKUP(A9322,'Materiales '!$C$2:$G$396,3,0)</f>
        <v>0</v>
      </c>
      <c r="C9322" s="88">
        <f>VLOOKUP(A9322,'Materiales '!$C$2:$G$396,3,0)</f>
        <v>0</v>
      </c>
      <c r="D9322" s="89" t="str">
        <f>VLOOKUP(A9322,'Materiales '!$C$2:$G$396,4,0)</f>
        <v>-</v>
      </c>
      <c r="E9322" s="90">
        <v>0.34</v>
      </c>
      <c r="F9322" s="508" t="e">
        <f t="shared" si="540"/>
        <v>#VALUE!</v>
      </c>
      <c r="G9322" s="519"/>
      <c r="H9322" s="111"/>
      <c r="I9322">
        <f>E9322*G9310</f>
        <v>0</v>
      </c>
      <c r="J9322" s="58"/>
      <c r="K9322" s="50"/>
      <c r="L9322" s="50"/>
      <c r="M9322" s="50"/>
      <c r="N9322" s="50"/>
      <c r="O9322" s="50"/>
    </row>
    <row r="9323" spans="1:15">
      <c r="A9323" s="517" t="s">
        <v>8</v>
      </c>
      <c r="B9323" s="518">
        <f>VLOOKUP(A9323,'Materiales '!$C$2:$G$396,3,0)</f>
        <v>0</v>
      </c>
      <c r="C9323" s="88">
        <f>VLOOKUP(A9323,'Materiales '!$C$2:$G$396,3,0)</f>
        <v>0</v>
      </c>
      <c r="D9323" s="89" t="str">
        <f>VLOOKUP(A9323,'Materiales '!$C$2:$G$396,4,0)</f>
        <v>-</v>
      </c>
      <c r="E9323" s="90">
        <v>0.02</v>
      </c>
      <c r="F9323" s="508" t="e">
        <f t="shared" si="540"/>
        <v>#VALUE!</v>
      </c>
      <c r="G9323" s="519"/>
      <c r="H9323" s="111"/>
      <c r="I9323">
        <f>E9323*G9310</f>
        <v>0</v>
      </c>
      <c r="J9323" s="58"/>
      <c r="K9323" s="50"/>
      <c r="L9323" s="50"/>
      <c r="M9323" s="50"/>
      <c r="N9323" s="50"/>
      <c r="O9323" s="50"/>
    </row>
    <row r="9324" spans="1:15">
      <c r="A9324" s="517" t="s">
        <v>8</v>
      </c>
      <c r="B9324" s="518">
        <f>VLOOKUP(A9324,'Materiales '!$C$2:$G$396,3,0)</f>
        <v>0</v>
      </c>
      <c r="C9324" s="88">
        <f>VLOOKUP(A9324,'Materiales '!$C$2:$G$396,3,0)</f>
        <v>0</v>
      </c>
      <c r="D9324" s="89" t="str">
        <f>VLOOKUP(A9324,'Materiales '!$C$2:$G$396,4,0)</f>
        <v>-</v>
      </c>
      <c r="E9324" s="90">
        <v>0.5</v>
      </c>
      <c r="F9324" s="508" t="e">
        <f t="shared" si="540"/>
        <v>#VALUE!</v>
      </c>
      <c r="G9324" s="519"/>
      <c r="H9324" s="111"/>
      <c r="I9324">
        <f>E9324*G9310</f>
        <v>0</v>
      </c>
      <c r="J9324" s="58"/>
      <c r="K9324" s="50"/>
      <c r="L9324" s="50"/>
      <c r="M9324" s="50"/>
      <c r="N9324" s="50"/>
      <c r="O9324" s="50"/>
    </row>
    <row r="9325" spans="1:15">
      <c r="A9325" s="517" t="s">
        <v>8</v>
      </c>
      <c r="B9325" s="518">
        <f>VLOOKUP(A9325,'Materiales '!$C$2:$G$396,3,0)</f>
        <v>0</v>
      </c>
      <c r="C9325" s="88">
        <f>VLOOKUP(A9325,'Materiales '!$C$2:$G$396,3,0)</f>
        <v>0</v>
      </c>
      <c r="D9325" s="89" t="str">
        <f>VLOOKUP(A9325,'Materiales '!$C$2:$G$396,4,0)</f>
        <v>-</v>
      </c>
      <c r="E9325" s="90">
        <v>1</v>
      </c>
      <c r="F9325" s="508" t="e">
        <f t="shared" si="540"/>
        <v>#VALUE!</v>
      </c>
      <c r="G9325" s="519"/>
      <c r="H9325" s="111"/>
      <c r="I9325">
        <f>E9325*G9310</f>
        <v>0</v>
      </c>
      <c r="J9325" s="58"/>
      <c r="K9325" s="50"/>
      <c r="L9325" s="50"/>
      <c r="M9325" s="50"/>
      <c r="N9325" s="50"/>
      <c r="O9325" s="50"/>
    </row>
    <row r="9326" spans="1:15">
      <c r="A9326" s="517" t="s">
        <v>8</v>
      </c>
      <c r="B9326" s="518">
        <f>VLOOKUP(A9326,'Materiales '!$C$2:$G$396,3,0)</f>
        <v>0</v>
      </c>
      <c r="C9326" s="88">
        <f>VLOOKUP(A9326,'Materiales '!$C$2:$G$396,3,0)</f>
        <v>0</v>
      </c>
      <c r="D9326" s="89" t="str">
        <f>VLOOKUP(A9326,'Materiales '!$C$2:$G$396,4,0)</f>
        <v>-</v>
      </c>
      <c r="E9326" s="90">
        <v>1</v>
      </c>
      <c r="F9326" s="508" t="e">
        <f t="shared" si="540"/>
        <v>#VALUE!</v>
      </c>
      <c r="G9326" s="519"/>
      <c r="H9326" s="111"/>
      <c r="I9326">
        <f>E9326*G9310</f>
        <v>0</v>
      </c>
      <c r="J9326" s="58"/>
      <c r="K9326" s="50"/>
      <c r="L9326" s="50"/>
      <c r="M9326" s="50"/>
      <c r="N9326" s="50"/>
      <c r="O9326" s="50"/>
    </row>
    <row r="9327" spans="1:15" ht="21.75" customHeight="1">
      <c r="A9327" s="517" t="s">
        <v>8</v>
      </c>
      <c r="B9327" s="518">
        <f>VLOOKUP(A9327,'Materiales '!$C$2:$G$396,3,0)</f>
        <v>0</v>
      </c>
      <c r="C9327" s="88">
        <f>VLOOKUP(A9327,'Materiales '!$C$2:$G$396,3,0)</f>
        <v>0</v>
      </c>
      <c r="D9327" s="89" t="str">
        <f>VLOOKUP(A9327,'Materiales '!$C$2:$G$396,4,0)</f>
        <v>-</v>
      </c>
      <c r="E9327" s="90"/>
      <c r="F9327" s="508" t="e">
        <f t="shared" si="540"/>
        <v>#VALUE!</v>
      </c>
      <c r="G9327" s="519"/>
      <c r="H9327" s="111"/>
      <c r="I9327">
        <f>E9327*G9310</f>
        <v>0</v>
      </c>
      <c r="J9327" s="58"/>
      <c r="K9327" s="50"/>
      <c r="L9327" s="50"/>
      <c r="M9327" s="50"/>
      <c r="N9327" s="50"/>
      <c r="O9327" s="50"/>
    </row>
    <row r="9328" spans="1:15">
      <c r="A9328" s="517" t="s">
        <v>8</v>
      </c>
      <c r="B9328" s="518">
        <f>VLOOKUP(A9328,'Materiales '!$C$2:$G$396,3,0)</f>
        <v>0</v>
      </c>
      <c r="C9328" s="88">
        <f>VLOOKUP(A9328,'Materiales '!$C$2:$G$396,3,0)</f>
        <v>0</v>
      </c>
      <c r="D9328" s="89" t="str">
        <f>VLOOKUP(A9328,'Materiales '!$C$2:$G$396,4,0)</f>
        <v>-</v>
      </c>
      <c r="E9328" s="90"/>
      <c r="F9328" s="508" t="e">
        <f>E9328*D9328</f>
        <v>#VALUE!</v>
      </c>
      <c r="G9328" s="519"/>
      <c r="H9328" s="110"/>
      <c r="I9328">
        <f>E9328*G9310</f>
        <v>0</v>
      </c>
      <c r="J9328" s="58"/>
      <c r="K9328" s="50"/>
      <c r="L9328" s="50"/>
      <c r="M9328" s="50"/>
      <c r="N9328" s="50"/>
      <c r="O9328" s="50"/>
    </row>
    <row r="9329" spans="1:15">
      <c r="A9329" s="517" t="s">
        <v>8</v>
      </c>
      <c r="B9329" s="518">
        <f>VLOOKUP(A9329,'Materiales '!$C$2:$G$396,3,0)</f>
        <v>0</v>
      </c>
      <c r="C9329" s="88">
        <f>VLOOKUP(A9329,'Materiales '!$C$2:$G$396,3,0)</f>
        <v>0</v>
      </c>
      <c r="D9329" s="89" t="str">
        <f>VLOOKUP(A9329,'Materiales '!$C$2:$G$396,4,0)</f>
        <v>-</v>
      </c>
      <c r="E9329" s="90"/>
      <c r="F9329" s="508" t="e">
        <f t="shared" ref="F9329:F9332" si="541">E9329*D9329</f>
        <v>#VALUE!</v>
      </c>
      <c r="G9329" s="519"/>
      <c r="H9329" s="111"/>
      <c r="I9329">
        <f>E9329*G9310</f>
        <v>0</v>
      </c>
      <c r="J9329" s="58"/>
      <c r="K9329" s="50"/>
      <c r="L9329" s="50"/>
      <c r="M9329" s="50"/>
      <c r="N9329" s="50"/>
      <c r="O9329" s="50"/>
    </row>
    <row r="9330" spans="1:15">
      <c r="A9330" s="517" t="s">
        <v>8</v>
      </c>
      <c r="B9330" s="518">
        <f>VLOOKUP(A9330,'Materiales '!$C$2:$G$396,3,0)</f>
        <v>0</v>
      </c>
      <c r="C9330" s="88">
        <f>VLOOKUP(A9330,'Materiales '!$C$2:$G$396,3,0)</f>
        <v>0</v>
      </c>
      <c r="D9330" s="89" t="str">
        <f>VLOOKUP(A9330,'Materiales '!$C$2:$G$396,4,0)</f>
        <v>-</v>
      </c>
      <c r="E9330" s="90"/>
      <c r="F9330" s="508" t="e">
        <f t="shared" si="541"/>
        <v>#VALUE!</v>
      </c>
      <c r="G9330" s="519"/>
      <c r="H9330" s="111"/>
      <c r="I9330">
        <f>E9330*G9310</f>
        <v>0</v>
      </c>
      <c r="J9330" s="58"/>
      <c r="K9330" s="50"/>
      <c r="L9330" s="50"/>
      <c r="M9330" s="50"/>
      <c r="N9330" s="50"/>
      <c r="O9330" s="50"/>
    </row>
    <row r="9331" spans="1:15">
      <c r="A9331" s="517" t="s">
        <v>8</v>
      </c>
      <c r="B9331" s="518">
        <f>VLOOKUP(A9331,'Materiales '!$C$2:$G$396,3,0)</f>
        <v>0</v>
      </c>
      <c r="C9331" s="88">
        <f>VLOOKUP(A9331,'Materiales '!$C$2:$G$396,3,0)</f>
        <v>0</v>
      </c>
      <c r="D9331" s="89" t="str">
        <f>VLOOKUP(A9331,'Materiales '!$C$2:$G$396,4,0)</f>
        <v>-</v>
      </c>
      <c r="E9331" s="90"/>
      <c r="F9331" s="508" t="e">
        <f t="shared" si="541"/>
        <v>#VALUE!</v>
      </c>
      <c r="G9331" s="519"/>
      <c r="H9331" s="111"/>
      <c r="I9331">
        <f>E9331*G9310</f>
        <v>0</v>
      </c>
      <c r="J9331" s="58"/>
      <c r="K9331" s="50"/>
      <c r="L9331" s="50"/>
      <c r="M9331" s="50"/>
      <c r="N9331" s="50"/>
      <c r="O9331" s="50"/>
    </row>
    <row r="9332" spans="1:15">
      <c r="A9332" s="517" t="s">
        <v>8</v>
      </c>
      <c r="B9332" s="518">
        <f>VLOOKUP(A9332,'Materiales '!$C$2:$G$396,3,0)</f>
        <v>0</v>
      </c>
      <c r="C9332" s="88">
        <f>VLOOKUP(A9332,'Materiales '!$C$2:$G$396,3,0)</f>
        <v>0</v>
      </c>
      <c r="D9332" s="89" t="str">
        <f>VLOOKUP(A9332,'Materiales '!$C$2:$G$396,4,0)</f>
        <v>-</v>
      </c>
      <c r="E9332" s="90"/>
      <c r="F9332" s="508" t="e">
        <f t="shared" si="541"/>
        <v>#VALUE!</v>
      </c>
      <c r="G9332" s="519"/>
      <c r="H9332" s="111"/>
      <c r="I9332">
        <f>E9332*G9310</f>
        <v>0</v>
      </c>
      <c r="J9332" s="58"/>
      <c r="K9332" s="50"/>
      <c r="L9332" s="50"/>
      <c r="M9332" s="50"/>
      <c r="N9332" s="50"/>
      <c r="O9332" s="50"/>
    </row>
    <row r="9333" spans="1:15">
      <c r="A9333" s="517" t="s">
        <v>8</v>
      </c>
      <c r="B9333" s="518">
        <f>VLOOKUP(A9333,'Materiales '!$C$2:$G$396,3,0)</f>
        <v>0</v>
      </c>
      <c r="C9333" s="88">
        <f>VLOOKUP(A9333,'Materiales '!$C$2:$G$396,3,0)</f>
        <v>0</v>
      </c>
      <c r="D9333" s="89" t="str">
        <f>VLOOKUP(A9333,'Materiales '!$C$2:$G$396,4,0)</f>
        <v>-</v>
      </c>
      <c r="E9333" s="90"/>
      <c r="F9333" s="508" t="e">
        <f>E9333*D9333</f>
        <v>#VALUE!</v>
      </c>
      <c r="G9333" s="519"/>
      <c r="H9333" s="110"/>
      <c r="I9333">
        <f>E9333*G9310</f>
        <v>0</v>
      </c>
      <c r="J9333" s="58"/>
      <c r="K9333" s="50"/>
      <c r="L9333" s="50"/>
      <c r="M9333" s="50"/>
      <c r="N9333" s="50"/>
      <c r="O9333" s="50"/>
    </row>
    <row r="9334" spans="1:15">
      <c r="A9334" s="520" t="s">
        <v>4098</v>
      </c>
      <c r="B9334" s="521"/>
      <c r="C9334" s="521"/>
      <c r="D9334" s="521"/>
      <c r="E9334" s="521"/>
      <c r="F9334" s="521"/>
      <c r="G9334" s="522"/>
      <c r="H9334" s="106" t="e">
        <f>SUM(F9320:F9333)</f>
        <v>#VALUE!</v>
      </c>
      <c r="J9334" s="58"/>
      <c r="K9334" s="50"/>
      <c r="L9334" s="50"/>
      <c r="M9334" s="50"/>
      <c r="N9334" s="50"/>
      <c r="O9334" s="50"/>
    </row>
    <row r="9335" spans="1:15">
      <c r="A9335" s="523" t="s">
        <v>4220</v>
      </c>
      <c r="B9335" s="524"/>
      <c r="C9335" s="524"/>
      <c r="D9335" s="524"/>
      <c r="E9335" s="525"/>
      <c r="F9335" s="524"/>
      <c r="G9335" s="524"/>
      <c r="H9335" s="526"/>
      <c r="J9335" s="58"/>
      <c r="K9335" s="50"/>
      <c r="L9335" s="50"/>
      <c r="M9335" s="50"/>
      <c r="N9335" s="50"/>
      <c r="O9335" s="50"/>
    </row>
    <row r="9336" spans="1:15">
      <c r="A9336" s="527" t="s">
        <v>7</v>
      </c>
      <c r="B9336" s="528"/>
      <c r="C9336" s="98" t="s">
        <v>4221</v>
      </c>
      <c r="D9336" s="97" t="s">
        <v>4222</v>
      </c>
      <c r="E9336" s="187" t="s">
        <v>4223</v>
      </c>
      <c r="F9336" s="529" t="s">
        <v>4207</v>
      </c>
      <c r="G9336" s="529"/>
      <c r="H9336" s="109"/>
      <c r="K9336" s="50"/>
      <c r="L9336" s="50"/>
      <c r="M9336" s="50"/>
      <c r="N9336" s="50"/>
      <c r="O9336" s="50"/>
    </row>
    <row r="9337" spans="1:15">
      <c r="A9337" s="506" t="s">
        <v>3928</v>
      </c>
      <c r="B9337" s="507"/>
      <c r="C9337" s="213">
        <v>1</v>
      </c>
      <c r="D9337" s="92">
        <v>5.0000000000000001E-3</v>
      </c>
      <c r="E9337" s="93" t="str">
        <f>VLOOKUP(A9337,'Equip, Herr y Transp'!$B$2:$E$217,3,0)</f>
        <v>TR</v>
      </c>
      <c r="F9337" s="530" t="e">
        <f>E9337*D9337*C9337</f>
        <v>#VALUE!</v>
      </c>
      <c r="G9337" s="531"/>
      <c r="H9337" s="107"/>
      <c r="M9337" s="50"/>
    </row>
    <row r="9338" spans="1:15">
      <c r="A9338" s="532" t="s">
        <v>4205</v>
      </c>
      <c r="B9338" s="533"/>
      <c r="C9338" s="533"/>
      <c r="D9338" s="533"/>
      <c r="E9338" s="533"/>
      <c r="F9338" s="533"/>
      <c r="G9338" s="533"/>
      <c r="H9338" s="95" t="e">
        <f>F9337</f>
        <v>#VALUE!</v>
      </c>
    </row>
    <row r="9339" spans="1:15">
      <c r="A9339" s="523" t="s">
        <v>4224</v>
      </c>
      <c r="B9339" s="524"/>
      <c r="C9339" s="524"/>
      <c r="D9339" s="524"/>
      <c r="E9339" s="524"/>
      <c r="F9339" s="524"/>
      <c r="G9339" s="524"/>
      <c r="H9339" s="526"/>
    </row>
    <row r="9340" spans="1:15">
      <c r="A9340" s="527" t="s">
        <v>7</v>
      </c>
      <c r="B9340" s="528"/>
      <c r="C9340" s="96" t="s">
        <v>1</v>
      </c>
      <c r="D9340" s="97" t="s">
        <v>4225</v>
      </c>
      <c r="E9340" s="98" t="s">
        <v>4204</v>
      </c>
      <c r="F9340" s="527" t="s">
        <v>5</v>
      </c>
      <c r="G9340" s="534"/>
      <c r="H9340" s="109"/>
    </row>
    <row r="9341" spans="1:15">
      <c r="A9341" s="506" t="s">
        <v>4191</v>
      </c>
      <c r="B9341" s="507"/>
      <c r="C9341" s="91">
        <v>1</v>
      </c>
      <c r="D9341" s="94">
        <f>VLOOKUP(A9341,'Mano Obra'!$B$2:$T$117,19,0)</f>
        <v>152456</v>
      </c>
      <c r="E9341" s="218">
        <f>H9303</f>
        <v>1.67E-2</v>
      </c>
      <c r="F9341" s="508">
        <f>E9341*D9341*C9341</f>
        <v>2546.0151999999998</v>
      </c>
      <c r="G9341" s="509"/>
      <c r="H9341" s="111"/>
      <c r="I9341" s="59"/>
      <c r="J9341" s="117">
        <f>((('Mano Obra'!$M$4/30)*F9341)/D9341)*G9310</f>
        <v>0</v>
      </c>
    </row>
    <row r="9342" spans="1:15">
      <c r="A9342" s="510" t="s">
        <v>4192</v>
      </c>
      <c r="B9342" s="511">
        <f>VLOOKUP(A9342,'Mano Obra'!$B$3:$D$290,2,0)</f>
        <v>1900000</v>
      </c>
      <c r="C9342" s="91">
        <v>2</v>
      </c>
      <c r="D9342" s="94">
        <f>VLOOKUP(A9342,'Mano Obra'!$B$2:$T$117,19,0)</f>
        <v>110488</v>
      </c>
      <c r="E9342" s="218">
        <f>H9303</f>
        <v>1.67E-2</v>
      </c>
      <c r="F9342" s="508">
        <f t="shared" ref="F9342:F9343" si="542">E9342*D9342*C9342</f>
        <v>3690.2991999999999</v>
      </c>
      <c r="G9342" s="509"/>
      <c r="H9342" s="111"/>
      <c r="J9342" s="117">
        <f>((('Mano Obra'!$M$5/30)*F9342)/D9342)*G9310</f>
        <v>0</v>
      </c>
    </row>
    <row r="9343" spans="1:15">
      <c r="A9343" s="510" t="s">
        <v>4181</v>
      </c>
      <c r="B9343" s="511">
        <f>VLOOKUP(A9343,'Mano Obra'!$B$3:$D$290,2,0)</f>
        <v>1000000</v>
      </c>
      <c r="C9343" s="91">
        <v>1</v>
      </c>
      <c r="D9343" s="94">
        <f>VLOOKUP(A9343,'Mano Obra'!$B$2:$T$117,19,0)</f>
        <v>67424</v>
      </c>
      <c r="E9343" s="218">
        <f>H9303</f>
        <v>1.67E-2</v>
      </c>
      <c r="F9343" s="508">
        <f t="shared" si="542"/>
        <v>1125.9808</v>
      </c>
      <c r="G9343" s="509"/>
      <c r="H9343" s="110"/>
      <c r="J9343" s="117">
        <f>((('Mano Obra'!$M$6/30)*F9343)/D9343)*G9310</f>
        <v>0</v>
      </c>
    </row>
    <row r="9344" spans="1:15">
      <c r="A9344" s="512" t="s">
        <v>4100</v>
      </c>
      <c r="B9344" s="512"/>
      <c r="C9344" s="512"/>
      <c r="D9344" s="512"/>
      <c r="E9344" s="512"/>
      <c r="F9344" s="512"/>
      <c r="G9344" s="512"/>
      <c r="H9344" s="95">
        <f>SUM(F9341:F9343)</f>
        <v>7362.2951999999996</v>
      </c>
      <c r="J9344" s="117"/>
    </row>
    <row r="9345" spans="1:14">
      <c r="A9345" s="208" t="s">
        <v>4226</v>
      </c>
      <c r="B9345" s="186"/>
      <c r="C9345" s="186"/>
      <c r="D9345" s="183"/>
      <c r="E9345" s="184"/>
      <c r="F9345" s="185"/>
      <c r="G9345" s="184"/>
      <c r="H9345" s="193"/>
    </row>
    <row r="9346" spans="1:14">
      <c r="A9346" s="513" t="s">
        <v>4213</v>
      </c>
      <c r="B9346" s="514"/>
      <c r="C9346" s="514"/>
      <c r="D9346" s="514"/>
      <c r="E9346" s="181"/>
      <c r="F9346" s="182" t="s">
        <v>4227</v>
      </c>
      <c r="G9346" s="181" t="s">
        <v>4228</v>
      </c>
      <c r="H9346" s="194"/>
    </row>
    <row r="9347" spans="1:14">
      <c r="A9347" s="204" t="s">
        <v>4096</v>
      </c>
      <c r="B9347" s="62"/>
      <c r="C9347" s="62"/>
      <c r="D9347" s="63"/>
      <c r="E9347" s="68"/>
      <c r="F9347" s="69">
        <v>0</v>
      </c>
      <c r="G9347" s="70" t="e">
        <f>F9347*H9311</f>
        <v>#VALUE!</v>
      </c>
      <c r="H9347" s="193"/>
    </row>
    <row r="9348" spans="1:14">
      <c r="A9348" s="205" t="s">
        <v>4229</v>
      </c>
      <c r="B9348" s="71"/>
      <c r="C9348" s="71"/>
      <c r="D9348" s="72"/>
      <c r="E9348" s="68"/>
      <c r="F9348" s="69">
        <v>0</v>
      </c>
      <c r="G9348" s="70" t="e">
        <f>F9348*H9311</f>
        <v>#VALUE!</v>
      </c>
      <c r="H9348" s="193"/>
    </row>
    <row r="9349" spans="1:14">
      <c r="A9349" s="205" t="s">
        <v>4</v>
      </c>
      <c r="B9349" s="71"/>
      <c r="C9349" s="71"/>
      <c r="D9349" s="72"/>
      <c r="E9349" s="68"/>
      <c r="F9349" s="69">
        <v>0</v>
      </c>
      <c r="G9349" s="70" t="e">
        <f>F9349*H9311</f>
        <v>#VALUE!</v>
      </c>
      <c r="H9349" s="193"/>
    </row>
    <row r="9350" spans="1:14">
      <c r="A9350" s="206"/>
      <c r="B9350" s="73"/>
      <c r="C9350" s="65"/>
      <c r="D9350" s="74"/>
      <c r="E9350" s="75"/>
      <c r="F9350" s="76"/>
      <c r="G9350" s="77"/>
      <c r="H9350" s="195"/>
    </row>
    <row r="9351" spans="1:14">
      <c r="A9351" s="207"/>
      <c r="B9351" s="73"/>
      <c r="C9351" s="73"/>
      <c r="D9351" s="74"/>
      <c r="E9351" s="78"/>
      <c r="F9351" s="515" t="s">
        <v>4230</v>
      </c>
      <c r="G9351" s="516"/>
      <c r="H9351" s="214" t="e">
        <f>H9311+G9347+G9348+G9349</f>
        <v>#VALUE!</v>
      </c>
    </row>
    <row r="9353" spans="1:14">
      <c r="A9353" s="80"/>
      <c r="B9353" s="80"/>
      <c r="C9353" s="80"/>
      <c r="D9353" s="80"/>
      <c r="E9353" s="80"/>
      <c r="F9353" s="80"/>
      <c r="G9353" s="80"/>
      <c r="H9353" s="353"/>
    </row>
    <row r="9354" spans="1:14">
      <c r="A9354" s="537" t="s">
        <v>4214</v>
      </c>
      <c r="B9354" s="538"/>
      <c r="C9354" s="538"/>
      <c r="D9354" s="538"/>
      <c r="E9354" s="538"/>
      <c r="F9354" s="538"/>
      <c r="G9354" s="538"/>
      <c r="H9354" s="539"/>
    </row>
    <row r="9355" spans="1:14">
      <c r="A9355" s="81"/>
      <c r="B9355" s="82"/>
      <c r="C9355" s="82"/>
      <c r="D9355" s="82"/>
      <c r="E9355" s="82"/>
      <c r="F9355" s="83"/>
      <c r="G9355" s="84"/>
      <c r="H9355" s="352">
        <f>ROUND((16/60)/8,4)</f>
        <v>3.3300000000000003E-2</v>
      </c>
      <c r="I9355" s="105"/>
    </row>
    <row r="9356" spans="1:14">
      <c r="A9356" s="540" t="s">
        <v>4209</v>
      </c>
      <c r="B9356" s="542" t="str">
        <f>COSTOS!$C$14</f>
        <v>MODERNIZACION A TECNOLOGIA LED</v>
      </c>
      <c r="C9356" s="542"/>
      <c r="D9356" s="542"/>
      <c r="E9356" s="542"/>
      <c r="F9356" s="542"/>
      <c r="G9356" s="542"/>
      <c r="H9356" s="543" t="s">
        <v>4210</v>
      </c>
    </row>
    <row r="9357" spans="1:14">
      <c r="A9357" s="541"/>
      <c r="B9357" s="542"/>
      <c r="C9357" s="542"/>
      <c r="D9357" s="542"/>
      <c r="E9357" s="542"/>
      <c r="F9357" s="542"/>
      <c r="G9357" s="542"/>
      <c r="H9357" s="543"/>
    </row>
    <row r="9358" spans="1:14">
      <c r="A9358" s="541"/>
      <c r="B9358" s="542"/>
      <c r="C9358" s="542"/>
      <c r="D9358" s="542"/>
      <c r="E9358" s="542"/>
      <c r="F9358" s="542"/>
      <c r="G9358" s="542"/>
      <c r="H9358" s="543"/>
    </row>
    <row r="9359" spans="1:14" ht="15" customHeight="1">
      <c r="A9359" s="541"/>
      <c r="B9359" s="542"/>
      <c r="C9359" s="542"/>
      <c r="D9359" s="542"/>
      <c r="E9359" s="542"/>
      <c r="F9359" s="542"/>
      <c r="G9359" s="542"/>
      <c r="H9359" s="197">
        <f ca="1">TODAY()</f>
        <v>44889</v>
      </c>
      <c r="K9359" t="s">
        <v>4380</v>
      </c>
      <c r="L9359" t="s">
        <v>4381</v>
      </c>
      <c r="M9359" t="s">
        <v>4382</v>
      </c>
      <c r="N9359" t="s">
        <v>4383</v>
      </c>
    </row>
    <row r="9360" spans="1:14" ht="60.75" customHeight="1">
      <c r="A9360" s="209" t="s">
        <v>4211</v>
      </c>
      <c r="B9360" s="544" t="str">
        <f>COSTOS!$D$16</f>
        <v>Luminarias</v>
      </c>
      <c r="C9360" s="544"/>
      <c r="D9360" s="544"/>
      <c r="E9360" s="544"/>
      <c r="F9360" s="544"/>
      <c r="G9360" s="60" t="s">
        <v>4212</v>
      </c>
      <c r="H9360" s="359">
        <v>7.9</v>
      </c>
      <c r="K9360" s="55" t="e">
        <f>H9386</f>
        <v>#VALUE!</v>
      </c>
      <c r="L9360" s="55">
        <f>H9396</f>
        <v>14680.504800000001</v>
      </c>
      <c r="M9360" s="55" t="e">
        <f>H9369</f>
        <v>#VALUE!</v>
      </c>
      <c r="N9360" s="55" t="e">
        <f>H9390</f>
        <v>#VALUE!</v>
      </c>
    </row>
    <row r="9361" spans="1:15" ht="43.2" customHeight="1">
      <c r="A9361" s="210" t="s">
        <v>4213</v>
      </c>
      <c r="B9361" s="545" t="str">
        <f>VLOOKUP(H9360,COSTOS!C:M,2,0)</f>
        <v>Canalizacion con un ducto 2" PVC</v>
      </c>
      <c r="C9361" s="546"/>
      <c r="D9361" s="546"/>
      <c r="E9361" s="547"/>
      <c r="F9361" s="61" t="s">
        <v>0</v>
      </c>
      <c r="G9361" s="328" t="str">
        <f>VLOOKUP(H9360,COSTOS!C:M,8,0)</f>
        <v>Ml</v>
      </c>
      <c r="H9361" s="248"/>
      <c r="I9361" s="278"/>
      <c r="J9361" s="280"/>
      <c r="K9361" s="280"/>
      <c r="L9361" s="280"/>
    </row>
    <row r="9362" spans="1:15">
      <c r="A9362" s="211"/>
      <c r="B9362" s="102"/>
      <c r="C9362" s="102"/>
      <c r="D9362" s="102"/>
      <c r="E9362" s="103"/>
      <c r="F9362" s="104" t="s">
        <v>1</v>
      </c>
      <c r="G9362" s="328">
        <f>VLOOKUP(H9360,COSTOS!C:M,9,0)</f>
        <v>0</v>
      </c>
      <c r="H9362" s="329"/>
      <c r="I9362" s="279"/>
    </row>
    <row r="9363" spans="1:15">
      <c r="A9363" s="212" t="s">
        <v>4215</v>
      </c>
      <c r="B9363" s="65"/>
      <c r="C9363" s="65"/>
      <c r="D9363" s="66"/>
      <c r="E9363" s="190"/>
      <c r="F9363" s="191"/>
      <c r="G9363" s="192" t="s">
        <v>4216</v>
      </c>
      <c r="H9363" s="198" t="e">
        <f>H9369+H9386+H9390+H9396</f>
        <v>#VALUE!</v>
      </c>
    </row>
    <row r="9364" spans="1:15" ht="41.4">
      <c r="A9364" s="548" t="s">
        <v>4213</v>
      </c>
      <c r="B9364" s="548"/>
      <c r="C9364" s="548"/>
      <c r="D9364" s="67" t="s">
        <v>0</v>
      </c>
      <c r="E9364" s="188" t="s">
        <v>4217</v>
      </c>
      <c r="F9364" s="189" t="s">
        <v>4204</v>
      </c>
      <c r="G9364" s="64" t="s">
        <v>2</v>
      </c>
      <c r="H9364" s="199" t="s">
        <v>4218</v>
      </c>
      <c r="K9364" s="281"/>
    </row>
    <row r="9365" spans="1:15">
      <c r="A9365" s="517" t="s">
        <v>3946</v>
      </c>
      <c r="B9365" s="549">
        <f>VLOOKUP(A9365,'Equip, Herr y Transp'!$B$2:$E$738,2,0)</f>
        <v>2</v>
      </c>
      <c r="C9365" s="549"/>
      <c r="D9365" s="85">
        <f>VLOOKUP(A9365,'Equip, Herr y Transp'!$B$2:$E$217,2,0)</f>
        <v>2</v>
      </c>
      <c r="E9365" s="85" t="str">
        <f>VLOOKUP(A9365,'Equip, Herr y Transp'!$B$2:$E$217,3,0)</f>
        <v>EQU</v>
      </c>
      <c r="F9365" s="86">
        <f>H9355</f>
        <v>3.3300000000000003E-2</v>
      </c>
      <c r="G9365" s="112" t="e">
        <f>F9365*E9365</f>
        <v>#VALUE!</v>
      </c>
      <c r="H9365" s="108"/>
    </row>
    <row r="9366" spans="1:15">
      <c r="A9366" s="517" t="s">
        <v>3927</v>
      </c>
      <c r="B9366" s="549">
        <f>VLOOKUP(A9366,'Equip, Herr y Transp'!$B$2:$E$738,2,0)</f>
        <v>2</v>
      </c>
      <c r="C9366" s="549"/>
      <c r="D9366" s="85">
        <f>VLOOKUP(A9366,'Equip, Herr y Transp'!$B$2:$E$217,2,0)</f>
        <v>2</v>
      </c>
      <c r="E9366" s="85" t="str">
        <f>VLOOKUP(A9366,'Equip, Herr y Transp'!$B$2:$E$217,3,0)</f>
        <v>EQU</v>
      </c>
      <c r="F9366" s="86">
        <f>H9355</f>
        <v>3.3300000000000003E-2</v>
      </c>
      <c r="G9366" s="112" t="e">
        <f>F9366*E9366</f>
        <v>#VALUE!</v>
      </c>
      <c r="H9366" s="107"/>
    </row>
    <row r="9367" spans="1:15">
      <c r="A9367" s="517" t="s">
        <v>8</v>
      </c>
      <c r="B9367" s="549" t="e">
        <f>VLOOKUP(A9367,'Equip, Herr y Transp'!$B$2:$E$738,2,0)</f>
        <v>#N/A</v>
      </c>
      <c r="C9367" s="549"/>
      <c r="D9367" s="85" t="e">
        <f>VLOOKUP(A9367,'Equip, Herr y Transp'!$B$2:$E$217,2,0)</f>
        <v>#N/A</v>
      </c>
      <c r="E9367" s="85" t="e">
        <f>VLOOKUP(A9367,'Equip, Herr y Transp'!$B$2:$E$217,3,0)</f>
        <v>#N/A</v>
      </c>
      <c r="F9367" s="86">
        <f>H9355</f>
        <v>3.3300000000000003E-2</v>
      </c>
      <c r="G9367" s="112" t="e">
        <f>F9367*E9367</f>
        <v>#N/A</v>
      </c>
      <c r="H9367" s="107"/>
    </row>
    <row r="9368" spans="1:15">
      <c r="A9368" s="517" t="s">
        <v>8</v>
      </c>
      <c r="B9368" s="549" t="e">
        <f>VLOOKUP(A9368,'Equip, Herr y Transp'!$B$2:$E$738,2,0)</f>
        <v>#N/A</v>
      </c>
      <c r="C9368" s="549"/>
      <c r="D9368" s="85" t="e">
        <f>VLOOKUP(A9368,'Equip, Herr y Transp'!$B$2:$E$217,2,0)</f>
        <v>#N/A</v>
      </c>
      <c r="E9368" s="85" t="e">
        <f>VLOOKUP(A9368,'Equip, Herr y Transp'!$B$2:$E$217,3,0)</f>
        <v>#N/A</v>
      </c>
      <c r="F9368" s="86">
        <f>H9355</f>
        <v>3.3300000000000003E-2</v>
      </c>
      <c r="G9368" s="112" t="e">
        <f>F9368*E9368</f>
        <v>#N/A</v>
      </c>
      <c r="H9368" s="107"/>
    </row>
    <row r="9369" spans="1:15">
      <c r="A9369" s="520" t="s">
        <v>4099</v>
      </c>
      <c r="B9369" s="521"/>
      <c r="C9369" s="521"/>
      <c r="D9369" s="521"/>
      <c r="E9369" s="521"/>
      <c r="F9369" s="521"/>
      <c r="G9369" s="521"/>
      <c r="H9369" s="87" t="e">
        <f>SUM(G9365:G9368)</f>
        <v>#VALUE!</v>
      </c>
    </row>
    <row r="9370" spans="1:15">
      <c r="A9370" s="550" t="s">
        <v>4219</v>
      </c>
      <c r="B9370" s="551"/>
      <c r="C9370" s="551"/>
      <c r="D9370" s="551"/>
      <c r="E9370" s="551"/>
      <c r="F9370" s="551"/>
      <c r="G9370" s="551"/>
      <c r="H9370" s="552"/>
      <c r="K9370" s="50"/>
      <c r="L9370" s="50"/>
      <c r="M9370" s="50"/>
      <c r="N9370" s="50"/>
      <c r="O9370" s="50"/>
    </row>
    <row r="9371" spans="1:15" ht="30" customHeight="1">
      <c r="A9371" s="553" t="s">
        <v>7</v>
      </c>
      <c r="B9371" s="554"/>
      <c r="C9371" s="99" t="s">
        <v>0</v>
      </c>
      <c r="D9371" s="100" t="s">
        <v>4097</v>
      </c>
      <c r="E9371" s="101" t="s">
        <v>1</v>
      </c>
      <c r="F9371" s="555" t="s">
        <v>4207</v>
      </c>
      <c r="G9371" s="555"/>
      <c r="H9371" s="196"/>
      <c r="K9371" s="50"/>
      <c r="L9371" s="50"/>
      <c r="M9371" s="50"/>
      <c r="N9371" s="50"/>
      <c r="O9371" s="50"/>
    </row>
    <row r="9372" spans="1:15">
      <c r="A9372" s="535" t="s">
        <v>4585</v>
      </c>
      <c r="B9372" s="536"/>
      <c r="C9372" s="88">
        <f>VLOOKUP(A9372,'Materiales '!$C$2:$G$396,3,0)</f>
        <v>4</v>
      </c>
      <c r="D9372" s="89" t="str">
        <f>VLOOKUP(A9372,'Materiales '!$C$2:$G$396,4,0)</f>
        <v>Und</v>
      </c>
      <c r="E9372" s="90">
        <v>0.34</v>
      </c>
      <c r="F9372" s="508" t="e">
        <f>E9372*D9372</f>
        <v>#VALUE!</v>
      </c>
      <c r="G9372" s="519"/>
      <c r="H9372" s="111"/>
      <c r="I9372">
        <f>E9372*G9362</f>
        <v>0</v>
      </c>
      <c r="J9372" s="57"/>
      <c r="K9372" s="50"/>
      <c r="L9372" s="50"/>
      <c r="M9372" s="50"/>
      <c r="N9372" s="50"/>
      <c r="O9372" s="50"/>
    </row>
    <row r="9373" spans="1:15">
      <c r="A9373" s="535" t="s">
        <v>4570</v>
      </c>
      <c r="B9373" s="536"/>
      <c r="C9373" s="88">
        <f>VLOOKUP(A9373,'Materiales '!$C$2:$G$396,3,0)</f>
        <v>4</v>
      </c>
      <c r="D9373" s="89" t="str">
        <f>VLOOKUP(A9373,'Materiales '!$C$2:$G$396,4,0)</f>
        <v>Und</v>
      </c>
      <c r="E9373" s="90">
        <v>0.1</v>
      </c>
      <c r="F9373" s="508" t="e">
        <f t="shared" ref="F9373:F9379" si="543">E9373*D9373</f>
        <v>#VALUE!</v>
      </c>
      <c r="G9373" s="519"/>
      <c r="H9373" s="111"/>
      <c r="I9373">
        <f>E9373*G9362</f>
        <v>0</v>
      </c>
      <c r="J9373" s="57"/>
      <c r="K9373" s="50"/>
      <c r="L9373" s="50"/>
      <c r="M9373" s="50"/>
      <c r="N9373" s="50"/>
      <c r="O9373" s="50"/>
    </row>
    <row r="9374" spans="1:15">
      <c r="A9374" s="517" t="s">
        <v>8</v>
      </c>
      <c r="B9374" s="518">
        <f>VLOOKUP(A9374,'Materiales '!$C$2:$G$396,3,0)</f>
        <v>0</v>
      </c>
      <c r="C9374" s="88">
        <f>VLOOKUP(A9374,'Materiales '!$C$2:$G$396,3,0)</f>
        <v>0</v>
      </c>
      <c r="D9374" s="89" t="str">
        <f>VLOOKUP(A9374,'Materiales '!$C$2:$G$396,4,0)</f>
        <v>-</v>
      </c>
      <c r="E9374" s="90">
        <v>0.34</v>
      </c>
      <c r="F9374" s="508" t="e">
        <f t="shared" si="543"/>
        <v>#VALUE!</v>
      </c>
      <c r="G9374" s="519"/>
      <c r="H9374" s="111"/>
      <c r="I9374">
        <f>E9374*G9362</f>
        <v>0</v>
      </c>
      <c r="J9374" s="58"/>
      <c r="K9374" s="50"/>
      <c r="L9374" s="50"/>
      <c r="M9374" s="50"/>
      <c r="N9374" s="50"/>
      <c r="O9374" s="50"/>
    </row>
    <row r="9375" spans="1:15">
      <c r="A9375" s="517" t="s">
        <v>8</v>
      </c>
      <c r="B9375" s="518">
        <f>VLOOKUP(A9375,'Materiales '!$C$2:$G$396,3,0)</f>
        <v>0</v>
      </c>
      <c r="C9375" s="88">
        <f>VLOOKUP(A9375,'Materiales '!$C$2:$G$396,3,0)</f>
        <v>0</v>
      </c>
      <c r="D9375" s="89" t="str">
        <f>VLOOKUP(A9375,'Materiales '!$C$2:$G$396,4,0)</f>
        <v>-</v>
      </c>
      <c r="E9375" s="90">
        <v>0.02</v>
      </c>
      <c r="F9375" s="508" t="e">
        <f t="shared" si="543"/>
        <v>#VALUE!</v>
      </c>
      <c r="G9375" s="519"/>
      <c r="H9375" s="111"/>
      <c r="I9375">
        <f>E9375*G9362</f>
        <v>0</v>
      </c>
      <c r="J9375" s="58"/>
      <c r="K9375" s="50"/>
      <c r="L9375" s="50"/>
      <c r="M9375" s="50"/>
      <c r="N9375" s="50"/>
      <c r="O9375" s="50"/>
    </row>
    <row r="9376" spans="1:15">
      <c r="A9376" s="517" t="s">
        <v>8</v>
      </c>
      <c r="B9376" s="518">
        <f>VLOOKUP(A9376,'Materiales '!$C$2:$G$396,3,0)</f>
        <v>0</v>
      </c>
      <c r="C9376" s="88">
        <f>VLOOKUP(A9376,'Materiales '!$C$2:$G$396,3,0)</f>
        <v>0</v>
      </c>
      <c r="D9376" s="89" t="str">
        <f>VLOOKUP(A9376,'Materiales '!$C$2:$G$396,4,0)</f>
        <v>-</v>
      </c>
      <c r="E9376" s="90">
        <v>0.5</v>
      </c>
      <c r="F9376" s="508" t="e">
        <f t="shared" si="543"/>
        <v>#VALUE!</v>
      </c>
      <c r="G9376" s="519"/>
      <c r="H9376" s="111"/>
      <c r="I9376">
        <f>E9376*G9362</f>
        <v>0</v>
      </c>
      <c r="J9376" s="58"/>
      <c r="K9376" s="50"/>
      <c r="L9376" s="50"/>
      <c r="M9376" s="50"/>
      <c r="N9376" s="50"/>
      <c r="O9376" s="50"/>
    </row>
    <row r="9377" spans="1:15">
      <c r="A9377" s="517" t="s">
        <v>8</v>
      </c>
      <c r="B9377" s="518">
        <f>VLOOKUP(A9377,'Materiales '!$C$2:$G$396,3,0)</f>
        <v>0</v>
      </c>
      <c r="C9377" s="88">
        <f>VLOOKUP(A9377,'Materiales '!$C$2:$G$396,3,0)</f>
        <v>0</v>
      </c>
      <c r="D9377" s="89" t="str">
        <f>VLOOKUP(A9377,'Materiales '!$C$2:$G$396,4,0)</f>
        <v>-</v>
      </c>
      <c r="E9377" s="90">
        <v>1</v>
      </c>
      <c r="F9377" s="508" t="e">
        <f t="shared" si="543"/>
        <v>#VALUE!</v>
      </c>
      <c r="G9377" s="519"/>
      <c r="H9377" s="111"/>
      <c r="I9377">
        <f>E9377*G9362</f>
        <v>0</v>
      </c>
      <c r="J9377" s="58"/>
      <c r="K9377" s="50"/>
      <c r="L9377" s="50"/>
      <c r="M9377" s="50"/>
      <c r="N9377" s="50"/>
      <c r="O9377" s="50"/>
    </row>
    <row r="9378" spans="1:15">
      <c r="A9378" s="517" t="s">
        <v>8</v>
      </c>
      <c r="B9378" s="518">
        <f>VLOOKUP(A9378,'Materiales '!$C$2:$G$396,3,0)</f>
        <v>0</v>
      </c>
      <c r="C9378" s="88">
        <f>VLOOKUP(A9378,'Materiales '!$C$2:$G$396,3,0)</f>
        <v>0</v>
      </c>
      <c r="D9378" s="89" t="str">
        <f>VLOOKUP(A9378,'Materiales '!$C$2:$G$396,4,0)</f>
        <v>-</v>
      </c>
      <c r="E9378" s="90">
        <v>1</v>
      </c>
      <c r="F9378" s="508" t="e">
        <f t="shared" si="543"/>
        <v>#VALUE!</v>
      </c>
      <c r="G9378" s="519"/>
      <c r="H9378" s="111"/>
      <c r="I9378">
        <f>E9378*G9362</f>
        <v>0</v>
      </c>
      <c r="J9378" s="58"/>
      <c r="K9378" s="50"/>
      <c r="L9378" s="50"/>
      <c r="M9378" s="50"/>
      <c r="N9378" s="50"/>
      <c r="O9378" s="50"/>
    </row>
    <row r="9379" spans="1:15" ht="21.75" customHeight="1">
      <c r="A9379" s="517" t="s">
        <v>8</v>
      </c>
      <c r="B9379" s="518">
        <f>VLOOKUP(A9379,'Materiales '!$C$2:$G$396,3,0)</f>
        <v>0</v>
      </c>
      <c r="C9379" s="88">
        <f>VLOOKUP(A9379,'Materiales '!$C$2:$G$396,3,0)</f>
        <v>0</v>
      </c>
      <c r="D9379" s="89" t="str">
        <f>VLOOKUP(A9379,'Materiales '!$C$2:$G$396,4,0)</f>
        <v>-</v>
      </c>
      <c r="E9379" s="90"/>
      <c r="F9379" s="508" t="e">
        <f t="shared" si="543"/>
        <v>#VALUE!</v>
      </c>
      <c r="G9379" s="519"/>
      <c r="H9379" s="111"/>
      <c r="I9379">
        <f>E9379*G9362</f>
        <v>0</v>
      </c>
      <c r="J9379" s="58"/>
      <c r="K9379" s="50"/>
      <c r="L9379" s="50"/>
      <c r="M9379" s="50"/>
      <c r="N9379" s="50"/>
      <c r="O9379" s="50"/>
    </row>
    <row r="9380" spans="1:15">
      <c r="A9380" s="517" t="s">
        <v>8</v>
      </c>
      <c r="B9380" s="518">
        <f>VLOOKUP(A9380,'Materiales '!$C$2:$G$396,3,0)</f>
        <v>0</v>
      </c>
      <c r="C9380" s="88">
        <f>VLOOKUP(A9380,'Materiales '!$C$2:$G$396,3,0)</f>
        <v>0</v>
      </c>
      <c r="D9380" s="89" t="str">
        <f>VLOOKUP(A9380,'Materiales '!$C$2:$G$396,4,0)</f>
        <v>-</v>
      </c>
      <c r="E9380" s="90"/>
      <c r="F9380" s="508" t="e">
        <f>E9380*D9380</f>
        <v>#VALUE!</v>
      </c>
      <c r="G9380" s="519"/>
      <c r="H9380" s="110"/>
      <c r="I9380">
        <f>E9380*G9362</f>
        <v>0</v>
      </c>
      <c r="J9380" s="58"/>
      <c r="K9380" s="50"/>
      <c r="L9380" s="50"/>
      <c r="M9380" s="50"/>
      <c r="N9380" s="50"/>
      <c r="O9380" s="50"/>
    </row>
    <row r="9381" spans="1:15">
      <c r="A9381" s="517" t="s">
        <v>8</v>
      </c>
      <c r="B9381" s="518">
        <f>VLOOKUP(A9381,'Materiales '!$C$2:$G$396,3,0)</f>
        <v>0</v>
      </c>
      <c r="C9381" s="88">
        <f>VLOOKUP(A9381,'Materiales '!$C$2:$G$396,3,0)</f>
        <v>0</v>
      </c>
      <c r="D9381" s="89" t="str">
        <f>VLOOKUP(A9381,'Materiales '!$C$2:$G$396,4,0)</f>
        <v>-</v>
      </c>
      <c r="E9381" s="90"/>
      <c r="F9381" s="508" t="e">
        <f t="shared" ref="F9381:F9384" si="544">E9381*D9381</f>
        <v>#VALUE!</v>
      </c>
      <c r="G9381" s="519"/>
      <c r="H9381" s="111"/>
      <c r="I9381">
        <f>E9381*G9362</f>
        <v>0</v>
      </c>
      <c r="J9381" s="58"/>
      <c r="K9381" s="50"/>
      <c r="L9381" s="50"/>
      <c r="M9381" s="50"/>
      <c r="N9381" s="50"/>
      <c r="O9381" s="50"/>
    </row>
    <row r="9382" spans="1:15">
      <c r="A9382" s="517" t="s">
        <v>8</v>
      </c>
      <c r="B9382" s="518">
        <f>VLOOKUP(A9382,'Materiales '!$C$2:$G$396,3,0)</f>
        <v>0</v>
      </c>
      <c r="C9382" s="88">
        <f>VLOOKUP(A9382,'Materiales '!$C$2:$G$396,3,0)</f>
        <v>0</v>
      </c>
      <c r="D9382" s="89" t="str">
        <f>VLOOKUP(A9382,'Materiales '!$C$2:$G$396,4,0)</f>
        <v>-</v>
      </c>
      <c r="E9382" s="90"/>
      <c r="F9382" s="508" t="e">
        <f t="shared" si="544"/>
        <v>#VALUE!</v>
      </c>
      <c r="G9382" s="519"/>
      <c r="H9382" s="111"/>
      <c r="I9382">
        <f>E9382*G9362</f>
        <v>0</v>
      </c>
      <c r="J9382" s="58"/>
      <c r="K9382" s="50"/>
      <c r="L9382" s="50"/>
      <c r="M9382" s="50"/>
      <c r="N9382" s="50"/>
      <c r="O9382" s="50"/>
    </row>
    <row r="9383" spans="1:15">
      <c r="A9383" s="517" t="s">
        <v>8</v>
      </c>
      <c r="B9383" s="518">
        <f>VLOOKUP(A9383,'Materiales '!$C$2:$G$396,3,0)</f>
        <v>0</v>
      </c>
      <c r="C9383" s="88">
        <f>VLOOKUP(A9383,'Materiales '!$C$2:$G$396,3,0)</f>
        <v>0</v>
      </c>
      <c r="D9383" s="89" t="str">
        <f>VLOOKUP(A9383,'Materiales '!$C$2:$G$396,4,0)</f>
        <v>-</v>
      </c>
      <c r="E9383" s="90"/>
      <c r="F9383" s="508" t="e">
        <f t="shared" si="544"/>
        <v>#VALUE!</v>
      </c>
      <c r="G9383" s="519"/>
      <c r="H9383" s="111"/>
      <c r="I9383">
        <f>E9383*G9362</f>
        <v>0</v>
      </c>
      <c r="J9383" s="58"/>
      <c r="K9383" s="50"/>
      <c r="L9383" s="50"/>
      <c r="M9383" s="50"/>
      <c r="N9383" s="50"/>
      <c r="O9383" s="50"/>
    </row>
    <row r="9384" spans="1:15">
      <c r="A9384" s="517" t="s">
        <v>8</v>
      </c>
      <c r="B9384" s="518">
        <f>VLOOKUP(A9384,'Materiales '!$C$2:$G$396,3,0)</f>
        <v>0</v>
      </c>
      <c r="C9384" s="88">
        <f>VLOOKUP(A9384,'Materiales '!$C$2:$G$396,3,0)</f>
        <v>0</v>
      </c>
      <c r="D9384" s="89" t="str">
        <f>VLOOKUP(A9384,'Materiales '!$C$2:$G$396,4,0)</f>
        <v>-</v>
      </c>
      <c r="E9384" s="90"/>
      <c r="F9384" s="508" t="e">
        <f t="shared" si="544"/>
        <v>#VALUE!</v>
      </c>
      <c r="G9384" s="519"/>
      <c r="H9384" s="111"/>
      <c r="I9384">
        <f>E9384*G9362</f>
        <v>0</v>
      </c>
      <c r="J9384" s="58"/>
      <c r="K9384" s="50"/>
      <c r="L9384" s="50"/>
      <c r="M9384" s="50"/>
      <c r="N9384" s="50"/>
      <c r="O9384" s="50"/>
    </row>
    <row r="9385" spans="1:15">
      <c r="A9385" s="517" t="s">
        <v>8</v>
      </c>
      <c r="B9385" s="518">
        <f>VLOOKUP(A9385,'Materiales '!$C$2:$G$396,3,0)</f>
        <v>0</v>
      </c>
      <c r="C9385" s="88">
        <f>VLOOKUP(A9385,'Materiales '!$C$2:$G$396,3,0)</f>
        <v>0</v>
      </c>
      <c r="D9385" s="89" t="str">
        <f>VLOOKUP(A9385,'Materiales '!$C$2:$G$396,4,0)</f>
        <v>-</v>
      </c>
      <c r="E9385" s="90"/>
      <c r="F9385" s="508" t="e">
        <f>E9385*D9385</f>
        <v>#VALUE!</v>
      </c>
      <c r="G9385" s="519"/>
      <c r="H9385" s="110"/>
      <c r="I9385">
        <f>E9385*G9362</f>
        <v>0</v>
      </c>
      <c r="J9385" s="58"/>
      <c r="K9385" s="50"/>
      <c r="L9385" s="50"/>
      <c r="M9385" s="50"/>
      <c r="N9385" s="50"/>
      <c r="O9385" s="50"/>
    </row>
    <row r="9386" spans="1:15">
      <c r="A9386" s="520" t="s">
        <v>4098</v>
      </c>
      <c r="B9386" s="521"/>
      <c r="C9386" s="521"/>
      <c r="D9386" s="521"/>
      <c r="E9386" s="521"/>
      <c r="F9386" s="521"/>
      <c r="G9386" s="522"/>
      <c r="H9386" s="106" t="e">
        <f>SUM(F9372:F9385)</f>
        <v>#VALUE!</v>
      </c>
      <c r="J9386" s="58"/>
      <c r="K9386" s="50"/>
      <c r="L9386" s="50"/>
      <c r="M9386" s="50"/>
      <c r="N9386" s="50"/>
      <c r="O9386" s="50"/>
    </row>
    <row r="9387" spans="1:15">
      <c r="A9387" s="523" t="s">
        <v>4220</v>
      </c>
      <c r="B9387" s="524"/>
      <c r="C9387" s="524"/>
      <c r="D9387" s="524"/>
      <c r="E9387" s="525"/>
      <c r="F9387" s="524"/>
      <c r="G9387" s="524"/>
      <c r="H9387" s="526"/>
      <c r="J9387" s="58"/>
      <c r="K9387" s="50"/>
      <c r="L9387" s="50"/>
      <c r="M9387" s="50"/>
      <c r="N9387" s="50"/>
      <c r="O9387" s="50"/>
    </row>
    <row r="9388" spans="1:15">
      <c r="A9388" s="527" t="s">
        <v>7</v>
      </c>
      <c r="B9388" s="528"/>
      <c r="C9388" s="98" t="s">
        <v>4221</v>
      </c>
      <c r="D9388" s="97" t="s">
        <v>4222</v>
      </c>
      <c r="E9388" s="187" t="s">
        <v>4223</v>
      </c>
      <c r="F9388" s="529" t="s">
        <v>4207</v>
      </c>
      <c r="G9388" s="529"/>
      <c r="H9388" s="109"/>
      <c r="K9388" s="50"/>
      <c r="L9388" s="50"/>
      <c r="M9388" s="50"/>
      <c r="N9388" s="50"/>
      <c r="O9388" s="50"/>
    </row>
    <row r="9389" spans="1:15">
      <c r="A9389" s="506" t="s">
        <v>3928</v>
      </c>
      <c r="B9389" s="507"/>
      <c r="C9389" s="213">
        <v>1</v>
      </c>
      <c r="D9389" s="92">
        <v>5.0000000000000001E-3</v>
      </c>
      <c r="E9389" s="93" t="str">
        <f>VLOOKUP(A9389,'Equip, Herr y Transp'!$B$2:$E$217,3,0)</f>
        <v>TR</v>
      </c>
      <c r="F9389" s="530" t="e">
        <f>E9389*D9389*C9389</f>
        <v>#VALUE!</v>
      </c>
      <c r="G9389" s="531"/>
      <c r="H9389" s="107"/>
      <c r="M9389" s="50"/>
    </row>
    <row r="9390" spans="1:15">
      <c r="A9390" s="532" t="s">
        <v>4205</v>
      </c>
      <c r="B9390" s="533"/>
      <c r="C9390" s="533"/>
      <c r="D9390" s="533"/>
      <c r="E9390" s="533"/>
      <c r="F9390" s="533"/>
      <c r="G9390" s="533"/>
      <c r="H9390" s="95" t="e">
        <f>F9389</f>
        <v>#VALUE!</v>
      </c>
    </row>
    <row r="9391" spans="1:15">
      <c r="A9391" s="523" t="s">
        <v>4224</v>
      </c>
      <c r="B9391" s="524"/>
      <c r="C9391" s="524"/>
      <c r="D9391" s="524"/>
      <c r="E9391" s="524"/>
      <c r="F9391" s="524"/>
      <c r="G9391" s="524"/>
      <c r="H9391" s="526"/>
    </row>
    <row r="9392" spans="1:15">
      <c r="A9392" s="527" t="s">
        <v>7</v>
      </c>
      <c r="B9392" s="528"/>
      <c r="C9392" s="96" t="s">
        <v>1</v>
      </c>
      <c r="D9392" s="97" t="s">
        <v>4225</v>
      </c>
      <c r="E9392" s="98" t="s">
        <v>4204</v>
      </c>
      <c r="F9392" s="527" t="s">
        <v>5</v>
      </c>
      <c r="G9392" s="534"/>
      <c r="H9392" s="109"/>
    </row>
    <row r="9393" spans="1:10">
      <c r="A9393" s="506" t="s">
        <v>4191</v>
      </c>
      <c r="B9393" s="507"/>
      <c r="C9393" s="91">
        <v>1</v>
      </c>
      <c r="D9393" s="94">
        <f>VLOOKUP(A9393,'Mano Obra'!$B$2:$T$117,19,0)</f>
        <v>152456</v>
      </c>
      <c r="E9393" s="218">
        <f>H9355</f>
        <v>3.3300000000000003E-2</v>
      </c>
      <c r="F9393" s="508">
        <f>E9393*D9393*C9393</f>
        <v>5076.7848000000004</v>
      </c>
      <c r="G9393" s="509"/>
      <c r="H9393" s="111"/>
      <c r="I9393" s="59"/>
      <c r="J9393" s="117">
        <f>((('Mano Obra'!$M$4/30)*F9393)/D9393)*G9362</f>
        <v>0</v>
      </c>
    </row>
    <row r="9394" spans="1:10">
      <c r="A9394" s="510" t="s">
        <v>4192</v>
      </c>
      <c r="B9394" s="511">
        <f>VLOOKUP(A9394,'Mano Obra'!$B$3:$D$290,2,0)</f>
        <v>1900000</v>
      </c>
      <c r="C9394" s="91">
        <v>2</v>
      </c>
      <c r="D9394" s="94">
        <f>VLOOKUP(A9394,'Mano Obra'!$B$2:$T$117,19,0)</f>
        <v>110488</v>
      </c>
      <c r="E9394" s="218">
        <f>H9355</f>
        <v>3.3300000000000003E-2</v>
      </c>
      <c r="F9394" s="508">
        <f t="shared" ref="F9394:F9395" si="545">E9394*D9394*C9394</f>
        <v>7358.5008000000007</v>
      </c>
      <c r="G9394" s="509"/>
      <c r="H9394" s="111"/>
      <c r="J9394" s="117">
        <f>((('Mano Obra'!$M$5/30)*F9394)/D9394)*G9362</f>
        <v>0</v>
      </c>
    </row>
    <row r="9395" spans="1:10">
      <c r="A9395" s="510" t="s">
        <v>4181</v>
      </c>
      <c r="B9395" s="511">
        <f>VLOOKUP(A9395,'Mano Obra'!$B$3:$D$290,2,0)</f>
        <v>1000000</v>
      </c>
      <c r="C9395" s="91">
        <v>1</v>
      </c>
      <c r="D9395" s="94">
        <f>VLOOKUP(A9395,'Mano Obra'!$B$2:$T$117,19,0)</f>
        <v>67424</v>
      </c>
      <c r="E9395" s="218">
        <f>H9355</f>
        <v>3.3300000000000003E-2</v>
      </c>
      <c r="F9395" s="508">
        <f t="shared" si="545"/>
        <v>2245.2192</v>
      </c>
      <c r="G9395" s="509"/>
      <c r="H9395" s="110"/>
      <c r="J9395" s="117">
        <f>((('Mano Obra'!$M$6/30)*F9395)/D9395)*G9362</f>
        <v>0</v>
      </c>
    </row>
    <row r="9396" spans="1:10">
      <c r="A9396" s="512" t="s">
        <v>4100</v>
      </c>
      <c r="B9396" s="512"/>
      <c r="C9396" s="512"/>
      <c r="D9396" s="512"/>
      <c r="E9396" s="512"/>
      <c r="F9396" s="512"/>
      <c r="G9396" s="512"/>
      <c r="H9396" s="95">
        <f>SUM(F9393:F9395)</f>
        <v>14680.504800000001</v>
      </c>
      <c r="J9396" s="117"/>
    </row>
    <row r="9397" spans="1:10">
      <c r="A9397" s="208" t="s">
        <v>4226</v>
      </c>
      <c r="B9397" s="186"/>
      <c r="C9397" s="186"/>
      <c r="D9397" s="183"/>
      <c r="E9397" s="184"/>
      <c r="F9397" s="185"/>
      <c r="G9397" s="184"/>
      <c r="H9397" s="193"/>
    </row>
    <row r="9398" spans="1:10">
      <c r="A9398" s="513" t="s">
        <v>4213</v>
      </c>
      <c r="B9398" s="514"/>
      <c r="C9398" s="514"/>
      <c r="D9398" s="514"/>
      <c r="E9398" s="181"/>
      <c r="F9398" s="182" t="s">
        <v>4227</v>
      </c>
      <c r="G9398" s="181" t="s">
        <v>4228</v>
      </c>
      <c r="H9398" s="194"/>
    </row>
    <row r="9399" spans="1:10">
      <c r="A9399" s="204" t="s">
        <v>4096</v>
      </c>
      <c r="B9399" s="62"/>
      <c r="C9399" s="62"/>
      <c r="D9399" s="63"/>
      <c r="E9399" s="68"/>
      <c r="F9399" s="69">
        <v>0</v>
      </c>
      <c r="G9399" s="70" t="e">
        <f>F9399*H9363</f>
        <v>#VALUE!</v>
      </c>
      <c r="H9399" s="193"/>
    </row>
    <row r="9400" spans="1:10">
      <c r="A9400" s="205" t="s">
        <v>4229</v>
      </c>
      <c r="B9400" s="71"/>
      <c r="C9400" s="71"/>
      <c r="D9400" s="72"/>
      <c r="E9400" s="68"/>
      <c r="F9400" s="69">
        <v>0</v>
      </c>
      <c r="G9400" s="70" t="e">
        <f>F9400*H9363</f>
        <v>#VALUE!</v>
      </c>
      <c r="H9400" s="193"/>
    </row>
    <row r="9401" spans="1:10">
      <c r="A9401" s="205" t="s">
        <v>4</v>
      </c>
      <c r="B9401" s="71"/>
      <c r="C9401" s="71"/>
      <c r="D9401" s="72"/>
      <c r="E9401" s="68"/>
      <c r="F9401" s="69">
        <v>0</v>
      </c>
      <c r="G9401" s="70" t="e">
        <f>F9401*H9363</f>
        <v>#VALUE!</v>
      </c>
      <c r="H9401" s="193"/>
    </row>
    <row r="9402" spans="1:10">
      <c r="A9402" s="206"/>
      <c r="B9402" s="73"/>
      <c r="C9402" s="65"/>
      <c r="D9402" s="74"/>
      <c r="E9402" s="75"/>
      <c r="F9402" s="76"/>
      <c r="G9402" s="77"/>
      <c r="H9402" s="195"/>
    </row>
    <row r="9403" spans="1:10">
      <c r="A9403" s="207"/>
      <c r="B9403" s="73"/>
      <c r="C9403" s="73"/>
      <c r="D9403" s="74"/>
      <c r="E9403" s="78"/>
      <c r="F9403" s="515" t="s">
        <v>4230</v>
      </c>
      <c r="G9403" s="516"/>
      <c r="H9403" s="214" t="e">
        <f>H9363+G9399+G9400+G9401</f>
        <v>#VALUE!</v>
      </c>
    </row>
    <row r="9405" spans="1:10">
      <c r="A9405" s="80"/>
      <c r="B9405" s="80"/>
      <c r="C9405" s="80"/>
      <c r="D9405" s="80"/>
      <c r="E9405" s="80"/>
      <c r="F9405" s="80"/>
      <c r="G9405" s="80"/>
      <c r="H9405" s="353"/>
    </row>
    <row r="9406" spans="1:10">
      <c r="A9406" s="537" t="s">
        <v>4214</v>
      </c>
      <c r="B9406" s="538"/>
      <c r="C9406" s="538"/>
      <c r="D9406" s="538"/>
      <c r="E9406" s="538"/>
      <c r="F9406" s="538"/>
      <c r="G9406" s="538"/>
      <c r="H9406" s="539"/>
    </row>
    <row r="9407" spans="1:10">
      <c r="A9407" s="81"/>
      <c r="B9407" s="82"/>
      <c r="C9407" s="82"/>
      <c r="D9407" s="82"/>
      <c r="E9407" s="82"/>
      <c r="F9407" s="83"/>
      <c r="G9407" s="84"/>
      <c r="H9407" s="352">
        <f>ROUND((6/60)/8,4)</f>
        <v>1.2500000000000001E-2</v>
      </c>
      <c r="I9407" s="105"/>
    </row>
    <row r="9408" spans="1:10">
      <c r="A9408" s="540" t="s">
        <v>4209</v>
      </c>
      <c r="B9408" s="542" t="str">
        <f>COSTOS!$C$14</f>
        <v>MODERNIZACION A TECNOLOGIA LED</v>
      </c>
      <c r="C9408" s="542"/>
      <c r="D9408" s="542"/>
      <c r="E9408" s="542"/>
      <c r="F9408" s="542"/>
      <c r="G9408" s="542"/>
      <c r="H9408" s="543" t="s">
        <v>4210</v>
      </c>
    </row>
    <row r="9409" spans="1:15">
      <c r="A9409" s="541"/>
      <c r="B9409" s="542"/>
      <c r="C9409" s="542"/>
      <c r="D9409" s="542"/>
      <c r="E9409" s="542"/>
      <c r="F9409" s="542"/>
      <c r="G9409" s="542"/>
      <c r="H9409" s="543"/>
    </row>
    <row r="9410" spans="1:15">
      <c r="A9410" s="541"/>
      <c r="B9410" s="542"/>
      <c r="C9410" s="542"/>
      <c r="D9410" s="542"/>
      <c r="E9410" s="542"/>
      <c r="F9410" s="542"/>
      <c r="G9410" s="542"/>
      <c r="H9410" s="543"/>
    </row>
    <row r="9411" spans="1:15" ht="15" customHeight="1">
      <c r="A9411" s="541"/>
      <c r="B9411" s="542"/>
      <c r="C9411" s="542"/>
      <c r="D9411" s="542"/>
      <c r="E9411" s="542"/>
      <c r="F9411" s="542"/>
      <c r="G9411" s="542"/>
      <c r="H9411" s="197">
        <f ca="1">TODAY()</f>
        <v>44889</v>
      </c>
      <c r="K9411" t="s">
        <v>4380</v>
      </c>
      <c r="L9411" t="s">
        <v>4381</v>
      </c>
      <c r="M9411" t="s">
        <v>4382</v>
      </c>
      <c r="N9411" t="s">
        <v>4383</v>
      </c>
    </row>
    <row r="9412" spans="1:15" ht="60.75" customHeight="1">
      <c r="A9412" s="209" t="s">
        <v>4211</v>
      </c>
      <c r="B9412" s="544" t="str">
        <f>COSTOS!$D$16</f>
        <v>Luminarias</v>
      </c>
      <c r="C9412" s="544"/>
      <c r="D9412" s="544"/>
      <c r="E9412" s="544"/>
      <c r="F9412" s="544"/>
      <c r="G9412" s="60" t="s">
        <v>4212</v>
      </c>
      <c r="H9412" s="359" t="s">
        <v>4954</v>
      </c>
      <c r="K9412" s="55" t="e">
        <f>H9438</f>
        <v>#VALUE!</v>
      </c>
      <c r="L9412" s="55">
        <f>H9448</f>
        <v>5510.7000000000007</v>
      </c>
      <c r="M9412" s="55" t="e">
        <f>H9421</f>
        <v>#VALUE!</v>
      </c>
      <c r="N9412" s="55" t="e">
        <f>H9442</f>
        <v>#VALUE!</v>
      </c>
    </row>
    <row r="9413" spans="1:15" ht="43.2" customHeight="1">
      <c r="A9413" s="210" t="s">
        <v>4213</v>
      </c>
      <c r="B9413" s="545" t="str">
        <f>VLOOKUP(H9412,COSTOS!C:M,2,0)</f>
        <v>Canalizacion con un ducto 3/4" IMC</v>
      </c>
      <c r="C9413" s="546"/>
      <c r="D9413" s="546"/>
      <c r="E9413" s="547"/>
      <c r="F9413" s="61" t="s">
        <v>0</v>
      </c>
      <c r="G9413" s="328" t="str">
        <f>VLOOKUP(H9412,COSTOS!C:M,8,0)</f>
        <v>Ml</v>
      </c>
      <c r="H9413" s="248"/>
      <c r="I9413" s="278"/>
      <c r="J9413" s="280"/>
      <c r="K9413" s="280"/>
      <c r="L9413" s="280"/>
    </row>
    <row r="9414" spans="1:15">
      <c r="A9414" s="211"/>
      <c r="B9414" s="102"/>
      <c r="C9414" s="102"/>
      <c r="D9414" s="102"/>
      <c r="E9414" s="103"/>
      <c r="F9414" s="104" t="s">
        <v>1</v>
      </c>
      <c r="G9414" s="328">
        <f>VLOOKUP(H9412,COSTOS!C:M,9,0)</f>
        <v>0</v>
      </c>
      <c r="H9414" s="329"/>
      <c r="I9414" s="279"/>
    </row>
    <row r="9415" spans="1:15">
      <c r="A9415" s="212" t="s">
        <v>4215</v>
      </c>
      <c r="B9415" s="65"/>
      <c r="C9415" s="65"/>
      <c r="D9415" s="66"/>
      <c r="E9415" s="190"/>
      <c r="F9415" s="191"/>
      <c r="G9415" s="192" t="s">
        <v>4216</v>
      </c>
      <c r="H9415" s="198" t="e">
        <f>H9421+H9438+H9442+H9448</f>
        <v>#VALUE!</v>
      </c>
    </row>
    <row r="9416" spans="1:15" ht="41.4">
      <c r="A9416" s="548" t="s">
        <v>4213</v>
      </c>
      <c r="B9416" s="548"/>
      <c r="C9416" s="548"/>
      <c r="D9416" s="67" t="s">
        <v>0</v>
      </c>
      <c r="E9416" s="188" t="s">
        <v>4217</v>
      </c>
      <c r="F9416" s="189" t="s">
        <v>4204</v>
      </c>
      <c r="G9416" s="64" t="s">
        <v>2</v>
      </c>
      <c r="H9416" s="199" t="s">
        <v>4218</v>
      </c>
      <c r="K9416" s="281"/>
    </row>
    <row r="9417" spans="1:15">
      <c r="A9417" s="517" t="s">
        <v>3946</v>
      </c>
      <c r="B9417" s="549">
        <f>VLOOKUP(A9417,'Equip, Herr y Transp'!$B$2:$E$738,2,0)</f>
        <v>2</v>
      </c>
      <c r="C9417" s="549"/>
      <c r="D9417" s="85">
        <f>VLOOKUP(A9417,'Equip, Herr y Transp'!$B$2:$E$217,2,0)</f>
        <v>2</v>
      </c>
      <c r="E9417" s="85" t="str">
        <f>VLOOKUP(A9417,'Equip, Herr y Transp'!$B$2:$E$217,3,0)</f>
        <v>EQU</v>
      </c>
      <c r="F9417" s="86">
        <f>H9407</f>
        <v>1.2500000000000001E-2</v>
      </c>
      <c r="G9417" s="112" t="e">
        <f>F9417*E9417</f>
        <v>#VALUE!</v>
      </c>
      <c r="H9417" s="108"/>
    </row>
    <row r="9418" spans="1:15">
      <c r="A9418" s="517" t="s">
        <v>3914</v>
      </c>
      <c r="B9418" s="549">
        <f>VLOOKUP(A9418,'Equip, Herr y Transp'!$B$2:$E$738,2,0)</f>
        <v>2</v>
      </c>
      <c r="C9418" s="549"/>
      <c r="D9418" s="85">
        <f>VLOOKUP(A9418,'Equip, Herr y Transp'!$B$2:$E$217,2,0)</f>
        <v>2</v>
      </c>
      <c r="E9418" s="85" t="str">
        <f>VLOOKUP(A9418,'Equip, Herr y Transp'!$B$2:$E$217,3,0)</f>
        <v>EQU</v>
      </c>
      <c r="F9418" s="86">
        <f>H9407</f>
        <v>1.2500000000000001E-2</v>
      </c>
      <c r="G9418" s="112" t="e">
        <f>F9418*E9418</f>
        <v>#VALUE!</v>
      </c>
      <c r="H9418" s="107"/>
    </row>
    <row r="9419" spans="1:15">
      <c r="A9419" s="517" t="s">
        <v>4142</v>
      </c>
      <c r="B9419" s="549">
        <f>VLOOKUP(A9419,'Equip, Herr y Transp'!$B$2:$E$738,2,0)</f>
        <v>2</v>
      </c>
      <c r="C9419" s="549"/>
      <c r="D9419" s="85">
        <f>VLOOKUP(A9419,'Equip, Herr y Transp'!$B$2:$E$217,2,0)</f>
        <v>2</v>
      </c>
      <c r="E9419" s="85" t="str">
        <f>VLOOKUP(A9419,'Equip, Herr y Transp'!$B$2:$E$217,3,0)</f>
        <v>EQU</v>
      </c>
      <c r="F9419" s="86">
        <f>H9407</f>
        <v>1.2500000000000001E-2</v>
      </c>
      <c r="G9419" s="112" t="e">
        <f>F9419*E9419</f>
        <v>#VALUE!</v>
      </c>
      <c r="H9419" s="107"/>
    </row>
    <row r="9420" spans="1:15">
      <c r="A9420" s="517" t="s">
        <v>3903</v>
      </c>
      <c r="B9420" s="549">
        <f>VLOOKUP(A9420,'Equip, Herr y Transp'!$B$2:$E$738,2,0)</f>
        <v>2</v>
      </c>
      <c r="C9420" s="549"/>
      <c r="D9420" s="85">
        <f>VLOOKUP(A9420,'Equip, Herr y Transp'!$B$2:$E$217,2,0)</f>
        <v>2</v>
      </c>
      <c r="E9420" s="85" t="str">
        <f>VLOOKUP(A9420,'Equip, Herr y Transp'!$B$2:$E$217,3,0)</f>
        <v>EQU</v>
      </c>
      <c r="F9420" s="86">
        <f>H9407</f>
        <v>1.2500000000000001E-2</v>
      </c>
      <c r="G9420" s="112" t="e">
        <f>F9420*E9420</f>
        <v>#VALUE!</v>
      </c>
      <c r="H9420" s="107"/>
    </row>
    <row r="9421" spans="1:15">
      <c r="A9421" s="520" t="s">
        <v>4099</v>
      </c>
      <c r="B9421" s="521"/>
      <c r="C9421" s="521"/>
      <c r="D9421" s="521"/>
      <c r="E9421" s="521"/>
      <c r="F9421" s="521"/>
      <c r="G9421" s="521"/>
      <c r="H9421" s="87" t="e">
        <f>SUM(G9417:G9420)</f>
        <v>#VALUE!</v>
      </c>
    </row>
    <row r="9422" spans="1:15">
      <c r="A9422" s="550" t="s">
        <v>4219</v>
      </c>
      <c r="B9422" s="551"/>
      <c r="C9422" s="551"/>
      <c r="D9422" s="551"/>
      <c r="E9422" s="551"/>
      <c r="F9422" s="551"/>
      <c r="G9422" s="551"/>
      <c r="H9422" s="552"/>
      <c r="K9422" s="50"/>
      <c r="L9422" s="50"/>
      <c r="M9422" s="50"/>
      <c r="N9422" s="50"/>
      <c r="O9422" s="50"/>
    </row>
    <row r="9423" spans="1:15" ht="30" customHeight="1">
      <c r="A9423" s="553" t="s">
        <v>7</v>
      </c>
      <c r="B9423" s="554"/>
      <c r="C9423" s="99" t="s">
        <v>0</v>
      </c>
      <c r="D9423" s="100" t="s">
        <v>4097</v>
      </c>
      <c r="E9423" s="101" t="s">
        <v>1</v>
      </c>
      <c r="F9423" s="555" t="s">
        <v>4207</v>
      </c>
      <c r="G9423" s="555"/>
      <c r="H9423" s="196"/>
      <c r="K9423" s="50"/>
      <c r="L9423" s="50"/>
      <c r="M9423" s="50"/>
      <c r="N9423" s="50"/>
      <c r="O9423" s="50"/>
    </row>
    <row r="9424" spans="1:15">
      <c r="A9424" s="535" t="s">
        <v>4584</v>
      </c>
      <c r="B9424" s="536"/>
      <c r="C9424" s="88">
        <f>VLOOKUP(A9424,'Materiales '!$C$2:$G$396,3,0)</f>
        <v>4</v>
      </c>
      <c r="D9424" s="89" t="str">
        <f>VLOOKUP(A9424,'Materiales '!$C$2:$G$396,4,0)</f>
        <v>Und</v>
      </c>
      <c r="E9424" s="90">
        <v>0.34</v>
      </c>
      <c r="F9424" s="508" t="e">
        <f>E9424*D9424</f>
        <v>#VALUE!</v>
      </c>
      <c r="G9424" s="519"/>
      <c r="H9424" s="111"/>
      <c r="I9424">
        <f>E9424*G9414</f>
        <v>0</v>
      </c>
      <c r="J9424" s="57"/>
      <c r="K9424" s="50"/>
      <c r="L9424" s="50"/>
      <c r="M9424" s="50"/>
      <c r="N9424" s="50"/>
      <c r="O9424" s="50"/>
    </row>
    <row r="9425" spans="1:15">
      <c r="A9425" s="535" t="s">
        <v>4628</v>
      </c>
      <c r="B9425" s="536"/>
      <c r="C9425" s="88">
        <f>VLOOKUP(A9425,'Materiales '!$C$2:$G$396,3,0)</f>
        <v>4</v>
      </c>
      <c r="D9425" s="89" t="str">
        <f>VLOOKUP(A9425,'Materiales '!$C$2:$G$396,4,0)</f>
        <v>Und</v>
      </c>
      <c r="E9425" s="90">
        <v>0.1</v>
      </c>
      <c r="F9425" s="508" t="e">
        <f t="shared" ref="F9425:F9431" si="546">E9425*D9425</f>
        <v>#VALUE!</v>
      </c>
      <c r="G9425" s="519"/>
      <c r="H9425" s="111"/>
      <c r="I9425">
        <f>E9425*G9414</f>
        <v>0</v>
      </c>
      <c r="J9425" s="57"/>
      <c r="K9425" s="50"/>
      <c r="L9425" s="50"/>
      <c r="M9425" s="50"/>
      <c r="N9425" s="50"/>
      <c r="O9425" s="50"/>
    </row>
    <row r="9426" spans="1:15">
      <c r="A9426" s="517" t="s">
        <v>8</v>
      </c>
      <c r="B9426" s="518">
        <f>VLOOKUP(A9426,'Materiales '!$C$2:$G$396,3,0)</f>
        <v>0</v>
      </c>
      <c r="C9426" s="88">
        <f>VLOOKUP(A9426,'Materiales '!$C$2:$G$396,3,0)</f>
        <v>0</v>
      </c>
      <c r="D9426" s="89" t="str">
        <f>VLOOKUP(A9426,'Materiales '!$C$2:$G$396,4,0)</f>
        <v>-</v>
      </c>
      <c r="E9426" s="90">
        <v>0.34</v>
      </c>
      <c r="F9426" s="508" t="e">
        <f t="shared" si="546"/>
        <v>#VALUE!</v>
      </c>
      <c r="G9426" s="519"/>
      <c r="H9426" s="111"/>
      <c r="I9426">
        <f>E9426*G9414</f>
        <v>0</v>
      </c>
      <c r="J9426" s="58"/>
      <c r="K9426" s="50"/>
      <c r="L9426" s="50"/>
      <c r="M9426" s="50"/>
      <c r="N9426" s="50"/>
      <c r="O9426" s="50"/>
    </row>
    <row r="9427" spans="1:15">
      <c r="A9427" s="517" t="s">
        <v>8</v>
      </c>
      <c r="B9427" s="518">
        <f>VLOOKUP(A9427,'Materiales '!$C$2:$G$396,3,0)</f>
        <v>0</v>
      </c>
      <c r="C9427" s="88">
        <f>VLOOKUP(A9427,'Materiales '!$C$2:$G$396,3,0)</f>
        <v>0</v>
      </c>
      <c r="D9427" s="89" t="str">
        <f>VLOOKUP(A9427,'Materiales '!$C$2:$G$396,4,0)</f>
        <v>-</v>
      </c>
      <c r="E9427" s="90">
        <v>0.02</v>
      </c>
      <c r="F9427" s="508" t="e">
        <f t="shared" si="546"/>
        <v>#VALUE!</v>
      </c>
      <c r="G9427" s="519"/>
      <c r="H9427" s="111"/>
      <c r="I9427">
        <f>E9427*G9414</f>
        <v>0</v>
      </c>
      <c r="J9427" s="58"/>
      <c r="K9427" s="50"/>
      <c r="L9427" s="50"/>
      <c r="M9427" s="50"/>
      <c r="N9427" s="50"/>
      <c r="O9427" s="50"/>
    </row>
    <row r="9428" spans="1:15">
      <c r="A9428" s="517" t="s">
        <v>8</v>
      </c>
      <c r="B9428" s="518">
        <f>VLOOKUP(A9428,'Materiales '!$C$2:$G$396,3,0)</f>
        <v>0</v>
      </c>
      <c r="C9428" s="88">
        <f>VLOOKUP(A9428,'Materiales '!$C$2:$G$396,3,0)</f>
        <v>0</v>
      </c>
      <c r="D9428" s="89" t="str">
        <f>VLOOKUP(A9428,'Materiales '!$C$2:$G$396,4,0)</f>
        <v>-</v>
      </c>
      <c r="E9428" s="90">
        <v>0.5</v>
      </c>
      <c r="F9428" s="508" t="e">
        <f t="shared" si="546"/>
        <v>#VALUE!</v>
      </c>
      <c r="G9428" s="519"/>
      <c r="H9428" s="111"/>
      <c r="I9428">
        <f>E9428*G9414</f>
        <v>0</v>
      </c>
      <c r="J9428" s="58"/>
      <c r="K9428" s="50"/>
      <c r="L9428" s="50"/>
      <c r="M9428" s="50"/>
      <c r="N9428" s="50"/>
      <c r="O9428" s="50"/>
    </row>
    <row r="9429" spans="1:15">
      <c r="A9429" s="517" t="s">
        <v>8</v>
      </c>
      <c r="B9429" s="518">
        <f>VLOOKUP(A9429,'Materiales '!$C$2:$G$396,3,0)</f>
        <v>0</v>
      </c>
      <c r="C9429" s="88">
        <f>VLOOKUP(A9429,'Materiales '!$C$2:$G$396,3,0)</f>
        <v>0</v>
      </c>
      <c r="D9429" s="89" t="str">
        <f>VLOOKUP(A9429,'Materiales '!$C$2:$G$396,4,0)</f>
        <v>-</v>
      </c>
      <c r="E9429" s="90">
        <v>1</v>
      </c>
      <c r="F9429" s="508" t="e">
        <f t="shared" si="546"/>
        <v>#VALUE!</v>
      </c>
      <c r="G9429" s="519"/>
      <c r="H9429" s="111"/>
      <c r="I9429">
        <f>E9429*G9414</f>
        <v>0</v>
      </c>
      <c r="J9429" s="58"/>
      <c r="K9429" s="50"/>
      <c r="L9429" s="50"/>
      <c r="M9429" s="50"/>
      <c r="N9429" s="50"/>
      <c r="O9429" s="50"/>
    </row>
    <row r="9430" spans="1:15">
      <c r="A9430" s="517" t="s">
        <v>8</v>
      </c>
      <c r="B9430" s="518">
        <f>VLOOKUP(A9430,'Materiales '!$C$2:$G$396,3,0)</f>
        <v>0</v>
      </c>
      <c r="C9430" s="88">
        <f>VLOOKUP(A9430,'Materiales '!$C$2:$G$396,3,0)</f>
        <v>0</v>
      </c>
      <c r="D9430" s="89" t="str">
        <f>VLOOKUP(A9430,'Materiales '!$C$2:$G$396,4,0)</f>
        <v>-</v>
      </c>
      <c r="E9430" s="90">
        <v>1</v>
      </c>
      <c r="F9430" s="508" t="e">
        <f t="shared" si="546"/>
        <v>#VALUE!</v>
      </c>
      <c r="G9430" s="519"/>
      <c r="H9430" s="111"/>
      <c r="I9430">
        <f>E9430*G9414</f>
        <v>0</v>
      </c>
      <c r="J9430" s="58"/>
      <c r="K9430" s="50"/>
      <c r="L9430" s="50"/>
      <c r="M9430" s="50"/>
      <c r="N9430" s="50"/>
      <c r="O9430" s="50"/>
    </row>
    <row r="9431" spans="1:15" ht="21.75" customHeight="1">
      <c r="A9431" s="517" t="s">
        <v>8</v>
      </c>
      <c r="B9431" s="518">
        <f>VLOOKUP(A9431,'Materiales '!$C$2:$G$396,3,0)</f>
        <v>0</v>
      </c>
      <c r="C9431" s="88">
        <f>VLOOKUP(A9431,'Materiales '!$C$2:$G$396,3,0)</f>
        <v>0</v>
      </c>
      <c r="D9431" s="89" t="str">
        <f>VLOOKUP(A9431,'Materiales '!$C$2:$G$396,4,0)</f>
        <v>-</v>
      </c>
      <c r="E9431" s="90"/>
      <c r="F9431" s="508" t="e">
        <f t="shared" si="546"/>
        <v>#VALUE!</v>
      </c>
      <c r="G9431" s="519"/>
      <c r="H9431" s="111"/>
      <c r="I9431">
        <f>E9431*G9414</f>
        <v>0</v>
      </c>
      <c r="J9431" s="58"/>
      <c r="K9431" s="50"/>
      <c r="L9431" s="50"/>
      <c r="M9431" s="50"/>
      <c r="N9431" s="50"/>
      <c r="O9431" s="50"/>
    </row>
    <row r="9432" spans="1:15">
      <c r="A9432" s="517" t="s">
        <v>8</v>
      </c>
      <c r="B9432" s="518">
        <f>VLOOKUP(A9432,'Materiales '!$C$2:$G$396,3,0)</f>
        <v>0</v>
      </c>
      <c r="C9432" s="88">
        <f>VLOOKUP(A9432,'Materiales '!$C$2:$G$396,3,0)</f>
        <v>0</v>
      </c>
      <c r="D9432" s="89" t="str">
        <f>VLOOKUP(A9432,'Materiales '!$C$2:$G$396,4,0)</f>
        <v>-</v>
      </c>
      <c r="E9432" s="90"/>
      <c r="F9432" s="508" t="e">
        <f>E9432*D9432</f>
        <v>#VALUE!</v>
      </c>
      <c r="G9432" s="519"/>
      <c r="H9432" s="110"/>
      <c r="I9432">
        <f>E9432*G9414</f>
        <v>0</v>
      </c>
      <c r="J9432" s="58"/>
      <c r="K9432" s="50"/>
      <c r="L9432" s="50"/>
      <c r="M9432" s="50"/>
      <c r="N9432" s="50"/>
      <c r="O9432" s="50"/>
    </row>
    <row r="9433" spans="1:15">
      <c r="A9433" s="517" t="s">
        <v>8</v>
      </c>
      <c r="B9433" s="518">
        <f>VLOOKUP(A9433,'Materiales '!$C$2:$G$396,3,0)</f>
        <v>0</v>
      </c>
      <c r="C9433" s="88">
        <f>VLOOKUP(A9433,'Materiales '!$C$2:$G$396,3,0)</f>
        <v>0</v>
      </c>
      <c r="D9433" s="89" t="str">
        <f>VLOOKUP(A9433,'Materiales '!$C$2:$G$396,4,0)</f>
        <v>-</v>
      </c>
      <c r="E9433" s="90"/>
      <c r="F9433" s="508" t="e">
        <f t="shared" ref="F9433:F9436" si="547">E9433*D9433</f>
        <v>#VALUE!</v>
      </c>
      <c r="G9433" s="519"/>
      <c r="H9433" s="111"/>
      <c r="I9433">
        <f>E9433*G9414</f>
        <v>0</v>
      </c>
      <c r="J9433" s="58"/>
      <c r="K9433" s="50"/>
      <c r="L9433" s="50"/>
      <c r="M9433" s="50"/>
      <c r="N9433" s="50"/>
      <c r="O9433" s="50"/>
    </row>
    <row r="9434" spans="1:15">
      <c r="A9434" s="517" t="s">
        <v>8</v>
      </c>
      <c r="B9434" s="518">
        <f>VLOOKUP(A9434,'Materiales '!$C$2:$G$396,3,0)</f>
        <v>0</v>
      </c>
      <c r="C9434" s="88">
        <f>VLOOKUP(A9434,'Materiales '!$C$2:$G$396,3,0)</f>
        <v>0</v>
      </c>
      <c r="D9434" s="89" t="str">
        <f>VLOOKUP(A9434,'Materiales '!$C$2:$G$396,4,0)</f>
        <v>-</v>
      </c>
      <c r="E9434" s="90"/>
      <c r="F9434" s="508" t="e">
        <f t="shared" si="547"/>
        <v>#VALUE!</v>
      </c>
      <c r="G9434" s="519"/>
      <c r="H9434" s="111"/>
      <c r="I9434">
        <f>E9434*G9414</f>
        <v>0</v>
      </c>
      <c r="J9434" s="58"/>
      <c r="K9434" s="50"/>
      <c r="L9434" s="50"/>
      <c r="M9434" s="50"/>
      <c r="N9434" s="50"/>
      <c r="O9434" s="50"/>
    </row>
    <row r="9435" spans="1:15">
      <c r="A9435" s="517" t="s">
        <v>8</v>
      </c>
      <c r="B9435" s="518">
        <f>VLOOKUP(A9435,'Materiales '!$C$2:$G$396,3,0)</f>
        <v>0</v>
      </c>
      <c r="C9435" s="88">
        <f>VLOOKUP(A9435,'Materiales '!$C$2:$G$396,3,0)</f>
        <v>0</v>
      </c>
      <c r="D9435" s="89" t="str">
        <f>VLOOKUP(A9435,'Materiales '!$C$2:$G$396,4,0)</f>
        <v>-</v>
      </c>
      <c r="E9435" s="90"/>
      <c r="F9435" s="508" t="e">
        <f t="shared" si="547"/>
        <v>#VALUE!</v>
      </c>
      <c r="G9435" s="519"/>
      <c r="H9435" s="111"/>
      <c r="I9435">
        <f>E9435*G9414</f>
        <v>0</v>
      </c>
      <c r="J9435" s="58"/>
      <c r="K9435" s="50"/>
      <c r="L9435" s="50"/>
      <c r="M9435" s="50"/>
      <c r="N9435" s="50"/>
      <c r="O9435" s="50"/>
    </row>
    <row r="9436" spans="1:15">
      <c r="A9436" s="517" t="s">
        <v>8</v>
      </c>
      <c r="B9436" s="518">
        <f>VLOOKUP(A9436,'Materiales '!$C$2:$G$396,3,0)</f>
        <v>0</v>
      </c>
      <c r="C9436" s="88">
        <f>VLOOKUP(A9436,'Materiales '!$C$2:$G$396,3,0)</f>
        <v>0</v>
      </c>
      <c r="D9436" s="89" t="str">
        <f>VLOOKUP(A9436,'Materiales '!$C$2:$G$396,4,0)</f>
        <v>-</v>
      </c>
      <c r="E9436" s="90"/>
      <c r="F9436" s="508" t="e">
        <f t="shared" si="547"/>
        <v>#VALUE!</v>
      </c>
      <c r="G9436" s="519"/>
      <c r="H9436" s="111"/>
      <c r="I9436">
        <f>E9436*G9414</f>
        <v>0</v>
      </c>
      <c r="J9436" s="58"/>
      <c r="K9436" s="50"/>
      <c r="L9436" s="50"/>
      <c r="M9436" s="50"/>
      <c r="N9436" s="50"/>
      <c r="O9436" s="50"/>
    </row>
    <row r="9437" spans="1:15">
      <c r="A9437" s="517" t="s">
        <v>8</v>
      </c>
      <c r="B9437" s="518">
        <f>VLOOKUP(A9437,'Materiales '!$C$2:$G$396,3,0)</f>
        <v>0</v>
      </c>
      <c r="C9437" s="88">
        <f>VLOOKUP(A9437,'Materiales '!$C$2:$G$396,3,0)</f>
        <v>0</v>
      </c>
      <c r="D9437" s="89" t="str">
        <f>VLOOKUP(A9437,'Materiales '!$C$2:$G$396,4,0)</f>
        <v>-</v>
      </c>
      <c r="E9437" s="90"/>
      <c r="F9437" s="508" t="e">
        <f>E9437*D9437</f>
        <v>#VALUE!</v>
      </c>
      <c r="G9437" s="519"/>
      <c r="H9437" s="110"/>
      <c r="I9437">
        <f>E9437*G9414</f>
        <v>0</v>
      </c>
      <c r="J9437" s="58"/>
      <c r="K9437" s="50"/>
      <c r="L9437" s="50"/>
      <c r="M9437" s="50"/>
      <c r="N9437" s="50"/>
      <c r="O9437" s="50"/>
    </row>
    <row r="9438" spans="1:15">
      <c r="A9438" s="520" t="s">
        <v>4098</v>
      </c>
      <c r="B9438" s="521"/>
      <c r="C9438" s="521"/>
      <c r="D9438" s="521"/>
      <c r="E9438" s="521"/>
      <c r="F9438" s="521"/>
      <c r="G9438" s="522"/>
      <c r="H9438" s="106" t="e">
        <f>SUM(F9424:F9437)</f>
        <v>#VALUE!</v>
      </c>
      <c r="J9438" s="58"/>
      <c r="K9438" s="50"/>
      <c r="L9438" s="50"/>
      <c r="M9438" s="50"/>
      <c r="N9438" s="50"/>
      <c r="O9438" s="50"/>
    </row>
    <row r="9439" spans="1:15">
      <c r="A9439" s="523" t="s">
        <v>4220</v>
      </c>
      <c r="B9439" s="524"/>
      <c r="C9439" s="524"/>
      <c r="D9439" s="524"/>
      <c r="E9439" s="525"/>
      <c r="F9439" s="524"/>
      <c r="G9439" s="524"/>
      <c r="H9439" s="526"/>
      <c r="J9439" s="58"/>
      <c r="K9439" s="50"/>
      <c r="L9439" s="50"/>
      <c r="M9439" s="50"/>
      <c r="N9439" s="50"/>
      <c r="O9439" s="50"/>
    </row>
    <row r="9440" spans="1:15">
      <c r="A9440" s="527" t="s">
        <v>7</v>
      </c>
      <c r="B9440" s="528"/>
      <c r="C9440" s="98" t="s">
        <v>4221</v>
      </c>
      <c r="D9440" s="97" t="s">
        <v>4222</v>
      </c>
      <c r="E9440" s="187" t="s">
        <v>4223</v>
      </c>
      <c r="F9440" s="529" t="s">
        <v>4207</v>
      </c>
      <c r="G9440" s="529"/>
      <c r="H9440" s="109"/>
      <c r="K9440" s="50"/>
      <c r="L9440" s="50"/>
      <c r="M9440" s="50"/>
      <c r="N9440" s="50"/>
      <c r="O9440" s="50"/>
    </row>
    <row r="9441" spans="1:13">
      <c r="A9441" s="506" t="s">
        <v>3928</v>
      </c>
      <c r="B9441" s="507"/>
      <c r="C9441" s="213">
        <v>1</v>
      </c>
      <c r="D9441" s="92">
        <v>8.0000000000000002E-3</v>
      </c>
      <c r="E9441" s="93" t="str">
        <f>VLOOKUP(A9441,'Equip, Herr y Transp'!$B$2:$E$217,3,0)</f>
        <v>TR</v>
      </c>
      <c r="F9441" s="530" t="e">
        <f>E9441*D9441*C9441</f>
        <v>#VALUE!</v>
      </c>
      <c r="G9441" s="531"/>
      <c r="H9441" s="107"/>
      <c r="M9441" s="50"/>
    </row>
    <row r="9442" spans="1:13">
      <c r="A9442" s="532" t="s">
        <v>4205</v>
      </c>
      <c r="B9442" s="533"/>
      <c r="C9442" s="533"/>
      <c r="D9442" s="533"/>
      <c r="E9442" s="533"/>
      <c r="F9442" s="533"/>
      <c r="G9442" s="533"/>
      <c r="H9442" s="95" t="e">
        <f>F9441</f>
        <v>#VALUE!</v>
      </c>
    </row>
    <row r="9443" spans="1:13">
      <c r="A9443" s="523" t="s">
        <v>4224</v>
      </c>
      <c r="B9443" s="524"/>
      <c r="C9443" s="524"/>
      <c r="D9443" s="524"/>
      <c r="E9443" s="524"/>
      <c r="F9443" s="524"/>
      <c r="G9443" s="524"/>
      <c r="H9443" s="526"/>
    </row>
    <row r="9444" spans="1:13">
      <c r="A9444" s="527" t="s">
        <v>7</v>
      </c>
      <c r="B9444" s="528"/>
      <c r="C9444" s="96" t="s">
        <v>1</v>
      </c>
      <c r="D9444" s="97" t="s">
        <v>4225</v>
      </c>
      <c r="E9444" s="98" t="s">
        <v>4204</v>
      </c>
      <c r="F9444" s="527" t="s">
        <v>5</v>
      </c>
      <c r="G9444" s="534"/>
      <c r="H9444" s="109"/>
    </row>
    <row r="9445" spans="1:13">
      <c r="A9445" s="506" t="s">
        <v>4191</v>
      </c>
      <c r="B9445" s="507"/>
      <c r="C9445" s="91">
        <v>1</v>
      </c>
      <c r="D9445" s="94">
        <f>VLOOKUP(A9445,'Mano Obra'!$B$2:$T$117,19,0)</f>
        <v>152456</v>
      </c>
      <c r="E9445" s="218">
        <f>H9407</f>
        <v>1.2500000000000001E-2</v>
      </c>
      <c r="F9445" s="508">
        <f>E9445*D9445*C9445</f>
        <v>1905.7</v>
      </c>
      <c r="G9445" s="509"/>
      <c r="H9445" s="111"/>
      <c r="I9445" s="59"/>
      <c r="J9445" s="117">
        <f>((('Mano Obra'!$M$4/30)*F9445)/D9445)*G9414</f>
        <v>0</v>
      </c>
    </row>
    <row r="9446" spans="1:13">
      <c r="A9446" s="510" t="s">
        <v>4192</v>
      </c>
      <c r="B9446" s="511">
        <f>VLOOKUP(A9446,'Mano Obra'!$B$3:$D$290,2,0)</f>
        <v>1900000</v>
      </c>
      <c r="C9446" s="91">
        <v>2</v>
      </c>
      <c r="D9446" s="94">
        <f>VLOOKUP(A9446,'Mano Obra'!$B$2:$T$117,19,0)</f>
        <v>110488</v>
      </c>
      <c r="E9446" s="218">
        <f>H9407</f>
        <v>1.2500000000000001E-2</v>
      </c>
      <c r="F9446" s="508">
        <f t="shared" ref="F9446:F9447" si="548">E9446*D9446*C9446</f>
        <v>2762.2000000000003</v>
      </c>
      <c r="G9446" s="509"/>
      <c r="H9446" s="111"/>
      <c r="J9446" s="117">
        <f>((('Mano Obra'!$M$5/30)*F9446)/D9446)*G9414</f>
        <v>0</v>
      </c>
    </row>
    <row r="9447" spans="1:13">
      <c r="A9447" s="510" t="s">
        <v>4181</v>
      </c>
      <c r="B9447" s="511">
        <f>VLOOKUP(A9447,'Mano Obra'!$B$3:$D$290,2,0)</f>
        <v>1000000</v>
      </c>
      <c r="C9447" s="91">
        <v>1</v>
      </c>
      <c r="D9447" s="94">
        <f>VLOOKUP(A9447,'Mano Obra'!$B$2:$T$117,19,0)</f>
        <v>67424</v>
      </c>
      <c r="E9447" s="218">
        <f>H9407</f>
        <v>1.2500000000000001E-2</v>
      </c>
      <c r="F9447" s="508">
        <f t="shared" si="548"/>
        <v>842.80000000000007</v>
      </c>
      <c r="G9447" s="509"/>
      <c r="H9447" s="110"/>
      <c r="J9447" s="117">
        <f>((('Mano Obra'!$M$6/30)*F9447)/D9447)*G9414</f>
        <v>0</v>
      </c>
    </row>
    <row r="9448" spans="1:13">
      <c r="A9448" s="512" t="s">
        <v>4100</v>
      </c>
      <c r="B9448" s="512"/>
      <c r="C9448" s="512"/>
      <c r="D9448" s="512"/>
      <c r="E9448" s="512"/>
      <c r="F9448" s="512"/>
      <c r="G9448" s="512"/>
      <c r="H9448" s="95">
        <f>SUM(F9445:F9447)</f>
        <v>5510.7000000000007</v>
      </c>
      <c r="J9448" s="117"/>
    </row>
    <row r="9449" spans="1:13">
      <c r="A9449" s="208" t="s">
        <v>4226</v>
      </c>
      <c r="B9449" s="186"/>
      <c r="C9449" s="186"/>
      <c r="D9449" s="183"/>
      <c r="E9449" s="184"/>
      <c r="F9449" s="185"/>
      <c r="G9449" s="184"/>
      <c r="H9449" s="193"/>
    </row>
    <row r="9450" spans="1:13">
      <c r="A9450" s="513" t="s">
        <v>4213</v>
      </c>
      <c r="B9450" s="514"/>
      <c r="C9450" s="514"/>
      <c r="D9450" s="514"/>
      <c r="E9450" s="181"/>
      <c r="F9450" s="182" t="s">
        <v>4227</v>
      </c>
      <c r="G9450" s="181" t="s">
        <v>4228</v>
      </c>
      <c r="H9450" s="194"/>
    </row>
    <row r="9451" spans="1:13">
      <c r="A9451" s="204" t="s">
        <v>4096</v>
      </c>
      <c r="B9451" s="62"/>
      <c r="C9451" s="62"/>
      <c r="D9451" s="63"/>
      <c r="E9451" s="68"/>
      <c r="F9451" s="69">
        <v>0</v>
      </c>
      <c r="G9451" s="70" t="e">
        <f>F9451*H9415</f>
        <v>#VALUE!</v>
      </c>
      <c r="H9451" s="193"/>
    </row>
    <row r="9452" spans="1:13">
      <c r="A9452" s="205" t="s">
        <v>4229</v>
      </c>
      <c r="B9452" s="71"/>
      <c r="C9452" s="71"/>
      <c r="D9452" s="72"/>
      <c r="E9452" s="68"/>
      <c r="F9452" s="69">
        <v>0</v>
      </c>
      <c r="G9452" s="70" t="e">
        <f>F9452*H9415</f>
        <v>#VALUE!</v>
      </c>
      <c r="H9452" s="193"/>
    </row>
    <row r="9453" spans="1:13">
      <c r="A9453" s="205" t="s">
        <v>4</v>
      </c>
      <c r="B9453" s="71"/>
      <c r="C9453" s="71"/>
      <c r="D9453" s="72"/>
      <c r="E9453" s="68"/>
      <c r="F9453" s="69">
        <v>0</v>
      </c>
      <c r="G9453" s="70" t="e">
        <f>F9453*H9415</f>
        <v>#VALUE!</v>
      </c>
      <c r="H9453" s="193"/>
    </row>
    <row r="9454" spans="1:13">
      <c r="A9454" s="206"/>
      <c r="B9454" s="73"/>
      <c r="C9454" s="65"/>
      <c r="D9454" s="74"/>
      <c r="E9454" s="75"/>
      <c r="F9454" s="76"/>
      <c r="G9454" s="77"/>
      <c r="H9454" s="195"/>
    </row>
    <row r="9455" spans="1:13">
      <c r="A9455" s="207"/>
      <c r="B9455" s="73"/>
      <c r="C9455" s="73"/>
      <c r="D9455" s="74"/>
      <c r="E9455" s="78"/>
      <c r="F9455" s="515" t="s">
        <v>4230</v>
      </c>
      <c r="G9455" s="516"/>
      <c r="H9455" s="214" t="e">
        <f>H9415+G9451+G9452+G9453</f>
        <v>#VALUE!</v>
      </c>
    </row>
    <row r="9457" spans="1:14">
      <c r="A9457" s="80"/>
      <c r="B9457" s="80"/>
      <c r="C9457" s="80"/>
      <c r="D9457" s="80"/>
      <c r="E9457" s="80"/>
      <c r="F9457" s="80"/>
      <c r="G9457" s="80"/>
      <c r="H9457" s="353"/>
    </row>
    <row r="9458" spans="1:14">
      <c r="A9458" s="537" t="s">
        <v>4214</v>
      </c>
      <c r="B9458" s="538"/>
      <c r="C9458" s="538"/>
      <c r="D9458" s="538"/>
      <c r="E9458" s="538"/>
      <c r="F9458" s="538"/>
      <c r="G9458" s="538"/>
      <c r="H9458" s="539"/>
    </row>
    <row r="9459" spans="1:14">
      <c r="A9459" s="81"/>
      <c r="B9459" s="82"/>
      <c r="C9459" s="82"/>
      <c r="D9459" s="82"/>
      <c r="E9459" s="82"/>
      <c r="F9459" s="83"/>
      <c r="G9459" s="84"/>
      <c r="H9459" s="352">
        <f>ROUND((6/60)/8,4)</f>
        <v>1.2500000000000001E-2</v>
      </c>
      <c r="I9459" s="105"/>
    </row>
    <row r="9460" spans="1:14">
      <c r="A9460" s="540" t="s">
        <v>4209</v>
      </c>
      <c r="B9460" s="542" t="str">
        <f>COSTOS!$C$14</f>
        <v>MODERNIZACION A TECNOLOGIA LED</v>
      </c>
      <c r="C9460" s="542"/>
      <c r="D9460" s="542"/>
      <c r="E9460" s="542"/>
      <c r="F9460" s="542"/>
      <c r="G9460" s="542"/>
      <c r="H9460" s="543" t="s">
        <v>4210</v>
      </c>
    </row>
    <row r="9461" spans="1:14">
      <c r="A9461" s="541"/>
      <c r="B9461" s="542"/>
      <c r="C9461" s="542"/>
      <c r="D9461" s="542"/>
      <c r="E9461" s="542"/>
      <c r="F9461" s="542"/>
      <c r="G9461" s="542"/>
      <c r="H9461" s="543"/>
    </row>
    <row r="9462" spans="1:14">
      <c r="A9462" s="541"/>
      <c r="B9462" s="542"/>
      <c r="C9462" s="542"/>
      <c r="D9462" s="542"/>
      <c r="E9462" s="542"/>
      <c r="F9462" s="542"/>
      <c r="G9462" s="542"/>
      <c r="H9462" s="543"/>
    </row>
    <row r="9463" spans="1:14" ht="15" customHeight="1">
      <c r="A9463" s="541"/>
      <c r="B9463" s="542"/>
      <c r="C9463" s="542"/>
      <c r="D9463" s="542"/>
      <c r="E9463" s="542"/>
      <c r="F9463" s="542"/>
      <c r="G9463" s="542"/>
      <c r="H9463" s="197">
        <f ca="1">TODAY()</f>
        <v>44889</v>
      </c>
      <c r="K9463" t="s">
        <v>4380</v>
      </c>
      <c r="L9463" t="s">
        <v>4381</v>
      </c>
      <c r="M9463" t="s">
        <v>4382</v>
      </c>
      <c r="N9463" t="s">
        <v>4383</v>
      </c>
    </row>
    <row r="9464" spans="1:14" ht="60.75" customHeight="1">
      <c r="A9464" s="209" t="s">
        <v>4211</v>
      </c>
      <c r="B9464" s="544" t="str">
        <f>COSTOS!$D$16</f>
        <v>Luminarias</v>
      </c>
      <c r="C9464" s="544"/>
      <c r="D9464" s="544"/>
      <c r="E9464" s="544"/>
      <c r="F9464" s="544"/>
      <c r="G9464" s="60" t="s">
        <v>4212</v>
      </c>
      <c r="H9464" s="359">
        <v>7.11</v>
      </c>
      <c r="K9464" s="55" t="e">
        <f>H9490</f>
        <v>#VALUE!</v>
      </c>
      <c r="L9464" s="55">
        <f>H9500</f>
        <v>5510.7000000000007</v>
      </c>
      <c r="M9464" s="55" t="e">
        <f>H9473</f>
        <v>#VALUE!</v>
      </c>
      <c r="N9464" s="55" t="e">
        <f>H9494</f>
        <v>#VALUE!</v>
      </c>
    </row>
    <row r="9465" spans="1:14" ht="43.2" customHeight="1">
      <c r="A9465" s="210" t="s">
        <v>4213</v>
      </c>
      <c r="B9465" s="545" t="str">
        <f>VLOOKUP(H9464,COSTOS!C:M,2,0)</f>
        <v>Canalizacion con un ducto 2" IMC</v>
      </c>
      <c r="C9465" s="546"/>
      <c r="D9465" s="546"/>
      <c r="E9465" s="547"/>
      <c r="F9465" s="61" t="s">
        <v>0</v>
      </c>
      <c r="G9465" s="328" t="str">
        <f>VLOOKUP(H9464,COSTOS!C:M,8,0)</f>
        <v>Ml</v>
      </c>
      <c r="H9465" s="248"/>
      <c r="I9465" s="278"/>
      <c r="J9465" s="280"/>
      <c r="K9465" s="280"/>
      <c r="L9465" s="280"/>
    </row>
    <row r="9466" spans="1:14">
      <c r="A9466" s="211"/>
      <c r="B9466" s="102"/>
      <c r="C9466" s="102"/>
      <c r="D9466" s="102"/>
      <c r="E9466" s="103"/>
      <c r="F9466" s="104" t="s">
        <v>1</v>
      </c>
      <c r="G9466" s="328">
        <f>VLOOKUP(H9464,COSTOS!C:M,9,0)</f>
        <v>0</v>
      </c>
      <c r="H9466" s="329"/>
      <c r="I9466" s="279"/>
    </row>
    <row r="9467" spans="1:14">
      <c r="A9467" s="212" t="s">
        <v>4215</v>
      </c>
      <c r="B9467" s="65"/>
      <c r="C9467" s="65"/>
      <c r="D9467" s="66"/>
      <c r="E9467" s="190"/>
      <c r="F9467" s="191"/>
      <c r="G9467" s="192" t="s">
        <v>4216</v>
      </c>
      <c r="H9467" s="198" t="e">
        <f>H9473+H9490+H9494+H9500</f>
        <v>#VALUE!</v>
      </c>
    </row>
    <row r="9468" spans="1:14" ht="41.4">
      <c r="A9468" s="548" t="s">
        <v>4213</v>
      </c>
      <c r="B9468" s="548"/>
      <c r="C9468" s="548"/>
      <c r="D9468" s="67" t="s">
        <v>0</v>
      </c>
      <c r="E9468" s="188" t="s">
        <v>4217</v>
      </c>
      <c r="F9468" s="189" t="s">
        <v>4204</v>
      </c>
      <c r="G9468" s="64" t="s">
        <v>2</v>
      </c>
      <c r="H9468" s="199" t="s">
        <v>4218</v>
      </c>
      <c r="K9468" s="281"/>
    </row>
    <row r="9469" spans="1:14">
      <c r="A9469" s="517" t="s">
        <v>3946</v>
      </c>
      <c r="B9469" s="549">
        <f>VLOOKUP(A9469,'Equip, Herr y Transp'!$B$2:$E$738,2,0)</f>
        <v>2</v>
      </c>
      <c r="C9469" s="549"/>
      <c r="D9469" s="85">
        <f>VLOOKUP(A9469,'Equip, Herr y Transp'!$B$2:$E$217,2,0)</f>
        <v>2</v>
      </c>
      <c r="E9469" s="85" t="str">
        <f>VLOOKUP(A9469,'Equip, Herr y Transp'!$B$2:$E$217,3,0)</f>
        <v>EQU</v>
      </c>
      <c r="F9469" s="86">
        <f>H9459</f>
        <v>1.2500000000000001E-2</v>
      </c>
      <c r="G9469" s="112" t="e">
        <f>F9469*E9469</f>
        <v>#VALUE!</v>
      </c>
      <c r="H9469" s="108"/>
    </row>
    <row r="9470" spans="1:14">
      <c r="A9470" s="517" t="s">
        <v>3914</v>
      </c>
      <c r="B9470" s="549">
        <f>VLOOKUP(A9470,'Equip, Herr y Transp'!$B$2:$E$738,2,0)</f>
        <v>2</v>
      </c>
      <c r="C9470" s="549"/>
      <c r="D9470" s="85">
        <f>VLOOKUP(A9470,'Equip, Herr y Transp'!$B$2:$E$217,2,0)</f>
        <v>2</v>
      </c>
      <c r="E9470" s="85" t="str">
        <f>VLOOKUP(A9470,'Equip, Herr y Transp'!$B$2:$E$217,3,0)</f>
        <v>EQU</v>
      </c>
      <c r="F9470" s="86">
        <f>H9459</f>
        <v>1.2500000000000001E-2</v>
      </c>
      <c r="G9470" s="112" t="e">
        <f>F9470*E9470</f>
        <v>#VALUE!</v>
      </c>
      <c r="H9470" s="107"/>
    </row>
    <row r="9471" spans="1:14">
      <c r="A9471" s="517" t="s">
        <v>4142</v>
      </c>
      <c r="B9471" s="549">
        <f>VLOOKUP(A9471,'Equip, Herr y Transp'!$B$2:$E$738,2,0)</f>
        <v>2</v>
      </c>
      <c r="C9471" s="549"/>
      <c r="D9471" s="85">
        <f>VLOOKUP(A9471,'Equip, Herr y Transp'!$B$2:$E$217,2,0)</f>
        <v>2</v>
      </c>
      <c r="E9471" s="85" t="str">
        <f>VLOOKUP(A9471,'Equip, Herr y Transp'!$B$2:$E$217,3,0)</f>
        <v>EQU</v>
      </c>
      <c r="F9471" s="86">
        <f>H9459</f>
        <v>1.2500000000000001E-2</v>
      </c>
      <c r="G9471" s="112" t="e">
        <f>F9471*E9471</f>
        <v>#VALUE!</v>
      </c>
      <c r="H9471" s="107"/>
    </row>
    <row r="9472" spans="1:14">
      <c r="A9472" s="517" t="s">
        <v>3903</v>
      </c>
      <c r="B9472" s="549">
        <f>VLOOKUP(A9472,'Equip, Herr y Transp'!$B$2:$E$738,2,0)</f>
        <v>2</v>
      </c>
      <c r="C9472" s="549"/>
      <c r="D9472" s="85">
        <f>VLOOKUP(A9472,'Equip, Herr y Transp'!$B$2:$E$217,2,0)</f>
        <v>2</v>
      </c>
      <c r="E9472" s="85" t="str">
        <f>VLOOKUP(A9472,'Equip, Herr y Transp'!$B$2:$E$217,3,0)</f>
        <v>EQU</v>
      </c>
      <c r="F9472" s="86">
        <f>H9459</f>
        <v>1.2500000000000001E-2</v>
      </c>
      <c r="G9472" s="112" t="e">
        <f>F9472*E9472</f>
        <v>#VALUE!</v>
      </c>
      <c r="H9472" s="107"/>
    </row>
    <row r="9473" spans="1:15">
      <c r="A9473" s="520" t="s">
        <v>4099</v>
      </c>
      <c r="B9473" s="521"/>
      <c r="C9473" s="521"/>
      <c r="D9473" s="521"/>
      <c r="E9473" s="521"/>
      <c r="F9473" s="521"/>
      <c r="G9473" s="521"/>
      <c r="H9473" s="87" t="e">
        <f>SUM(G9469:G9472)</f>
        <v>#VALUE!</v>
      </c>
    </row>
    <row r="9474" spans="1:15">
      <c r="A9474" s="550" t="s">
        <v>4219</v>
      </c>
      <c r="B9474" s="551"/>
      <c r="C9474" s="551"/>
      <c r="D9474" s="551"/>
      <c r="E9474" s="551"/>
      <c r="F9474" s="551"/>
      <c r="G9474" s="551"/>
      <c r="H9474" s="552"/>
      <c r="K9474" s="50"/>
      <c r="L9474" s="50"/>
      <c r="M9474" s="50"/>
      <c r="N9474" s="50"/>
      <c r="O9474" s="50"/>
    </row>
    <row r="9475" spans="1:15" ht="30" customHeight="1">
      <c r="A9475" s="553" t="s">
        <v>7</v>
      </c>
      <c r="B9475" s="554"/>
      <c r="C9475" s="99" t="s">
        <v>0</v>
      </c>
      <c r="D9475" s="100" t="s">
        <v>4097</v>
      </c>
      <c r="E9475" s="101" t="s">
        <v>1</v>
      </c>
      <c r="F9475" s="555" t="s">
        <v>4207</v>
      </c>
      <c r="G9475" s="555"/>
      <c r="H9475" s="196"/>
      <c r="K9475" s="50"/>
      <c r="L9475" s="50"/>
      <c r="M9475" s="50"/>
      <c r="N9475" s="50"/>
      <c r="O9475" s="50"/>
    </row>
    <row r="9476" spans="1:15">
      <c r="A9476" s="535" t="s">
        <v>4581</v>
      </c>
      <c r="B9476" s="536"/>
      <c r="C9476" s="88">
        <f>VLOOKUP(A9476,'Materiales '!$C$2:$G$396,3,0)</f>
        <v>4</v>
      </c>
      <c r="D9476" s="89" t="str">
        <f>VLOOKUP(A9476,'Materiales '!$C$2:$G$396,4,0)</f>
        <v>Und</v>
      </c>
      <c r="E9476" s="90">
        <v>0.34</v>
      </c>
      <c r="F9476" s="508" t="e">
        <f>E9476*D9476</f>
        <v>#VALUE!</v>
      </c>
      <c r="G9476" s="519"/>
      <c r="H9476" s="111"/>
      <c r="I9476">
        <f>E9476*G9466</f>
        <v>0</v>
      </c>
      <c r="J9476" s="57"/>
      <c r="K9476" s="50"/>
      <c r="L9476" s="50"/>
      <c r="M9476" s="50"/>
      <c r="N9476" s="50"/>
      <c r="O9476" s="50"/>
    </row>
    <row r="9477" spans="1:15">
      <c r="A9477" s="535" t="s">
        <v>4628</v>
      </c>
      <c r="B9477" s="536"/>
      <c r="C9477" s="88">
        <f>VLOOKUP(A9477,'Materiales '!$C$2:$G$396,3,0)</f>
        <v>4</v>
      </c>
      <c r="D9477" s="89" t="str">
        <f>VLOOKUP(A9477,'Materiales '!$C$2:$G$396,4,0)</f>
        <v>Und</v>
      </c>
      <c r="E9477" s="90">
        <v>0.1</v>
      </c>
      <c r="F9477" s="508" t="e">
        <f t="shared" ref="F9477:F9483" si="549">E9477*D9477</f>
        <v>#VALUE!</v>
      </c>
      <c r="G9477" s="519"/>
      <c r="H9477" s="111"/>
      <c r="I9477">
        <f>E9477*G9466</f>
        <v>0</v>
      </c>
      <c r="J9477" s="57"/>
      <c r="K9477" s="50"/>
      <c r="L9477" s="50"/>
      <c r="M9477" s="50"/>
      <c r="N9477" s="50"/>
      <c r="O9477" s="50"/>
    </row>
    <row r="9478" spans="1:15">
      <c r="A9478" s="517" t="s">
        <v>8</v>
      </c>
      <c r="B9478" s="518">
        <f>VLOOKUP(A9478,'Materiales '!$C$2:$G$396,3,0)</f>
        <v>0</v>
      </c>
      <c r="C9478" s="88">
        <f>VLOOKUP(A9478,'Materiales '!$C$2:$G$396,3,0)</f>
        <v>0</v>
      </c>
      <c r="D9478" s="89" t="str">
        <f>VLOOKUP(A9478,'Materiales '!$C$2:$G$396,4,0)</f>
        <v>-</v>
      </c>
      <c r="E9478" s="90">
        <v>0.34</v>
      </c>
      <c r="F9478" s="508" t="e">
        <f t="shared" si="549"/>
        <v>#VALUE!</v>
      </c>
      <c r="G9478" s="519"/>
      <c r="H9478" s="111"/>
      <c r="I9478">
        <f>E9478*G9466</f>
        <v>0</v>
      </c>
      <c r="J9478" s="58"/>
      <c r="K9478" s="50"/>
      <c r="L9478" s="50"/>
      <c r="M9478" s="50"/>
      <c r="N9478" s="50"/>
      <c r="O9478" s="50"/>
    </row>
    <row r="9479" spans="1:15">
      <c r="A9479" s="517" t="s">
        <v>8</v>
      </c>
      <c r="B9479" s="518">
        <f>VLOOKUP(A9479,'Materiales '!$C$2:$G$396,3,0)</f>
        <v>0</v>
      </c>
      <c r="C9479" s="88">
        <f>VLOOKUP(A9479,'Materiales '!$C$2:$G$396,3,0)</f>
        <v>0</v>
      </c>
      <c r="D9479" s="89" t="str">
        <f>VLOOKUP(A9479,'Materiales '!$C$2:$G$396,4,0)</f>
        <v>-</v>
      </c>
      <c r="E9479" s="90">
        <v>0.02</v>
      </c>
      <c r="F9479" s="508" t="e">
        <f t="shared" si="549"/>
        <v>#VALUE!</v>
      </c>
      <c r="G9479" s="519"/>
      <c r="H9479" s="111"/>
      <c r="I9479">
        <f>E9479*G9466</f>
        <v>0</v>
      </c>
      <c r="J9479" s="58"/>
      <c r="K9479" s="50"/>
      <c r="L9479" s="50"/>
      <c r="M9479" s="50"/>
      <c r="N9479" s="50"/>
      <c r="O9479" s="50"/>
    </row>
    <row r="9480" spans="1:15">
      <c r="A9480" s="517" t="s">
        <v>8</v>
      </c>
      <c r="B9480" s="518">
        <f>VLOOKUP(A9480,'Materiales '!$C$2:$G$396,3,0)</f>
        <v>0</v>
      </c>
      <c r="C9480" s="88">
        <f>VLOOKUP(A9480,'Materiales '!$C$2:$G$396,3,0)</f>
        <v>0</v>
      </c>
      <c r="D9480" s="89" t="str">
        <f>VLOOKUP(A9480,'Materiales '!$C$2:$G$396,4,0)</f>
        <v>-</v>
      </c>
      <c r="E9480" s="90">
        <v>0.5</v>
      </c>
      <c r="F9480" s="508" t="e">
        <f t="shared" si="549"/>
        <v>#VALUE!</v>
      </c>
      <c r="G9480" s="519"/>
      <c r="H9480" s="111"/>
      <c r="I9480">
        <f>E9480*G9466</f>
        <v>0</v>
      </c>
      <c r="J9480" s="58"/>
      <c r="K9480" s="50"/>
      <c r="L9480" s="50"/>
      <c r="M9480" s="50"/>
      <c r="N9480" s="50"/>
      <c r="O9480" s="50"/>
    </row>
    <row r="9481" spans="1:15">
      <c r="A9481" s="517" t="s">
        <v>8</v>
      </c>
      <c r="B9481" s="518">
        <f>VLOOKUP(A9481,'Materiales '!$C$2:$G$396,3,0)</f>
        <v>0</v>
      </c>
      <c r="C9481" s="88">
        <f>VLOOKUP(A9481,'Materiales '!$C$2:$G$396,3,0)</f>
        <v>0</v>
      </c>
      <c r="D9481" s="89" t="str">
        <f>VLOOKUP(A9481,'Materiales '!$C$2:$G$396,4,0)</f>
        <v>-</v>
      </c>
      <c r="E9481" s="90">
        <v>1</v>
      </c>
      <c r="F9481" s="508" t="e">
        <f t="shared" si="549"/>
        <v>#VALUE!</v>
      </c>
      <c r="G9481" s="519"/>
      <c r="H9481" s="111"/>
      <c r="I9481">
        <f>E9481*G9466</f>
        <v>0</v>
      </c>
      <c r="J9481" s="58"/>
      <c r="K9481" s="50"/>
      <c r="L9481" s="50"/>
      <c r="M9481" s="50"/>
      <c r="N9481" s="50"/>
      <c r="O9481" s="50"/>
    </row>
    <row r="9482" spans="1:15">
      <c r="A9482" s="517" t="s">
        <v>8</v>
      </c>
      <c r="B9482" s="518">
        <f>VLOOKUP(A9482,'Materiales '!$C$2:$G$396,3,0)</f>
        <v>0</v>
      </c>
      <c r="C9482" s="88">
        <f>VLOOKUP(A9482,'Materiales '!$C$2:$G$396,3,0)</f>
        <v>0</v>
      </c>
      <c r="D9482" s="89" t="str">
        <f>VLOOKUP(A9482,'Materiales '!$C$2:$G$396,4,0)</f>
        <v>-</v>
      </c>
      <c r="E9482" s="90">
        <v>1</v>
      </c>
      <c r="F9482" s="508" t="e">
        <f t="shared" si="549"/>
        <v>#VALUE!</v>
      </c>
      <c r="G9482" s="519"/>
      <c r="H9482" s="111"/>
      <c r="I9482">
        <f>E9482*G9466</f>
        <v>0</v>
      </c>
      <c r="J9482" s="58"/>
      <c r="K9482" s="50"/>
      <c r="L9482" s="50"/>
      <c r="M9482" s="50"/>
      <c r="N9482" s="50"/>
      <c r="O9482" s="50"/>
    </row>
    <row r="9483" spans="1:15" ht="21.75" customHeight="1">
      <c r="A9483" s="517" t="s">
        <v>8</v>
      </c>
      <c r="B9483" s="518">
        <f>VLOOKUP(A9483,'Materiales '!$C$2:$G$396,3,0)</f>
        <v>0</v>
      </c>
      <c r="C9483" s="88">
        <f>VLOOKUP(A9483,'Materiales '!$C$2:$G$396,3,0)</f>
        <v>0</v>
      </c>
      <c r="D9483" s="89" t="str">
        <f>VLOOKUP(A9483,'Materiales '!$C$2:$G$396,4,0)</f>
        <v>-</v>
      </c>
      <c r="E9483" s="90"/>
      <c r="F9483" s="508" t="e">
        <f t="shared" si="549"/>
        <v>#VALUE!</v>
      </c>
      <c r="G9483" s="519"/>
      <c r="H9483" s="111"/>
      <c r="I9483">
        <f>E9483*G9466</f>
        <v>0</v>
      </c>
      <c r="J9483" s="58"/>
      <c r="K9483" s="50"/>
      <c r="L9483" s="50"/>
      <c r="M9483" s="50"/>
      <c r="N9483" s="50"/>
      <c r="O9483" s="50"/>
    </row>
    <row r="9484" spans="1:15">
      <c r="A9484" s="517" t="s">
        <v>8</v>
      </c>
      <c r="B9484" s="518">
        <f>VLOOKUP(A9484,'Materiales '!$C$2:$G$396,3,0)</f>
        <v>0</v>
      </c>
      <c r="C9484" s="88">
        <f>VLOOKUP(A9484,'Materiales '!$C$2:$G$396,3,0)</f>
        <v>0</v>
      </c>
      <c r="D9484" s="89" t="str">
        <f>VLOOKUP(A9484,'Materiales '!$C$2:$G$396,4,0)</f>
        <v>-</v>
      </c>
      <c r="E9484" s="90"/>
      <c r="F9484" s="508" t="e">
        <f>E9484*D9484</f>
        <v>#VALUE!</v>
      </c>
      <c r="G9484" s="519"/>
      <c r="H9484" s="110"/>
      <c r="I9484">
        <f>E9484*G9466</f>
        <v>0</v>
      </c>
      <c r="J9484" s="58"/>
      <c r="K9484" s="50"/>
      <c r="L9484" s="50"/>
      <c r="M9484" s="50"/>
      <c r="N9484" s="50"/>
      <c r="O9484" s="50"/>
    </row>
    <row r="9485" spans="1:15">
      <c r="A9485" s="517" t="s">
        <v>8</v>
      </c>
      <c r="B9485" s="518">
        <f>VLOOKUP(A9485,'Materiales '!$C$2:$G$396,3,0)</f>
        <v>0</v>
      </c>
      <c r="C9485" s="88">
        <f>VLOOKUP(A9485,'Materiales '!$C$2:$G$396,3,0)</f>
        <v>0</v>
      </c>
      <c r="D9485" s="89" t="str">
        <f>VLOOKUP(A9485,'Materiales '!$C$2:$G$396,4,0)</f>
        <v>-</v>
      </c>
      <c r="E9485" s="90"/>
      <c r="F9485" s="508" t="e">
        <f t="shared" ref="F9485:F9488" si="550">E9485*D9485</f>
        <v>#VALUE!</v>
      </c>
      <c r="G9485" s="519"/>
      <c r="H9485" s="111"/>
      <c r="I9485">
        <f>E9485*G9466</f>
        <v>0</v>
      </c>
      <c r="J9485" s="58"/>
      <c r="K9485" s="50"/>
      <c r="L9485" s="50"/>
      <c r="M9485" s="50"/>
      <c r="N9485" s="50"/>
      <c r="O9485" s="50"/>
    </row>
    <row r="9486" spans="1:15">
      <c r="A9486" s="517" t="s">
        <v>8</v>
      </c>
      <c r="B9486" s="518">
        <f>VLOOKUP(A9486,'Materiales '!$C$2:$G$396,3,0)</f>
        <v>0</v>
      </c>
      <c r="C9486" s="88">
        <f>VLOOKUP(A9486,'Materiales '!$C$2:$G$396,3,0)</f>
        <v>0</v>
      </c>
      <c r="D9486" s="89" t="str">
        <f>VLOOKUP(A9486,'Materiales '!$C$2:$G$396,4,0)</f>
        <v>-</v>
      </c>
      <c r="E9486" s="90"/>
      <c r="F9486" s="508" t="e">
        <f t="shared" si="550"/>
        <v>#VALUE!</v>
      </c>
      <c r="G9486" s="519"/>
      <c r="H9486" s="111"/>
      <c r="I9486">
        <f>E9486*G9466</f>
        <v>0</v>
      </c>
      <c r="J9486" s="58"/>
      <c r="K9486" s="50"/>
      <c r="L9486" s="50"/>
      <c r="M9486" s="50"/>
      <c r="N9486" s="50"/>
      <c r="O9486" s="50"/>
    </row>
    <row r="9487" spans="1:15">
      <c r="A9487" s="517" t="s">
        <v>8</v>
      </c>
      <c r="B9487" s="518">
        <f>VLOOKUP(A9487,'Materiales '!$C$2:$G$396,3,0)</f>
        <v>0</v>
      </c>
      <c r="C9487" s="88">
        <f>VLOOKUP(A9487,'Materiales '!$C$2:$G$396,3,0)</f>
        <v>0</v>
      </c>
      <c r="D9487" s="89" t="str">
        <f>VLOOKUP(A9487,'Materiales '!$C$2:$G$396,4,0)</f>
        <v>-</v>
      </c>
      <c r="E9487" s="90"/>
      <c r="F9487" s="508" t="e">
        <f t="shared" si="550"/>
        <v>#VALUE!</v>
      </c>
      <c r="G9487" s="519"/>
      <c r="H9487" s="111"/>
      <c r="I9487">
        <f>E9487*G9466</f>
        <v>0</v>
      </c>
      <c r="J9487" s="58"/>
      <c r="K9487" s="50"/>
      <c r="L9487" s="50"/>
      <c r="M9487" s="50"/>
      <c r="N9487" s="50"/>
      <c r="O9487" s="50"/>
    </row>
    <row r="9488" spans="1:15">
      <c r="A9488" s="517" t="s">
        <v>8</v>
      </c>
      <c r="B9488" s="518">
        <f>VLOOKUP(A9488,'Materiales '!$C$2:$G$396,3,0)</f>
        <v>0</v>
      </c>
      <c r="C9488" s="88">
        <f>VLOOKUP(A9488,'Materiales '!$C$2:$G$396,3,0)</f>
        <v>0</v>
      </c>
      <c r="D9488" s="89" t="str">
        <f>VLOOKUP(A9488,'Materiales '!$C$2:$G$396,4,0)</f>
        <v>-</v>
      </c>
      <c r="E9488" s="90"/>
      <c r="F9488" s="508" t="e">
        <f t="shared" si="550"/>
        <v>#VALUE!</v>
      </c>
      <c r="G9488" s="519"/>
      <c r="H9488" s="111"/>
      <c r="I9488">
        <f>E9488*G9466</f>
        <v>0</v>
      </c>
      <c r="J9488" s="58"/>
      <c r="K9488" s="50"/>
      <c r="L9488" s="50"/>
      <c r="M9488" s="50"/>
      <c r="N9488" s="50"/>
      <c r="O9488" s="50"/>
    </row>
    <row r="9489" spans="1:15">
      <c r="A9489" s="517" t="s">
        <v>8</v>
      </c>
      <c r="B9489" s="518">
        <f>VLOOKUP(A9489,'Materiales '!$C$2:$G$396,3,0)</f>
        <v>0</v>
      </c>
      <c r="C9489" s="88">
        <f>VLOOKUP(A9489,'Materiales '!$C$2:$G$396,3,0)</f>
        <v>0</v>
      </c>
      <c r="D9489" s="89" t="str">
        <f>VLOOKUP(A9489,'Materiales '!$C$2:$G$396,4,0)</f>
        <v>-</v>
      </c>
      <c r="E9489" s="90"/>
      <c r="F9489" s="508" t="e">
        <f>E9489*D9489</f>
        <v>#VALUE!</v>
      </c>
      <c r="G9489" s="519"/>
      <c r="H9489" s="110"/>
      <c r="I9489">
        <f>E9489*G9466</f>
        <v>0</v>
      </c>
      <c r="J9489" s="58"/>
      <c r="K9489" s="50"/>
      <c r="L9489" s="50"/>
      <c r="M9489" s="50"/>
      <c r="N9489" s="50"/>
      <c r="O9489" s="50"/>
    </row>
    <row r="9490" spans="1:15">
      <c r="A9490" s="520" t="s">
        <v>4098</v>
      </c>
      <c r="B9490" s="521"/>
      <c r="C9490" s="521"/>
      <c r="D9490" s="521"/>
      <c r="E9490" s="521"/>
      <c r="F9490" s="521"/>
      <c r="G9490" s="522"/>
      <c r="H9490" s="106" t="e">
        <f>SUM(F9476:F9489)</f>
        <v>#VALUE!</v>
      </c>
      <c r="J9490" s="58"/>
      <c r="K9490" s="50"/>
      <c r="L9490" s="50"/>
      <c r="M9490" s="50"/>
      <c r="N9490" s="50"/>
      <c r="O9490" s="50"/>
    </row>
    <row r="9491" spans="1:15">
      <c r="A9491" s="523" t="s">
        <v>4220</v>
      </c>
      <c r="B9491" s="524"/>
      <c r="C9491" s="524"/>
      <c r="D9491" s="524"/>
      <c r="E9491" s="525"/>
      <c r="F9491" s="524"/>
      <c r="G9491" s="524"/>
      <c r="H9491" s="526"/>
      <c r="J9491" s="58"/>
      <c r="K9491" s="50"/>
      <c r="L9491" s="50"/>
      <c r="M9491" s="50"/>
      <c r="N9491" s="50"/>
      <c r="O9491" s="50"/>
    </row>
    <row r="9492" spans="1:15">
      <c r="A9492" s="527" t="s">
        <v>7</v>
      </c>
      <c r="B9492" s="528"/>
      <c r="C9492" s="98" t="s">
        <v>4221</v>
      </c>
      <c r="D9492" s="97" t="s">
        <v>4222</v>
      </c>
      <c r="E9492" s="187" t="s">
        <v>4223</v>
      </c>
      <c r="F9492" s="529" t="s">
        <v>4207</v>
      </c>
      <c r="G9492" s="529"/>
      <c r="H9492" s="109"/>
      <c r="K9492" s="50"/>
      <c r="L9492" s="50"/>
      <c r="M9492" s="50"/>
      <c r="N9492" s="50"/>
      <c r="O9492" s="50"/>
    </row>
    <row r="9493" spans="1:15">
      <c r="A9493" s="506" t="s">
        <v>3928</v>
      </c>
      <c r="B9493" s="507"/>
      <c r="C9493" s="213">
        <v>1</v>
      </c>
      <c r="D9493" s="92">
        <v>8.0000000000000002E-3</v>
      </c>
      <c r="E9493" s="93" t="str">
        <f>VLOOKUP(A9493,'Equip, Herr y Transp'!$B$2:$E$217,3,0)</f>
        <v>TR</v>
      </c>
      <c r="F9493" s="530" t="e">
        <f>E9493*D9493*C9493</f>
        <v>#VALUE!</v>
      </c>
      <c r="G9493" s="531"/>
      <c r="H9493" s="107"/>
      <c r="M9493" s="50"/>
    </row>
    <row r="9494" spans="1:15">
      <c r="A9494" s="532" t="s">
        <v>4205</v>
      </c>
      <c r="B9494" s="533"/>
      <c r="C9494" s="533"/>
      <c r="D9494" s="533"/>
      <c r="E9494" s="533"/>
      <c r="F9494" s="533"/>
      <c r="G9494" s="533"/>
      <c r="H9494" s="95" t="e">
        <f>F9493</f>
        <v>#VALUE!</v>
      </c>
    </row>
    <row r="9495" spans="1:15">
      <c r="A9495" s="523" t="s">
        <v>4224</v>
      </c>
      <c r="B9495" s="524"/>
      <c r="C9495" s="524"/>
      <c r="D9495" s="524"/>
      <c r="E9495" s="524"/>
      <c r="F9495" s="524"/>
      <c r="G9495" s="524"/>
      <c r="H9495" s="526"/>
    </row>
    <row r="9496" spans="1:15">
      <c r="A9496" s="527" t="s">
        <v>7</v>
      </c>
      <c r="B9496" s="528"/>
      <c r="C9496" s="96" t="s">
        <v>1</v>
      </c>
      <c r="D9496" s="97" t="s">
        <v>4225</v>
      </c>
      <c r="E9496" s="98" t="s">
        <v>4204</v>
      </c>
      <c r="F9496" s="527" t="s">
        <v>5</v>
      </c>
      <c r="G9496" s="534"/>
      <c r="H9496" s="109"/>
    </row>
    <row r="9497" spans="1:15">
      <c r="A9497" s="506" t="s">
        <v>4191</v>
      </c>
      <c r="B9497" s="507"/>
      <c r="C9497" s="91">
        <v>1</v>
      </c>
      <c r="D9497" s="94">
        <f>VLOOKUP(A9497,'Mano Obra'!$B$2:$T$117,19,0)</f>
        <v>152456</v>
      </c>
      <c r="E9497" s="218">
        <f>H9459</f>
        <v>1.2500000000000001E-2</v>
      </c>
      <c r="F9497" s="508">
        <f>E9497*D9497*C9497</f>
        <v>1905.7</v>
      </c>
      <c r="G9497" s="509"/>
      <c r="H9497" s="111"/>
      <c r="I9497" s="59"/>
      <c r="J9497" s="117">
        <f>((('Mano Obra'!$M$4/30)*F9497)/D9497)*G9466</f>
        <v>0</v>
      </c>
    </row>
    <row r="9498" spans="1:15">
      <c r="A9498" s="510" t="s">
        <v>4192</v>
      </c>
      <c r="B9498" s="511">
        <f>VLOOKUP(A9498,'Mano Obra'!$B$3:$D$290,2,0)</f>
        <v>1900000</v>
      </c>
      <c r="C9498" s="91">
        <v>2</v>
      </c>
      <c r="D9498" s="94">
        <f>VLOOKUP(A9498,'Mano Obra'!$B$2:$T$117,19,0)</f>
        <v>110488</v>
      </c>
      <c r="E9498" s="218">
        <f>H9459</f>
        <v>1.2500000000000001E-2</v>
      </c>
      <c r="F9498" s="508">
        <f t="shared" ref="F9498:F9499" si="551">E9498*D9498*C9498</f>
        <v>2762.2000000000003</v>
      </c>
      <c r="G9498" s="509"/>
      <c r="H9498" s="111"/>
      <c r="J9498" s="117">
        <f>((('Mano Obra'!$M$5/30)*F9498)/D9498)*G9466</f>
        <v>0</v>
      </c>
    </row>
    <row r="9499" spans="1:15">
      <c r="A9499" s="510" t="s">
        <v>4181</v>
      </c>
      <c r="B9499" s="511">
        <f>VLOOKUP(A9499,'Mano Obra'!$B$3:$D$290,2,0)</f>
        <v>1000000</v>
      </c>
      <c r="C9499" s="91">
        <v>1</v>
      </c>
      <c r="D9499" s="94">
        <f>VLOOKUP(A9499,'Mano Obra'!$B$2:$T$117,19,0)</f>
        <v>67424</v>
      </c>
      <c r="E9499" s="218">
        <f>H9459</f>
        <v>1.2500000000000001E-2</v>
      </c>
      <c r="F9499" s="508">
        <f t="shared" si="551"/>
        <v>842.80000000000007</v>
      </c>
      <c r="G9499" s="509"/>
      <c r="H9499" s="110"/>
      <c r="J9499" s="117">
        <f>((('Mano Obra'!$M$6/30)*F9499)/D9499)*G9466</f>
        <v>0</v>
      </c>
    </row>
    <row r="9500" spans="1:15">
      <c r="A9500" s="512" t="s">
        <v>4100</v>
      </c>
      <c r="B9500" s="512"/>
      <c r="C9500" s="512"/>
      <c r="D9500" s="512"/>
      <c r="E9500" s="512"/>
      <c r="F9500" s="512"/>
      <c r="G9500" s="512"/>
      <c r="H9500" s="95">
        <f>SUM(F9497:F9499)</f>
        <v>5510.7000000000007</v>
      </c>
      <c r="J9500" s="117"/>
    </row>
    <row r="9501" spans="1:15">
      <c r="A9501" s="208" t="s">
        <v>4226</v>
      </c>
      <c r="B9501" s="186"/>
      <c r="C9501" s="186"/>
      <c r="D9501" s="183"/>
      <c r="E9501" s="184"/>
      <c r="F9501" s="185"/>
      <c r="G9501" s="184"/>
      <c r="H9501" s="193"/>
    </row>
    <row r="9502" spans="1:15">
      <c r="A9502" s="513" t="s">
        <v>4213</v>
      </c>
      <c r="B9502" s="514"/>
      <c r="C9502" s="514"/>
      <c r="D9502" s="514"/>
      <c r="E9502" s="181"/>
      <c r="F9502" s="182" t="s">
        <v>4227</v>
      </c>
      <c r="G9502" s="181" t="s">
        <v>4228</v>
      </c>
      <c r="H9502" s="194"/>
    </row>
    <row r="9503" spans="1:15">
      <c r="A9503" s="204" t="s">
        <v>4096</v>
      </c>
      <c r="B9503" s="62"/>
      <c r="C9503" s="62"/>
      <c r="D9503" s="63"/>
      <c r="E9503" s="68"/>
      <c r="F9503" s="69">
        <v>0</v>
      </c>
      <c r="G9503" s="70" t="e">
        <f>F9503*H9467</f>
        <v>#VALUE!</v>
      </c>
      <c r="H9503" s="193"/>
    </row>
    <row r="9504" spans="1:15">
      <c r="A9504" s="205" t="s">
        <v>4229</v>
      </c>
      <c r="B9504" s="71"/>
      <c r="C9504" s="71"/>
      <c r="D9504" s="72"/>
      <c r="E9504" s="68"/>
      <c r="F9504" s="69">
        <v>0</v>
      </c>
      <c r="G9504" s="70" t="e">
        <f>F9504*H9467</f>
        <v>#VALUE!</v>
      </c>
      <c r="H9504" s="193"/>
    </row>
    <row r="9505" spans="1:14">
      <c r="A9505" s="205" t="s">
        <v>4</v>
      </c>
      <c r="B9505" s="71"/>
      <c r="C9505" s="71"/>
      <c r="D9505" s="72"/>
      <c r="E9505" s="68"/>
      <c r="F9505" s="69">
        <v>0</v>
      </c>
      <c r="G9505" s="70" t="e">
        <f>F9505*H9467</f>
        <v>#VALUE!</v>
      </c>
      <c r="H9505" s="193"/>
    </row>
    <row r="9506" spans="1:14">
      <c r="A9506" s="206"/>
      <c r="B9506" s="73"/>
      <c r="C9506" s="65"/>
      <c r="D9506" s="74"/>
      <c r="E9506" s="75"/>
      <c r="F9506" s="76"/>
      <c r="G9506" s="77"/>
      <c r="H9506" s="195"/>
    </row>
    <row r="9507" spans="1:14">
      <c r="A9507" s="207"/>
      <c r="B9507" s="73"/>
      <c r="C9507" s="73"/>
      <c r="D9507" s="74"/>
      <c r="E9507" s="78"/>
      <c r="F9507" s="515" t="s">
        <v>4230</v>
      </c>
      <c r="G9507" s="516"/>
      <c r="H9507" s="214" t="e">
        <f>H9467+G9503+G9504+G9505</f>
        <v>#VALUE!</v>
      </c>
    </row>
    <row r="9509" spans="1:14">
      <c r="A9509" s="80"/>
      <c r="B9509" s="80"/>
      <c r="C9509" s="80"/>
      <c r="D9509" s="80"/>
      <c r="E9509" s="80"/>
      <c r="F9509" s="80"/>
      <c r="G9509" s="80"/>
      <c r="H9509" s="353"/>
    </row>
    <row r="9510" spans="1:14">
      <c r="A9510" s="537" t="s">
        <v>4214</v>
      </c>
      <c r="B9510" s="538"/>
      <c r="C9510" s="538"/>
      <c r="D9510" s="538"/>
      <c r="E9510" s="538"/>
      <c r="F9510" s="538"/>
      <c r="G9510" s="538"/>
      <c r="H9510" s="539"/>
    </row>
    <row r="9511" spans="1:14">
      <c r="A9511" s="81"/>
      <c r="B9511" s="82"/>
      <c r="C9511" s="82"/>
      <c r="D9511" s="82"/>
      <c r="E9511" s="82"/>
      <c r="F9511" s="83"/>
      <c r="G9511" s="84"/>
      <c r="H9511" s="352">
        <f>ROUND((19/60)/8,4)</f>
        <v>3.9600000000000003E-2</v>
      </c>
      <c r="I9511" s="105"/>
    </row>
    <row r="9512" spans="1:14">
      <c r="A9512" s="540" t="s">
        <v>4209</v>
      </c>
      <c r="B9512" s="542" t="str">
        <f>COSTOS!$C$14</f>
        <v>MODERNIZACION A TECNOLOGIA LED</v>
      </c>
      <c r="C9512" s="542"/>
      <c r="D9512" s="542"/>
      <c r="E9512" s="542"/>
      <c r="F9512" s="542"/>
      <c r="G9512" s="542"/>
      <c r="H9512" s="543" t="s">
        <v>4210</v>
      </c>
    </row>
    <row r="9513" spans="1:14">
      <c r="A9513" s="541"/>
      <c r="B9513" s="542"/>
      <c r="C9513" s="542"/>
      <c r="D9513" s="542"/>
      <c r="E9513" s="542"/>
      <c r="F9513" s="542"/>
      <c r="G9513" s="542"/>
      <c r="H9513" s="543"/>
    </row>
    <row r="9514" spans="1:14">
      <c r="A9514" s="541"/>
      <c r="B9514" s="542"/>
      <c r="C9514" s="542"/>
      <c r="D9514" s="542"/>
      <c r="E9514" s="542"/>
      <c r="F9514" s="542"/>
      <c r="G9514" s="542"/>
      <c r="H9514" s="543"/>
    </row>
    <row r="9515" spans="1:14" ht="15" customHeight="1">
      <c r="A9515" s="541"/>
      <c r="B9515" s="542"/>
      <c r="C9515" s="542"/>
      <c r="D9515" s="542"/>
      <c r="E9515" s="542"/>
      <c r="F9515" s="542"/>
      <c r="G9515" s="542"/>
      <c r="H9515" s="197">
        <f ca="1">TODAY()</f>
        <v>44889</v>
      </c>
      <c r="K9515" t="s">
        <v>4380</v>
      </c>
      <c r="L9515" t="s">
        <v>4381</v>
      </c>
      <c r="M9515" t="s">
        <v>4382</v>
      </c>
      <c r="N9515" t="s">
        <v>4383</v>
      </c>
    </row>
    <row r="9516" spans="1:14" ht="60.75" customHeight="1">
      <c r="A9516" s="209" t="s">
        <v>4211</v>
      </c>
      <c r="B9516" s="544" t="str">
        <f>COSTOS!$D$16</f>
        <v>Luminarias</v>
      </c>
      <c r="C9516" s="544"/>
      <c r="D9516" s="544"/>
      <c r="E9516" s="544"/>
      <c r="F9516" s="544"/>
      <c r="G9516" s="60" t="s">
        <v>4212</v>
      </c>
      <c r="H9516" s="359">
        <v>7.12</v>
      </c>
      <c r="K9516" s="55" t="e">
        <f>H9542</f>
        <v>#VALUE!</v>
      </c>
      <c r="L9516" s="55">
        <f>H9552</f>
        <v>17457.8976</v>
      </c>
      <c r="M9516" s="55" t="e">
        <f>H9525</f>
        <v>#VALUE!</v>
      </c>
      <c r="N9516" s="55" t="e">
        <f>H9546</f>
        <v>#VALUE!</v>
      </c>
    </row>
    <row r="9517" spans="1:14" ht="43.2" customHeight="1">
      <c r="A9517" s="210" t="s">
        <v>4213</v>
      </c>
      <c r="B9517" s="545" t="str">
        <f>VLOOKUP(H9516,COSTOS!C:M,2,0)</f>
        <v>Canalizacion con un ducto 3" PVC</v>
      </c>
      <c r="C9517" s="546"/>
      <c r="D9517" s="546"/>
      <c r="E9517" s="547"/>
      <c r="F9517" s="61" t="s">
        <v>0</v>
      </c>
      <c r="G9517" s="328" t="str">
        <f>VLOOKUP(H9516,COSTOS!C:M,8,0)</f>
        <v>Ml</v>
      </c>
      <c r="H9517" s="248"/>
      <c r="I9517" s="278"/>
      <c r="J9517" s="280"/>
      <c r="K9517" s="280"/>
      <c r="L9517" s="280"/>
    </row>
    <row r="9518" spans="1:14">
      <c r="A9518" s="211"/>
      <c r="B9518" s="102"/>
      <c r="C9518" s="102"/>
      <c r="D9518" s="102"/>
      <c r="E9518" s="103"/>
      <c r="F9518" s="104" t="s">
        <v>1</v>
      </c>
      <c r="G9518" s="328">
        <f>VLOOKUP(H9516,COSTOS!C:M,9,0)</f>
        <v>0</v>
      </c>
      <c r="H9518" s="329"/>
      <c r="I9518" s="279"/>
    </row>
    <row r="9519" spans="1:14">
      <c r="A9519" s="212" t="s">
        <v>4215</v>
      </c>
      <c r="B9519" s="65"/>
      <c r="C9519" s="65"/>
      <c r="D9519" s="66"/>
      <c r="E9519" s="190"/>
      <c r="F9519" s="191"/>
      <c r="G9519" s="192" t="s">
        <v>4216</v>
      </c>
      <c r="H9519" s="198" t="e">
        <f>H9525+H9542+H9546+H9552</f>
        <v>#VALUE!</v>
      </c>
    </row>
    <row r="9520" spans="1:14" ht="41.4">
      <c r="A9520" s="548" t="s">
        <v>4213</v>
      </c>
      <c r="B9520" s="548"/>
      <c r="C9520" s="548"/>
      <c r="D9520" s="67" t="s">
        <v>0</v>
      </c>
      <c r="E9520" s="188" t="s">
        <v>4217</v>
      </c>
      <c r="F9520" s="189" t="s">
        <v>4204</v>
      </c>
      <c r="G9520" s="64" t="s">
        <v>2</v>
      </c>
      <c r="H9520" s="199" t="s">
        <v>4218</v>
      </c>
      <c r="K9520" s="281"/>
    </row>
    <row r="9521" spans="1:15">
      <c r="A9521" s="517" t="s">
        <v>3946</v>
      </c>
      <c r="B9521" s="549">
        <f>VLOOKUP(A9521,'Equip, Herr y Transp'!$B$2:$E$738,2,0)</f>
        <v>2</v>
      </c>
      <c r="C9521" s="549"/>
      <c r="D9521" s="85">
        <f>VLOOKUP(A9521,'Equip, Herr y Transp'!$B$2:$E$217,2,0)</f>
        <v>2</v>
      </c>
      <c r="E9521" s="85" t="str">
        <f>VLOOKUP(A9521,'Equip, Herr y Transp'!$B$2:$E$217,3,0)</f>
        <v>EQU</v>
      </c>
      <c r="F9521" s="86">
        <f>H9511</f>
        <v>3.9600000000000003E-2</v>
      </c>
      <c r="G9521" s="112" t="e">
        <f>F9521*E9521</f>
        <v>#VALUE!</v>
      </c>
      <c r="H9521" s="108"/>
    </row>
    <row r="9522" spans="1:15">
      <c r="A9522" s="517" t="s">
        <v>3914</v>
      </c>
      <c r="B9522" s="549">
        <f>VLOOKUP(A9522,'Equip, Herr y Transp'!$B$2:$E$738,2,0)</f>
        <v>2</v>
      </c>
      <c r="C9522" s="549"/>
      <c r="D9522" s="85">
        <f>VLOOKUP(A9522,'Equip, Herr y Transp'!$B$2:$E$217,2,0)</f>
        <v>2</v>
      </c>
      <c r="E9522" s="85" t="str">
        <f>VLOOKUP(A9522,'Equip, Herr y Transp'!$B$2:$E$217,3,0)</f>
        <v>EQU</v>
      </c>
      <c r="F9522" s="86">
        <f>H9511</f>
        <v>3.9600000000000003E-2</v>
      </c>
      <c r="G9522" s="112" t="e">
        <f>F9522*E9522</f>
        <v>#VALUE!</v>
      </c>
      <c r="H9522" s="107"/>
    </row>
    <row r="9523" spans="1:15">
      <c r="A9523" s="517" t="s">
        <v>4142</v>
      </c>
      <c r="B9523" s="549">
        <f>VLOOKUP(A9523,'Equip, Herr y Transp'!$B$2:$E$738,2,0)</f>
        <v>2</v>
      </c>
      <c r="C9523" s="549"/>
      <c r="D9523" s="85">
        <f>VLOOKUP(A9523,'Equip, Herr y Transp'!$B$2:$E$217,2,0)</f>
        <v>2</v>
      </c>
      <c r="E9523" s="85" t="str">
        <f>VLOOKUP(A9523,'Equip, Herr y Transp'!$B$2:$E$217,3,0)</f>
        <v>EQU</v>
      </c>
      <c r="F9523" s="86">
        <f>H9511</f>
        <v>3.9600000000000003E-2</v>
      </c>
      <c r="G9523" s="112" t="e">
        <f>F9523*E9523</f>
        <v>#VALUE!</v>
      </c>
      <c r="H9523" s="107"/>
    </row>
    <row r="9524" spans="1:15">
      <c r="A9524" s="517" t="s">
        <v>3903</v>
      </c>
      <c r="B9524" s="549">
        <f>VLOOKUP(A9524,'Equip, Herr y Transp'!$B$2:$E$738,2,0)</f>
        <v>2</v>
      </c>
      <c r="C9524" s="549"/>
      <c r="D9524" s="85">
        <f>VLOOKUP(A9524,'Equip, Herr y Transp'!$B$2:$E$217,2,0)</f>
        <v>2</v>
      </c>
      <c r="E9524" s="85" t="str">
        <f>VLOOKUP(A9524,'Equip, Herr y Transp'!$B$2:$E$217,3,0)</f>
        <v>EQU</v>
      </c>
      <c r="F9524" s="86">
        <f>H9511</f>
        <v>3.9600000000000003E-2</v>
      </c>
      <c r="G9524" s="112" t="e">
        <f>F9524*E9524</f>
        <v>#VALUE!</v>
      </c>
      <c r="H9524" s="107"/>
    </row>
    <row r="9525" spans="1:15">
      <c r="A9525" s="520" t="s">
        <v>4099</v>
      </c>
      <c r="B9525" s="521"/>
      <c r="C9525" s="521"/>
      <c r="D9525" s="521"/>
      <c r="E9525" s="521"/>
      <c r="F9525" s="521"/>
      <c r="G9525" s="521"/>
      <c r="H9525" s="87" t="e">
        <f>SUM(G9521:G9524)</f>
        <v>#VALUE!</v>
      </c>
    </row>
    <row r="9526" spans="1:15">
      <c r="A9526" s="550" t="s">
        <v>4219</v>
      </c>
      <c r="B9526" s="551"/>
      <c r="C9526" s="551"/>
      <c r="D9526" s="551"/>
      <c r="E9526" s="551"/>
      <c r="F9526" s="551"/>
      <c r="G9526" s="551"/>
      <c r="H9526" s="552"/>
      <c r="K9526" s="50"/>
      <c r="L9526" s="50"/>
      <c r="M9526" s="50"/>
      <c r="N9526" s="50"/>
      <c r="O9526" s="50"/>
    </row>
    <row r="9527" spans="1:15" ht="30" customHeight="1">
      <c r="A9527" s="553" t="s">
        <v>7</v>
      </c>
      <c r="B9527" s="554"/>
      <c r="C9527" s="99" t="s">
        <v>0</v>
      </c>
      <c r="D9527" s="100" t="s">
        <v>4097</v>
      </c>
      <c r="E9527" s="101" t="s">
        <v>1</v>
      </c>
      <c r="F9527" s="555" t="s">
        <v>4207</v>
      </c>
      <c r="G9527" s="555"/>
      <c r="H9527" s="196"/>
      <c r="K9527" s="50"/>
      <c r="L9527" s="50"/>
      <c r="M9527" s="50"/>
      <c r="N9527" s="50"/>
      <c r="O9527" s="50"/>
    </row>
    <row r="9528" spans="1:15">
      <c r="A9528" s="535" t="s">
        <v>5002</v>
      </c>
      <c r="B9528" s="536"/>
      <c r="C9528" s="88">
        <f>VLOOKUP(A9528,'Materiales '!$C$2:$G$396,3,0)</f>
        <v>4</v>
      </c>
      <c r="D9528" s="89" t="str">
        <f>VLOOKUP(A9528,'Materiales '!$C$2:$G$396,4,0)</f>
        <v>Und</v>
      </c>
      <c r="E9528" s="90">
        <v>0.34</v>
      </c>
      <c r="F9528" s="508" t="e">
        <f>E9528*D9528</f>
        <v>#VALUE!</v>
      </c>
      <c r="G9528" s="519"/>
      <c r="H9528" s="111"/>
      <c r="I9528">
        <f>E9528*G9518</f>
        <v>0</v>
      </c>
      <c r="J9528" s="57"/>
      <c r="K9528" s="50"/>
      <c r="L9528" s="50"/>
      <c r="M9528" s="50"/>
      <c r="N9528" s="50"/>
      <c r="O9528" s="50"/>
    </row>
    <row r="9529" spans="1:15">
      <c r="A9529" s="535" t="s">
        <v>4628</v>
      </c>
      <c r="B9529" s="536"/>
      <c r="C9529" s="88">
        <f>VLOOKUP(A9529,'Materiales '!$C$2:$G$396,3,0)</f>
        <v>4</v>
      </c>
      <c r="D9529" s="89" t="str">
        <f>VLOOKUP(A9529,'Materiales '!$C$2:$G$396,4,0)</f>
        <v>Und</v>
      </c>
      <c r="E9529" s="90">
        <v>0.1</v>
      </c>
      <c r="F9529" s="508" t="e">
        <f t="shared" ref="F9529:F9535" si="552">E9529*D9529</f>
        <v>#VALUE!</v>
      </c>
      <c r="G9529" s="519"/>
      <c r="H9529" s="111"/>
      <c r="I9529">
        <f>E9529*G9518</f>
        <v>0</v>
      </c>
      <c r="J9529" s="57"/>
      <c r="K9529" s="50"/>
      <c r="L9529" s="50"/>
      <c r="M9529" s="50"/>
      <c r="N9529" s="50"/>
      <c r="O9529" s="50"/>
    </row>
    <row r="9530" spans="1:15">
      <c r="A9530" s="517" t="s">
        <v>8</v>
      </c>
      <c r="B9530" s="518">
        <f>VLOOKUP(A9530,'Materiales '!$C$2:$G$396,3,0)</f>
        <v>0</v>
      </c>
      <c r="C9530" s="88">
        <f>VLOOKUP(A9530,'Materiales '!$C$2:$G$396,3,0)</f>
        <v>0</v>
      </c>
      <c r="D9530" s="89" t="str">
        <f>VLOOKUP(A9530,'Materiales '!$C$2:$G$396,4,0)</f>
        <v>-</v>
      </c>
      <c r="E9530" s="90">
        <v>0.34</v>
      </c>
      <c r="F9530" s="508" t="e">
        <f t="shared" si="552"/>
        <v>#VALUE!</v>
      </c>
      <c r="G9530" s="519"/>
      <c r="H9530" s="111"/>
      <c r="I9530">
        <f>E9530*G9518</f>
        <v>0</v>
      </c>
      <c r="J9530" s="58"/>
      <c r="K9530" s="50"/>
      <c r="L9530" s="50"/>
      <c r="M9530" s="50"/>
      <c r="N9530" s="50"/>
      <c r="O9530" s="50"/>
    </row>
    <row r="9531" spans="1:15">
      <c r="A9531" s="517" t="s">
        <v>8</v>
      </c>
      <c r="B9531" s="518">
        <f>VLOOKUP(A9531,'Materiales '!$C$2:$G$396,3,0)</f>
        <v>0</v>
      </c>
      <c r="C9531" s="88">
        <f>VLOOKUP(A9531,'Materiales '!$C$2:$G$396,3,0)</f>
        <v>0</v>
      </c>
      <c r="D9531" s="89" t="str">
        <f>VLOOKUP(A9531,'Materiales '!$C$2:$G$396,4,0)</f>
        <v>-</v>
      </c>
      <c r="E9531" s="90">
        <v>0.02</v>
      </c>
      <c r="F9531" s="508" t="e">
        <f t="shared" si="552"/>
        <v>#VALUE!</v>
      </c>
      <c r="G9531" s="519"/>
      <c r="H9531" s="111"/>
      <c r="I9531">
        <f>E9531*G9518</f>
        <v>0</v>
      </c>
      <c r="J9531" s="58"/>
      <c r="K9531" s="50"/>
      <c r="L9531" s="50"/>
      <c r="M9531" s="50"/>
      <c r="N9531" s="50"/>
      <c r="O9531" s="50"/>
    </row>
    <row r="9532" spans="1:15">
      <c r="A9532" s="517" t="s">
        <v>8</v>
      </c>
      <c r="B9532" s="518">
        <f>VLOOKUP(A9532,'Materiales '!$C$2:$G$396,3,0)</f>
        <v>0</v>
      </c>
      <c r="C9532" s="88">
        <f>VLOOKUP(A9532,'Materiales '!$C$2:$G$396,3,0)</f>
        <v>0</v>
      </c>
      <c r="D9532" s="89" t="str">
        <f>VLOOKUP(A9532,'Materiales '!$C$2:$G$396,4,0)</f>
        <v>-</v>
      </c>
      <c r="E9532" s="90">
        <v>0.5</v>
      </c>
      <c r="F9532" s="508" t="e">
        <f t="shared" si="552"/>
        <v>#VALUE!</v>
      </c>
      <c r="G9532" s="519"/>
      <c r="H9532" s="111"/>
      <c r="I9532">
        <f>E9532*G9518</f>
        <v>0</v>
      </c>
      <c r="J9532" s="58"/>
      <c r="K9532" s="50"/>
      <c r="L9532" s="50"/>
      <c r="M9532" s="50"/>
      <c r="N9532" s="50"/>
      <c r="O9532" s="50"/>
    </row>
    <row r="9533" spans="1:15">
      <c r="A9533" s="517" t="s">
        <v>8</v>
      </c>
      <c r="B9533" s="518">
        <f>VLOOKUP(A9533,'Materiales '!$C$2:$G$396,3,0)</f>
        <v>0</v>
      </c>
      <c r="C9533" s="88">
        <f>VLOOKUP(A9533,'Materiales '!$C$2:$G$396,3,0)</f>
        <v>0</v>
      </c>
      <c r="D9533" s="89" t="str">
        <f>VLOOKUP(A9533,'Materiales '!$C$2:$G$396,4,0)</f>
        <v>-</v>
      </c>
      <c r="E9533" s="90">
        <v>1</v>
      </c>
      <c r="F9533" s="508" t="e">
        <f t="shared" si="552"/>
        <v>#VALUE!</v>
      </c>
      <c r="G9533" s="519"/>
      <c r="H9533" s="111"/>
      <c r="I9533">
        <f>E9533*G9518</f>
        <v>0</v>
      </c>
      <c r="J9533" s="58"/>
      <c r="K9533" s="50"/>
      <c r="L9533" s="50"/>
      <c r="M9533" s="50"/>
      <c r="N9533" s="50"/>
      <c r="O9533" s="50"/>
    </row>
    <row r="9534" spans="1:15">
      <c r="A9534" s="517" t="s">
        <v>8</v>
      </c>
      <c r="B9534" s="518">
        <f>VLOOKUP(A9534,'Materiales '!$C$2:$G$396,3,0)</f>
        <v>0</v>
      </c>
      <c r="C9534" s="88">
        <f>VLOOKUP(A9534,'Materiales '!$C$2:$G$396,3,0)</f>
        <v>0</v>
      </c>
      <c r="D9534" s="89" t="str">
        <f>VLOOKUP(A9534,'Materiales '!$C$2:$G$396,4,0)</f>
        <v>-</v>
      </c>
      <c r="E9534" s="90">
        <v>1</v>
      </c>
      <c r="F9534" s="508" t="e">
        <f t="shared" si="552"/>
        <v>#VALUE!</v>
      </c>
      <c r="G9534" s="519"/>
      <c r="H9534" s="111"/>
      <c r="I9534">
        <f>E9534*G9518</f>
        <v>0</v>
      </c>
      <c r="J9534" s="58"/>
      <c r="K9534" s="50"/>
      <c r="L9534" s="50"/>
      <c r="M9534" s="50"/>
      <c r="N9534" s="50"/>
      <c r="O9534" s="50"/>
    </row>
    <row r="9535" spans="1:15" ht="21.75" customHeight="1">
      <c r="A9535" s="517" t="s">
        <v>8</v>
      </c>
      <c r="B9535" s="518">
        <f>VLOOKUP(A9535,'Materiales '!$C$2:$G$396,3,0)</f>
        <v>0</v>
      </c>
      <c r="C9535" s="88">
        <f>VLOOKUP(A9535,'Materiales '!$C$2:$G$396,3,0)</f>
        <v>0</v>
      </c>
      <c r="D9535" s="89" t="str">
        <f>VLOOKUP(A9535,'Materiales '!$C$2:$G$396,4,0)</f>
        <v>-</v>
      </c>
      <c r="E9535" s="90"/>
      <c r="F9535" s="508" t="e">
        <f t="shared" si="552"/>
        <v>#VALUE!</v>
      </c>
      <c r="G9535" s="519"/>
      <c r="H9535" s="111"/>
      <c r="I9535">
        <f>E9535*G9518</f>
        <v>0</v>
      </c>
      <c r="J9535" s="58"/>
      <c r="K9535" s="50"/>
      <c r="L9535" s="50"/>
      <c r="M9535" s="50"/>
      <c r="N9535" s="50"/>
      <c r="O9535" s="50"/>
    </row>
    <row r="9536" spans="1:15">
      <c r="A9536" s="517" t="s">
        <v>8</v>
      </c>
      <c r="B9536" s="518">
        <f>VLOOKUP(A9536,'Materiales '!$C$2:$G$396,3,0)</f>
        <v>0</v>
      </c>
      <c r="C9536" s="88">
        <f>VLOOKUP(A9536,'Materiales '!$C$2:$G$396,3,0)</f>
        <v>0</v>
      </c>
      <c r="D9536" s="89" t="str">
        <f>VLOOKUP(A9536,'Materiales '!$C$2:$G$396,4,0)</f>
        <v>-</v>
      </c>
      <c r="E9536" s="90"/>
      <c r="F9536" s="508" t="e">
        <f>E9536*D9536</f>
        <v>#VALUE!</v>
      </c>
      <c r="G9536" s="519"/>
      <c r="H9536" s="110"/>
      <c r="I9536">
        <f>E9536*G9518</f>
        <v>0</v>
      </c>
      <c r="J9536" s="58"/>
      <c r="K9536" s="50"/>
      <c r="L9536" s="50"/>
      <c r="M9536" s="50"/>
      <c r="N9536" s="50"/>
      <c r="O9536" s="50"/>
    </row>
    <row r="9537" spans="1:15">
      <c r="A9537" s="517" t="s">
        <v>8</v>
      </c>
      <c r="B9537" s="518">
        <f>VLOOKUP(A9537,'Materiales '!$C$2:$G$396,3,0)</f>
        <v>0</v>
      </c>
      <c r="C9537" s="88">
        <f>VLOOKUP(A9537,'Materiales '!$C$2:$G$396,3,0)</f>
        <v>0</v>
      </c>
      <c r="D9537" s="89" t="str">
        <f>VLOOKUP(A9537,'Materiales '!$C$2:$G$396,4,0)</f>
        <v>-</v>
      </c>
      <c r="E9537" s="90"/>
      <c r="F9537" s="508" t="e">
        <f t="shared" ref="F9537:F9540" si="553">E9537*D9537</f>
        <v>#VALUE!</v>
      </c>
      <c r="G9537" s="519"/>
      <c r="H9537" s="111"/>
      <c r="I9537">
        <f>E9537*G9518</f>
        <v>0</v>
      </c>
      <c r="J9537" s="58"/>
      <c r="K9537" s="50"/>
      <c r="L9537" s="50"/>
      <c r="M9537" s="50"/>
      <c r="N9537" s="50"/>
      <c r="O9537" s="50"/>
    </row>
    <row r="9538" spans="1:15">
      <c r="A9538" s="517" t="s">
        <v>8</v>
      </c>
      <c r="B9538" s="518">
        <f>VLOOKUP(A9538,'Materiales '!$C$2:$G$396,3,0)</f>
        <v>0</v>
      </c>
      <c r="C9538" s="88">
        <f>VLOOKUP(A9538,'Materiales '!$C$2:$G$396,3,0)</f>
        <v>0</v>
      </c>
      <c r="D9538" s="89" t="str">
        <f>VLOOKUP(A9538,'Materiales '!$C$2:$G$396,4,0)</f>
        <v>-</v>
      </c>
      <c r="E9538" s="90"/>
      <c r="F9538" s="508" t="e">
        <f t="shared" si="553"/>
        <v>#VALUE!</v>
      </c>
      <c r="G9538" s="519"/>
      <c r="H9538" s="111"/>
      <c r="I9538">
        <f>E9538*G9518</f>
        <v>0</v>
      </c>
      <c r="J9538" s="58"/>
      <c r="K9538" s="50"/>
      <c r="L9538" s="50"/>
      <c r="M9538" s="50"/>
      <c r="N9538" s="50"/>
      <c r="O9538" s="50"/>
    </row>
    <row r="9539" spans="1:15">
      <c r="A9539" s="517" t="s">
        <v>8</v>
      </c>
      <c r="B9539" s="518">
        <f>VLOOKUP(A9539,'Materiales '!$C$2:$G$396,3,0)</f>
        <v>0</v>
      </c>
      <c r="C9539" s="88">
        <f>VLOOKUP(A9539,'Materiales '!$C$2:$G$396,3,0)</f>
        <v>0</v>
      </c>
      <c r="D9539" s="89" t="str">
        <f>VLOOKUP(A9539,'Materiales '!$C$2:$G$396,4,0)</f>
        <v>-</v>
      </c>
      <c r="E9539" s="90"/>
      <c r="F9539" s="508" t="e">
        <f t="shared" si="553"/>
        <v>#VALUE!</v>
      </c>
      <c r="G9539" s="519"/>
      <c r="H9539" s="111"/>
      <c r="I9539">
        <f>E9539*G9518</f>
        <v>0</v>
      </c>
      <c r="J9539" s="58"/>
      <c r="K9539" s="50"/>
      <c r="L9539" s="50"/>
      <c r="M9539" s="50"/>
      <c r="N9539" s="50"/>
      <c r="O9539" s="50"/>
    </row>
    <row r="9540" spans="1:15">
      <c r="A9540" s="517" t="s">
        <v>8</v>
      </c>
      <c r="B9540" s="518">
        <f>VLOOKUP(A9540,'Materiales '!$C$2:$G$396,3,0)</f>
        <v>0</v>
      </c>
      <c r="C9540" s="88">
        <f>VLOOKUP(A9540,'Materiales '!$C$2:$G$396,3,0)</f>
        <v>0</v>
      </c>
      <c r="D9540" s="89" t="str">
        <f>VLOOKUP(A9540,'Materiales '!$C$2:$G$396,4,0)</f>
        <v>-</v>
      </c>
      <c r="E9540" s="90"/>
      <c r="F9540" s="508" t="e">
        <f t="shared" si="553"/>
        <v>#VALUE!</v>
      </c>
      <c r="G9540" s="519"/>
      <c r="H9540" s="111"/>
      <c r="I9540">
        <f>E9540*G9518</f>
        <v>0</v>
      </c>
      <c r="J9540" s="58"/>
      <c r="K9540" s="50"/>
      <c r="L9540" s="50"/>
      <c r="M9540" s="50"/>
      <c r="N9540" s="50"/>
      <c r="O9540" s="50"/>
    </row>
    <row r="9541" spans="1:15">
      <c r="A9541" s="517" t="s">
        <v>8</v>
      </c>
      <c r="B9541" s="518">
        <f>VLOOKUP(A9541,'Materiales '!$C$2:$G$396,3,0)</f>
        <v>0</v>
      </c>
      <c r="C9541" s="88">
        <f>VLOOKUP(A9541,'Materiales '!$C$2:$G$396,3,0)</f>
        <v>0</v>
      </c>
      <c r="D9541" s="89" t="str">
        <f>VLOOKUP(A9541,'Materiales '!$C$2:$G$396,4,0)</f>
        <v>-</v>
      </c>
      <c r="E9541" s="90"/>
      <c r="F9541" s="508" t="e">
        <f>E9541*D9541</f>
        <v>#VALUE!</v>
      </c>
      <c r="G9541" s="519"/>
      <c r="H9541" s="110"/>
      <c r="I9541">
        <f>E9541*G9518</f>
        <v>0</v>
      </c>
      <c r="J9541" s="58"/>
      <c r="K9541" s="50"/>
      <c r="L9541" s="50"/>
      <c r="M9541" s="50"/>
      <c r="N9541" s="50"/>
      <c r="O9541" s="50"/>
    </row>
    <row r="9542" spans="1:15">
      <c r="A9542" s="520" t="s">
        <v>4098</v>
      </c>
      <c r="B9542" s="521"/>
      <c r="C9542" s="521"/>
      <c r="D9542" s="521"/>
      <c r="E9542" s="521"/>
      <c r="F9542" s="521"/>
      <c r="G9542" s="522"/>
      <c r="H9542" s="106" t="e">
        <f>SUM(F9528:F9541)</f>
        <v>#VALUE!</v>
      </c>
      <c r="J9542" s="58"/>
      <c r="K9542" s="50"/>
      <c r="L9542" s="50"/>
      <c r="M9542" s="50"/>
      <c r="N9542" s="50"/>
      <c r="O9542" s="50"/>
    </row>
    <row r="9543" spans="1:15">
      <c r="A9543" s="523" t="s">
        <v>4220</v>
      </c>
      <c r="B9543" s="524"/>
      <c r="C9543" s="524"/>
      <c r="D9543" s="524"/>
      <c r="E9543" s="525"/>
      <c r="F9543" s="524"/>
      <c r="G9543" s="524"/>
      <c r="H9543" s="526"/>
      <c r="J9543" s="58"/>
      <c r="K9543" s="50"/>
      <c r="L9543" s="50"/>
      <c r="M9543" s="50"/>
      <c r="N9543" s="50"/>
      <c r="O9543" s="50"/>
    </row>
    <row r="9544" spans="1:15">
      <c r="A9544" s="527" t="s">
        <v>7</v>
      </c>
      <c r="B9544" s="528"/>
      <c r="C9544" s="98" t="s">
        <v>4221</v>
      </c>
      <c r="D9544" s="97" t="s">
        <v>4222</v>
      </c>
      <c r="E9544" s="187" t="s">
        <v>4223</v>
      </c>
      <c r="F9544" s="529" t="s">
        <v>4207</v>
      </c>
      <c r="G9544" s="529"/>
      <c r="H9544" s="109"/>
      <c r="K9544" s="50"/>
      <c r="L9544" s="50"/>
      <c r="M9544" s="50"/>
      <c r="N9544" s="50"/>
      <c r="O9544" s="50"/>
    </row>
    <row r="9545" spans="1:15">
      <c r="A9545" s="506" t="s">
        <v>3928</v>
      </c>
      <c r="B9545" s="507"/>
      <c r="C9545" s="213">
        <v>1</v>
      </c>
      <c r="D9545" s="92">
        <v>8.0000000000000002E-3</v>
      </c>
      <c r="E9545" s="93" t="str">
        <f>VLOOKUP(A9545,'Equip, Herr y Transp'!$B$2:$E$217,3,0)</f>
        <v>TR</v>
      </c>
      <c r="F9545" s="530" t="e">
        <f>E9545*D9545*C9545</f>
        <v>#VALUE!</v>
      </c>
      <c r="G9545" s="531"/>
      <c r="H9545" s="107"/>
      <c r="M9545" s="50"/>
    </row>
    <row r="9546" spans="1:15">
      <c r="A9546" s="532" t="s">
        <v>4205</v>
      </c>
      <c r="B9546" s="533"/>
      <c r="C9546" s="533"/>
      <c r="D9546" s="533"/>
      <c r="E9546" s="533"/>
      <c r="F9546" s="533"/>
      <c r="G9546" s="533"/>
      <c r="H9546" s="95" t="e">
        <f>F9545</f>
        <v>#VALUE!</v>
      </c>
    </row>
    <row r="9547" spans="1:15">
      <c r="A9547" s="523" t="s">
        <v>4224</v>
      </c>
      <c r="B9547" s="524"/>
      <c r="C9547" s="524"/>
      <c r="D9547" s="524"/>
      <c r="E9547" s="524"/>
      <c r="F9547" s="524"/>
      <c r="G9547" s="524"/>
      <c r="H9547" s="526"/>
    </row>
    <row r="9548" spans="1:15">
      <c r="A9548" s="527" t="s">
        <v>7</v>
      </c>
      <c r="B9548" s="528"/>
      <c r="C9548" s="96" t="s">
        <v>1</v>
      </c>
      <c r="D9548" s="97" t="s">
        <v>4225</v>
      </c>
      <c r="E9548" s="98" t="s">
        <v>4204</v>
      </c>
      <c r="F9548" s="527" t="s">
        <v>5</v>
      </c>
      <c r="G9548" s="534"/>
      <c r="H9548" s="109"/>
    </row>
    <row r="9549" spans="1:15">
      <c r="A9549" s="506" t="s">
        <v>4191</v>
      </c>
      <c r="B9549" s="507"/>
      <c r="C9549" s="91">
        <v>1</v>
      </c>
      <c r="D9549" s="94">
        <f>VLOOKUP(A9549,'Mano Obra'!$B$2:$T$117,19,0)</f>
        <v>152456</v>
      </c>
      <c r="E9549" s="218">
        <f>H9511</f>
        <v>3.9600000000000003E-2</v>
      </c>
      <c r="F9549" s="508">
        <f>E9549*D9549*C9549</f>
        <v>6037.2576000000008</v>
      </c>
      <c r="G9549" s="509"/>
      <c r="H9549" s="111"/>
      <c r="I9549" s="59"/>
      <c r="J9549" s="117">
        <f>((('Mano Obra'!$M$4/30)*F9549)/D9549)*G9518</f>
        <v>0</v>
      </c>
    </row>
    <row r="9550" spans="1:15">
      <c r="A9550" s="510" t="s">
        <v>4192</v>
      </c>
      <c r="B9550" s="511">
        <f>VLOOKUP(A9550,'Mano Obra'!$B$3:$D$290,2,0)</f>
        <v>1900000</v>
      </c>
      <c r="C9550" s="91">
        <v>2</v>
      </c>
      <c r="D9550" s="94">
        <f>VLOOKUP(A9550,'Mano Obra'!$B$2:$T$117,19,0)</f>
        <v>110488</v>
      </c>
      <c r="E9550" s="218">
        <f>H9511</f>
        <v>3.9600000000000003E-2</v>
      </c>
      <c r="F9550" s="508">
        <f t="shared" ref="F9550:F9551" si="554">E9550*D9550*C9550</f>
        <v>8750.6496000000006</v>
      </c>
      <c r="G9550" s="509"/>
      <c r="H9550" s="111"/>
      <c r="J9550" s="117">
        <f>((('Mano Obra'!$M$5/30)*F9550)/D9550)*G9518</f>
        <v>0</v>
      </c>
    </row>
    <row r="9551" spans="1:15">
      <c r="A9551" s="510" t="s">
        <v>4181</v>
      </c>
      <c r="B9551" s="511">
        <f>VLOOKUP(A9551,'Mano Obra'!$B$3:$D$290,2,0)</f>
        <v>1000000</v>
      </c>
      <c r="C9551" s="91">
        <v>1</v>
      </c>
      <c r="D9551" s="94">
        <f>VLOOKUP(A9551,'Mano Obra'!$B$2:$T$117,19,0)</f>
        <v>67424</v>
      </c>
      <c r="E9551" s="218">
        <f>H9511</f>
        <v>3.9600000000000003E-2</v>
      </c>
      <c r="F9551" s="508">
        <f t="shared" si="554"/>
        <v>2669.9904000000001</v>
      </c>
      <c r="G9551" s="509"/>
      <c r="H9551" s="110"/>
      <c r="J9551" s="117">
        <f>((('Mano Obra'!$M$6/30)*F9551)/D9551)*G9518</f>
        <v>0</v>
      </c>
    </row>
    <row r="9552" spans="1:15">
      <c r="A9552" s="512" t="s">
        <v>4100</v>
      </c>
      <c r="B9552" s="512"/>
      <c r="C9552" s="512"/>
      <c r="D9552" s="512"/>
      <c r="E9552" s="512"/>
      <c r="F9552" s="512"/>
      <c r="G9552" s="512"/>
      <c r="H9552" s="95">
        <f>SUM(F9549:F9551)</f>
        <v>17457.8976</v>
      </c>
      <c r="J9552" s="117"/>
    </row>
    <row r="9553" spans="1:8">
      <c r="A9553" s="208" t="s">
        <v>4226</v>
      </c>
      <c r="B9553" s="186"/>
      <c r="C9553" s="186"/>
      <c r="D9553" s="183"/>
      <c r="E9553" s="184"/>
      <c r="F9553" s="185"/>
      <c r="G9553" s="184"/>
      <c r="H9553" s="193"/>
    </row>
    <row r="9554" spans="1:8">
      <c r="A9554" s="513" t="s">
        <v>4213</v>
      </c>
      <c r="B9554" s="514"/>
      <c r="C9554" s="514"/>
      <c r="D9554" s="514"/>
      <c r="E9554" s="181"/>
      <c r="F9554" s="182" t="s">
        <v>4227</v>
      </c>
      <c r="G9554" s="181" t="s">
        <v>4228</v>
      </c>
      <c r="H9554" s="194"/>
    </row>
    <row r="9555" spans="1:8">
      <c r="A9555" s="204" t="s">
        <v>4096</v>
      </c>
      <c r="B9555" s="62"/>
      <c r="C9555" s="62"/>
      <c r="D9555" s="63"/>
      <c r="E9555" s="68"/>
      <c r="F9555" s="69">
        <v>0</v>
      </c>
      <c r="G9555" s="70" t="e">
        <f>F9555*H9519</f>
        <v>#VALUE!</v>
      </c>
      <c r="H9555" s="193"/>
    </row>
    <row r="9556" spans="1:8">
      <c r="A9556" s="205" t="s">
        <v>4229</v>
      </c>
      <c r="B9556" s="71"/>
      <c r="C9556" s="71"/>
      <c r="D9556" s="72"/>
      <c r="E9556" s="68"/>
      <c r="F9556" s="69">
        <v>0</v>
      </c>
      <c r="G9556" s="70" t="e">
        <f>F9556*H9519</f>
        <v>#VALUE!</v>
      </c>
      <c r="H9556" s="193"/>
    </row>
    <row r="9557" spans="1:8">
      <c r="A9557" s="205" t="s">
        <v>4</v>
      </c>
      <c r="B9557" s="71"/>
      <c r="C9557" s="71"/>
      <c r="D9557" s="72"/>
      <c r="E9557" s="68"/>
      <c r="F9557" s="69">
        <v>0</v>
      </c>
      <c r="G9557" s="70" t="e">
        <f>F9557*H9519</f>
        <v>#VALUE!</v>
      </c>
      <c r="H9557" s="193"/>
    </row>
    <row r="9558" spans="1:8">
      <c r="A9558" s="206"/>
      <c r="B9558" s="73"/>
      <c r="C9558" s="65"/>
      <c r="D9558" s="74"/>
      <c r="E9558" s="75"/>
      <c r="F9558" s="76"/>
      <c r="G9558" s="77"/>
      <c r="H9558" s="195"/>
    </row>
    <row r="9559" spans="1:8">
      <c r="A9559" s="207"/>
      <c r="B9559" s="73"/>
      <c r="C9559" s="73"/>
      <c r="D9559" s="74"/>
      <c r="E9559" s="78"/>
      <c r="F9559" s="515" t="s">
        <v>4230</v>
      </c>
      <c r="G9559" s="516"/>
      <c r="H9559" s="214" t="e">
        <f>H9519+G9555+G9556+G9557</f>
        <v>#VALUE!</v>
      </c>
    </row>
  </sheetData>
  <mergeCells count="11395">
    <mergeCell ref="A8596:B8596"/>
    <mergeCell ref="F8596:G8596"/>
    <mergeCell ref="A8597:B8597"/>
    <mergeCell ref="F8597:G8597"/>
    <mergeCell ref="A8598:B8598"/>
    <mergeCell ref="F8598:G8598"/>
    <mergeCell ref="A8599:G8599"/>
    <mergeCell ref="A8601:D8601"/>
    <mergeCell ref="F8606:G8606"/>
    <mergeCell ref="A8576:C8576"/>
    <mergeCell ref="A8577:G8577"/>
    <mergeCell ref="A8578:H8578"/>
    <mergeCell ref="A8579:B8579"/>
    <mergeCell ref="F8579:G8579"/>
    <mergeCell ref="A8580:B8580"/>
    <mergeCell ref="F8580:G8580"/>
    <mergeCell ref="A8581:B8581"/>
    <mergeCell ref="F8581:G8581"/>
    <mergeCell ref="A8582:B8582"/>
    <mergeCell ref="F8582:G8582"/>
    <mergeCell ref="A8583:B8583"/>
    <mergeCell ref="F8583:G8583"/>
    <mergeCell ref="A8584:B8584"/>
    <mergeCell ref="F8584:G8584"/>
    <mergeCell ref="A8585:B8585"/>
    <mergeCell ref="F8585:G8585"/>
    <mergeCell ref="A8586:B8586"/>
    <mergeCell ref="F8586:G8586"/>
    <mergeCell ref="A8587:B8587"/>
    <mergeCell ref="F8587:G8587"/>
    <mergeCell ref="A8588:B8588"/>
    <mergeCell ref="F8588:G8588"/>
    <mergeCell ref="A8589:G8589"/>
    <mergeCell ref="A8590:H8590"/>
    <mergeCell ref="A8591:B8591"/>
    <mergeCell ref="F8591:G8591"/>
    <mergeCell ref="A8592:B8592"/>
    <mergeCell ref="F8592:G8592"/>
    <mergeCell ref="A8593:G8593"/>
    <mergeCell ref="A8594:H8594"/>
    <mergeCell ref="A8595:B8595"/>
    <mergeCell ref="F8595:G8595"/>
    <mergeCell ref="A9539:B9539"/>
    <mergeCell ref="F9539:G9539"/>
    <mergeCell ref="A9540:B9540"/>
    <mergeCell ref="F9540:G9540"/>
    <mergeCell ref="A9541:B9541"/>
    <mergeCell ref="F9541:G9541"/>
    <mergeCell ref="A9542:G9542"/>
    <mergeCell ref="A9543:H9543"/>
    <mergeCell ref="A9544:B9544"/>
    <mergeCell ref="F9544:G9544"/>
    <mergeCell ref="A9545:B9545"/>
    <mergeCell ref="F9545:G9545"/>
    <mergeCell ref="A9546:G9546"/>
    <mergeCell ref="A9547:H9547"/>
    <mergeCell ref="A9548:B9548"/>
    <mergeCell ref="F9548:G9548"/>
    <mergeCell ref="A9549:B9549"/>
    <mergeCell ref="F9549:G9549"/>
    <mergeCell ref="A9550:B9550"/>
    <mergeCell ref="F9550:G9550"/>
    <mergeCell ref="A9551:B9551"/>
    <mergeCell ref="F9551:G9551"/>
    <mergeCell ref="A9552:G9552"/>
    <mergeCell ref="A9554:D9554"/>
    <mergeCell ref="F9559:G9559"/>
    <mergeCell ref="A8507:H8507"/>
    <mergeCell ref="A8509:A8512"/>
    <mergeCell ref="B8509:G8512"/>
    <mergeCell ref="H8509:H8511"/>
    <mergeCell ref="B8513:F8513"/>
    <mergeCell ref="B8514:E8514"/>
    <mergeCell ref="A8517:C8517"/>
    <mergeCell ref="A8518:C8518"/>
    <mergeCell ref="A8519:C8519"/>
    <mergeCell ref="A8520:C8520"/>
    <mergeCell ref="A8521:C8521"/>
    <mergeCell ref="A8522:G8522"/>
    <mergeCell ref="A8523:H8523"/>
    <mergeCell ref="A8524:B8524"/>
    <mergeCell ref="F8524:G8524"/>
    <mergeCell ref="A8525:B8525"/>
    <mergeCell ref="F8525:G8525"/>
    <mergeCell ref="A8526:B8526"/>
    <mergeCell ref="F8526:G8526"/>
    <mergeCell ref="A8527:B8527"/>
    <mergeCell ref="F8527:G8527"/>
    <mergeCell ref="A8528:B8528"/>
    <mergeCell ref="F8528:G8528"/>
    <mergeCell ref="A8529:B8529"/>
    <mergeCell ref="F8529:G8529"/>
    <mergeCell ref="A8530:B8530"/>
    <mergeCell ref="F8530:G8530"/>
    <mergeCell ref="A8531:B8531"/>
    <mergeCell ref="F8531:G8531"/>
    <mergeCell ref="A8532:B8532"/>
    <mergeCell ref="F8532:G8532"/>
    <mergeCell ref="A8533:B8533"/>
    <mergeCell ref="F8533:G8533"/>
    <mergeCell ref="A8534:B8534"/>
    <mergeCell ref="F8534:G8534"/>
    <mergeCell ref="A8535:B8535"/>
    <mergeCell ref="F8535:G8535"/>
    <mergeCell ref="A8536:B8536"/>
    <mergeCell ref="F8536:G8536"/>
    <mergeCell ref="B9516:F9516"/>
    <mergeCell ref="B9517:E9517"/>
    <mergeCell ref="A9520:C9520"/>
    <mergeCell ref="A9521:C9521"/>
    <mergeCell ref="A9522:C9522"/>
    <mergeCell ref="A9523:C9523"/>
    <mergeCell ref="A9524:C9524"/>
    <mergeCell ref="A9525:G9525"/>
    <mergeCell ref="A9526:H9526"/>
    <mergeCell ref="A9527:B9527"/>
    <mergeCell ref="F9527:G9527"/>
    <mergeCell ref="A9528:B9528"/>
    <mergeCell ref="F9528:G9528"/>
    <mergeCell ref="A9529:B9529"/>
    <mergeCell ref="F9529:G9529"/>
    <mergeCell ref="A9530:B9530"/>
    <mergeCell ref="F9530:G9530"/>
    <mergeCell ref="A9531:B9531"/>
    <mergeCell ref="F9531:G9531"/>
    <mergeCell ref="A9532:B9532"/>
    <mergeCell ref="F9532:G9532"/>
    <mergeCell ref="A9533:B9533"/>
    <mergeCell ref="F9533:G9533"/>
    <mergeCell ref="A9534:B9534"/>
    <mergeCell ref="F9534:G9534"/>
    <mergeCell ref="A9535:B9535"/>
    <mergeCell ref="F9535:G9535"/>
    <mergeCell ref="A9536:B9536"/>
    <mergeCell ref="F9536:G9536"/>
    <mergeCell ref="A9537:B9537"/>
    <mergeCell ref="F9537:G9537"/>
    <mergeCell ref="A9538:B9538"/>
    <mergeCell ref="F9538:G9538"/>
    <mergeCell ref="A8002:B8002"/>
    <mergeCell ref="F8002:G8002"/>
    <mergeCell ref="A8003:B8003"/>
    <mergeCell ref="F8003:G8003"/>
    <mergeCell ref="A8004:B8004"/>
    <mergeCell ref="F8004:G8004"/>
    <mergeCell ref="A8005:B8005"/>
    <mergeCell ref="F8005:G8005"/>
    <mergeCell ref="A8006:B8006"/>
    <mergeCell ref="F8006:G8006"/>
    <mergeCell ref="A8007:B8007"/>
    <mergeCell ref="F8007:G8007"/>
    <mergeCell ref="A8008:G8008"/>
    <mergeCell ref="A8009:H8009"/>
    <mergeCell ref="A8010:B8010"/>
    <mergeCell ref="F8010:G8010"/>
    <mergeCell ref="A8011:B8011"/>
    <mergeCell ref="F8011:G8011"/>
    <mergeCell ref="A8012:G8012"/>
    <mergeCell ref="A8013:H8013"/>
    <mergeCell ref="A8014:B8014"/>
    <mergeCell ref="F8014:G8014"/>
    <mergeCell ref="A8015:B8015"/>
    <mergeCell ref="F8015:G8015"/>
    <mergeCell ref="A8016:B8016"/>
    <mergeCell ref="F8016:G8016"/>
    <mergeCell ref="A8017:B8017"/>
    <mergeCell ref="F8017:G8017"/>
    <mergeCell ref="A8018:G8018"/>
    <mergeCell ref="A8020:D8020"/>
    <mergeCell ref="F8025:G8025"/>
    <mergeCell ref="A9510:H9510"/>
    <mergeCell ref="A9512:A9515"/>
    <mergeCell ref="B9512:G9515"/>
    <mergeCell ref="H9512:H9514"/>
    <mergeCell ref="A8537:B8537"/>
    <mergeCell ref="F8537:G8537"/>
    <mergeCell ref="A8538:B8538"/>
    <mergeCell ref="F8538:G8538"/>
    <mergeCell ref="A8539:B8539"/>
    <mergeCell ref="F8539:G8539"/>
    <mergeCell ref="A8540:B8540"/>
    <mergeCell ref="F8540:G8540"/>
    <mergeCell ref="A8541:B8541"/>
    <mergeCell ref="F8541:G8541"/>
    <mergeCell ref="A8542:G8542"/>
    <mergeCell ref="A8543:H8543"/>
    <mergeCell ref="A8544:B8544"/>
    <mergeCell ref="F8544:G8544"/>
    <mergeCell ref="A8545:B8545"/>
    <mergeCell ref="F8545:G8545"/>
    <mergeCell ref="A8546:G8546"/>
    <mergeCell ref="A8547:H8547"/>
    <mergeCell ref="A8548:B8548"/>
    <mergeCell ref="F8548:G8548"/>
    <mergeCell ref="A8549:B8549"/>
    <mergeCell ref="F8549:G8549"/>
    <mergeCell ref="A8550:B8550"/>
    <mergeCell ref="F8550:G8550"/>
    <mergeCell ref="A8551:B8551"/>
    <mergeCell ref="F8551:G8551"/>
    <mergeCell ref="A8552:G8552"/>
    <mergeCell ref="A8554:D8554"/>
    <mergeCell ref="F8559:G8559"/>
    <mergeCell ref="A7968:D7968"/>
    <mergeCell ref="F7973:G7973"/>
    <mergeCell ref="A7976:H7976"/>
    <mergeCell ref="A7978:A7981"/>
    <mergeCell ref="B7978:G7981"/>
    <mergeCell ref="H7978:H7980"/>
    <mergeCell ref="B7982:F7982"/>
    <mergeCell ref="B7983:E7983"/>
    <mergeCell ref="A7986:C7986"/>
    <mergeCell ref="A7987:C7987"/>
    <mergeCell ref="A7988:C7988"/>
    <mergeCell ref="A7989:C7989"/>
    <mergeCell ref="A7990:C7990"/>
    <mergeCell ref="A7991:G7991"/>
    <mergeCell ref="A7992:H7992"/>
    <mergeCell ref="A7993:B7993"/>
    <mergeCell ref="F7993:G7993"/>
    <mergeCell ref="A7994:B7994"/>
    <mergeCell ref="F7994:G7994"/>
    <mergeCell ref="A7995:B7995"/>
    <mergeCell ref="F7995:G7995"/>
    <mergeCell ref="A7996:B7996"/>
    <mergeCell ref="F7996:G7996"/>
    <mergeCell ref="A7997:B7997"/>
    <mergeCell ref="F7997:G7997"/>
    <mergeCell ref="A7998:B7998"/>
    <mergeCell ref="F7998:G7998"/>
    <mergeCell ref="A7999:B7999"/>
    <mergeCell ref="F7999:G7999"/>
    <mergeCell ref="A8000:B8000"/>
    <mergeCell ref="F8000:G8000"/>
    <mergeCell ref="A8001:B8001"/>
    <mergeCell ref="F8001:G8001"/>
    <mergeCell ref="A7948:B7948"/>
    <mergeCell ref="F7948:G7948"/>
    <mergeCell ref="A7949:B7949"/>
    <mergeCell ref="F7949:G7949"/>
    <mergeCell ref="A7950:B7950"/>
    <mergeCell ref="F7950:G7950"/>
    <mergeCell ref="A7951:B7951"/>
    <mergeCell ref="F7951:G7951"/>
    <mergeCell ref="A7952:B7952"/>
    <mergeCell ref="F7952:G7952"/>
    <mergeCell ref="A7953:B7953"/>
    <mergeCell ref="F7953:G7953"/>
    <mergeCell ref="A7954:B7954"/>
    <mergeCell ref="F7954:G7954"/>
    <mergeCell ref="A7955:B7955"/>
    <mergeCell ref="F7955:G7955"/>
    <mergeCell ref="A7956:G7956"/>
    <mergeCell ref="A7957:H7957"/>
    <mergeCell ref="A7958:B7958"/>
    <mergeCell ref="F7958:G7958"/>
    <mergeCell ref="A7959:B7959"/>
    <mergeCell ref="F7959:G7959"/>
    <mergeCell ref="A7960:G7960"/>
    <mergeCell ref="A7961:H7961"/>
    <mergeCell ref="A7962:B7962"/>
    <mergeCell ref="F7962:G7962"/>
    <mergeCell ref="A7963:B7963"/>
    <mergeCell ref="F7963:G7963"/>
    <mergeCell ref="A7964:B7964"/>
    <mergeCell ref="F7964:G7964"/>
    <mergeCell ref="A7965:B7965"/>
    <mergeCell ref="F7965:G7965"/>
    <mergeCell ref="A7966:G7966"/>
    <mergeCell ref="A7912:B7912"/>
    <mergeCell ref="F7912:G7912"/>
    <mergeCell ref="A7913:B7913"/>
    <mergeCell ref="F7913:G7913"/>
    <mergeCell ref="A7914:G7914"/>
    <mergeCell ref="A7916:D7916"/>
    <mergeCell ref="F7921:G7921"/>
    <mergeCell ref="A7924:H7924"/>
    <mergeCell ref="A7926:A7929"/>
    <mergeCell ref="B7926:G7929"/>
    <mergeCell ref="H7926:H7928"/>
    <mergeCell ref="B7930:F7930"/>
    <mergeCell ref="B7931:E7931"/>
    <mergeCell ref="A7934:C7934"/>
    <mergeCell ref="A7935:C7935"/>
    <mergeCell ref="A7936:C7936"/>
    <mergeCell ref="A7937:C7937"/>
    <mergeCell ref="A7938:C7938"/>
    <mergeCell ref="A7939:G7939"/>
    <mergeCell ref="A7940:H7940"/>
    <mergeCell ref="A7941:B7941"/>
    <mergeCell ref="F7941:G7941"/>
    <mergeCell ref="A7942:B7942"/>
    <mergeCell ref="F7942:G7942"/>
    <mergeCell ref="A7943:B7943"/>
    <mergeCell ref="F7943:G7943"/>
    <mergeCell ref="A7944:B7944"/>
    <mergeCell ref="F7944:G7944"/>
    <mergeCell ref="A7945:B7945"/>
    <mergeCell ref="F7945:G7945"/>
    <mergeCell ref="A7946:B7946"/>
    <mergeCell ref="F7946:G7946"/>
    <mergeCell ref="A7947:B7947"/>
    <mergeCell ref="F7947:G7947"/>
    <mergeCell ref="A7893:B7893"/>
    <mergeCell ref="F7893:G7893"/>
    <mergeCell ref="A7894:B7894"/>
    <mergeCell ref="F7894:G7894"/>
    <mergeCell ref="A7895:B7895"/>
    <mergeCell ref="F7895:G7895"/>
    <mergeCell ref="A7896:B7896"/>
    <mergeCell ref="F7896:G7896"/>
    <mergeCell ref="A7897:B7897"/>
    <mergeCell ref="F7897:G7897"/>
    <mergeCell ref="A7898:B7898"/>
    <mergeCell ref="F7898:G7898"/>
    <mergeCell ref="A7899:B7899"/>
    <mergeCell ref="F7899:G7899"/>
    <mergeCell ref="A7900:B7900"/>
    <mergeCell ref="F7900:G7900"/>
    <mergeCell ref="A7901:B7901"/>
    <mergeCell ref="F7901:G7901"/>
    <mergeCell ref="A7902:B7902"/>
    <mergeCell ref="F7902:G7902"/>
    <mergeCell ref="A7903:B7903"/>
    <mergeCell ref="F7903:G7903"/>
    <mergeCell ref="A7904:G7904"/>
    <mergeCell ref="A7905:H7905"/>
    <mergeCell ref="A7906:B7906"/>
    <mergeCell ref="F7906:G7906"/>
    <mergeCell ref="A7907:B7907"/>
    <mergeCell ref="F7907:G7907"/>
    <mergeCell ref="A7908:G7908"/>
    <mergeCell ref="A7909:H7909"/>
    <mergeCell ref="A7910:B7910"/>
    <mergeCell ref="F7910:G7910"/>
    <mergeCell ref="A7911:B7911"/>
    <mergeCell ref="F7911:G7911"/>
    <mergeCell ref="A7857:H7857"/>
    <mergeCell ref="A7858:B7858"/>
    <mergeCell ref="F7858:G7858"/>
    <mergeCell ref="A7859:B7859"/>
    <mergeCell ref="F7859:G7859"/>
    <mergeCell ref="A7860:B7860"/>
    <mergeCell ref="F7860:G7860"/>
    <mergeCell ref="A7861:B7861"/>
    <mergeCell ref="F7861:G7861"/>
    <mergeCell ref="A7862:G7862"/>
    <mergeCell ref="A7864:D7864"/>
    <mergeCell ref="F7869:G7869"/>
    <mergeCell ref="A7872:H7872"/>
    <mergeCell ref="A7874:A7877"/>
    <mergeCell ref="B7874:G7877"/>
    <mergeCell ref="H7874:H7876"/>
    <mergeCell ref="B7878:F7878"/>
    <mergeCell ref="B7879:E7879"/>
    <mergeCell ref="A7882:C7882"/>
    <mergeCell ref="A7883:C7883"/>
    <mergeCell ref="A7884:C7884"/>
    <mergeCell ref="A7885:C7885"/>
    <mergeCell ref="A7886:C7886"/>
    <mergeCell ref="A7887:G7887"/>
    <mergeCell ref="A7888:H7888"/>
    <mergeCell ref="A7889:B7889"/>
    <mergeCell ref="F7889:G7889"/>
    <mergeCell ref="A7890:B7890"/>
    <mergeCell ref="F7890:G7890"/>
    <mergeCell ref="A7891:B7891"/>
    <mergeCell ref="F7891:G7891"/>
    <mergeCell ref="A7892:B7892"/>
    <mergeCell ref="F7892:G7892"/>
    <mergeCell ref="A7839:B7839"/>
    <mergeCell ref="F7839:G7839"/>
    <mergeCell ref="A7840:B7840"/>
    <mergeCell ref="F7840:G7840"/>
    <mergeCell ref="A7841:B7841"/>
    <mergeCell ref="F7841:G7841"/>
    <mergeCell ref="A7842:B7842"/>
    <mergeCell ref="F7842:G7842"/>
    <mergeCell ref="A7843:B7843"/>
    <mergeCell ref="F7843:G7843"/>
    <mergeCell ref="A7844:B7844"/>
    <mergeCell ref="F7844:G7844"/>
    <mergeCell ref="A7845:B7845"/>
    <mergeCell ref="F7845:G7845"/>
    <mergeCell ref="A7846:B7846"/>
    <mergeCell ref="F7846:G7846"/>
    <mergeCell ref="A7847:B7847"/>
    <mergeCell ref="F7847:G7847"/>
    <mergeCell ref="A7848:B7848"/>
    <mergeCell ref="F7848:G7848"/>
    <mergeCell ref="A7849:B7849"/>
    <mergeCell ref="F7849:G7849"/>
    <mergeCell ref="A7850:B7850"/>
    <mergeCell ref="F7850:G7850"/>
    <mergeCell ref="A7851:B7851"/>
    <mergeCell ref="F7851:G7851"/>
    <mergeCell ref="A7852:G7852"/>
    <mergeCell ref="A7853:H7853"/>
    <mergeCell ref="A7854:B7854"/>
    <mergeCell ref="F7854:G7854"/>
    <mergeCell ref="A7855:B7855"/>
    <mergeCell ref="F7855:G7855"/>
    <mergeCell ref="A7856:G7856"/>
    <mergeCell ref="A7802:B7802"/>
    <mergeCell ref="F7802:G7802"/>
    <mergeCell ref="A7803:B7803"/>
    <mergeCell ref="F7803:G7803"/>
    <mergeCell ref="A7804:G7804"/>
    <mergeCell ref="A7805:H7805"/>
    <mergeCell ref="A7806:B7806"/>
    <mergeCell ref="F7806:G7806"/>
    <mergeCell ref="A7807:B7807"/>
    <mergeCell ref="F7807:G7807"/>
    <mergeCell ref="A7808:B7808"/>
    <mergeCell ref="F7808:G7808"/>
    <mergeCell ref="A7809:B7809"/>
    <mergeCell ref="F7809:G7809"/>
    <mergeCell ref="A7810:G7810"/>
    <mergeCell ref="A7812:D7812"/>
    <mergeCell ref="F7817:G7817"/>
    <mergeCell ref="A7820:H7820"/>
    <mergeCell ref="A7822:A7825"/>
    <mergeCell ref="B7822:G7825"/>
    <mergeCell ref="H7822:H7824"/>
    <mergeCell ref="B7826:F7826"/>
    <mergeCell ref="B7827:E7827"/>
    <mergeCell ref="A7830:C7830"/>
    <mergeCell ref="A7831:C7831"/>
    <mergeCell ref="A7832:C7832"/>
    <mergeCell ref="A7833:C7833"/>
    <mergeCell ref="A7834:C7834"/>
    <mergeCell ref="A7835:G7835"/>
    <mergeCell ref="A7836:H7836"/>
    <mergeCell ref="A7837:B7837"/>
    <mergeCell ref="F7837:G7837"/>
    <mergeCell ref="A7838:B7838"/>
    <mergeCell ref="F7838:G7838"/>
    <mergeCell ref="A7784:H7784"/>
    <mergeCell ref="A7785:B7785"/>
    <mergeCell ref="F7785:G7785"/>
    <mergeCell ref="A7786:B7786"/>
    <mergeCell ref="F7786:G7786"/>
    <mergeCell ref="A7787:B7787"/>
    <mergeCell ref="F7787:G7787"/>
    <mergeCell ref="A7788:B7788"/>
    <mergeCell ref="F7788:G7788"/>
    <mergeCell ref="A7789:B7789"/>
    <mergeCell ref="F7789:G7789"/>
    <mergeCell ref="A7790:B7790"/>
    <mergeCell ref="F7790:G7790"/>
    <mergeCell ref="A7791:B7791"/>
    <mergeCell ref="F7791:G7791"/>
    <mergeCell ref="A7792:B7792"/>
    <mergeCell ref="F7792:G7792"/>
    <mergeCell ref="A7793:B7793"/>
    <mergeCell ref="F7793:G7793"/>
    <mergeCell ref="A7794:B7794"/>
    <mergeCell ref="F7794:G7794"/>
    <mergeCell ref="A7795:B7795"/>
    <mergeCell ref="F7795:G7795"/>
    <mergeCell ref="A7796:B7796"/>
    <mergeCell ref="F7796:G7796"/>
    <mergeCell ref="A7797:B7797"/>
    <mergeCell ref="F7797:G7797"/>
    <mergeCell ref="A7798:B7798"/>
    <mergeCell ref="F7798:G7798"/>
    <mergeCell ref="A7799:B7799"/>
    <mergeCell ref="F7799:G7799"/>
    <mergeCell ref="A7800:G7800"/>
    <mergeCell ref="A7801:H7801"/>
    <mergeCell ref="A7747:B7747"/>
    <mergeCell ref="F7747:G7747"/>
    <mergeCell ref="A7748:G7748"/>
    <mergeCell ref="A7749:H7749"/>
    <mergeCell ref="A7750:B7750"/>
    <mergeCell ref="F7750:G7750"/>
    <mergeCell ref="A7751:B7751"/>
    <mergeCell ref="F7751:G7751"/>
    <mergeCell ref="A7752:G7752"/>
    <mergeCell ref="A7753:H7753"/>
    <mergeCell ref="A7754:B7754"/>
    <mergeCell ref="F7754:G7754"/>
    <mergeCell ref="A7755:B7755"/>
    <mergeCell ref="F7755:G7755"/>
    <mergeCell ref="A7756:B7756"/>
    <mergeCell ref="F7756:G7756"/>
    <mergeCell ref="A7757:B7757"/>
    <mergeCell ref="F7757:G7757"/>
    <mergeCell ref="A7758:G7758"/>
    <mergeCell ref="A7760:D7760"/>
    <mergeCell ref="F7765:G7765"/>
    <mergeCell ref="A7768:H7768"/>
    <mergeCell ref="A7770:A7773"/>
    <mergeCell ref="B7770:G7773"/>
    <mergeCell ref="H7770:H7772"/>
    <mergeCell ref="B7774:F7774"/>
    <mergeCell ref="B7775:E7775"/>
    <mergeCell ref="A7778:C7778"/>
    <mergeCell ref="A7779:C7779"/>
    <mergeCell ref="A7780:C7780"/>
    <mergeCell ref="A7781:C7781"/>
    <mergeCell ref="A7782:C7782"/>
    <mergeCell ref="A7783:G7783"/>
    <mergeCell ref="A7728:C7728"/>
    <mergeCell ref="A7729:C7729"/>
    <mergeCell ref="A7730:C7730"/>
    <mergeCell ref="A7731:G7731"/>
    <mergeCell ref="A7732:H7732"/>
    <mergeCell ref="A7733:B7733"/>
    <mergeCell ref="F7733:G7733"/>
    <mergeCell ref="A7734:B7734"/>
    <mergeCell ref="F7734:G7734"/>
    <mergeCell ref="A7735:B7735"/>
    <mergeCell ref="F7735:G7735"/>
    <mergeCell ref="A7736:B7736"/>
    <mergeCell ref="F7736:G7736"/>
    <mergeCell ref="A7737:B7737"/>
    <mergeCell ref="F7737:G7737"/>
    <mergeCell ref="A7738:B7738"/>
    <mergeCell ref="F7738:G7738"/>
    <mergeCell ref="A7739:B7739"/>
    <mergeCell ref="F7739:G7739"/>
    <mergeCell ref="A7740:B7740"/>
    <mergeCell ref="F7740:G7740"/>
    <mergeCell ref="A7741:B7741"/>
    <mergeCell ref="F7741:G7741"/>
    <mergeCell ref="A7742:B7742"/>
    <mergeCell ref="F7742:G7742"/>
    <mergeCell ref="A7743:B7743"/>
    <mergeCell ref="F7743:G7743"/>
    <mergeCell ref="A7744:B7744"/>
    <mergeCell ref="F7744:G7744"/>
    <mergeCell ref="A7745:B7745"/>
    <mergeCell ref="F7745:G7745"/>
    <mergeCell ref="A7746:B7746"/>
    <mergeCell ref="F7746:G7746"/>
    <mergeCell ref="A7693:B7693"/>
    <mergeCell ref="F7693:G7693"/>
    <mergeCell ref="A7694:B7694"/>
    <mergeCell ref="F7694:G7694"/>
    <mergeCell ref="A7695:B7695"/>
    <mergeCell ref="F7695:G7695"/>
    <mergeCell ref="A7696:G7696"/>
    <mergeCell ref="A7697:H7697"/>
    <mergeCell ref="A7698:B7698"/>
    <mergeCell ref="F7698:G7698"/>
    <mergeCell ref="A7699:B7699"/>
    <mergeCell ref="F7699:G7699"/>
    <mergeCell ref="A7700:G7700"/>
    <mergeCell ref="A7701:H7701"/>
    <mergeCell ref="A7702:B7702"/>
    <mergeCell ref="F7702:G7702"/>
    <mergeCell ref="A7703:B7703"/>
    <mergeCell ref="F7703:G7703"/>
    <mergeCell ref="A7704:B7704"/>
    <mergeCell ref="F7704:G7704"/>
    <mergeCell ref="A7705:B7705"/>
    <mergeCell ref="F7705:G7705"/>
    <mergeCell ref="A7706:G7706"/>
    <mergeCell ref="A7708:D7708"/>
    <mergeCell ref="F7713:G7713"/>
    <mergeCell ref="A7716:H7716"/>
    <mergeCell ref="A7718:A7721"/>
    <mergeCell ref="B7718:G7721"/>
    <mergeCell ref="H7718:H7720"/>
    <mergeCell ref="B7722:F7722"/>
    <mergeCell ref="B7723:E7723"/>
    <mergeCell ref="A7726:C7726"/>
    <mergeCell ref="A7727:C7727"/>
    <mergeCell ref="B7670:F7670"/>
    <mergeCell ref="B7671:E7671"/>
    <mergeCell ref="A7674:C7674"/>
    <mergeCell ref="A7675:C7675"/>
    <mergeCell ref="A7676:C7676"/>
    <mergeCell ref="A7677:C7677"/>
    <mergeCell ref="A7678:C7678"/>
    <mergeCell ref="A7679:G7679"/>
    <mergeCell ref="A7680:H7680"/>
    <mergeCell ref="A7681:B7681"/>
    <mergeCell ref="F7681:G7681"/>
    <mergeCell ref="A7682:B7682"/>
    <mergeCell ref="F7682:G7682"/>
    <mergeCell ref="A7683:B7683"/>
    <mergeCell ref="F7683:G7683"/>
    <mergeCell ref="A7684:B7684"/>
    <mergeCell ref="F7684:G7684"/>
    <mergeCell ref="A7685:B7685"/>
    <mergeCell ref="F7685:G7685"/>
    <mergeCell ref="A7686:B7686"/>
    <mergeCell ref="F7686:G7686"/>
    <mergeCell ref="A7687:B7687"/>
    <mergeCell ref="F7687:G7687"/>
    <mergeCell ref="A7688:B7688"/>
    <mergeCell ref="F7688:G7688"/>
    <mergeCell ref="A7689:B7689"/>
    <mergeCell ref="F7689:G7689"/>
    <mergeCell ref="A7690:B7690"/>
    <mergeCell ref="F7690:G7690"/>
    <mergeCell ref="A7691:B7691"/>
    <mergeCell ref="F7691:G7691"/>
    <mergeCell ref="A7692:B7692"/>
    <mergeCell ref="F7692:G7692"/>
    <mergeCell ref="A7638:B7638"/>
    <mergeCell ref="F7638:G7638"/>
    <mergeCell ref="A7639:B7639"/>
    <mergeCell ref="F7639:G7639"/>
    <mergeCell ref="A7640:B7640"/>
    <mergeCell ref="F7640:G7640"/>
    <mergeCell ref="A7641:B7641"/>
    <mergeCell ref="F7641:G7641"/>
    <mergeCell ref="A7642:B7642"/>
    <mergeCell ref="F7642:G7642"/>
    <mergeCell ref="A7643:B7643"/>
    <mergeCell ref="F7643:G7643"/>
    <mergeCell ref="A7644:G7644"/>
    <mergeCell ref="A7645:H7645"/>
    <mergeCell ref="A7646:B7646"/>
    <mergeCell ref="F7646:G7646"/>
    <mergeCell ref="A7647:B7647"/>
    <mergeCell ref="F7647:G7647"/>
    <mergeCell ref="A7648:G7648"/>
    <mergeCell ref="A7649:H7649"/>
    <mergeCell ref="A7650:B7650"/>
    <mergeCell ref="F7650:G7650"/>
    <mergeCell ref="A7651:B7651"/>
    <mergeCell ref="F7651:G7651"/>
    <mergeCell ref="A7652:B7652"/>
    <mergeCell ref="F7652:G7652"/>
    <mergeCell ref="A7653:B7653"/>
    <mergeCell ref="F7653:G7653"/>
    <mergeCell ref="A7654:G7654"/>
    <mergeCell ref="A7656:D7656"/>
    <mergeCell ref="F7661:G7661"/>
    <mergeCell ref="A7664:H7664"/>
    <mergeCell ref="A7666:A7669"/>
    <mergeCell ref="B7666:G7669"/>
    <mergeCell ref="H7666:H7668"/>
    <mergeCell ref="A7602:G7602"/>
    <mergeCell ref="A7604:D7604"/>
    <mergeCell ref="F7609:G7609"/>
    <mergeCell ref="A7612:H7612"/>
    <mergeCell ref="A7614:A7617"/>
    <mergeCell ref="B7614:G7617"/>
    <mergeCell ref="H7614:H7616"/>
    <mergeCell ref="B7618:F7618"/>
    <mergeCell ref="B7619:E7619"/>
    <mergeCell ref="A7622:C7622"/>
    <mergeCell ref="A7623:C7623"/>
    <mergeCell ref="A7624:C7624"/>
    <mergeCell ref="A7625:C7625"/>
    <mergeCell ref="A7626:C7626"/>
    <mergeCell ref="A7627:G7627"/>
    <mergeCell ref="A7628:H7628"/>
    <mergeCell ref="A7629:B7629"/>
    <mergeCell ref="F7629:G7629"/>
    <mergeCell ref="A7630:B7630"/>
    <mergeCell ref="F7630:G7630"/>
    <mergeCell ref="A7631:B7631"/>
    <mergeCell ref="F7631:G7631"/>
    <mergeCell ref="A7632:B7632"/>
    <mergeCell ref="F7632:G7632"/>
    <mergeCell ref="A7633:B7633"/>
    <mergeCell ref="F7633:G7633"/>
    <mergeCell ref="A7634:B7634"/>
    <mergeCell ref="F7634:G7634"/>
    <mergeCell ref="A7635:B7635"/>
    <mergeCell ref="F7635:G7635"/>
    <mergeCell ref="A7636:B7636"/>
    <mergeCell ref="F7636:G7636"/>
    <mergeCell ref="A7637:B7637"/>
    <mergeCell ref="F7637:G7637"/>
    <mergeCell ref="A7583:B7583"/>
    <mergeCell ref="F7583:G7583"/>
    <mergeCell ref="A7584:B7584"/>
    <mergeCell ref="F7584:G7584"/>
    <mergeCell ref="A7585:B7585"/>
    <mergeCell ref="F7585:G7585"/>
    <mergeCell ref="A7586:B7586"/>
    <mergeCell ref="F7586:G7586"/>
    <mergeCell ref="A7587:B7587"/>
    <mergeCell ref="F7587:G7587"/>
    <mergeCell ref="A7588:B7588"/>
    <mergeCell ref="F7588:G7588"/>
    <mergeCell ref="A7589:B7589"/>
    <mergeCell ref="F7589:G7589"/>
    <mergeCell ref="A7590:B7590"/>
    <mergeCell ref="F7590:G7590"/>
    <mergeCell ref="A7591:B7591"/>
    <mergeCell ref="F7591:G7591"/>
    <mergeCell ref="A7592:G7592"/>
    <mergeCell ref="A7593:H7593"/>
    <mergeCell ref="A7594:B7594"/>
    <mergeCell ref="F7594:G7594"/>
    <mergeCell ref="A7595:B7595"/>
    <mergeCell ref="F7595:G7595"/>
    <mergeCell ref="A7596:G7596"/>
    <mergeCell ref="A7597:H7597"/>
    <mergeCell ref="A7598:B7598"/>
    <mergeCell ref="F7598:G7598"/>
    <mergeCell ref="A7599:B7599"/>
    <mergeCell ref="F7599:G7599"/>
    <mergeCell ref="A7600:B7600"/>
    <mergeCell ref="F7600:G7600"/>
    <mergeCell ref="A7601:B7601"/>
    <mergeCell ref="F7601:G7601"/>
    <mergeCell ref="A7546:B7546"/>
    <mergeCell ref="F7546:G7546"/>
    <mergeCell ref="A7547:B7547"/>
    <mergeCell ref="F7547:G7547"/>
    <mergeCell ref="A7548:B7548"/>
    <mergeCell ref="F7548:G7548"/>
    <mergeCell ref="A7549:G7549"/>
    <mergeCell ref="A7551:D7551"/>
    <mergeCell ref="F7556:G7556"/>
    <mergeCell ref="A7560:H7560"/>
    <mergeCell ref="A7562:A7565"/>
    <mergeCell ref="B7562:G7565"/>
    <mergeCell ref="H7562:H7564"/>
    <mergeCell ref="B7566:F7566"/>
    <mergeCell ref="B7567:E7567"/>
    <mergeCell ref="A7570:C7570"/>
    <mergeCell ref="A7571:C7571"/>
    <mergeCell ref="A7572:C7572"/>
    <mergeCell ref="A7573:C7573"/>
    <mergeCell ref="A7574:C7574"/>
    <mergeCell ref="A7575:G7575"/>
    <mergeCell ref="A7576:H7576"/>
    <mergeCell ref="A7577:B7577"/>
    <mergeCell ref="F7577:G7577"/>
    <mergeCell ref="A7578:B7578"/>
    <mergeCell ref="F7578:G7578"/>
    <mergeCell ref="A7579:B7579"/>
    <mergeCell ref="F7579:G7579"/>
    <mergeCell ref="A7580:B7580"/>
    <mergeCell ref="F7580:G7580"/>
    <mergeCell ref="A7581:B7581"/>
    <mergeCell ref="F7581:G7581"/>
    <mergeCell ref="A7582:B7582"/>
    <mergeCell ref="F7582:G7582"/>
    <mergeCell ref="A7527:B7527"/>
    <mergeCell ref="F7527:G7527"/>
    <mergeCell ref="A7528:B7528"/>
    <mergeCell ref="F7528:G7528"/>
    <mergeCell ref="A7529:B7529"/>
    <mergeCell ref="F7529:G7529"/>
    <mergeCell ref="A7530:B7530"/>
    <mergeCell ref="F7530:G7530"/>
    <mergeCell ref="A7531:B7531"/>
    <mergeCell ref="F7531:G7531"/>
    <mergeCell ref="A7532:B7532"/>
    <mergeCell ref="F7532:G7532"/>
    <mergeCell ref="A7533:B7533"/>
    <mergeCell ref="F7533:G7533"/>
    <mergeCell ref="A7534:B7534"/>
    <mergeCell ref="F7534:G7534"/>
    <mergeCell ref="A7535:B7535"/>
    <mergeCell ref="F7535:G7535"/>
    <mergeCell ref="A7536:B7536"/>
    <mergeCell ref="F7536:G7536"/>
    <mergeCell ref="A7537:B7537"/>
    <mergeCell ref="F7537:G7537"/>
    <mergeCell ref="A7538:B7538"/>
    <mergeCell ref="F7538:G7538"/>
    <mergeCell ref="A7539:G7539"/>
    <mergeCell ref="A7540:H7540"/>
    <mergeCell ref="A7541:B7541"/>
    <mergeCell ref="F7541:G7541"/>
    <mergeCell ref="A7542:B7542"/>
    <mergeCell ref="F7542:G7542"/>
    <mergeCell ref="A7543:G7543"/>
    <mergeCell ref="A7544:H7544"/>
    <mergeCell ref="A7545:B7545"/>
    <mergeCell ref="F7545:G7545"/>
    <mergeCell ref="A5664:B5664"/>
    <mergeCell ref="F5664:G5664"/>
    <mergeCell ref="A5665:G5665"/>
    <mergeCell ref="A5666:H5666"/>
    <mergeCell ref="A5667:B5667"/>
    <mergeCell ref="F5667:G5667"/>
    <mergeCell ref="A5668:B5668"/>
    <mergeCell ref="F5668:G5668"/>
    <mergeCell ref="A5669:B5669"/>
    <mergeCell ref="F5669:G5669"/>
    <mergeCell ref="A5670:B5670"/>
    <mergeCell ref="F5670:G5670"/>
    <mergeCell ref="A5671:G5671"/>
    <mergeCell ref="A5673:D5673"/>
    <mergeCell ref="F5678:G5678"/>
    <mergeCell ref="A7507:H7507"/>
    <mergeCell ref="A7509:A7512"/>
    <mergeCell ref="B7509:G7512"/>
    <mergeCell ref="H7509:H7511"/>
    <mergeCell ref="B7513:F7513"/>
    <mergeCell ref="B7514:E7514"/>
    <mergeCell ref="A7517:C7517"/>
    <mergeCell ref="A7518:C7518"/>
    <mergeCell ref="A7519:C7519"/>
    <mergeCell ref="A7520:C7520"/>
    <mergeCell ref="A7521:C7521"/>
    <mergeCell ref="A7522:G7522"/>
    <mergeCell ref="A7523:H7523"/>
    <mergeCell ref="A7524:B7524"/>
    <mergeCell ref="F7524:G7524"/>
    <mergeCell ref="A7525:B7525"/>
    <mergeCell ref="F7525:G7525"/>
    <mergeCell ref="A7526:B7526"/>
    <mergeCell ref="F7526:G7526"/>
    <mergeCell ref="A7317:B7317"/>
    <mergeCell ref="F7317:G7317"/>
    <mergeCell ref="A7318:B7318"/>
    <mergeCell ref="F7318:G7318"/>
    <mergeCell ref="A7319:B7319"/>
    <mergeCell ref="F7319:G7319"/>
    <mergeCell ref="A7320:B7320"/>
    <mergeCell ref="B7356:E7356"/>
    <mergeCell ref="A7334:B7334"/>
    <mergeCell ref="F7334:G7334"/>
    <mergeCell ref="A7335:B7335"/>
    <mergeCell ref="F7335:G7335"/>
    <mergeCell ref="A7336:G7336"/>
    <mergeCell ref="A7338:D7338"/>
    <mergeCell ref="F7343:G7343"/>
    <mergeCell ref="A7329:B7329"/>
    <mergeCell ref="F7329:G7329"/>
    <mergeCell ref="A7268:B7268"/>
    <mergeCell ref="F7268:G7268"/>
    <mergeCell ref="A7269:B7269"/>
    <mergeCell ref="F7269:G7269"/>
    <mergeCell ref="A7270:B7270"/>
    <mergeCell ref="F7270:G7270"/>
    <mergeCell ref="A7271:B7271"/>
    <mergeCell ref="F7271:G7271"/>
    <mergeCell ref="A7272:B7272"/>
    <mergeCell ref="F7272:G7272"/>
    <mergeCell ref="A7273:B7273"/>
    <mergeCell ref="F7273:G7273"/>
    <mergeCell ref="A7274:G7274"/>
    <mergeCell ref="A5646:B5646"/>
    <mergeCell ref="F5646:G5646"/>
    <mergeCell ref="A5647:B5647"/>
    <mergeCell ref="F5647:G5647"/>
    <mergeCell ref="A5648:B5648"/>
    <mergeCell ref="F5648:G5648"/>
    <mergeCell ref="A5649:B5649"/>
    <mergeCell ref="F5649:G5649"/>
    <mergeCell ref="A5650:B5650"/>
    <mergeCell ref="F5650:G5650"/>
    <mergeCell ref="A5651:B5651"/>
    <mergeCell ref="F5651:G5651"/>
    <mergeCell ref="A5652:B5652"/>
    <mergeCell ref="F5652:G5652"/>
    <mergeCell ref="A5653:B5653"/>
    <mergeCell ref="F5653:G5653"/>
    <mergeCell ref="A5654:B5654"/>
    <mergeCell ref="F5654:G5654"/>
    <mergeCell ref="A5655:B5655"/>
    <mergeCell ref="F5655:G5655"/>
    <mergeCell ref="A5656:B5656"/>
    <mergeCell ref="F5656:G5656"/>
    <mergeCell ref="A5657:B5657"/>
    <mergeCell ref="F5657:G5657"/>
    <mergeCell ref="A5658:B5658"/>
    <mergeCell ref="F5658:G5658"/>
    <mergeCell ref="A5659:B5659"/>
    <mergeCell ref="F5659:G5659"/>
    <mergeCell ref="A5660:B5660"/>
    <mergeCell ref="F5660:G5660"/>
    <mergeCell ref="A5661:G5661"/>
    <mergeCell ref="A5662:H5662"/>
    <mergeCell ref="A5663:B5663"/>
    <mergeCell ref="F5663:G5663"/>
    <mergeCell ref="A4225:B4225"/>
    <mergeCell ref="F4225:G4225"/>
    <mergeCell ref="A4226:G4226"/>
    <mergeCell ref="A4227:H4227"/>
    <mergeCell ref="A4228:B4228"/>
    <mergeCell ref="F4228:G4228"/>
    <mergeCell ref="A4229:B4229"/>
    <mergeCell ref="F4229:G4229"/>
    <mergeCell ref="A4230:G4230"/>
    <mergeCell ref="A4231:H4231"/>
    <mergeCell ref="A4232:B4232"/>
    <mergeCell ref="F4232:G4232"/>
    <mergeCell ref="A4233:B4233"/>
    <mergeCell ref="F4233:G4233"/>
    <mergeCell ref="A4234:B4234"/>
    <mergeCell ref="F4234:G4234"/>
    <mergeCell ref="A4235:B4235"/>
    <mergeCell ref="F4235:G4235"/>
    <mergeCell ref="A4236:G4236"/>
    <mergeCell ref="A4238:D4238"/>
    <mergeCell ref="F4243:G4243"/>
    <mergeCell ref="A5630:H5630"/>
    <mergeCell ref="A5632:A5635"/>
    <mergeCell ref="B5632:G5635"/>
    <mergeCell ref="H5632:H5634"/>
    <mergeCell ref="B5636:F5636"/>
    <mergeCell ref="B5637:E5637"/>
    <mergeCell ref="A5640:C5640"/>
    <mergeCell ref="A5641:C5641"/>
    <mergeCell ref="A5642:C5642"/>
    <mergeCell ref="A5643:C5643"/>
    <mergeCell ref="A5644:G5644"/>
    <mergeCell ref="A5645:H5645"/>
    <mergeCell ref="A5502:B5502"/>
    <mergeCell ref="F5502:G5502"/>
    <mergeCell ref="A5503:B5503"/>
    <mergeCell ref="F5503:G5503"/>
    <mergeCell ref="A5504:B5504"/>
    <mergeCell ref="F5504:G5504"/>
    <mergeCell ref="A5505:B5505"/>
    <mergeCell ref="F5505:G5505"/>
    <mergeCell ref="A5506:B5506"/>
    <mergeCell ref="F5506:G5506"/>
    <mergeCell ref="A5507:B5507"/>
    <mergeCell ref="F5507:G5507"/>
    <mergeCell ref="A5508:G5508"/>
    <mergeCell ref="A5509:H5509"/>
    <mergeCell ref="A5510:B5510"/>
    <mergeCell ref="F5510:G5510"/>
    <mergeCell ref="A5511:B5511"/>
    <mergeCell ref="F5511:G5511"/>
    <mergeCell ref="A5512:G5512"/>
    <mergeCell ref="A5513:H5513"/>
    <mergeCell ref="A5514:B5514"/>
    <mergeCell ref="F5514:G5514"/>
    <mergeCell ref="A5515:B5515"/>
    <mergeCell ref="F5515:G5515"/>
    <mergeCell ref="A5516:B5516"/>
    <mergeCell ref="F5516:G5516"/>
    <mergeCell ref="A5517:B5517"/>
    <mergeCell ref="F5517:G5517"/>
    <mergeCell ref="A5518:G5518"/>
    <mergeCell ref="A5520:D5520"/>
    <mergeCell ref="F5525:G5525"/>
    <mergeCell ref="A4205:C4205"/>
    <mergeCell ref="A4206:C4206"/>
    <mergeCell ref="A4207:C4207"/>
    <mergeCell ref="A4208:C4208"/>
    <mergeCell ref="A4209:G4209"/>
    <mergeCell ref="A4210:H4210"/>
    <mergeCell ref="A4211:B4211"/>
    <mergeCell ref="F4211:G4211"/>
    <mergeCell ref="A4212:B4212"/>
    <mergeCell ref="F4212:G4212"/>
    <mergeCell ref="A4213:B4213"/>
    <mergeCell ref="F4213:G4213"/>
    <mergeCell ref="A4214:B4214"/>
    <mergeCell ref="F4214:G4214"/>
    <mergeCell ref="A4215:B4215"/>
    <mergeCell ref="F4215:G4215"/>
    <mergeCell ref="A4216:B4216"/>
    <mergeCell ref="F4216:G4216"/>
    <mergeCell ref="A4217:B4217"/>
    <mergeCell ref="F4217:G4217"/>
    <mergeCell ref="A4218:B4218"/>
    <mergeCell ref="F4218:G4218"/>
    <mergeCell ref="A4219:B4219"/>
    <mergeCell ref="F4219:G4219"/>
    <mergeCell ref="A4220:B4220"/>
    <mergeCell ref="F4220:G4220"/>
    <mergeCell ref="A4221:B4221"/>
    <mergeCell ref="F4221:G4221"/>
    <mergeCell ref="A4222:B4222"/>
    <mergeCell ref="F4222:G4222"/>
    <mergeCell ref="A4223:B4223"/>
    <mergeCell ref="F4223:G4223"/>
    <mergeCell ref="A4224:B4224"/>
    <mergeCell ref="F4224:G4224"/>
    <mergeCell ref="A4171:B4171"/>
    <mergeCell ref="F4171:G4171"/>
    <mergeCell ref="A4172:B4172"/>
    <mergeCell ref="F4172:G4172"/>
    <mergeCell ref="A4173:B4173"/>
    <mergeCell ref="F4173:G4173"/>
    <mergeCell ref="A4174:B4174"/>
    <mergeCell ref="F4174:G4174"/>
    <mergeCell ref="A4175:G4175"/>
    <mergeCell ref="A4176:H4176"/>
    <mergeCell ref="A4177:B4177"/>
    <mergeCell ref="F4177:G4177"/>
    <mergeCell ref="A4178:B4178"/>
    <mergeCell ref="F4178:G4178"/>
    <mergeCell ref="A4179:G4179"/>
    <mergeCell ref="A4180:H4180"/>
    <mergeCell ref="A4181:B4181"/>
    <mergeCell ref="F4181:G4181"/>
    <mergeCell ref="A4182:B4182"/>
    <mergeCell ref="F4182:G4182"/>
    <mergeCell ref="A4183:B4183"/>
    <mergeCell ref="F4183:G4183"/>
    <mergeCell ref="A4184:B4184"/>
    <mergeCell ref="F4184:G4184"/>
    <mergeCell ref="A4185:G4185"/>
    <mergeCell ref="A4187:D4187"/>
    <mergeCell ref="F4192:G4192"/>
    <mergeCell ref="A4195:H4195"/>
    <mergeCell ref="A4197:A4200"/>
    <mergeCell ref="B4197:G4200"/>
    <mergeCell ref="H4197:H4199"/>
    <mergeCell ref="B4201:F4201"/>
    <mergeCell ref="B4202:E4202"/>
    <mergeCell ref="A4144:H4144"/>
    <mergeCell ref="A4146:A4149"/>
    <mergeCell ref="B4146:G4149"/>
    <mergeCell ref="H4146:H4148"/>
    <mergeCell ref="B4150:F4150"/>
    <mergeCell ref="B4151:E4151"/>
    <mergeCell ref="A4154:C4154"/>
    <mergeCell ref="A4155:C4155"/>
    <mergeCell ref="A4156:C4156"/>
    <mergeCell ref="A4157:C4157"/>
    <mergeCell ref="A4158:G4158"/>
    <mergeCell ref="A4159:H4159"/>
    <mergeCell ref="A4160:B4160"/>
    <mergeCell ref="F4160:G4160"/>
    <mergeCell ref="A4161:B4161"/>
    <mergeCell ref="F4161:G4161"/>
    <mergeCell ref="A4162:B4162"/>
    <mergeCell ref="F4162:G4162"/>
    <mergeCell ref="A4163:B4163"/>
    <mergeCell ref="F4163:G4163"/>
    <mergeCell ref="A4164:B4164"/>
    <mergeCell ref="F4164:G4164"/>
    <mergeCell ref="A4165:B4165"/>
    <mergeCell ref="F4165:G4165"/>
    <mergeCell ref="A4166:B4166"/>
    <mergeCell ref="F4166:G4166"/>
    <mergeCell ref="A4167:B4167"/>
    <mergeCell ref="F4167:G4167"/>
    <mergeCell ref="A4168:B4168"/>
    <mergeCell ref="F4168:G4168"/>
    <mergeCell ref="A4169:B4169"/>
    <mergeCell ref="F4169:G4169"/>
    <mergeCell ref="A4170:B4170"/>
    <mergeCell ref="F4170:G4170"/>
    <mergeCell ref="A4117:B4117"/>
    <mergeCell ref="F4117:G4117"/>
    <mergeCell ref="A4118:B4118"/>
    <mergeCell ref="F4118:G4118"/>
    <mergeCell ref="A4119:B4119"/>
    <mergeCell ref="F4119:G4119"/>
    <mergeCell ref="A4120:B4120"/>
    <mergeCell ref="F4120:G4120"/>
    <mergeCell ref="A4121:B4121"/>
    <mergeCell ref="F4121:G4121"/>
    <mergeCell ref="A4122:B4122"/>
    <mergeCell ref="F4122:G4122"/>
    <mergeCell ref="A4123:B4123"/>
    <mergeCell ref="F4123:G4123"/>
    <mergeCell ref="A4124:G4124"/>
    <mergeCell ref="A4125:H4125"/>
    <mergeCell ref="A4126:B4126"/>
    <mergeCell ref="F4126:G4126"/>
    <mergeCell ref="A4127:B4127"/>
    <mergeCell ref="F4127:G4127"/>
    <mergeCell ref="A4128:G4128"/>
    <mergeCell ref="A4129:H4129"/>
    <mergeCell ref="A4130:B4130"/>
    <mergeCell ref="F4130:G4130"/>
    <mergeCell ref="A4131:B4131"/>
    <mergeCell ref="F4131:G4131"/>
    <mergeCell ref="A4132:B4132"/>
    <mergeCell ref="F4132:G4132"/>
    <mergeCell ref="A4133:B4133"/>
    <mergeCell ref="F4133:G4133"/>
    <mergeCell ref="A4134:G4134"/>
    <mergeCell ref="A4136:D4136"/>
    <mergeCell ref="F4141:G4141"/>
    <mergeCell ref="A4082:B4082"/>
    <mergeCell ref="F4082:G4082"/>
    <mergeCell ref="A4083:G4083"/>
    <mergeCell ref="A4085:D4085"/>
    <mergeCell ref="F4090:G4090"/>
    <mergeCell ref="A4093:H4093"/>
    <mergeCell ref="A4095:A4098"/>
    <mergeCell ref="B4095:G4098"/>
    <mergeCell ref="H4095:H4097"/>
    <mergeCell ref="B4099:F4099"/>
    <mergeCell ref="B4100:E4100"/>
    <mergeCell ref="A4103:C4103"/>
    <mergeCell ref="A4104:C4104"/>
    <mergeCell ref="A4105:C4105"/>
    <mergeCell ref="A4106:C4106"/>
    <mergeCell ref="A4107:G4107"/>
    <mergeCell ref="A4108:H4108"/>
    <mergeCell ref="A4109:B4109"/>
    <mergeCell ref="F4109:G4109"/>
    <mergeCell ref="A4110:B4110"/>
    <mergeCell ref="F4110:G4110"/>
    <mergeCell ref="A4111:B4111"/>
    <mergeCell ref="F4111:G4111"/>
    <mergeCell ref="A4112:B4112"/>
    <mergeCell ref="F4112:G4112"/>
    <mergeCell ref="A4113:B4113"/>
    <mergeCell ref="F4113:G4113"/>
    <mergeCell ref="A4114:B4114"/>
    <mergeCell ref="F4114:G4114"/>
    <mergeCell ref="A4115:B4115"/>
    <mergeCell ref="F4115:G4115"/>
    <mergeCell ref="A4116:B4116"/>
    <mergeCell ref="F4116:G4116"/>
    <mergeCell ref="A4063:B4063"/>
    <mergeCell ref="F4063:G4063"/>
    <mergeCell ref="A4064:B4064"/>
    <mergeCell ref="F4064:G4064"/>
    <mergeCell ref="A4065:B4065"/>
    <mergeCell ref="F4065:G4065"/>
    <mergeCell ref="A4066:B4066"/>
    <mergeCell ref="F4066:G4066"/>
    <mergeCell ref="A4067:B4067"/>
    <mergeCell ref="F4067:G4067"/>
    <mergeCell ref="A4068:B4068"/>
    <mergeCell ref="F4068:G4068"/>
    <mergeCell ref="A4069:B4069"/>
    <mergeCell ref="F4069:G4069"/>
    <mergeCell ref="A4070:B4070"/>
    <mergeCell ref="F4070:G4070"/>
    <mergeCell ref="A4071:B4071"/>
    <mergeCell ref="F4071:G4071"/>
    <mergeCell ref="A4072:B4072"/>
    <mergeCell ref="F4072:G4072"/>
    <mergeCell ref="A4073:G4073"/>
    <mergeCell ref="A4074:H4074"/>
    <mergeCell ref="A4075:B4075"/>
    <mergeCell ref="F4075:G4075"/>
    <mergeCell ref="A4076:B4076"/>
    <mergeCell ref="F4076:G4076"/>
    <mergeCell ref="A4077:G4077"/>
    <mergeCell ref="A4078:H4078"/>
    <mergeCell ref="A4079:B4079"/>
    <mergeCell ref="F4079:G4079"/>
    <mergeCell ref="A4080:B4080"/>
    <mergeCell ref="F4080:G4080"/>
    <mergeCell ref="A4081:B4081"/>
    <mergeCell ref="F4081:G4081"/>
    <mergeCell ref="A4027:H4027"/>
    <mergeCell ref="A4028:B4028"/>
    <mergeCell ref="F4028:G4028"/>
    <mergeCell ref="A4029:B4029"/>
    <mergeCell ref="F4029:G4029"/>
    <mergeCell ref="A4030:B4030"/>
    <mergeCell ref="F4030:G4030"/>
    <mergeCell ref="A4031:B4031"/>
    <mergeCell ref="F4031:G4031"/>
    <mergeCell ref="A4032:G4032"/>
    <mergeCell ref="A4034:D4034"/>
    <mergeCell ref="F4039:G4039"/>
    <mergeCell ref="A4042:H4042"/>
    <mergeCell ref="A4044:A4047"/>
    <mergeCell ref="B4044:G4047"/>
    <mergeCell ref="H4044:H4046"/>
    <mergeCell ref="B4048:F4048"/>
    <mergeCell ref="B4049:E4049"/>
    <mergeCell ref="A4052:C4052"/>
    <mergeCell ref="A4053:C4053"/>
    <mergeCell ref="A4054:C4054"/>
    <mergeCell ref="A4055:C4055"/>
    <mergeCell ref="A4056:G4056"/>
    <mergeCell ref="A4057:H4057"/>
    <mergeCell ref="A4058:B4058"/>
    <mergeCell ref="F4058:G4058"/>
    <mergeCell ref="A4059:B4059"/>
    <mergeCell ref="F4059:G4059"/>
    <mergeCell ref="A4060:B4060"/>
    <mergeCell ref="F4060:G4060"/>
    <mergeCell ref="A4061:B4061"/>
    <mergeCell ref="F4061:G4061"/>
    <mergeCell ref="A4062:B4062"/>
    <mergeCell ref="F4062:G4062"/>
    <mergeCell ref="A4009:B4009"/>
    <mergeCell ref="F4009:G4009"/>
    <mergeCell ref="A4010:B4010"/>
    <mergeCell ref="F4010:G4010"/>
    <mergeCell ref="A4011:B4011"/>
    <mergeCell ref="F4011:G4011"/>
    <mergeCell ref="A4012:B4012"/>
    <mergeCell ref="F4012:G4012"/>
    <mergeCell ref="A4013:B4013"/>
    <mergeCell ref="F4013:G4013"/>
    <mergeCell ref="A4014:B4014"/>
    <mergeCell ref="F4014:G4014"/>
    <mergeCell ref="A4015:B4015"/>
    <mergeCell ref="F4015:G4015"/>
    <mergeCell ref="A4016:B4016"/>
    <mergeCell ref="F4016:G4016"/>
    <mergeCell ref="A4017:B4017"/>
    <mergeCell ref="F4017:G4017"/>
    <mergeCell ref="A4018:B4018"/>
    <mergeCell ref="F4018:G4018"/>
    <mergeCell ref="A4019:B4019"/>
    <mergeCell ref="F4019:G4019"/>
    <mergeCell ref="A4020:B4020"/>
    <mergeCell ref="F4020:G4020"/>
    <mergeCell ref="A4021:B4021"/>
    <mergeCell ref="F4021:G4021"/>
    <mergeCell ref="A4022:G4022"/>
    <mergeCell ref="A4023:H4023"/>
    <mergeCell ref="A4024:B4024"/>
    <mergeCell ref="F4024:G4024"/>
    <mergeCell ref="A4025:B4025"/>
    <mergeCell ref="F4025:G4025"/>
    <mergeCell ref="A4026:G4026"/>
    <mergeCell ref="A3973:B3973"/>
    <mergeCell ref="F3973:G3973"/>
    <mergeCell ref="A3974:B3974"/>
    <mergeCell ref="F3974:G3974"/>
    <mergeCell ref="A3975:G3975"/>
    <mergeCell ref="A3976:H3976"/>
    <mergeCell ref="A3977:B3977"/>
    <mergeCell ref="F3977:G3977"/>
    <mergeCell ref="A3978:B3978"/>
    <mergeCell ref="F3978:G3978"/>
    <mergeCell ref="A3979:B3979"/>
    <mergeCell ref="F3979:G3979"/>
    <mergeCell ref="A3980:B3980"/>
    <mergeCell ref="F3980:G3980"/>
    <mergeCell ref="A3981:G3981"/>
    <mergeCell ref="A3983:D3983"/>
    <mergeCell ref="F3988:G3988"/>
    <mergeCell ref="A3991:H3991"/>
    <mergeCell ref="A3993:A3996"/>
    <mergeCell ref="B3993:G3996"/>
    <mergeCell ref="H3993:H3995"/>
    <mergeCell ref="B3997:F3997"/>
    <mergeCell ref="B3998:E3998"/>
    <mergeCell ref="A4001:C4001"/>
    <mergeCell ref="A4002:C4002"/>
    <mergeCell ref="A4003:C4003"/>
    <mergeCell ref="A4004:C4004"/>
    <mergeCell ref="A4005:G4005"/>
    <mergeCell ref="A4006:H4006"/>
    <mergeCell ref="A4007:B4007"/>
    <mergeCell ref="F4007:G4007"/>
    <mergeCell ref="A4008:B4008"/>
    <mergeCell ref="F4008:G4008"/>
    <mergeCell ref="F8764:G8764"/>
    <mergeCell ref="A8765:G8765"/>
    <mergeCell ref="A8767:D8767"/>
    <mergeCell ref="F8772:G8772"/>
    <mergeCell ref="A8751:B8751"/>
    <mergeCell ref="F8751:G8751"/>
    <mergeCell ref="A8752:B8752"/>
    <mergeCell ref="F8752:G8752"/>
    <mergeCell ref="A8753:B8753"/>
    <mergeCell ref="F8753:G8753"/>
    <mergeCell ref="A8754:B8754"/>
    <mergeCell ref="F8754:G8754"/>
    <mergeCell ref="A8755:G8755"/>
    <mergeCell ref="A8756:H8756"/>
    <mergeCell ref="A8757:B8757"/>
    <mergeCell ref="F8757:G8757"/>
    <mergeCell ref="A8758:B8758"/>
    <mergeCell ref="F8758:G8758"/>
    <mergeCell ref="A8759:G8759"/>
    <mergeCell ref="A8760:H8760"/>
    <mergeCell ref="A8761:B8761"/>
    <mergeCell ref="F8761:G8761"/>
    <mergeCell ref="A3940:H3940"/>
    <mergeCell ref="A3942:A3945"/>
    <mergeCell ref="B3942:G3945"/>
    <mergeCell ref="H3942:H3944"/>
    <mergeCell ref="B3946:F3946"/>
    <mergeCell ref="B3947:E3947"/>
    <mergeCell ref="A3950:C3950"/>
    <mergeCell ref="A3951:C3951"/>
    <mergeCell ref="A3952:C3952"/>
    <mergeCell ref="A3953:C3953"/>
    <mergeCell ref="A3954:G3954"/>
    <mergeCell ref="A3955:H3955"/>
    <mergeCell ref="A3956:B3956"/>
    <mergeCell ref="F3956:G3956"/>
    <mergeCell ref="A3957:B3957"/>
    <mergeCell ref="F3957:G3957"/>
    <mergeCell ref="A3958:B3958"/>
    <mergeCell ref="F3958:G3958"/>
    <mergeCell ref="A3959:B3959"/>
    <mergeCell ref="F3959:G3959"/>
    <mergeCell ref="A3960:B3960"/>
    <mergeCell ref="F3960:G3960"/>
    <mergeCell ref="A3961:B3961"/>
    <mergeCell ref="F3961:G3961"/>
    <mergeCell ref="A3962:B3962"/>
    <mergeCell ref="F3962:G3962"/>
    <mergeCell ref="A3963:B3963"/>
    <mergeCell ref="F3963:G3963"/>
    <mergeCell ref="A3964:B3964"/>
    <mergeCell ref="F3964:G3964"/>
    <mergeCell ref="A3965:B3965"/>
    <mergeCell ref="F3965:G3965"/>
    <mergeCell ref="A3966:B3966"/>
    <mergeCell ref="F3966:G3966"/>
    <mergeCell ref="A3967:B3967"/>
    <mergeCell ref="F3967:G3967"/>
    <mergeCell ref="A3968:B3968"/>
    <mergeCell ref="F3968:G3968"/>
    <mergeCell ref="A3969:B3969"/>
    <mergeCell ref="F3969:G3969"/>
    <mergeCell ref="A3970:B3970"/>
    <mergeCell ref="F3970:G3970"/>
    <mergeCell ref="A8494:B8494"/>
    <mergeCell ref="F8494:G8494"/>
    <mergeCell ref="A8495:B8495"/>
    <mergeCell ref="F8495:G8495"/>
    <mergeCell ref="A8496:B8496"/>
    <mergeCell ref="F8496:G8496"/>
    <mergeCell ref="A8497:G8497"/>
    <mergeCell ref="A8499:D8499"/>
    <mergeCell ref="F8504:G8504"/>
    <mergeCell ref="A8720:H8720"/>
    <mergeCell ref="A8722:A8725"/>
    <mergeCell ref="B8722:G8725"/>
    <mergeCell ref="H8722:H8724"/>
    <mergeCell ref="B8726:F8726"/>
    <mergeCell ref="A8610:H8610"/>
    <mergeCell ref="A8612:A8615"/>
    <mergeCell ref="B8612:G8615"/>
    <mergeCell ref="H8612:H8614"/>
    <mergeCell ref="B8616:F8616"/>
    <mergeCell ref="B8617:E8617"/>
    <mergeCell ref="A8620:C8620"/>
    <mergeCell ref="A8621:C8621"/>
    <mergeCell ref="A8622:C8622"/>
    <mergeCell ref="A8649:G8649"/>
    <mergeCell ref="A8650:H8650"/>
    <mergeCell ref="A8651:B8651"/>
    <mergeCell ref="F8651:G8651"/>
    <mergeCell ref="A8640:B8640"/>
    <mergeCell ref="F8640:G8640"/>
    <mergeCell ref="F8717:G8717"/>
    <mergeCell ref="A8691:B8691"/>
    <mergeCell ref="F8691:G8691"/>
    <mergeCell ref="A8692:B8692"/>
    <mergeCell ref="F8692:G8692"/>
    <mergeCell ref="A8693:B8693"/>
    <mergeCell ref="F8693:G8693"/>
    <mergeCell ref="A8694:B8694"/>
    <mergeCell ref="F8694:G8694"/>
    <mergeCell ref="A8696:B8696"/>
    <mergeCell ref="F8696:G8696"/>
    <mergeCell ref="A8706:B8706"/>
    <mergeCell ref="F8706:G8706"/>
    <mergeCell ref="A8686:B8686"/>
    <mergeCell ref="F8686:G8686"/>
    <mergeCell ref="A8687:B8687"/>
    <mergeCell ref="F8687:G8687"/>
    <mergeCell ref="A8688:B8688"/>
    <mergeCell ref="F8688:G8688"/>
    <mergeCell ref="A8689:B8689"/>
    <mergeCell ref="F8689:G8689"/>
    <mergeCell ref="A8690:B8690"/>
    <mergeCell ref="F8690:G8690"/>
    <mergeCell ref="A8652:B8652"/>
    <mergeCell ref="F8652:G8652"/>
    <mergeCell ref="A8562:H8562"/>
    <mergeCell ref="A8564:A8567"/>
    <mergeCell ref="B8564:G8567"/>
    <mergeCell ref="H8564:H8566"/>
    <mergeCell ref="B8568:F8568"/>
    <mergeCell ref="B8569:E8569"/>
    <mergeCell ref="A8572:C8572"/>
    <mergeCell ref="A8573:C8573"/>
    <mergeCell ref="A8574:C8574"/>
    <mergeCell ref="A8575:C8575"/>
    <mergeCell ref="F8475:G8475"/>
    <mergeCell ref="A8476:B8476"/>
    <mergeCell ref="F8476:G8476"/>
    <mergeCell ref="A8477:B8477"/>
    <mergeCell ref="F8477:G8477"/>
    <mergeCell ref="A8478:B8478"/>
    <mergeCell ref="F8478:G8478"/>
    <mergeCell ref="A8479:B8479"/>
    <mergeCell ref="F8479:G8479"/>
    <mergeCell ref="A8480:B8480"/>
    <mergeCell ref="F8480:G8480"/>
    <mergeCell ref="A8481:B8481"/>
    <mergeCell ref="F8481:G8481"/>
    <mergeCell ref="A8482:B8482"/>
    <mergeCell ref="F8482:G8482"/>
    <mergeCell ref="A8483:B8483"/>
    <mergeCell ref="F8483:G8483"/>
    <mergeCell ref="A8484:B8484"/>
    <mergeCell ref="F8484:G8484"/>
    <mergeCell ref="A8485:B8485"/>
    <mergeCell ref="F8485:G8485"/>
    <mergeCell ref="A8486:B8486"/>
    <mergeCell ref="F8486:G8486"/>
    <mergeCell ref="A8487:G8487"/>
    <mergeCell ref="A8488:H8488"/>
    <mergeCell ref="A8489:B8489"/>
    <mergeCell ref="F8489:G8489"/>
    <mergeCell ref="A8490:B8490"/>
    <mergeCell ref="F8490:G8490"/>
    <mergeCell ref="A8491:G8491"/>
    <mergeCell ref="A8492:H8492"/>
    <mergeCell ref="A8493:B8493"/>
    <mergeCell ref="F8493:G8493"/>
    <mergeCell ref="A3766:B3766"/>
    <mergeCell ref="F3766:G3766"/>
    <mergeCell ref="A3767:G3767"/>
    <mergeCell ref="A3768:H3768"/>
    <mergeCell ref="A3769:B3769"/>
    <mergeCell ref="F3769:G3769"/>
    <mergeCell ref="A3770:B3770"/>
    <mergeCell ref="F3770:G3770"/>
    <mergeCell ref="A3771:G3771"/>
    <mergeCell ref="A3772:H3772"/>
    <mergeCell ref="A3773:B3773"/>
    <mergeCell ref="F3773:G3773"/>
    <mergeCell ref="A3774:B3774"/>
    <mergeCell ref="F3774:G3774"/>
    <mergeCell ref="A3775:B3775"/>
    <mergeCell ref="F3775:G3775"/>
    <mergeCell ref="A3776:B3776"/>
    <mergeCell ref="F3776:G3776"/>
    <mergeCell ref="A3777:G3777"/>
    <mergeCell ref="A3779:D3779"/>
    <mergeCell ref="F3784:G3784"/>
    <mergeCell ref="A8397:H8397"/>
    <mergeCell ref="A8399:A8402"/>
    <mergeCell ref="B8399:G8402"/>
    <mergeCell ref="H8399:H8401"/>
    <mergeCell ref="B8403:F8403"/>
    <mergeCell ref="A7391:G7391"/>
    <mergeCell ref="A7393:D7393"/>
    <mergeCell ref="F7398:G7398"/>
    <mergeCell ref="A7380:B7380"/>
    <mergeCell ref="F7380:G7380"/>
    <mergeCell ref="A7381:G7381"/>
    <mergeCell ref="A7382:H7382"/>
    <mergeCell ref="A7383:B7383"/>
    <mergeCell ref="F7383:G7383"/>
    <mergeCell ref="A7384:B7384"/>
    <mergeCell ref="F7384:G7384"/>
    <mergeCell ref="A7385:G7385"/>
    <mergeCell ref="A7386:H7386"/>
    <mergeCell ref="A7387:B7387"/>
    <mergeCell ref="F7387:G7387"/>
    <mergeCell ref="A7359:C7359"/>
    <mergeCell ref="A7360:C7360"/>
    <mergeCell ref="A7361:C7361"/>
    <mergeCell ref="A7362:C7362"/>
    <mergeCell ref="A7363:C7363"/>
    <mergeCell ref="A7364:G7364"/>
    <mergeCell ref="A7365:H7365"/>
    <mergeCell ref="A7366:B7366"/>
    <mergeCell ref="F7366:G7366"/>
    <mergeCell ref="A7367:B7367"/>
    <mergeCell ref="F7367:G7367"/>
    <mergeCell ref="A7368:B7368"/>
    <mergeCell ref="F7368:G7368"/>
    <mergeCell ref="A7369:B7369"/>
    <mergeCell ref="F7369:G7369"/>
    <mergeCell ref="A7370:B7370"/>
    <mergeCell ref="F7370:G7370"/>
    <mergeCell ref="A7388:B7388"/>
    <mergeCell ref="F7388:G7388"/>
    <mergeCell ref="A7389:B7389"/>
    <mergeCell ref="F7389:G7389"/>
    <mergeCell ref="A3971:G3971"/>
    <mergeCell ref="A3972:H3972"/>
    <mergeCell ref="A3746:C3746"/>
    <mergeCell ref="A3747:C3747"/>
    <mergeCell ref="A3748:C3748"/>
    <mergeCell ref="A3749:C3749"/>
    <mergeCell ref="A3750:G3750"/>
    <mergeCell ref="A3751:H3751"/>
    <mergeCell ref="A3752:B3752"/>
    <mergeCell ref="F3752:G3752"/>
    <mergeCell ref="A3753:B3753"/>
    <mergeCell ref="F3753:G3753"/>
    <mergeCell ref="A3754:B3754"/>
    <mergeCell ref="F3754:G3754"/>
    <mergeCell ref="A3755:B3755"/>
    <mergeCell ref="F3755:G3755"/>
    <mergeCell ref="A3756:B3756"/>
    <mergeCell ref="F3756:G3756"/>
    <mergeCell ref="A3757:B3757"/>
    <mergeCell ref="F3757:G3757"/>
    <mergeCell ref="A3758:B3758"/>
    <mergeCell ref="F3758:G3758"/>
    <mergeCell ref="A3759:B3759"/>
    <mergeCell ref="F3759:G3759"/>
    <mergeCell ref="A3760:B3760"/>
    <mergeCell ref="F3760:G3760"/>
    <mergeCell ref="A3761:B3761"/>
    <mergeCell ref="F3761:G3761"/>
    <mergeCell ref="A3762:B3762"/>
    <mergeCell ref="F3762:G3762"/>
    <mergeCell ref="A3763:B3763"/>
    <mergeCell ref="F3763:G3763"/>
    <mergeCell ref="A3764:B3764"/>
    <mergeCell ref="F3764:G3764"/>
    <mergeCell ref="A3765:B3765"/>
    <mergeCell ref="F3765:G3765"/>
    <mergeCell ref="A3712:B3712"/>
    <mergeCell ref="F3712:G3712"/>
    <mergeCell ref="A3713:B3713"/>
    <mergeCell ref="F3713:G3713"/>
    <mergeCell ref="A3714:B3714"/>
    <mergeCell ref="F3714:G3714"/>
    <mergeCell ref="A3715:B3715"/>
    <mergeCell ref="F3715:G3715"/>
    <mergeCell ref="A3716:G3716"/>
    <mergeCell ref="A3717:H3717"/>
    <mergeCell ref="A3718:B3718"/>
    <mergeCell ref="F3718:G3718"/>
    <mergeCell ref="A3719:B3719"/>
    <mergeCell ref="F3719:G3719"/>
    <mergeCell ref="A3720:G3720"/>
    <mergeCell ref="A3721:H3721"/>
    <mergeCell ref="A3722:B3722"/>
    <mergeCell ref="F3722:G3722"/>
    <mergeCell ref="A3723:B3723"/>
    <mergeCell ref="F3723:G3723"/>
    <mergeCell ref="A3724:B3724"/>
    <mergeCell ref="F3724:G3724"/>
    <mergeCell ref="A3725:B3725"/>
    <mergeCell ref="F3725:G3725"/>
    <mergeCell ref="A3726:G3726"/>
    <mergeCell ref="A3728:D3728"/>
    <mergeCell ref="F3733:G3733"/>
    <mergeCell ref="A3736:H3736"/>
    <mergeCell ref="A3738:A3741"/>
    <mergeCell ref="B3738:G3741"/>
    <mergeCell ref="H3738:H3740"/>
    <mergeCell ref="B3742:F3742"/>
    <mergeCell ref="B3743:E3743"/>
    <mergeCell ref="A3685:H3685"/>
    <mergeCell ref="A3687:A3690"/>
    <mergeCell ref="B3687:G3690"/>
    <mergeCell ref="H3687:H3689"/>
    <mergeCell ref="B3691:F3691"/>
    <mergeCell ref="B3692:E3692"/>
    <mergeCell ref="A3695:C3695"/>
    <mergeCell ref="A3696:C3696"/>
    <mergeCell ref="A3697:C3697"/>
    <mergeCell ref="A3698:C3698"/>
    <mergeCell ref="A3699:G3699"/>
    <mergeCell ref="A3700:H3700"/>
    <mergeCell ref="A3701:B3701"/>
    <mergeCell ref="F3701:G3701"/>
    <mergeCell ref="A3702:B3702"/>
    <mergeCell ref="F3702:G3702"/>
    <mergeCell ref="A3703:B3703"/>
    <mergeCell ref="F3703:G3703"/>
    <mergeCell ref="A3704:B3704"/>
    <mergeCell ref="F3704:G3704"/>
    <mergeCell ref="A3705:B3705"/>
    <mergeCell ref="F3705:G3705"/>
    <mergeCell ref="A3706:B3706"/>
    <mergeCell ref="F3706:G3706"/>
    <mergeCell ref="A3707:B3707"/>
    <mergeCell ref="F3707:G3707"/>
    <mergeCell ref="A3708:B3708"/>
    <mergeCell ref="F3708:G3708"/>
    <mergeCell ref="A3709:B3709"/>
    <mergeCell ref="F3709:G3709"/>
    <mergeCell ref="A3710:B3710"/>
    <mergeCell ref="F3710:G3710"/>
    <mergeCell ref="A3711:B3711"/>
    <mergeCell ref="F3711:G3711"/>
    <mergeCell ref="A3658:B3658"/>
    <mergeCell ref="F3658:G3658"/>
    <mergeCell ref="A3659:B3659"/>
    <mergeCell ref="F3659:G3659"/>
    <mergeCell ref="A3660:B3660"/>
    <mergeCell ref="F3660:G3660"/>
    <mergeCell ref="A3661:B3661"/>
    <mergeCell ref="F3661:G3661"/>
    <mergeCell ref="A3662:B3662"/>
    <mergeCell ref="F3662:G3662"/>
    <mergeCell ref="A3663:B3663"/>
    <mergeCell ref="F3663:G3663"/>
    <mergeCell ref="A3664:B3664"/>
    <mergeCell ref="F3664:G3664"/>
    <mergeCell ref="A3665:G3665"/>
    <mergeCell ref="A3666:H3666"/>
    <mergeCell ref="A3667:B3667"/>
    <mergeCell ref="F3667:G3667"/>
    <mergeCell ref="A3668:B3668"/>
    <mergeCell ref="F3668:G3668"/>
    <mergeCell ref="A3669:G3669"/>
    <mergeCell ref="A3670:H3670"/>
    <mergeCell ref="A3671:B3671"/>
    <mergeCell ref="F3671:G3671"/>
    <mergeCell ref="A3672:B3672"/>
    <mergeCell ref="F3672:G3672"/>
    <mergeCell ref="A3673:B3673"/>
    <mergeCell ref="F3673:G3673"/>
    <mergeCell ref="A3674:B3674"/>
    <mergeCell ref="F3674:G3674"/>
    <mergeCell ref="A3675:G3675"/>
    <mergeCell ref="A3677:D3677"/>
    <mergeCell ref="F3682:G3682"/>
    <mergeCell ref="F3622:G3622"/>
    <mergeCell ref="A3623:B3623"/>
    <mergeCell ref="F3623:G3623"/>
    <mergeCell ref="A3624:G3624"/>
    <mergeCell ref="A3626:D3626"/>
    <mergeCell ref="F3631:G3631"/>
    <mergeCell ref="A3634:H3634"/>
    <mergeCell ref="A3636:A3639"/>
    <mergeCell ref="B3636:G3639"/>
    <mergeCell ref="H3636:H3638"/>
    <mergeCell ref="B3640:F3640"/>
    <mergeCell ref="B3641:E3641"/>
    <mergeCell ref="A3644:C3644"/>
    <mergeCell ref="A3645:C3645"/>
    <mergeCell ref="A3646:C3646"/>
    <mergeCell ref="A3647:C3647"/>
    <mergeCell ref="A3648:G3648"/>
    <mergeCell ref="A3649:H3649"/>
    <mergeCell ref="A3650:B3650"/>
    <mergeCell ref="F3650:G3650"/>
    <mergeCell ref="A3651:B3651"/>
    <mergeCell ref="F3651:G3651"/>
    <mergeCell ref="A3652:B3652"/>
    <mergeCell ref="F3652:G3652"/>
    <mergeCell ref="A3653:B3653"/>
    <mergeCell ref="F3653:G3653"/>
    <mergeCell ref="A3654:B3654"/>
    <mergeCell ref="F3654:G3654"/>
    <mergeCell ref="A3655:B3655"/>
    <mergeCell ref="F3655:G3655"/>
    <mergeCell ref="A3656:B3656"/>
    <mergeCell ref="F3656:G3656"/>
    <mergeCell ref="A3657:B3657"/>
    <mergeCell ref="F3657:G3657"/>
    <mergeCell ref="A9289:B9289"/>
    <mergeCell ref="F9289:G9289"/>
    <mergeCell ref="A9290:B9290"/>
    <mergeCell ref="F9290:G9290"/>
    <mergeCell ref="A9291:B9291"/>
    <mergeCell ref="F9291:G9291"/>
    <mergeCell ref="A9292:G9292"/>
    <mergeCell ref="A9294:D9294"/>
    <mergeCell ref="F9299:G9299"/>
    <mergeCell ref="A3583:H3583"/>
    <mergeCell ref="A3585:A3588"/>
    <mergeCell ref="B3585:G3588"/>
    <mergeCell ref="H3585:H3587"/>
    <mergeCell ref="B3589:F3589"/>
    <mergeCell ref="B3590:E3590"/>
    <mergeCell ref="A3593:C3593"/>
    <mergeCell ref="A3594:C3594"/>
    <mergeCell ref="A3595:C3595"/>
    <mergeCell ref="A3596:C3596"/>
    <mergeCell ref="A3597:G3597"/>
    <mergeCell ref="A3598:H3598"/>
    <mergeCell ref="A3599:B3599"/>
    <mergeCell ref="F3599:G3599"/>
    <mergeCell ref="A3600:B3600"/>
    <mergeCell ref="F3600:G3600"/>
    <mergeCell ref="A3601:B3601"/>
    <mergeCell ref="F3601:G3601"/>
    <mergeCell ref="A3602:B3602"/>
    <mergeCell ref="F3602:G3602"/>
    <mergeCell ref="A3603:B3603"/>
    <mergeCell ref="F3603:G3603"/>
    <mergeCell ref="A3604:B3604"/>
    <mergeCell ref="F3604:G3604"/>
    <mergeCell ref="A3605:B3605"/>
    <mergeCell ref="F3605:G3605"/>
    <mergeCell ref="A3606:B3606"/>
    <mergeCell ref="F3606:G3606"/>
    <mergeCell ref="A3607:B3607"/>
    <mergeCell ref="F3607:G3607"/>
    <mergeCell ref="A3608:B3608"/>
    <mergeCell ref="F3608:G3608"/>
    <mergeCell ref="A3609:B3609"/>
    <mergeCell ref="F3609:G3609"/>
    <mergeCell ref="A3610:B3610"/>
    <mergeCell ref="F3610:G3610"/>
    <mergeCell ref="A3611:B3611"/>
    <mergeCell ref="F3611:G3611"/>
    <mergeCell ref="A3612:B3612"/>
    <mergeCell ref="F3612:G3612"/>
    <mergeCell ref="A3613:B3613"/>
    <mergeCell ref="F3613:G3613"/>
    <mergeCell ref="A3614:G3614"/>
    <mergeCell ref="A3615:H3615"/>
    <mergeCell ref="A3616:B3616"/>
    <mergeCell ref="F3616:G3616"/>
    <mergeCell ref="A3617:B3617"/>
    <mergeCell ref="F3617:G3617"/>
    <mergeCell ref="A3618:G3618"/>
    <mergeCell ref="A3619:H3619"/>
    <mergeCell ref="A3620:B3620"/>
    <mergeCell ref="F3620:G3620"/>
    <mergeCell ref="A3621:B3621"/>
    <mergeCell ref="F3621:G3621"/>
    <mergeCell ref="A3622:B3622"/>
    <mergeCell ref="A9270:B9270"/>
    <mergeCell ref="F9270:G9270"/>
    <mergeCell ref="A9271:B9271"/>
    <mergeCell ref="F9271:G9271"/>
    <mergeCell ref="A9272:B9272"/>
    <mergeCell ref="F9272:G9272"/>
    <mergeCell ref="A9273:B9273"/>
    <mergeCell ref="F9273:G9273"/>
    <mergeCell ref="A9274:B9274"/>
    <mergeCell ref="F9274:G9274"/>
    <mergeCell ref="A9275:B9275"/>
    <mergeCell ref="F9275:G9275"/>
    <mergeCell ref="A9276:B9276"/>
    <mergeCell ref="F9276:G9276"/>
    <mergeCell ref="A9277:B9277"/>
    <mergeCell ref="F9277:G9277"/>
    <mergeCell ref="A9278:B9278"/>
    <mergeCell ref="F9278:G9278"/>
    <mergeCell ref="A9279:B9279"/>
    <mergeCell ref="F9279:G9279"/>
    <mergeCell ref="A9280:B9280"/>
    <mergeCell ref="F9280:G9280"/>
    <mergeCell ref="A9281:B9281"/>
    <mergeCell ref="F9281:G9281"/>
    <mergeCell ref="A9282:G9282"/>
    <mergeCell ref="A9283:H9283"/>
    <mergeCell ref="A9284:B9284"/>
    <mergeCell ref="F9284:G9284"/>
    <mergeCell ref="A9285:B9285"/>
    <mergeCell ref="F9285:G9285"/>
    <mergeCell ref="A9286:G9286"/>
    <mergeCell ref="A9287:H9287"/>
    <mergeCell ref="A9288:B9288"/>
    <mergeCell ref="F9288:G9288"/>
    <mergeCell ref="A9268:B9268"/>
    <mergeCell ref="F9268:G9268"/>
    <mergeCell ref="A8417:B8417"/>
    <mergeCell ref="F8417:G8417"/>
    <mergeCell ref="A8418:B8418"/>
    <mergeCell ref="F8418:G8418"/>
    <mergeCell ref="A8419:B8419"/>
    <mergeCell ref="F8419:G8419"/>
    <mergeCell ref="A8420:B8420"/>
    <mergeCell ref="F8420:G8420"/>
    <mergeCell ref="A8421:B8421"/>
    <mergeCell ref="F8421:G8421"/>
    <mergeCell ref="A8422:B8422"/>
    <mergeCell ref="F8422:G8422"/>
    <mergeCell ref="A8423:B8423"/>
    <mergeCell ref="F8423:G8423"/>
    <mergeCell ref="A8424:B8424"/>
    <mergeCell ref="F8424:G8424"/>
    <mergeCell ref="A8425:B8425"/>
    <mergeCell ref="F8425:G8425"/>
    <mergeCell ref="A8426:B8426"/>
    <mergeCell ref="F8426:G8426"/>
    <mergeCell ref="A8427:B8427"/>
    <mergeCell ref="F8427:G8427"/>
    <mergeCell ref="A8428:B8428"/>
    <mergeCell ref="F8428:G8428"/>
    <mergeCell ref="A8429:B8429"/>
    <mergeCell ref="F8429:G8429"/>
    <mergeCell ref="A8430:B8430"/>
    <mergeCell ref="F8430:G8430"/>
    <mergeCell ref="A8431:B8431"/>
    <mergeCell ref="F8431:G8431"/>
    <mergeCell ref="A9269:B9269"/>
    <mergeCell ref="F9269:G9269"/>
    <mergeCell ref="A8432:G8432"/>
    <mergeCell ref="A8433:H8433"/>
    <mergeCell ref="A8434:B8434"/>
    <mergeCell ref="F8434:G8434"/>
    <mergeCell ref="A8435:B8435"/>
    <mergeCell ref="F8435:G8435"/>
    <mergeCell ref="A8436:G8436"/>
    <mergeCell ref="A8437:H8437"/>
    <mergeCell ref="A8438:B8438"/>
    <mergeCell ref="F8438:G8438"/>
    <mergeCell ref="A8439:B8439"/>
    <mergeCell ref="F8439:G8439"/>
    <mergeCell ref="A8440:B8440"/>
    <mergeCell ref="F8440:G8440"/>
    <mergeCell ref="A8441:B8441"/>
    <mergeCell ref="F8441:G8441"/>
    <mergeCell ref="A8442:G8442"/>
    <mergeCell ref="A8444:D8444"/>
    <mergeCell ref="F8449:G8449"/>
    <mergeCell ref="A8452:H8452"/>
    <mergeCell ref="A8454:A8457"/>
    <mergeCell ref="B8454:G8457"/>
    <mergeCell ref="H8454:H8456"/>
    <mergeCell ref="B8458:F8458"/>
    <mergeCell ref="B8459:E8459"/>
    <mergeCell ref="A8462:C8462"/>
    <mergeCell ref="A8463:C8463"/>
    <mergeCell ref="A8464:C8464"/>
    <mergeCell ref="A8465:C8465"/>
    <mergeCell ref="A8466:C8466"/>
    <mergeCell ref="A9250:H9250"/>
    <mergeCell ref="A9252:A9255"/>
    <mergeCell ref="B9252:G9255"/>
    <mergeCell ref="H9252:H9254"/>
    <mergeCell ref="B9256:F9256"/>
    <mergeCell ref="B9257:E9257"/>
    <mergeCell ref="A9260:C9260"/>
    <mergeCell ref="A9261:C9261"/>
    <mergeCell ref="A9262:C9262"/>
    <mergeCell ref="A9263:C9263"/>
    <mergeCell ref="A9264:C9264"/>
    <mergeCell ref="A9265:G9265"/>
    <mergeCell ref="A9266:H9266"/>
    <mergeCell ref="A9267:B9267"/>
    <mergeCell ref="F9267:G9267"/>
    <mergeCell ref="B8404:E8404"/>
    <mergeCell ref="A8407:C8407"/>
    <mergeCell ref="A8408:C8408"/>
    <mergeCell ref="A8409:C8409"/>
    <mergeCell ref="A8410:C8410"/>
    <mergeCell ref="A8411:C8411"/>
    <mergeCell ref="A8412:G8412"/>
    <mergeCell ref="A8413:H8413"/>
    <mergeCell ref="A8414:B8414"/>
    <mergeCell ref="F8414:G8414"/>
    <mergeCell ref="A8415:B8415"/>
    <mergeCell ref="F8415:G8415"/>
    <mergeCell ref="A8416:B8416"/>
    <mergeCell ref="F8416:G8416"/>
    <mergeCell ref="F8908:G8908"/>
    <mergeCell ref="A8909:B8909"/>
    <mergeCell ref="F8909:G8909"/>
    <mergeCell ref="A8467:G8467"/>
    <mergeCell ref="A8468:H8468"/>
    <mergeCell ref="A8469:B8469"/>
    <mergeCell ref="F8469:G8469"/>
    <mergeCell ref="A8470:B8470"/>
    <mergeCell ref="F8470:G8470"/>
    <mergeCell ref="A8471:B8471"/>
    <mergeCell ref="F8471:G8471"/>
    <mergeCell ref="A8472:B8472"/>
    <mergeCell ref="F8472:G8472"/>
    <mergeCell ref="A8473:B8473"/>
    <mergeCell ref="F8473:G8473"/>
    <mergeCell ref="A8474:B8474"/>
    <mergeCell ref="F8474:G8474"/>
    <mergeCell ref="A8475:B8475"/>
    <mergeCell ref="A9224:B9224"/>
    <mergeCell ref="F9224:G9224"/>
    <mergeCell ref="A9225:B9225"/>
    <mergeCell ref="F9225:G9225"/>
    <mergeCell ref="A9226:B9226"/>
    <mergeCell ref="F9226:G9226"/>
    <mergeCell ref="A9227:B9227"/>
    <mergeCell ref="F9227:G9227"/>
    <mergeCell ref="A9228:B9228"/>
    <mergeCell ref="F9228:G9228"/>
    <mergeCell ref="A9229:B9229"/>
    <mergeCell ref="F9229:G9229"/>
    <mergeCell ref="A9230:G9230"/>
    <mergeCell ref="A9231:H9231"/>
    <mergeCell ref="A9232:B9232"/>
    <mergeCell ref="F9232:G9232"/>
    <mergeCell ref="A9233:B9233"/>
    <mergeCell ref="A7266:B7266"/>
    <mergeCell ref="F7266:G7266"/>
    <mergeCell ref="A7267:B7267"/>
    <mergeCell ref="F7267:G7267"/>
    <mergeCell ref="A7275:H7275"/>
    <mergeCell ref="A7276:B7276"/>
    <mergeCell ref="F7276:G7276"/>
    <mergeCell ref="A7277:B7277"/>
    <mergeCell ref="F7277:G7277"/>
    <mergeCell ref="A7278:G7278"/>
    <mergeCell ref="A7390:B7390"/>
    <mergeCell ref="F7390:G7390"/>
    <mergeCell ref="A7371:B7371"/>
    <mergeCell ref="F7371:G7371"/>
    <mergeCell ref="A7372:B7372"/>
    <mergeCell ref="F7372:G7372"/>
    <mergeCell ref="A7373:B7373"/>
    <mergeCell ref="F7373:G7373"/>
    <mergeCell ref="A7374:B7374"/>
    <mergeCell ref="F7374:G7374"/>
    <mergeCell ref="A7375:B7375"/>
    <mergeCell ref="F7375:G7375"/>
    <mergeCell ref="A7376:B7376"/>
    <mergeCell ref="F7376:G7376"/>
    <mergeCell ref="A7377:B7377"/>
    <mergeCell ref="F7377:G7377"/>
    <mergeCell ref="A7378:B7378"/>
    <mergeCell ref="F7378:G7378"/>
    <mergeCell ref="A7379:B7379"/>
    <mergeCell ref="F7379:G7379"/>
    <mergeCell ref="A7279:H7279"/>
    <mergeCell ref="A7280:B7280"/>
    <mergeCell ref="F7280:G7280"/>
    <mergeCell ref="A7281:B7281"/>
    <mergeCell ref="F7281:G7281"/>
    <mergeCell ref="A7282:B7282"/>
    <mergeCell ref="F7282:G7282"/>
    <mergeCell ref="A7283:B7283"/>
    <mergeCell ref="F7283:G7283"/>
    <mergeCell ref="A7284:G7284"/>
    <mergeCell ref="A7286:D7286"/>
    <mergeCell ref="F7291:G7291"/>
    <mergeCell ref="A7349:H7349"/>
    <mergeCell ref="A7351:A7354"/>
    <mergeCell ref="B7351:G7354"/>
    <mergeCell ref="H7351:H7353"/>
    <mergeCell ref="B7355:F7355"/>
    <mergeCell ref="A7313:B7313"/>
    <mergeCell ref="F7313:G7313"/>
    <mergeCell ref="A7314:B7314"/>
    <mergeCell ref="F7314:G7314"/>
    <mergeCell ref="A7315:B7315"/>
    <mergeCell ref="F7315:G7315"/>
    <mergeCell ref="A7316:B7316"/>
    <mergeCell ref="F7316:G7316"/>
    <mergeCell ref="A7230:B7230"/>
    <mergeCell ref="F7230:G7230"/>
    <mergeCell ref="A7231:B7231"/>
    <mergeCell ref="F7231:G7231"/>
    <mergeCell ref="A7232:G7232"/>
    <mergeCell ref="A7234:D7234"/>
    <mergeCell ref="F7239:G7239"/>
    <mergeCell ref="A7242:H7242"/>
    <mergeCell ref="A7244:A7247"/>
    <mergeCell ref="B7244:G7247"/>
    <mergeCell ref="H7244:H7246"/>
    <mergeCell ref="B7248:F7248"/>
    <mergeCell ref="B7249:E7249"/>
    <mergeCell ref="A7252:C7252"/>
    <mergeCell ref="A7253:C7253"/>
    <mergeCell ref="A7254:C7254"/>
    <mergeCell ref="A7255:C7255"/>
    <mergeCell ref="A7256:C7256"/>
    <mergeCell ref="A7257:G7257"/>
    <mergeCell ref="A7258:H7258"/>
    <mergeCell ref="A7259:B7259"/>
    <mergeCell ref="F7259:G7259"/>
    <mergeCell ref="A7260:B7260"/>
    <mergeCell ref="F7260:G7260"/>
    <mergeCell ref="A7261:B7261"/>
    <mergeCell ref="F7261:G7261"/>
    <mergeCell ref="A7262:B7262"/>
    <mergeCell ref="F7262:G7262"/>
    <mergeCell ref="A7263:B7263"/>
    <mergeCell ref="F7263:G7263"/>
    <mergeCell ref="A7264:B7264"/>
    <mergeCell ref="F7264:G7264"/>
    <mergeCell ref="A7265:B7265"/>
    <mergeCell ref="F7265:G7265"/>
    <mergeCell ref="A7211:B7211"/>
    <mergeCell ref="F7211:G7211"/>
    <mergeCell ref="A7212:B7212"/>
    <mergeCell ref="F7212:G7212"/>
    <mergeCell ref="A7213:B7213"/>
    <mergeCell ref="F7213:G7213"/>
    <mergeCell ref="A7214:B7214"/>
    <mergeCell ref="F7214:G7214"/>
    <mergeCell ref="A7215:B7215"/>
    <mergeCell ref="F7215:G7215"/>
    <mergeCell ref="A7216:B7216"/>
    <mergeCell ref="F7216:G7216"/>
    <mergeCell ref="A7217:B7217"/>
    <mergeCell ref="F7217:G7217"/>
    <mergeCell ref="A7218:B7218"/>
    <mergeCell ref="F7218:G7218"/>
    <mergeCell ref="A7219:B7219"/>
    <mergeCell ref="F7219:G7219"/>
    <mergeCell ref="A7220:B7220"/>
    <mergeCell ref="F7220:G7220"/>
    <mergeCell ref="A7221:B7221"/>
    <mergeCell ref="F7221:G7221"/>
    <mergeCell ref="A7222:G7222"/>
    <mergeCell ref="A7223:H7223"/>
    <mergeCell ref="A7224:B7224"/>
    <mergeCell ref="F7224:G7224"/>
    <mergeCell ref="A7225:B7225"/>
    <mergeCell ref="F7225:G7225"/>
    <mergeCell ref="A7226:G7226"/>
    <mergeCell ref="A7227:H7227"/>
    <mergeCell ref="A7228:B7228"/>
    <mergeCell ref="F7228:G7228"/>
    <mergeCell ref="A7229:B7229"/>
    <mergeCell ref="F7229:G7229"/>
    <mergeCell ref="A7175:H7175"/>
    <mergeCell ref="A7176:B7176"/>
    <mergeCell ref="F7176:G7176"/>
    <mergeCell ref="A7177:B7177"/>
    <mergeCell ref="F7177:G7177"/>
    <mergeCell ref="A7178:B7178"/>
    <mergeCell ref="F7178:G7178"/>
    <mergeCell ref="A7179:B7179"/>
    <mergeCell ref="F7179:G7179"/>
    <mergeCell ref="A7180:G7180"/>
    <mergeCell ref="A7182:D7182"/>
    <mergeCell ref="F7187:G7187"/>
    <mergeCell ref="A7190:H7190"/>
    <mergeCell ref="A7192:A7195"/>
    <mergeCell ref="B7192:G7195"/>
    <mergeCell ref="H7192:H7194"/>
    <mergeCell ref="B7196:F7196"/>
    <mergeCell ref="B7197:E7197"/>
    <mergeCell ref="A7200:C7200"/>
    <mergeCell ref="A7201:C7201"/>
    <mergeCell ref="A7202:C7202"/>
    <mergeCell ref="A7203:C7203"/>
    <mergeCell ref="A7204:C7204"/>
    <mergeCell ref="A7205:G7205"/>
    <mergeCell ref="A7206:H7206"/>
    <mergeCell ref="A7207:B7207"/>
    <mergeCell ref="F7207:G7207"/>
    <mergeCell ref="A7208:B7208"/>
    <mergeCell ref="F7208:G7208"/>
    <mergeCell ref="A7209:B7209"/>
    <mergeCell ref="F7209:G7209"/>
    <mergeCell ref="A7210:B7210"/>
    <mergeCell ref="F7210:G7210"/>
    <mergeCell ref="A7157:B7157"/>
    <mergeCell ref="F7157:G7157"/>
    <mergeCell ref="A7158:B7158"/>
    <mergeCell ref="F7158:G7158"/>
    <mergeCell ref="A7159:B7159"/>
    <mergeCell ref="F7159:G7159"/>
    <mergeCell ref="A7160:B7160"/>
    <mergeCell ref="F7160:G7160"/>
    <mergeCell ref="A7161:B7161"/>
    <mergeCell ref="F7161:G7161"/>
    <mergeCell ref="A7162:B7162"/>
    <mergeCell ref="F7162:G7162"/>
    <mergeCell ref="A7163:B7163"/>
    <mergeCell ref="F7163:G7163"/>
    <mergeCell ref="A7164:B7164"/>
    <mergeCell ref="F7164:G7164"/>
    <mergeCell ref="A7165:B7165"/>
    <mergeCell ref="F7165:G7165"/>
    <mergeCell ref="A7166:B7166"/>
    <mergeCell ref="F7166:G7166"/>
    <mergeCell ref="A7167:B7167"/>
    <mergeCell ref="F7167:G7167"/>
    <mergeCell ref="A7168:B7168"/>
    <mergeCell ref="F7168:G7168"/>
    <mergeCell ref="A7169:B7169"/>
    <mergeCell ref="F7169:G7169"/>
    <mergeCell ref="A7170:G7170"/>
    <mergeCell ref="A7171:H7171"/>
    <mergeCell ref="A7172:B7172"/>
    <mergeCell ref="F7172:G7172"/>
    <mergeCell ref="A7173:B7173"/>
    <mergeCell ref="F7173:G7173"/>
    <mergeCell ref="A7174:G7174"/>
    <mergeCell ref="A7120:B7120"/>
    <mergeCell ref="F7120:G7120"/>
    <mergeCell ref="A7121:B7121"/>
    <mergeCell ref="F7121:G7121"/>
    <mergeCell ref="A7122:G7122"/>
    <mergeCell ref="A7123:H7123"/>
    <mergeCell ref="A7124:B7124"/>
    <mergeCell ref="F7124:G7124"/>
    <mergeCell ref="A7125:B7125"/>
    <mergeCell ref="F7125:G7125"/>
    <mergeCell ref="A7126:B7126"/>
    <mergeCell ref="F7126:G7126"/>
    <mergeCell ref="A7127:B7127"/>
    <mergeCell ref="F7127:G7127"/>
    <mergeCell ref="A7128:G7128"/>
    <mergeCell ref="A7130:D7130"/>
    <mergeCell ref="F7135:G7135"/>
    <mergeCell ref="A7138:H7138"/>
    <mergeCell ref="A7140:A7143"/>
    <mergeCell ref="B7140:G7143"/>
    <mergeCell ref="H7140:H7142"/>
    <mergeCell ref="B7144:F7144"/>
    <mergeCell ref="B7145:E7145"/>
    <mergeCell ref="A7148:C7148"/>
    <mergeCell ref="A7149:C7149"/>
    <mergeCell ref="A7150:C7150"/>
    <mergeCell ref="A7151:C7151"/>
    <mergeCell ref="A7152:C7152"/>
    <mergeCell ref="A7153:G7153"/>
    <mergeCell ref="A7154:H7154"/>
    <mergeCell ref="A7155:B7155"/>
    <mergeCell ref="F7155:G7155"/>
    <mergeCell ref="A7156:B7156"/>
    <mergeCell ref="F7156:G7156"/>
    <mergeCell ref="A7102:H7102"/>
    <mergeCell ref="A7103:B7103"/>
    <mergeCell ref="F7103:G7103"/>
    <mergeCell ref="A7104:B7104"/>
    <mergeCell ref="F7104:G7104"/>
    <mergeCell ref="A7105:B7105"/>
    <mergeCell ref="F7105:G7105"/>
    <mergeCell ref="A7106:B7106"/>
    <mergeCell ref="F7106:G7106"/>
    <mergeCell ref="A7107:B7107"/>
    <mergeCell ref="F7107:G7107"/>
    <mergeCell ref="A7108:B7108"/>
    <mergeCell ref="F7108:G7108"/>
    <mergeCell ref="A7109:B7109"/>
    <mergeCell ref="F7109:G7109"/>
    <mergeCell ref="A7110:B7110"/>
    <mergeCell ref="F7110:G7110"/>
    <mergeCell ref="A7111:B7111"/>
    <mergeCell ref="F7111:G7111"/>
    <mergeCell ref="A7112:B7112"/>
    <mergeCell ref="F7112:G7112"/>
    <mergeCell ref="A7113:B7113"/>
    <mergeCell ref="F7113:G7113"/>
    <mergeCell ref="A7114:B7114"/>
    <mergeCell ref="F7114:G7114"/>
    <mergeCell ref="A7115:B7115"/>
    <mergeCell ref="F7115:G7115"/>
    <mergeCell ref="A7116:B7116"/>
    <mergeCell ref="F7116:G7116"/>
    <mergeCell ref="A7117:B7117"/>
    <mergeCell ref="F7117:G7117"/>
    <mergeCell ref="A7118:G7118"/>
    <mergeCell ref="A7119:H7119"/>
    <mergeCell ref="A7065:B7065"/>
    <mergeCell ref="F7065:G7065"/>
    <mergeCell ref="A7066:G7066"/>
    <mergeCell ref="A7067:H7067"/>
    <mergeCell ref="A7068:B7068"/>
    <mergeCell ref="F7068:G7068"/>
    <mergeCell ref="A7069:B7069"/>
    <mergeCell ref="F7069:G7069"/>
    <mergeCell ref="A7070:G7070"/>
    <mergeCell ref="A7071:H7071"/>
    <mergeCell ref="A7072:B7072"/>
    <mergeCell ref="F7072:G7072"/>
    <mergeCell ref="A7073:B7073"/>
    <mergeCell ref="F7073:G7073"/>
    <mergeCell ref="A7074:B7074"/>
    <mergeCell ref="F7074:G7074"/>
    <mergeCell ref="A7075:B7075"/>
    <mergeCell ref="F7075:G7075"/>
    <mergeCell ref="A7076:G7076"/>
    <mergeCell ref="A7078:D7078"/>
    <mergeCell ref="F7083:G7083"/>
    <mergeCell ref="A7086:H7086"/>
    <mergeCell ref="A7088:A7091"/>
    <mergeCell ref="B7088:G7091"/>
    <mergeCell ref="H7088:H7090"/>
    <mergeCell ref="B7092:F7092"/>
    <mergeCell ref="B7093:E7093"/>
    <mergeCell ref="A7096:C7096"/>
    <mergeCell ref="A7097:C7097"/>
    <mergeCell ref="A7098:C7098"/>
    <mergeCell ref="A7099:C7099"/>
    <mergeCell ref="A7100:C7100"/>
    <mergeCell ref="A7101:G7101"/>
    <mergeCell ref="A7046:C7046"/>
    <mergeCell ref="A7047:C7047"/>
    <mergeCell ref="A7048:C7048"/>
    <mergeCell ref="A7049:G7049"/>
    <mergeCell ref="A7050:H7050"/>
    <mergeCell ref="A7051:B7051"/>
    <mergeCell ref="F7051:G7051"/>
    <mergeCell ref="A7052:B7052"/>
    <mergeCell ref="F7052:G7052"/>
    <mergeCell ref="A7053:B7053"/>
    <mergeCell ref="F7053:G7053"/>
    <mergeCell ref="A7054:B7054"/>
    <mergeCell ref="F7054:G7054"/>
    <mergeCell ref="A7055:B7055"/>
    <mergeCell ref="F7055:G7055"/>
    <mergeCell ref="A7056:B7056"/>
    <mergeCell ref="F7056:G7056"/>
    <mergeCell ref="A7057:B7057"/>
    <mergeCell ref="F7057:G7057"/>
    <mergeCell ref="A7058:B7058"/>
    <mergeCell ref="F7058:G7058"/>
    <mergeCell ref="A7059:B7059"/>
    <mergeCell ref="F7059:G7059"/>
    <mergeCell ref="A7060:B7060"/>
    <mergeCell ref="F7060:G7060"/>
    <mergeCell ref="A7061:B7061"/>
    <mergeCell ref="F7061:G7061"/>
    <mergeCell ref="A7062:B7062"/>
    <mergeCell ref="F7062:G7062"/>
    <mergeCell ref="A7063:B7063"/>
    <mergeCell ref="F7063:G7063"/>
    <mergeCell ref="A7064:B7064"/>
    <mergeCell ref="F7064:G7064"/>
    <mergeCell ref="A7011:B7011"/>
    <mergeCell ref="F7011:G7011"/>
    <mergeCell ref="A7012:B7012"/>
    <mergeCell ref="F7012:G7012"/>
    <mergeCell ref="A7013:B7013"/>
    <mergeCell ref="F7013:G7013"/>
    <mergeCell ref="A7014:G7014"/>
    <mergeCell ref="A7015:H7015"/>
    <mergeCell ref="A7016:B7016"/>
    <mergeCell ref="F7016:G7016"/>
    <mergeCell ref="A7017:B7017"/>
    <mergeCell ref="F7017:G7017"/>
    <mergeCell ref="A7018:G7018"/>
    <mergeCell ref="A7019:H7019"/>
    <mergeCell ref="A7020:B7020"/>
    <mergeCell ref="F7020:G7020"/>
    <mergeCell ref="A7021:B7021"/>
    <mergeCell ref="F7021:G7021"/>
    <mergeCell ref="A7022:B7022"/>
    <mergeCell ref="F7022:G7022"/>
    <mergeCell ref="A7023:B7023"/>
    <mergeCell ref="F7023:G7023"/>
    <mergeCell ref="A7024:G7024"/>
    <mergeCell ref="A7026:D7026"/>
    <mergeCell ref="F7031:G7031"/>
    <mergeCell ref="A7034:H7034"/>
    <mergeCell ref="A7036:A7039"/>
    <mergeCell ref="B7036:G7039"/>
    <mergeCell ref="H7036:H7038"/>
    <mergeCell ref="B7040:F7040"/>
    <mergeCell ref="B7041:E7041"/>
    <mergeCell ref="A7044:C7044"/>
    <mergeCell ref="A7045:C7045"/>
    <mergeCell ref="B6988:F6988"/>
    <mergeCell ref="B6989:E6989"/>
    <mergeCell ref="A6992:C6992"/>
    <mergeCell ref="A6993:C6993"/>
    <mergeCell ref="A6994:C6994"/>
    <mergeCell ref="A6995:C6995"/>
    <mergeCell ref="A6996:C6996"/>
    <mergeCell ref="A6997:G6997"/>
    <mergeCell ref="A6998:H6998"/>
    <mergeCell ref="A6999:B6999"/>
    <mergeCell ref="F6999:G6999"/>
    <mergeCell ref="A7000:B7000"/>
    <mergeCell ref="F7000:G7000"/>
    <mergeCell ref="A7001:B7001"/>
    <mergeCell ref="F7001:G7001"/>
    <mergeCell ref="A7002:B7002"/>
    <mergeCell ref="F7002:G7002"/>
    <mergeCell ref="A7003:B7003"/>
    <mergeCell ref="F7003:G7003"/>
    <mergeCell ref="A7004:B7004"/>
    <mergeCell ref="F7004:G7004"/>
    <mergeCell ref="A7005:B7005"/>
    <mergeCell ref="F7005:G7005"/>
    <mergeCell ref="A7006:B7006"/>
    <mergeCell ref="F7006:G7006"/>
    <mergeCell ref="A7007:B7007"/>
    <mergeCell ref="F7007:G7007"/>
    <mergeCell ref="A7008:B7008"/>
    <mergeCell ref="F7008:G7008"/>
    <mergeCell ref="A7009:B7009"/>
    <mergeCell ref="F7009:G7009"/>
    <mergeCell ref="A7010:B7010"/>
    <mergeCell ref="F7010:G7010"/>
    <mergeCell ref="A6956:B6956"/>
    <mergeCell ref="F6956:G6956"/>
    <mergeCell ref="A6957:B6957"/>
    <mergeCell ref="F6957:G6957"/>
    <mergeCell ref="A6958:B6958"/>
    <mergeCell ref="F6958:G6958"/>
    <mergeCell ref="A6959:B6959"/>
    <mergeCell ref="F6959:G6959"/>
    <mergeCell ref="A6960:B6960"/>
    <mergeCell ref="F6960:G6960"/>
    <mergeCell ref="A6961:B6961"/>
    <mergeCell ref="F6961:G6961"/>
    <mergeCell ref="A6962:G6962"/>
    <mergeCell ref="A6963:H6963"/>
    <mergeCell ref="A6964:B6964"/>
    <mergeCell ref="F6964:G6964"/>
    <mergeCell ref="A6965:B6965"/>
    <mergeCell ref="F6965:G6965"/>
    <mergeCell ref="A6966:G6966"/>
    <mergeCell ref="A6967:H6967"/>
    <mergeCell ref="A6968:B6968"/>
    <mergeCell ref="F6968:G6968"/>
    <mergeCell ref="A6969:B6969"/>
    <mergeCell ref="F6969:G6969"/>
    <mergeCell ref="A6970:B6970"/>
    <mergeCell ref="F6970:G6970"/>
    <mergeCell ref="A6971:B6971"/>
    <mergeCell ref="F6971:G6971"/>
    <mergeCell ref="A6972:G6972"/>
    <mergeCell ref="A6974:D6974"/>
    <mergeCell ref="F6979:G6979"/>
    <mergeCell ref="A6982:H6982"/>
    <mergeCell ref="A6984:A6987"/>
    <mergeCell ref="B6984:G6987"/>
    <mergeCell ref="H6984:H6986"/>
    <mergeCell ref="A6922:D6922"/>
    <mergeCell ref="F6927:G6927"/>
    <mergeCell ref="A6930:H6930"/>
    <mergeCell ref="A6932:A6935"/>
    <mergeCell ref="B6932:G6935"/>
    <mergeCell ref="H6932:H6934"/>
    <mergeCell ref="B6936:F6936"/>
    <mergeCell ref="B6937:E6937"/>
    <mergeCell ref="A6940:C6940"/>
    <mergeCell ref="A6941:C6941"/>
    <mergeCell ref="A6942:C6942"/>
    <mergeCell ref="A6943:C6943"/>
    <mergeCell ref="A6944:C6944"/>
    <mergeCell ref="A6945:G6945"/>
    <mergeCell ref="A6946:H6946"/>
    <mergeCell ref="A6947:B6947"/>
    <mergeCell ref="F6947:G6947"/>
    <mergeCell ref="A6948:B6948"/>
    <mergeCell ref="F6948:G6948"/>
    <mergeCell ref="A6949:B6949"/>
    <mergeCell ref="F6949:G6949"/>
    <mergeCell ref="A6950:B6950"/>
    <mergeCell ref="F6950:G6950"/>
    <mergeCell ref="A6951:B6951"/>
    <mergeCell ref="F6951:G6951"/>
    <mergeCell ref="A6952:B6952"/>
    <mergeCell ref="F6952:G6952"/>
    <mergeCell ref="A6953:B6953"/>
    <mergeCell ref="F6953:G6953"/>
    <mergeCell ref="A6954:B6954"/>
    <mergeCell ref="F6954:G6954"/>
    <mergeCell ref="A6955:B6955"/>
    <mergeCell ref="F6955:G6955"/>
    <mergeCell ref="A6902:B6902"/>
    <mergeCell ref="F6902:G6902"/>
    <mergeCell ref="A6903:B6903"/>
    <mergeCell ref="F6903:G6903"/>
    <mergeCell ref="A6904:B6904"/>
    <mergeCell ref="F6904:G6904"/>
    <mergeCell ref="A6905:B6905"/>
    <mergeCell ref="F6905:G6905"/>
    <mergeCell ref="A6906:B6906"/>
    <mergeCell ref="F6906:G6906"/>
    <mergeCell ref="A6907:B6907"/>
    <mergeCell ref="F6907:G6907"/>
    <mergeCell ref="A6908:B6908"/>
    <mergeCell ref="F6908:G6908"/>
    <mergeCell ref="A6909:B6909"/>
    <mergeCell ref="F6909:G6909"/>
    <mergeCell ref="A6910:G6910"/>
    <mergeCell ref="A6911:H6911"/>
    <mergeCell ref="A6912:B6912"/>
    <mergeCell ref="F6912:G6912"/>
    <mergeCell ref="A6913:B6913"/>
    <mergeCell ref="F6913:G6913"/>
    <mergeCell ref="A6914:G6914"/>
    <mergeCell ref="A6915:H6915"/>
    <mergeCell ref="A6916:B6916"/>
    <mergeCell ref="F6916:G6916"/>
    <mergeCell ref="A6917:B6917"/>
    <mergeCell ref="F6917:G6917"/>
    <mergeCell ref="A6918:B6918"/>
    <mergeCell ref="F6918:G6918"/>
    <mergeCell ref="A6919:B6919"/>
    <mergeCell ref="F6919:G6919"/>
    <mergeCell ref="A6920:G6920"/>
    <mergeCell ref="F6866:G6866"/>
    <mergeCell ref="A6867:B6867"/>
    <mergeCell ref="F6867:G6867"/>
    <mergeCell ref="A6868:G6868"/>
    <mergeCell ref="A6870:D6870"/>
    <mergeCell ref="F6875:G6875"/>
    <mergeCell ref="A6878:H6878"/>
    <mergeCell ref="A6880:A6883"/>
    <mergeCell ref="B6880:G6883"/>
    <mergeCell ref="H6880:H6882"/>
    <mergeCell ref="B6884:F6884"/>
    <mergeCell ref="B6885:E6885"/>
    <mergeCell ref="A6888:C6888"/>
    <mergeCell ref="A6889:C6889"/>
    <mergeCell ref="A6890:C6890"/>
    <mergeCell ref="A6891:C6891"/>
    <mergeCell ref="A6892:C6892"/>
    <mergeCell ref="A6893:G6893"/>
    <mergeCell ref="A6894:H6894"/>
    <mergeCell ref="A6895:B6895"/>
    <mergeCell ref="F6895:G6895"/>
    <mergeCell ref="A6896:B6896"/>
    <mergeCell ref="F6896:G6896"/>
    <mergeCell ref="A6897:B6897"/>
    <mergeCell ref="F6897:G6897"/>
    <mergeCell ref="A6898:B6898"/>
    <mergeCell ref="F6898:G6898"/>
    <mergeCell ref="A6899:B6899"/>
    <mergeCell ref="F6899:G6899"/>
    <mergeCell ref="A6900:B6900"/>
    <mergeCell ref="F6900:G6900"/>
    <mergeCell ref="A6901:B6901"/>
    <mergeCell ref="F6901:G6901"/>
    <mergeCell ref="A7498:D7498"/>
    <mergeCell ref="F7503:G7503"/>
    <mergeCell ref="A6722:H6722"/>
    <mergeCell ref="A6724:A6727"/>
    <mergeCell ref="B6724:G6727"/>
    <mergeCell ref="H6724:H6726"/>
    <mergeCell ref="B6728:F6728"/>
    <mergeCell ref="B6729:E6729"/>
    <mergeCell ref="A6732:C6732"/>
    <mergeCell ref="A6733:C6733"/>
    <mergeCell ref="A6734:C6734"/>
    <mergeCell ref="A6735:C6735"/>
    <mergeCell ref="A6736:C6736"/>
    <mergeCell ref="A6737:G6737"/>
    <mergeCell ref="A6738:H6738"/>
    <mergeCell ref="A6739:B6739"/>
    <mergeCell ref="F6739:G6739"/>
    <mergeCell ref="A6740:B6740"/>
    <mergeCell ref="F6740:G6740"/>
    <mergeCell ref="A6741:B6741"/>
    <mergeCell ref="F6741:G6741"/>
    <mergeCell ref="A6742:B6742"/>
    <mergeCell ref="F6742:G6742"/>
    <mergeCell ref="A6743:B6743"/>
    <mergeCell ref="F6743:G6743"/>
    <mergeCell ref="F6751:G6751"/>
    <mergeCell ref="A6752:B6752"/>
    <mergeCell ref="F6752:G6752"/>
    <mergeCell ref="A6753:B6753"/>
    <mergeCell ref="F6753:G6753"/>
    <mergeCell ref="A6754:G6754"/>
    <mergeCell ref="A6755:H6755"/>
    <mergeCell ref="A6756:B6756"/>
    <mergeCell ref="F6756:G6756"/>
    <mergeCell ref="A6757:B6757"/>
    <mergeCell ref="F6757:G6757"/>
    <mergeCell ref="A6758:G6758"/>
    <mergeCell ref="A6759:H6759"/>
    <mergeCell ref="A6760:B6760"/>
    <mergeCell ref="F6760:G6760"/>
    <mergeCell ref="A6761:B6761"/>
    <mergeCell ref="F6761:G6761"/>
    <mergeCell ref="A6762:B6762"/>
    <mergeCell ref="F6762:G6762"/>
    <mergeCell ref="A6763:B6763"/>
    <mergeCell ref="F6763:G6763"/>
    <mergeCell ref="A6764:G6764"/>
    <mergeCell ref="A6766:D6766"/>
    <mergeCell ref="F6771:G6771"/>
    <mergeCell ref="A6774:H6774"/>
    <mergeCell ref="A6776:A6779"/>
    <mergeCell ref="B6776:G6779"/>
    <mergeCell ref="H6776:H6778"/>
    <mergeCell ref="B6780:F6780"/>
    <mergeCell ref="B6781:E6781"/>
    <mergeCell ref="A6784:C6784"/>
    <mergeCell ref="A6785:C6785"/>
    <mergeCell ref="A6786:C6786"/>
    <mergeCell ref="A6787:C6787"/>
    <mergeCell ref="A6788:C6788"/>
    <mergeCell ref="A6789:G6789"/>
    <mergeCell ref="A6790:H6790"/>
    <mergeCell ref="A6791:B6791"/>
    <mergeCell ref="F6791:G6791"/>
    <mergeCell ref="A7478:B7478"/>
    <mergeCell ref="F7478:G7478"/>
    <mergeCell ref="A7479:B7479"/>
    <mergeCell ref="F7479:G7479"/>
    <mergeCell ref="A7480:B7480"/>
    <mergeCell ref="F7480:G7480"/>
    <mergeCell ref="A7481:B7481"/>
    <mergeCell ref="F7481:G7481"/>
    <mergeCell ref="A7482:B7482"/>
    <mergeCell ref="F7482:G7482"/>
    <mergeCell ref="A7483:B7483"/>
    <mergeCell ref="F7483:G7483"/>
    <mergeCell ref="A7484:B7484"/>
    <mergeCell ref="F7484:G7484"/>
    <mergeCell ref="A7485:B7485"/>
    <mergeCell ref="F7485:G7485"/>
    <mergeCell ref="A7486:G7486"/>
    <mergeCell ref="A7487:H7487"/>
    <mergeCell ref="A7488:B7488"/>
    <mergeCell ref="F7488:G7488"/>
    <mergeCell ref="A7489:B7489"/>
    <mergeCell ref="F7489:G7489"/>
    <mergeCell ref="A7490:G7490"/>
    <mergeCell ref="A7491:H7491"/>
    <mergeCell ref="A7492:B7492"/>
    <mergeCell ref="F7492:G7492"/>
    <mergeCell ref="A7493:B7493"/>
    <mergeCell ref="F7493:G7493"/>
    <mergeCell ref="A7494:B7494"/>
    <mergeCell ref="F7494:G7494"/>
    <mergeCell ref="A7495:B7495"/>
    <mergeCell ref="F7495:G7495"/>
    <mergeCell ref="A7496:G7496"/>
    <mergeCell ref="A7442:B7442"/>
    <mergeCell ref="F7442:G7442"/>
    <mergeCell ref="A7443:B7443"/>
    <mergeCell ref="F7443:G7443"/>
    <mergeCell ref="A7444:G7444"/>
    <mergeCell ref="A7446:D7446"/>
    <mergeCell ref="F7451:G7451"/>
    <mergeCell ref="A7454:H7454"/>
    <mergeCell ref="A7456:A7459"/>
    <mergeCell ref="B7456:G7459"/>
    <mergeCell ref="H7456:H7458"/>
    <mergeCell ref="B7460:F7460"/>
    <mergeCell ref="B7461:E7461"/>
    <mergeCell ref="A7464:C7464"/>
    <mergeCell ref="A7465:C7465"/>
    <mergeCell ref="A7466:C7466"/>
    <mergeCell ref="A7467:C7467"/>
    <mergeCell ref="A7468:C7468"/>
    <mergeCell ref="A7469:G7469"/>
    <mergeCell ref="A7470:H7470"/>
    <mergeCell ref="A7471:B7471"/>
    <mergeCell ref="F7471:G7471"/>
    <mergeCell ref="A7472:B7472"/>
    <mergeCell ref="F7472:G7472"/>
    <mergeCell ref="A7473:B7473"/>
    <mergeCell ref="F7473:G7473"/>
    <mergeCell ref="A7474:B7474"/>
    <mergeCell ref="F7474:G7474"/>
    <mergeCell ref="A7475:B7475"/>
    <mergeCell ref="F7475:G7475"/>
    <mergeCell ref="A7476:B7476"/>
    <mergeCell ref="F7476:G7476"/>
    <mergeCell ref="A7477:B7477"/>
    <mergeCell ref="F7477:G7477"/>
    <mergeCell ref="B7408:F7408"/>
    <mergeCell ref="B7409:E7409"/>
    <mergeCell ref="A7412:C7412"/>
    <mergeCell ref="A7413:C7413"/>
    <mergeCell ref="A7414:C7414"/>
    <mergeCell ref="A7415:C7415"/>
    <mergeCell ref="A6744:B6744"/>
    <mergeCell ref="F6744:G6744"/>
    <mergeCell ref="A6745:B6745"/>
    <mergeCell ref="F6745:G6745"/>
    <mergeCell ref="A6746:B6746"/>
    <mergeCell ref="F6746:G6746"/>
    <mergeCell ref="A6747:B6747"/>
    <mergeCell ref="F6747:G6747"/>
    <mergeCell ref="A6748:B6748"/>
    <mergeCell ref="F6748:G6748"/>
    <mergeCell ref="A6749:B6749"/>
    <mergeCell ref="F6749:G6749"/>
    <mergeCell ref="A6750:B6750"/>
    <mergeCell ref="F6750:G6750"/>
    <mergeCell ref="A6751:B6751"/>
    <mergeCell ref="A6792:B6792"/>
    <mergeCell ref="F6792:G6792"/>
    <mergeCell ref="A6793:B6793"/>
    <mergeCell ref="F6793:G6793"/>
    <mergeCell ref="A6794:B6794"/>
    <mergeCell ref="F6794:G6794"/>
    <mergeCell ref="A6795:B6795"/>
    <mergeCell ref="F6795:G6795"/>
    <mergeCell ref="A6796:B6796"/>
    <mergeCell ref="F6796:G6796"/>
    <mergeCell ref="A6797:B6797"/>
    <mergeCell ref="F6797:G6797"/>
    <mergeCell ref="A6798:B6798"/>
    <mergeCell ref="F6798:G6798"/>
    <mergeCell ref="A6799:B6799"/>
    <mergeCell ref="F6799:G6799"/>
    <mergeCell ref="A6800:B6800"/>
    <mergeCell ref="F6800:G6800"/>
    <mergeCell ref="A6801:B6801"/>
    <mergeCell ref="F6801:G6801"/>
    <mergeCell ref="A6802:B6802"/>
    <mergeCell ref="F6802:G6802"/>
    <mergeCell ref="A6803:B6803"/>
    <mergeCell ref="F6803:G6803"/>
    <mergeCell ref="A6804:B6804"/>
    <mergeCell ref="F6804:G6804"/>
    <mergeCell ref="A6805:B6805"/>
    <mergeCell ref="F6805:G6805"/>
    <mergeCell ref="A6806:G6806"/>
    <mergeCell ref="A6807:H6807"/>
    <mergeCell ref="A6808:B6808"/>
    <mergeCell ref="F6808:G6808"/>
    <mergeCell ref="A6809:B6809"/>
    <mergeCell ref="F6809:G6809"/>
    <mergeCell ref="A6810:G6810"/>
    <mergeCell ref="A6811:H6811"/>
    <mergeCell ref="A6812:B6812"/>
    <mergeCell ref="F6812:G6812"/>
    <mergeCell ref="A6813:B6813"/>
    <mergeCell ref="F6813:G6813"/>
    <mergeCell ref="A6814:B6814"/>
    <mergeCell ref="F6814:G6814"/>
    <mergeCell ref="A6815:B6815"/>
    <mergeCell ref="A7402:H7402"/>
    <mergeCell ref="A7404:A7407"/>
    <mergeCell ref="B7404:G7407"/>
    <mergeCell ref="H7404:H7406"/>
    <mergeCell ref="F6815:G6815"/>
    <mergeCell ref="A6816:G6816"/>
    <mergeCell ref="A6818:D6818"/>
    <mergeCell ref="F6823:G6823"/>
    <mergeCell ref="A6826:H6826"/>
    <mergeCell ref="A6828:A6831"/>
    <mergeCell ref="B6828:G6831"/>
    <mergeCell ref="H6828:H6830"/>
    <mergeCell ref="B6832:F6832"/>
    <mergeCell ref="B6833:E6833"/>
    <mergeCell ref="A6836:C6836"/>
    <mergeCell ref="A6837:C6837"/>
    <mergeCell ref="A6838:C6838"/>
    <mergeCell ref="A6839:C6839"/>
    <mergeCell ref="A6840:C6840"/>
    <mergeCell ref="A6841:G6841"/>
    <mergeCell ref="A6842:H6842"/>
    <mergeCell ref="A6843:B6843"/>
    <mergeCell ref="F6843:G6843"/>
    <mergeCell ref="A6844:B6844"/>
    <mergeCell ref="F6844:G6844"/>
    <mergeCell ref="A6845:B6845"/>
    <mergeCell ref="F6845:G6845"/>
    <mergeCell ref="A6846:B6846"/>
    <mergeCell ref="F6846:G6846"/>
    <mergeCell ref="A6847:B6847"/>
    <mergeCell ref="F6847:G6847"/>
    <mergeCell ref="A6848:B6848"/>
    <mergeCell ref="F6848:G6848"/>
    <mergeCell ref="A6849:B6849"/>
    <mergeCell ref="F6849:G6849"/>
    <mergeCell ref="A6850:B6850"/>
    <mergeCell ref="F6850:G6850"/>
    <mergeCell ref="A6851:B6851"/>
    <mergeCell ref="F6851:G6851"/>
    <mergeCell ref="A6852:B6852"/>
    <mergeCell ref="F6852:G6852"/>
    <mergeCell ref="A6853:B6853"/>
    <mergeCell ref="F6853:G6853"/>
    <mergeCell ref="A6854:B6854"/>
    <mergeCell ref="F6854:G6854"/>
    <mergeCell ref="A6855:B6855"/>
    <mergeCell ref="F6855:G6855"/>
    <mergeCell ref="A6856:B6856"/>
    <mergeCell ref="F6856:G6856"/>
    <mergeCell ref="A6857:B6857"/>
    <mergeCell ref="F6857:G6857"/>
    <mergeCell ref="A6858:G6858"/>
    <mergeCell ref="A6859:H6859"/>
    <mergeCell ref="A6860:B6860"/>
    <mergeCell ref="F6860:G6860"/>
    <mergeCell ref="A6861:B6861"/>
    <mergeCell ref="F6861:G6861"/>
    <mergeCell ref="A6862:G6862"/>
    <mergeCell ref="A6863:H6863"/>
    <mergeCell ref="A6864:B6864"/>
    <mergeCell ref="F6864:G6864"/>
    <mergeCell ref="A6865:B6865"/>
    <mergeCell ref="F6865:G6865"/>
    <mergeCell ref="A6866:B6866"/>
    <mergeCell ref="A5460:G5460"/>
    <mergeCell ref="A5461:H5461"/>
    <mergeCell ref="A5462:B5462"/>
    <mergeCell ref="F5462:G5462"/>
    <mergeCell ref="A5477:H5477"/>
    <mergeCell ref="A5479:A5482"/>
    <mergeCell ref="B5479:G5482"/>
    <mergeCell ref="H5479:H5481"/>
    <mergeCell ref="B5483:F5483"/>
    <mergeCell ref="B5484:E5484"/>
    <mergeCell ref="A5487:C5487"/>
    <mergeCell ref="A5488:C5488"/>
    <mergeCell ref="A5489:C5489"/>
    <mergeCell ref="A5490:C5490"/>
    <mergeCell ref="A5491:G5491"/>
    <mergeCell ref="A5492:H5492"/>
    <mergeCell ref="A5493:B5493"/>
    <mergeCell ref="F5493:G5493"/>
    <mergeCell ref="A5494:B5494"/>
    <mergeCell ref="F5494:G5494"/>
    <mergeCell ref="A5495:B5495"/>
    <mergeCell ref="F5495:G5495"/>
    <mergeCell ref="A5496:B5496"/>
    <mergeCell ref="F5496:G5496"/>
    <mergeCell ref="A5497:B5497"/>
    <mergeCell ref="F5497:G5497"/>
    <mergeCell ref="A5498:B5498"/>
    <mergeCell ref="F5498:G5498"/>
    <mergeCell ref="A5499:B5499"/>
    <mergeCell ref="F5499:G5499"/>
    <mergeCell ref="A5500:B5500"/>
    <mergeCell ref="F5500:G5500"/>
    <mergeCell ref="A5501:B5501"/>
    <mergeCell ref="F5501:G5501"/>
    <mergeCell ref="A8385:B8385"/>
    <mergeCell ref="F8385:G8385"/>
    <mergeCell ref="A8386:B8386"/>
    <mergeCell ref="F8386:G8386"/>
    <mergeCell ref="A8387:G8387"/>
    <mergeCell ref="A8389:D8389"/>
    <mergeCell ref="F8394:G8394"/>
    <mergeCell ref="A8374:B8374"/>
    <mergeCell ref="F8374:G8374"/>
    <mergeCell ref="A8375:B8375"/>
    <mergeCell ref="F8375:G8375"/>
    <mergeCell ref="A8376:B8376"/>
    <mergeCell ref="F8376:G8376"/>
    <mergeCell ref="A8377:G8377"/>
    <mergeCell ref="A8378:H8378"/>
    <mergeCell ref="A8379:B8379"/>
    <mergeCell ref="F8379:G8379"/>
    <mergeCell ref="A8380:B8380"/>
    <mergeCell ref="F8380:G8380"/>
    <mergeCell ref="A8381:G8381"/>
    <mergeCell ref="A8382:H8382"/>
    <mergeCell ref="A8383:B8383"/>
    <mergeCell ref="F8383:G8383"/>
    <mergeCell ref="A8384:B8384"/>
    <mergeCell ref="F8384:G8384"/>
    <mergeCell ref="F5391:G5391"/>
    <mergeCell ref="A5392:B5392"/>
    <mergeCell ref="F5392:G5392"/>
    <mergeCell ref="A5393:B5393"/>
    <mergeCell ref="F5393:G5393"/>
    <mergeCell ref="A5394:B5394"/>
    <mergeCell ref="F5394:G5394"/>
    <mergeCell ref="A5395:B5395"/>
    <mergeCell ref="F5395:G5395"/>
    <mergeCell ref="A5396:B5396"/>
    <mergeCell ref="F5396:G5396"/>
    <mergeCell ref="A5397:B5397"/>
    <mergeCell ref="F5397:G5397"/>
    <mergeCell ref="A5398:B5398"/>
    <mergeCell ref="F5398:G5398"/>
    <mergeCell ref="A5399:B5399"/>
    <mergeCell ref="F5399:G5399"/>
    <mergeCell ref="A5400:B5400"/>
    <mergeCell ref="F5400:G5400"/>
    <mergeCell ref="A5401:B5401"/>
    <mergeCell ref="F5401:G5401"/>
    <mergeCell ref="A5402:B5402"/>
    <mergeCell ref="F5402:G5402"/>
    <mergeCell ref="A5403:B5403"/>
    <mergeCell ref="F5403:G5403"/>
    <mergeCell ref="A5404:B5404"/>
    <mergeCell ref="F5404:G5404"/>
    <mergeCell ref="A5405:G5405"/>
    <mergeCell ref="A5406:H5406"/>
    <mergeCell ref="A5407:B5407"/>
    <mergeCell ref="F5407:G5407"/>
    <mergeCell ref="A5408:B5408"/>
    <mergeCell ref="F5408:G5408"/>
    <mergeCell ref="A5409:G5409"/>
    <mergeCell ref="A5410:H5410"/>
    <mergeCell ref="A5411:B5411"/>
    <mergeCell ref="F5411:G5411"/>
    <mergeCell ref="A5412:B5412"/>
    <mergeCell ref="F5412:G5412"/>
    <mergeCell ref="A8355:C8355"/>
    <mergeCell ref="A8356:C8356"/>
    <mergeCell ref="A8357:G8357"/>
    <mergeCell ref="A8358:H8358"/>
    <mergeCell ref="A8359:B8359"/>
    <mergeCell ref="F8359:G8359"/>
    <mergeCell ref="A8360:B8360"/>
    <mergeCell ref="F8360:G8360"/>
    <mergeCell ref="A8361:B8361"/>
    <mergeCell ref="F8361:G8361"/>
    <mergeCell ref="A8362:B8362"/>
    <mergeCell ref="F8362:G8362"/>
    <mergeCell ref="A8363:B8363"/>
    <mergeCell ref="F8363:G8363"/>
    <mergeCell ref="A8364:B8364"/>
    <mergeCell ref="F8364:G8364"/>
    <mergeCell ref="A8365:B8365"/>
    <mergeCell ref="F8365:G8365"/>
    <mergeCell ref="A8366:B8366"/>
    <mergeCell ref="F8366:G8366"/>
    <mergeCell ref="A8367:B8367"/>
    <mergeCell ref="F8367:G8367"/>
    <mergeCell ref="A8368:B8368"/>
    <mergeCell ref="F8368:G8368"/>
    <mergeCell ref="A8369:B8369"/>
    <mergeCell ref="F8369:G8369"/>
    <mergeCell ref="A8370:B8370"/>
    <mergeCell ref="F8370:G8370"/>
    <mergeCell ref="A8371:B8371"/>
    <mergeCell ref="F8371:G8371"/>
    <mergeCell ref="A8372:B8372"/>
    <mergeCell ref="F8372:G8372"/>
    <mergeCell ref="A8373:B8373"/>
    <mergeCell ref="F8373:G8373"/>
    <mergeCell ref="B8349:E8349"/>
    <mergeCell ref="A8352:C8352"/>
    <mergeCell ref="A8353:C8353"/>
    <mergeCell ref="A6705:B6705"/>
    <mergeCell ref="F6705:G6705"/>
    <mergeCell ref="A6706:G6706"/>
    <mergeCell ref="A6707:H6707"/>
    <mergeCell ref="A6708:B6708"/>
    <mergeCell ref="F6708:G6708"/>
    <mergeCell ref="A6709:B6709"/>
    <mergeCell ref="F6709:G6709"/>
    <mergeCell ref="A6710:B6710"/>
    <mergeCell ref="F6710:G6710"/>
    <mergeCell ref="A6711:B6711"/>
    <mergeCell ref="F6711:G6711"/>
    <mergeCell ref="A6712:G6712"/>
    <mergeCell ref="A6714:D6714"/>
    <mergeCell ref="F6719:G6719"/>
    <mergeCell ref="A7416:C7416"/>
    <mergeCell ref="A7417:G7417"/>
    <mergeCell ref="A7418:H7418"/>
    <mergeCell ref="A7419:B7419"/>
    <mergeCell ref="F7419:G7419"/>
    <mergeCell ref="A7420:B7420"/>
    <mergeCell ref="F7420:G7420"/>
    <mergeCell ref="A7421:B7421"/>
    <mergeCell ref="F7421:G7421"/>
    <mergeCell ref="A7422:B7422"/>
    <mergeCell ref="F7422:G7422"/>
    <mergeCell ref="A7423:B7423"/>
    <mergeCell ref="F7423:G7423"/>
    <mergeCell ref="A7424:B7424"/>
    <mergeCell ref="A8354:C8354"/>
    <mergeCell ref="F7424:G7424"/>
    <mergeCell ref="A7425:B7425"/>
    <mergeCell ref="F7425:G7425"/>
    <mergeCell ref="A7426:B7426"/>
    <mergeCell ref="F7426:G7426"/>
    <mergeCell ref="A7427:B7427"/>
    <mergeCell ref="F7427:G7427"/>
    <mergeCell ref="A7428:B7428"/>
    <mergeCell ref="F7428:G7428"/>
    <mergeCell ref="A7429:B7429"/>
    <mergeCell ref="F7429:G7429"/>
    <mergeCell ref="A7430:B7430"/>
    <mergeCell ref="F7430:G7430"/>
    <mergeCell ref="A7431:B7431"/>
    <mergeCell ref="F7431:G7431"/>
    <mergeCell ref="A7432:B7432"/>
    <mergeCell ref="F7432:G7432"/>
    <mergeCell ref="A7433:B7433"/>
    <mergeCell ref="F7433:G7433"/>
    <mergeCell ref="A7434:G7434"/>
    <mergeCell ref="A7435:H7435"/>
    <mergeCell ref="A7436:B7436"/>
    <mergeCell ref="F7436:G7436"/>
    <mergeCell ref="A7437:B7437"/>
    <mergeCell ref="F7437:G7437"/>
    <mergeCell ref="A7438:G7438"/>
    <mergeCell ref="A7439:H7439"/>
    <mergeCell ref="A7440:B7440"/>
    <mergeCell ref="F7440:G7440"/>
    <mergeCell ref="A7441:B7441"/>
    <mergeCell ref="F7441:G7441"/>
    <mergeCell ref="A3467:B3467"/>
    <mergeCell ref="F3467:G3467"/>
    <mergeCell ref="A3468:B3468"/>
    <mergeCell ref="F3468:G3468"/>
    <mergeCell ref="A3469:B3469"/>
    <mergeCell ref="F3469:G3469"/>
    <mergeCell ref="A3470:B3470"/>
    <mergeCell ref="F3470:G3470"/>
    <mergeCell ref="A3471:G3471"/>
    <mergeCell ref="A3473:D3473"/>
    <mergeCell ref="F3478:G3478"/>
    <mergeCell ref="A8342:H8342"/>
    <mergeCell ref="A8344:A8347"/>
    <mergeCell ref="B8344:G8347"/>
    <mergeCell ref="H8344:H8346"/>
    <mergeCell ref="B8348:F8348"/>
    <mergeCell ref="A5374:H5374"/>
    <mergeCell ref="A5376:A5379"/>
    <mergeCell ref="B5376:G5379"/>
    <mergeCell ref="H5376:H5378"/>
    <mergeCell ref="B5380:F5380"/>
    <mergeCell ref="B5381:E5381"/>
    <mergeCell ref="A5384:C5384"/>
    <mergeCell ref="A5385:C5385"/>
    <mergeCell ref="A5386:C5386"/>
    <mergeCell ref="A5387:C5387"/>
    <mergeCell ref="A5388:G5388"/>
    <mergeCell ref="A5389:H5389"/>
    <mergeCell ref="A5390:B5390"/>
    <mergeCell ref="F5390:G5390"/>
    <mergeCell ref="A5391:B5391"/>
    <mergeCell ref="A5413:B5413"/>
    <mergeCell ref="F5413:G5413"/>
    <mergeCell ref="A5414:B5414"/>
    <mergeCell ref="F5414:G5414"/>
    <mergeCell ref="A5415:G5415"/>
    <mergeCell ref="A5417:D5417"/>
    <mergeCell ref="F5422:G5422"/>
    <mergeCell ref="A5425:H5425"/>
    <mergeCell ref="A5427:A5430"/>
    <mergeCell ref="B5427:G5430"/>
    <mergeCell ref="H5427:H5429"/>
    <mergeCell ref="B5431:F5431"/>
    <mergeCell ref="B5432:E5432"/>
    <mergeCell ref="A5435:C5435"/>
    <mergeCell ref="A5436:C5436"/>
    <mergeCell ref="A5437:C5437"/>
    <mergeCell ref="A5438:C5438"/>
    <mergeCell ref="A5468:D5468"/>
    <mergeCell ref="F5473:G5473"/>
    <mergeCell ref="A5452:B5452"/>
    <mergeCell ref="F5452:G5452"/>
    <mergeCell ref="A5453:B5453"/>
    <mergeCell ref="F5453:G5453"/>
    <mergeCell ref="A5454:B5454"/>
    <mergeCell ref="F5454:G5454"/>
    <mergeCell ref="A5455:B5455"/>
    <mergeCell ref="F5455:G5455"/>
    <mergeCell ref="A5456:G5456"/>
    <mergeCell ref="A5457:H5457"/>
    <mergeCell ref="A5458:B5458"/>
    <mergeCell ref="F5458:G5458"/>
    <mergeCell ref="A5459:B5459"/>
    <mergeCell ref="F5459:G5459"/>
    <mergeCell ref="F3448:G3448"/>
    <mergeCell ref="A3449:B3449"/>
    <mergeCell ref="F3449:G3449"/>
    <mergeCell ref="A3450:B3450"/>
    <mergeCell ref="F3450:G3450"/>
    <mergeCell ref="A3451:B3451"/>
    <mergeCell ref="F3451:G3451"/>
    <mergeCell ref="A3452:B3452"/>
    <mergeCell ref="F3452:G3452"/>
    <mergeCell ref="A3453:B3453"/>
    <mergeCell ref="F3453:G3453"/>
    <mergeCell ref="A3454:B3454"/>
    <mergeCell ref="F3454:G3454"/>
    <mergeCell ref="A3455:B3455"/>
    <mergeCell ref="F3455:G3455"/>
    <mergeCell ref="A3456:B3456"/>
    <mergeCell ref="F3456:G3456"/>
    <mergeCell ref="A3457:B3457"/>
    <mergeCell ref="F3457:G3457"/>
    <mergeCell ref="A3458:B3458"/>
    <mergeCell ref="F3458:G3458"/>
    <mergeCell ref="A3459:B3459"/>
    <mergeCell ref="F3459:G3459"/>
    <mergeCell ref="A3460:B3460"/>
    <mergeCell ref="F3460:G3460"/>
    <mergeCell ref="A3461:G3461"/>
    <mergeCell ref="A3462:H3462"/>
    <mergeCell ref="A3463:B3463"/>
    <mergeCell ref="F3463:G3463"/>
    <mergeCell ref="A3464:B3464"/>
    <mergeCell ref="F3464:G3464"/>
    <mergeCell ref="A3465:G3465"/>
    <mergeCell ref="A3466:H3466"/>
    <mergeCell ref="A6704:B6704"/>
    <mergeCell ref="F6704:G6704"/>
    <mergeCell ref="F3345:G3345"/>
    <mergeCell ref="A3346:B3346"/>
    <mergeCell ref="F3346:G3346"/>
    <mergeCell ref="A3347:B3347"/>
    <mergeCell ref="F3347:G3347"/>
    <mergeCell ref="A3348:B3348"/>
    <mergeCell ref="F3348:G3348"/>
    <mergeCell ref="A3349:B3349"/>
    <mergeCell ref="F3349:G3349"/>
    <mergeCell ref="A3350:B3350"/>
    <mergeCell ref="F3350:G3350"/>
    <mergeCell ref="A3351:B3351"/>
    <mergeCell ref="F3351:G3351"/>
    <mergeCell ref="A3352:B3352"/>
    <mergeCell ref="F3352:G3352"/>
    <mergeCell ref="A3353:B3353"/>
    <mergeCell ref="F3353:G3353"/>
    <mergeCell ref="A3354:B3354"/>
    <mergeCell ref="F3354:G3354"/>
    <mergeCell ref="A3355:B3355"/>
    <mergeCell ref="F3355:G3355"/>
    <mergeCell ref="A3356:B3356"/>
    <mergeCell ref="F3356:G3356"/>
    <mergeCell ref="A3357:B3357"/>
    <mergeCell ref="F3357:G3357"/>
    <mergeCell ref="A3358:B3358"/>
    <mergeCell ref="F3358:G3358"/>
    <mergeCell ref="A3359:G3359"/>
    <mergeCell ref="A3360:H3360"/>
    <mergeCell ref="A3361:B3361"/>
    <mergeCell ref="F3361:G3361"/>
    <mergeCell ref="A3362:B3362"/>
    <mergeCell ref="F3362:G3362"/>
    <mergeCell ref="A3363:G3363"/>
    <mergeCell ref="A3364:H3364"/>
    <mergeCell ref="A3365:B3365"/>
    <mergeCell ref="F3365:G3365"/>
    <mergeCell ref="A3366:B3366"/>
    <mergeCell ref="F3366:G3366"/>
    <mergeCell ref="A3367:B3367"/>
    <mergeCell ref="F3367:G3367"/>
    <mergeCell ref="A3368:B3368"/>
    <mergeCell ref="F3368:G3368"/>
    <mergeCell ref="A3369:G3369"/>
    <mergeCell ref="A3371:D3371"/>
    <mergeCell ref="F3376:G3376"/>
    <mergeCell ref="A3379:H3379"/>
    <mergeCell ref="A3381:A3384"/>
    <mergeCell ref="B3381:G3384"/>
    <mergeCell ref="H3381:H3383"/>
    <mergeCell ref="B3385:F3385"/>
    <mergeCell ref="B3386:E3386"/>
    <mergeCell ref="A3389:C3389"/>
    <mergeCell ref="A3390:C3390"/>
    <mergeCell ref="A3391:C3391"/>
    <mergeCell ref="A3392:C3392"/>
    <mergeCell ref="A3393:G3393"/>
    <mergeCell ref="A3394:H3394"/>
    <mergeCell ref="A3395:B3395"/>
    <mergeCell ref="F3395:G3395"/>
    <mergeCell ref="A3396:B3396"/>
    <mergeCell ref="F3396:G3396"/>
    <mergeCell ref="A6686:H6686"/>
    <mergeCell ref="A6687:B6687"/>
    <mergeCell ref="F6687:G6687"/>
    <mergeCell ref="A6688:B6688"/>
    <mergeCell ref="F6688:G6688"/>
    <mergeCell ref="A6689:B6689"/>
    <mergeCell ref="F6689:G6689"/>
    <mergeCell ref="A6690:B6690"/>
    <mergeCell ref="F6690:G6690"/>
    <mergeCell ref="A6691:B6691"/>
    <mergeCell ref="F6691:G6691"/>
    <mergeCell ref="A6692:B6692"/>
    <mergeCell ref="F6692:G6692"/>
    <mergeCell ref="A6693:B6693"/>
    <mergeCell ref="F6693:G6693"/>
    <mergeCell ref="A6694:B6694"/>
    <mergeCell ref="F6694:G6694"/>
    <mergeCell ref="A6695:B6695"/>
    <mergeCell ref="F6695:G6695"/>
    <mergeCell ref="A6696:B6696"/>
    <mergeCell ref="F6696:G6696"/>
    <mergeCell ref="A6697:B6697"/>
    <mergeCell ref="F6697:G6697"/>
    <mergeCell ref="A6698:B6698"/>
    <mergeCell ref="F6698:G6698"/>
    <mergeCell ref="A6699:B6699"/>
    <mergeCell ref="F6699:G6699"/>
    <mergeCell ref="A6700:B6700"/>
    <mergeCell ref="F6700:G6700"/>
    <mergeCell ref="A6701:B6701"/>
    <mergeCell ref="F6701:G6701"/>
    <mergeCell ref="A6702:G6702"/>
    <mergeCell ref="A6703:H6703"/>
    <mergeCell ref="A6649:B6649"/>
    <mergeCell ref="F6649:G6649"/>
    <mergeCell ref="A6650:G6650"/>
    <mergeCell ref="A6651:H6651"/>
    <mergeCell ref="A6652:B6652"/>
    <mergeCell ref="F6652:G6652"/>
    <mergeCell ref="A6653:B6653"/>
    <mergeCell ref="F6653:G6653"/>
    <mergeCell ref="A6654:G6654"/>
    <mergeCell ref="A6655:H6655"/>
    <mergeCell ref="A6656:B6656"/>
    <mergeCell ref="F6656:G6656"/>
    <mergeCell ref="A6657:B6657"/>
    <mergeCell ref="F6657:G6657"/>
    <mergeCell ref="A6658:B6658"/>
    <mergeCell ref="F6658:G6658"/>
    <mergeCell ref="A6659:B6659"/>
    <mergeCell ref="F6659:G6659"/>
    <mergeCell ref="A6660:G6660"/>
    <mergeCell ref="A6662:D6662"/>
    <mergeCell ref="F6667:G6667"/>
    <mergeCell ref="A6670:H6670"/>
    <mergeCell ref="A6672:A6675"/>
    <mergeCell ref="B6672:G6675"/>
    <mergeCell ref="H6672:H6674"/>
    <mergeCell ref="B6676:F6676"/>
    <mergeCell ref="B6677:E6677"/>
    <mergeCell ref="A6680:C6680"/>
    <mergeCell ref="A6681:C6681"/>
    <mergeCell ref="A6682:C6682"/>
    <mergeCell ref="A6683:C6683"/>
    <mergeCell ref="A6684:C6684"/>
    <mergeCell ref="A6685:G6685"/>
    <mergeCell ref="A6630:C6630"/>
    <mergeCell ref="A6631:C6631"/>
    <mergeCell ref="A6632:C6632"/>
    <mergeCell ref="A6633:G6633"/>
    <mergeCell ref="A6634:H6634"/>
    <mergeCell ref="A6635:B6635"/>
    <mergeCell ref="F6635:G6635"/>
    <mergeCell ref="A6636:B6636"/>
    <mergeCell ref="F6636:G6636"/>
    <mergeCell ref="A6637:B6637"/>
    <mergeCell ref="F6637:G6637"/>
    <mergeCell ref="A6638:B6638"/>
    <mergeCell ref="F6638:G6638"/>
    <mergeCell ref="A6639:B6639"/>
    <mergeCell ref="F6639:G6639"/>
    <mergeCell ref="A6640:B6640"/>
    <mergeCell ref="F6640:G6640"/>
    <mergeCell ref="A6641:B6641"/>
    <mergeCell ref="F6641:G6641"/>
    <mergeCell ref="A6642:B6642"/>
    <mergeCell ref="F6642:G6642"/>
    <mergeCell ref="A6643:B6643"/>
    <mergeCell ref="F6643:G6643"/>
    <mergeCell ref="A6644:B6644"/>
    <mergeCell ref="F6644:G6644"/>
    <mergeCell ref="A6645:B6645"/>
    <mergeCell ref="F6645:G6645"/>
    <mergeCell ref="A6646:B6646"/>
    <mergeCell ref="F6646:G6646"/>
    <mergeCell ref="A6647:B6647"/>
    <mergeCell ref="F6647:G6647"/>
    <mergeCell ref="A6648:B6648"/>
    <mergeCell ref="F6648:G6648"/>
    <mergeCell ref="A5359:H5359"/>
    <mergeCell ref="A5360:B5360"/>
    <mergeCell ref="F5360:G5360"/>
    <mergeCell ref="A5361:B5361"/>
    <mergeCell ref="F5361:G5361"/>
    <mergeCell ref="A5362:B5362"/>
    <mergeCell ref="F5362:G5362"/>
    <mergeCell ref="A5363:B5363"/>
    <mergeCell ref="F5363:G5363"/>
    <mergeCell ref="A5364:G5364"/>
    <mergeCell ref="A5366:D5366"/>
    <mergeCell ref="F5371:G5371"/>
    <mergeCell ref="A6618:H6618"/>
    <mergeCell ref="A6620:A6623"/>
    <mergeCell ref="B6620:G6623"/>
    <mergeCell ref="H6620:H6622"/>
    <mergeCell ref="A6603:H6603"/>
    <mergeCell ref="A6604:B6604"/>
    <mergeCell ref="F6604:G6604"/>
    <mergeCell ref="A6605:B6605"/>
    <mergeCell ref="F6605:G6605"/>
    <mergeCell ref="A6606:B6606"/>
    <mergeCell ref="F6606:G6606"/>
    <mergeCell ref="A6607:B6607"/>
    <mergeCell ref="F6607:G6607"/>
    <mergeCell ref="A6608:G6608"/>
    <mergeCell ref="A6610:D6610"/>
    <mergeCell ref="F6615:G6615"/>
    <mergeCell ref="A6602:G6602"/>
    <mergeCell ref="B6624:F6624"/>
    <mergeCell ref="B6625:E6625"/>
    <mergeCell ref="A6628:C6628"/>
    <mergeCell ref="A6629:C6629"/>
    <mergeCell ref="A5439:G5439"/>
    <mergeCell ref="A5440:H5440"/>
    <mergeCell ref="A5441:B5441"/>
    <mergeCell ref="F5441:G5441"/>
    <mergeCell ref="A5442:B5442"/>
    <mergeCell ref="F5442:G5442"/>
    <mergeCell ref="A5443:B5443"/>
    <mergeCell ref="F5443:G5443"/>
    <mergeCell ref="A5444:B5444"/>
    <mergeCell ref="F5444:G5444"/>
    <mergeCell ref="A5445:B5445"/>
    <mergeCell ref="F5445:G5445"/>
    <mergeCell ref="A5446:B5446"/>
    <mergeCell ref="F5446:G5446"/>
    <mergeCell ref="A5447:B5447"/>
    <mergeCell ref="F5447:G5447"/>
    <mergeCell ref="A5448:B5448"/>
    <mergeCell ref="F5448:G5448"/>
    <mergeCell ref="A5449:B5449"/>
    <mergeCell ref="F5449:G5449"/>
    <mergeCell ref="A5450:B5450"/>
    <mergeCell ref="F5450:G5450"/>
    <mergeCell ref="A5451:B5451"/>
    <mergeCell ref="F5451:G5451"/>
    <mergeCell ref="A5463:B5463"/>
    <mergeCell ref="F5463:G5463"/>
    <mergeCell ref="A5464:B5464"/>
    <mergeCell ref="F5464:G5464"/>
    <mergeCell ref="A5465:B5465"/>
    <mergeCell ref="F5465:G5465"/>
    <mergeCell ref="A5466:G5466"/>
    <mergeCell ref="A5341:B5341"/>
    <mergeCell ref="F5341:G5341"/>
    <mergeCell ref="A5342:B5342"/>
    <mergeCell ref="F5342:G5342"/>
    <mergeCell ref="A5343:B5343"/>
    <mergeCell ref="F5343:G5343"/>
    <mergeCell ref="A5344:B5344"/>
    <mergeCell ref="F5344:G5344"/>
    <mergeCell ref="A5345:B5345"/>
    <mergeCell ref="F5345:G5345"/>
    <mergeCell ref="A5346:B5346"/>
    <mergeCell ref="F5346:G5346"/>
    <mergeCell ref="A5347:B5347"/>
    <mergeCell ref="F5347:G5347"/>
    <mergeCell ref="A5348:B5348"/>
    <mergeCell ref="F5348:G5348"/>
    <mergeCell ref="A5349:B5349"/>
    <mergeCell ref="F5349:G5349"/>
    <mergeCell ref="A5350:B5350"/>
    <mergeCell ref="F5350:G5350"/>
    <mergeCell ref="A5351:B5351"/>
    <mergeCell ref="F5351:G5351"/>
    <mergeCell ref="A5352:B5352"/>
    <mergeCell ref="F5352:G5352"/>
    <mergeCell ref="A5353:B5353"/>
    <mergeCell ref="F5353:G5353"/>
    <mergeCell ref="A5354:G5354"/>
    <mergeCell ref="A5355:H5355"/>
    <mergeCell ref="A5356:B5356"/>
    <mergeCell ref="F5356:G5356"/>
    <mergeCell ref="A5357:B5357"/>
    <mergeCell ref="F5357:G5357"/>
    <mergeCell ref="A5358:G5358"/>
    <mergeCell ref="A5304:H5304"/>
    <mergeCell ref="A5305:B5305"/>
    <mergeCell ref="F5305:G5305"/>
    <mergeCell ref="A5306:B5306"/>
    <mergeCell ref="F5306:G5306"/>
    <mergeCell ref="A5307:G5307"/>
    <mergeCell ref="A5308:H5308"/>
    <mergeCell ref="A5309:B5309"/>
    <mergeCell ref="F5309:G5309"/>
    <mergeCell ref="A5310:B5310"/>
    <mergeCell ref="F5310:G5310"/>
    <mergeCell ref="A5311:B5311"/>
    <mergeCell ref="F5311:G5311"/>
    <mergeCell ref="A5312:B5312"/>
    <mergeCell ref="F5312:G5312"/>
    <mergeCell ref="A5313:G5313"/>
    <mergeCell ref="A5315:D5315"/>
    <mergeCell ref="F5320:G5320"/>
    <mergeCell ref="A5323:H5323"/>
    <mergeCell ref="A5325:A5328"/>
    <mergeCell ref="B5325:G5328"/>
    <mergeCell ref="H5325:H5327"/>
    <mergeCell ref="B5329:F5329"/>
    <mergeCell ref="B5330:E5330"/>
    <mergeCell ref="A5333:C5333"/>
    <mergeCell ref="A5334:C5334"/>
    <mergeCell ref="A5335:C5335"/>
    <mergeCell ref="A5336:C5336"/>
    <mergeCell ref="A5337:G5337"/>
    <mergeCell ref="A5338:H5338"/>
    <mergeCell ref="A5339:B5339"/>
    <mergeCell ref="F5339:G5339"/>
    <mergeCell ref="A5340:B5340"/>
    <mergeCell ref="F5340:G5340"/>
    <mergeCell ref="A5286:G5286"/>
    <mergeCell ref="A5287:H5287"/>
    <mergeCell ref="A5288:B5288"/>
    <mergeCell ref="F5288:G5288"/>
    <mergeCell ref="A5289:B5289"/>
    <mergeCell ref="F5289:G5289"/>
    <mergeCell ref="A5290:B5290"/>
    <mergeCell ref="F5290:G5290"/>
    <mergeCell ref="A5291:B5291"/>
    <mergeCell ref="F5291:G5291"/>
    <mergeCell ref="A5292:B5292"/>
    <mergeCell ref="F5292:G5292"/>
    <mergeCell ref="A5293:B5293"/>
    <mergeCell ref="F5293:G5293"/>
    <mergeCell ref="A5294:B5294"/>
    <mergeCell ref="F5294:G5294"/>
    <mergeCell ref="A5295:B5295"/>
    <mergeCell ref="F5295:G5295"/>
    <mergeCell ref="A5296:B5296"/>
    <mergeCell ref="F5296:G5296"/>
    <mergeCell ref="A5297:B5297"/>
    <mergeCell ref="F5297:G5297"/>
    <mergeCell ref="A5298:B5298"/>
    <mergeCell ref="F5298:G5298"/>
    <mergeCell ref="A5299:B5299"/>
    <mergeCell ref="F5299:G5299"/>
    <mergeCell ref="A5300:B5300"/>
    <mergeCell ref="F5300:G5300"/>
    <mergeCell ref="A5301:B5301"/>
    <mergeCell ref="F5301:G5301"/>
    <mergeCell ref="A5302:B5302"/>
    <mergeCell ref="F5302:G5302"/>
    <mergeCell ref="A5303:G5303"/>
    <mergeCell ref="A3267:G3267"/>
    <mergeCell ref="A3269:D3269"/>
    <mergeCell ref="F3274:G3274"/>
    <mergeCell ref="A3256:B3256"/>
    <mergeCell ref="F3256:G3256"/>
    <mergeCell ref="A3257:G3257"/>
    <mergeCell ref="A3258:H3258"/>
    <mergeCell ref="A3259:B3259"/>
    <mergeCell ref="F3259:G3259"/>
    <mergeCell ref="A3260:B3260"/>
    <mergeCell ref="F3260:G3260"/>
    <mergeCell ref="A3261:G3261"/>
    <mergeCell ref="A3262:H3262"/>
    <mergeCell ref="A3263:B3263"/>
    <mergeCell ref="F3263:G3263"/>
    <mergeCell ref="A3264:B3264"/>
    <mergeCell ref="F3264:G3264"/>
    <mergeCell ref="A3265:B3265"/>
    <mergeCell ref="F3265:G3265"/>
    <mergeCell ref="A3266:B3266"/>
    <mergeCell ref="F3266:G3266"/>
    <mergeCell ref="A5272:H5272"/>
    <mergeCell ref="A5274:A5277"/>
    <mergeCell ref="B5274:G5277"/>
    <mergeCell ref="H5274:H5276"/>
    <mergeCell ref="B5278:F5278"/>
    <mergeCell ref="B5279:E5279"/>
    <mergeCell ref="A5282:C5282"/>
    <mergeCell ref="A5283:C5283"/>
    <mergeCell ref="A5284:C5284"/>
    <mergeCell ref="A5285:C5285"/>
    <mergeCell ref="A3397:B3397"/>
    <mergeCell ref="F3397:G3397"/>
    <mergeCell ref="A3398:B3398"/>
    <mergeCell ref="F3398:G3398"/>
    <mergeCell ref="A3399:B3399"/>
    <mergeCell ref="F3399:G3399"/>
    <mergeCell ref="A3400:B3400"/>
    <mergeCell ref="F3400:G3400"/>
    <mergeCell ref="A3401:B3401"/>
    <mergeCell ref="F3401:G3401"/>
    <mergeCell ref="A3402:B3402"/>
    <mergeCell ref="F3402:G3402"/>
    <mergeCell ref="A3403:B3403"/>
    <mergeCell ref="F3403:G3403"/>
    <mergeCell ref="A3404:B3404"/>
    <mergeCell ref="F3404:G3404"/>
    <mergeCell ref="A3405:B3405"/>
    <mergeCell ref="F3405:G3405"/>
    <mergeCell ref="A3406:B3406"/>
    <mergeCell ref="F3406:G3406"/>
    <mergeCell ref="A3407:B3407"/>
    <mergeCell ref="F3407:G3407"/>
    <mergeCell ref="A3408:B3408"/>
    <mergeCell ref="F3408:G3408"/>
    <mergeCell ref="A3409:B3409"/>
    <mergeCell ref="F3409:G3409"/>
    <mergeCell ref="A3410:G3410"/>
    <mergeCell ref="A3411:H3411"/>
    <mergeCell ref="A3412:B3412"/>
    <mergeCell ref="F3412:G3412"/>
    <mergeCell ref="A3413:B3413"/>
    <mergeCell ref="A3430:H3430"/>
    <mergeCell ref="A3432:A3435"/>
    <mergeCell ref="A3236:C3236"/>
    <mergeCell ref="A3237:C3237"/>
    <mergeCell ref="A3238:C3238"/>
    <mergeCell ref="A3239:C3239"/>
    <mergeCell ref="A3240:G3240"/>
    <mergeCell ref="A3241:H3241"/>
    <mergeCell ref="A3242:B3242"/>
    <mergeCell ref="F3242:G3242"/>
    <mergeCell ref="A3243:B3243"/>
    <mergeCell ref="F3243:G3243"/>
    <mergeCell ref="A3244:B3244"/>
    <mergeCell ref="F3244:G3244"/>
    <mergeCell ref="A3245:B3245"/>
    <mergeCell ref="F3245:G3245"/>
    <mergeCell ref="A3246:B3246"/>
    <mergeCell ref="F3246:G3246"/>
    <mergeCell ref="A3247:B3247"/>
    <mergeCell ref="F3247:G3247"/>
    <mergeCell ref="A3248:B3248"/>
    <mergeCell ref="F3248:G3248"/>
    <mergeCell ref="A3249:B3249"/>
    <mergeCell ref="F3249:G3249"/>
    <mergeCell ref="A3250:B3250"/>
    <mergeCell ref="F3250:G3250"/>
    <mergeCell ref="A3251:B3251"/>
    <mergeCell ref="F3251:G3251"/>
    <mergeCell ref="A3252:B3252"/>
    <mergeCell ref="F3252:G3252"/>
    <mergeCell ref="A3253:B3253"/>
    <mergeCell ref="F3253:G3253"/>
    <mergeCell ref="A3254:B3254"/>
    <mergeCell ref="F3254:G3254"/>
    <mergeCell ref="A3255:B3255"/>
    <mergeCell ref="F3255:G3255"/>
    <mergeCell ref="A3202:B3202"/>
    <mergeCell ref="F3202:G3202"/>
    <mergeCell ref="A3203:B3203"/>
    <mergeCell ref="F3203:G3203"/>
    <mergeCell ref="A3204:B3204"/>
    <mergeCell ref="F3204:G3204"/>
    <mergeCell ref="A3205:B3205"/>
    <mergeCell ref="F3205:G3205"/>
    <mergeCell ref="A3206:G3206"/>
    <mergeCell ref="A3207:H3207"/>
    <mergeCell ref="A3208:B3208"/>
    <mergeCell ref="F3208:G3208"/>
    <mergeCell ref="A3209:B3209"/>
    <mergeCell ref="F3209:G3209"/>
    <mergeCell ref="A3210:G3210"/>
    <mergeCell ref="A3211:H3211"/>
    <mergeCell ref="A3212:B3212"/>
    <mergeCell ref="F3212:G3212"/>
    <mergeCell ref="A3213:B3213"/>
    <mergeCell ref="F3213:G3213"/>
    <mergeCell ref="A3214:B3214"/>
    <mergeCell ref="F3214:G3214"/>
    <mergeCell ref="A3215:B3215"/>
    <mergeCell ref="F3215:G3215"/>
    <mergeCell ref="A3216:G3216"/>
    <mergeCell ref="A3218:D3218"/>
    <mergeCell ref="F3223:G3223"/>
    <mergeCell ref="A3226:H3226"/>
    <mergeCell ref="A3228:A3231"/>
    <mergeCell ref="B3228:G3231"/>
    <mergeCell ref="H3228:H3230"/>
    <mergeCell ref="B3232:F3232"/>
    <mergeCell ref="B3233:E3233"/>
    <mergeCell ref="A3175:H3175"/>
    <mergeCell ref="A3177:A3180"/>
    <mergeCell ref="B3177:G3180"/>
    <mergeCell ref="H3177:H3179"/>
    <mergeCell ref="B3181:F3181"/>
    <mergeCell ref="B3182:E3182"/>
    <mergeCell ref="A3185:C3185"/>
    <mergeCell ref="A3186:C3186"/>
    <mergeCell ref="A3187:C3187"/>
    <mergeCell ref="A3188:C3188"/>
    <mergeCell ref="A3189:G3189"/>
    <mergeCell ref="A3190:H3190"/>
    <mergeCell ref="A3191:B3191"/>
    <mergeCell ref="F3191:G3191"/>
    <mergeCell ref="A3192:B3192"/>
    <mergeCell ref="F3192:G3192"/>
    <mergeCell ref="A3193:B3193"/>
    <mergeCell ref="F3193:G3193"/>
    <mergeCell ref="A3194:B3194"/>
    <mergeCell ref="F3194:G3194"/>
    <mergeCell ref="A3195:B3195"/>
    <mergeCell ref="F3195:G3195"/>
    <mergeCell ref="A3196:B3196"/>
    <mergeCell ref="F3196:G3196"/>
    <mergeCell ref="A3197:B3197"/>
    <mergeCell ref="F3197:G3197"/>
    <mergeCell ref="A3198:B3198"/>
    <mergeCell ref="F3198:G3198"/>
    <mergeCell ref="A3199:B3199"/>
    <mergeCell ref="F3199:G3199"/>
    <mergeCell ref="A3200:B3200"/>
    <mergeCell ref="F3200:G3200"/>
    <mergeCell ref="A3201:B3201"/>
    <mergeCell ref="F3201:G3201"/>
    <mergeCell ref="A3148:B3148"/>
    <mergeCell ref="F3148:G3148"/>
    <mergeCell ref="A3149:B3149"/>
    <mergeCell ref="F3149:G3149"/>
    <mergeCell ref="A3150:B3150"/>
    <mergeCell ref="F3150:G3150"/>
    <mergeCell ref="A3151:B3151"/>
    <mergeCell ref="F3151:G3151"/>
    <mergeCell ref="A3152:B3152"/>
    <mergeCell ref="F3152:G3152"/>
    <mergeCell ref="A3153:B3153"/>
    <mergeCell ref="F3153:G3153"/>
    <mergeCell ref="A3154:B3154"/>
    <mergeCell ref="F3154:G3154"/>
    <mergeCell ref="A3155:G3155"/>
    <mergeCell ref="A3156:H3156"/>
    <mergeCell ref="A3157:B3157"/>
    <mergeCell ref="F3157:G3157"/>
    <mergeCell ref="A3158:B3158"/>
    <mergeCell ref="F3158:G3158"/>
    <mergeCell ref="A3159:G3159"/>
    <mergeCell ref="A3160:H3160"/>
    <mergeCell ref="A3161:B3161"/>
    <mergeCell ref="F3161:G3161"/>
    <mergeCell ref="A3162:B3162"/>
    <mergeCell ref="F3162:G3162"/>
    <mergeCell ref="A3163:B3163"/>
    <mergeCell ref="F3163:G3163"/>
    <mergeCell ref="A3164:B3164"/>
    <mergeCell ref="F3164:G3164"/>
    <mergeCell ref="A3165:G3165"/>
    <mergeCell ref="A3167:D3167"/>
    <mergeCell ref="F3172:G3172"/>
    <mergeCell ref="A3113:B3113"/>
    <mergeCell ref="F3113:G3113"/>
    <mergeCell ref="A3114:G3114"/>
    <mergeCell ref="A3116:D3116"/>
    <mergeCell ref="F3121:G3121"/>
    <mergeCell ref="A3124:H3124"/>
    <mergeCell ref="A3126:A3129"/>
    <mergeCell ref="B3126:G3129"/>
    <mergeCell ref="H3126:H3128"/>
    <mergeCell ref="B3130:F3130"/>
    <mergeCell ref="B3131:E3131"/>
    <mergeCell ref="A3134:C3134"/>
    <mergeCell ref="A3135:C3135"/>
    <mergeCell ref="A3136:C3136"/>
    <mergeCell ref="A3137:C3137"/>
    <mergeCell ref="A3138:G3138"/>
    <mergeCell ref="A3139:H3139"/>
    <mergeCell ref="A3140:B3140"/>
    <mergeCell ref="F3140:G3140"/>
    <mergeCell ref="A3141:B3141"/>
    <mergeCell ref="F3141:G3141"/>
    <mergeCell ref="A3142:B3142"/>
    <mergeCell ref="F3142:G3142"/>
    <mergeCell ref="A3143:B3143"/>
    <mergeCell ref="F3143:G3143"/>
    <mergeCell ref="A3144:B3144"/>
    <mergeCell ref="F3144:G3144"/>
    <mergeCell ref="A3145:B3145"/>
    <mergeCell ref="F3145:G3145"/>
    <mergeCell ref="A3146:B3146"/>
    <mergeCell ref="F3146:G3146"/>
    <mergeCell ref="A3147:B3147"/>
    <mergeCell ref="F3147:G3147"/>
    <mergeCell ref="A3094:B3094"/>
    <mergeCell ref="F3094:G3094"/>
    <mergeCell ref="A3095:B3095"/>
    <mergeCell ref="F3095:G3095"/>
    <mergeCell ref="A3096:B3096"/>
    <mergeCell ref="F3096:G3096"/>
    <mergeCell ref="A3097:B3097"/>
    <mergeCell ref="F3097:G3097"/>
    <mergeCell ref="A3098:B3098"/>
    <mergeCell ref="F3098:G3098"/>
    <mergeCell ref="A3099:B3099"/>
    <mergeCell ref="F3099:G3099"/>
    <mergeCell ref="A3100:B3100"/>
    <mergeCell ref="F3100:G3100"/>
    <mergeCell ref="A3101:B3101"/>
    <mergeCell ref="F3101:G3101"/>
    <mergeCell ref="A3102:B3102"/>
    <mergeCell ref="F3102:G3102"/>
    <mergeCell ref="A3103:B3103"/>
    <mergeCell ref="F3103:G3103"/>
    <mergeCell ref="A3104:G3104"/>
    <mergeCell ref="A3105:H3105"/>
    <mergeCell ref="A3106:B3106"/>
    <mergeCell ref="F3106:G3106"/>
    <mergeCell ref="A3107:B3107"/>
    <mergeCell ref="F3107:G3107"/>
    <mergeCell ref="A3108:G3108"/>
    <mergeCell ref="A3109:H3109"/>
    <mergeCell ref="A3110:B3110"/>
    <mergeCell ref="F3110:G3110"/>
    <mergeCell ref="A3111:B3111"/>
    <mergeCell ref="F3111:G3111"/>
    <mergeCell ref="A3112:B3112"/>
    <mergeCell ref="F3112:G3112"/>
    <mergeCell ref="A3058:H3058"/>
    <mergeCell ref="A3059:B3059"/>
    <mergeCell ref="F3059:G3059"/>
    <mergeCell ref="A3060:B3060"/>
    <mergeCell ref="F3060:G3060"/>
    <mergeCell ref="A3061:B3061"/>
    <mergeCell ref="F3061:G3061"/>
    <mergeCell ref="A3062:B3062"/>
    <mergeCell ref="F3062:G3062"/>
    <mergeCell ref="A3063:G3063"/>
    <mergeCell ref="A3065:D3065"/>
    <mergeCell ref="F3070:G3070"/>
    <mergeCell ref="A3073:H3073"/>
    <mergeCell ref="A3075:A3078"/>
    <mergeCell ref="B3075:G3078"/>
    <mergeCell ref="H3075:H3077"/>
    <mergeCell ref="B3079:F3079"/>
    <mergeCell ref="B3080:E3080"/>
    <mergeCell ref="A3083:C3083"/>
    <mergeCell ref="A3084:C3084"/>
    <mergeCell ref="A3085:C3085"/>
    <mergeCell ref="A3086:C3086"/>
    <mergeCell ref="A3087:G3087"/>
    <mergeCell ref="A3088:H3088"/>
    <mergeCell ref="A3089:B3089"/>
    <mergeCell ref="F3089:G3089"/>
    <mergeCell ref="A3090:B3090"/>
    <mergeCell ref="F3090:G3090"/>
    <mergeCell ref="A3091:B3091"/>
    <mergeCell ref="F3091:G3091"/>
    <mergeCell ref="A3092:B3092"/>
    <mergeCell ref="F3092:G3092"/>
    <mergeCell ref="A3093:B3093"/>
    <mergeCell ref="F3093:G3093"/>
    <mergeCell ref="A3040:B3040"/>
    <mergeCell ref="F3040:G3040"/>
    <mergeCell ref="A3041:B3041"/>
    <mergeCell ref="F3041:G3041"/>
    <mergeCell ref="A3042:B3042"/>
    <mergeCell ref="F3042:G3042"/>
    <mergeCell ref="A3043:B3043"/>
    <mergeCell ref="F3043:G3043"/>
    <mergeCell ref="A3044:B3044"/>
    <mergeCell ref="F3044:G3044"/>
    <mergeCell ref="A3045:B3045"/>
    <mergeCell ref="F3045:G3045"/>
    <mergeCell ref="A3046:B3046"/>
    <mergeCell ref="F3046:G3046"/>
    <mergeCell ref="A3047:B3047"/>
    <mergeCell ref="F3047:G3047"/>
    <mergeCell ref="A3048:B3048"/>
    <mergeCell ref="F3048:G3048"/>
    <mergeCell ref="A3049:B3049"/>
    <mergeCell ref="F3049:G3049"/>
    <mergeCell ref="A3050:B3050"/>
    <mergeCell ref="F3050:G3050"/>
    <mergeCell ref="A3051:B3051"/>
    <mergeCell ref="F3051:G3051"/>
    <mergeCell ref="A3052:B3052"/>
    <mergeCell ref="F3052:G3052"/>
    <mergeCell ref="A3053:G3053"/>
    <mergeCell ref="A3054:H3054"/>
    <mergeCell ref="A3055:B3055"/>
    <mergeCell ref="F3055:G3055"/>
    <mergeCell ref="A3056:B3056"/>
    <mergeCell ref="F3056:G3056"/>
    <mergeCell ref="A3057:G3057"/>
    <mergeCell ref="A3003:H3003"/>
    <mergeCell ref="A3004:B3004"/>
    <mergeCell ref="F3004:G3004"/>
    <mergeCell ref="A3005:B3005"/>
    <mergeCell ref="F3005:G3005"/>
    <mergeCell ref="A3006:G3006"/>
    <mergeCell ref="A3007:H3007"/>
    <mergeCell ref="A3008:B3008"/>
    <mergeCell ref="F3008:G3008"/>
    <mergeCell ref="A3009:B3009"/>
    <mergeCell ref="F3009:G3009"/>
    <mergeCell ref="A3010:B3010"/>
    <mergeCell ref="F3010:G3010"/>
    <mergeCell ref="A3011:B3011"/>
    <mergeCell ref="F3011:G3011"/>
    <mergeCell ref="A3012:G3012"/>
    <mergeCell ref="A3014:D3014"/>
    <mergeCell ref="F3019:G3019"/>
    <mergeCell ref="A3022:H3022"/>
    <mergeCell ref="A3024:A3027"/>
    <mergeCell ref="B3024:G3027"/>
    <mergeCell ref="H3024:H3026"/>
    <mergeCell ref="B3028:F3028"/>
    <mergeCell ref="B3029:E3029"/>
    <mergeCell ref="A3032:C3032"/>
    <mergeCell ref="A3033:C3033"/>
    <mergeCell ref="A3034:C3034"/>
    <mergeCell ref="A3035:C3035"/>
    <mergeCell ref="A3036:G3036"/>
    <mergeCell ref="A3037:H3037"/>
    <mergeCell ref="A3038:B3038"/>
    <mergeCell ref="F3038:G3038"/>
    <mergeCell ref="A3039:B3039"/>
    <mergeCell ref="F3039:G3039"/>
    <mergeCell ref="A2985:G2985"/>
    <mergeCell ref="A2986:H2986"/>
    <mergeCell ref="A2987:B2987"/>
    <mergeCell ref="F2987:G2987"/>
    <mergeCell ref="A2988:B2988"/>
    <mergeCell ref="F2988:G2988"/>
    <mergeCell ref="A2989:B2989"/>
    <mergeCell ref="F2989:G2989"/>
    <mergeCell ref="A2990:B2990"/>
    <mergeCell ref="F2990:G2990"/>
    <mergeCell ref="A2991:B2991"/>
    <mergeCell ref="F2991:G2991"/>
    <mergeCell ref="A2992:B2992"/>
    <mergeCell ref="F2992:G2992"/>
    <mergeCell ref="A2993:B2993"/>
    <mergeCell ref="F2993:G2993"/>
    <mergeCell ref="A2994:B2994"/>
    <mergeCell ref="F2994:G2994"/>
    <mergeCell ref="A2995:B2995"/>
    <mergeCell ref="F2995:G2995"/>
    <mergeCell ref="A2996:B2996"/>
    <mergeCell ref="F2996:G2996"/>
    <mergeCell ref="A2997:B2997"/>
    <mergeCell ref="F2997:G2997"/>
    <mergeCell ref="A2998:B2998"/>
    <mergeCell ref="F2998:G2998"/>
    <mergeCell ref="A2999:B2999"/>
    <mergeCell ref="F2999:G2999"/>
    <mergeCell ref="A3000:B3000"/>
    <mergeCell ref="F3000:G3000"/>
    <mergeCell ref="A3001:B3001"/>
    <mergeCell ref="F3001:G3001"/>
    <mergeCell ref="A3002:G3002"/>
    <mergeCell ref="A2949:B2949"/>
    <mergeCell ref="F2949:G2949"/>
    <mergeCell ref="A2950:B2950"/>
    <mergeCell ref="F2950:G2950"/>
    <mergeCell ref="A2951:G2951"/>
    <mergeCell ref="A2952:H2952"/>
    <mergeCell ref="A2953:B2953"/>
    <mergeCell ref="F2953:G2953"/>
    <mergeCell ref="A2954:B2954"/>
    <mergeCell ref="F2954:G2954"/>
    <mergeCell ref="A2955:G2955"/>
    <mergeCell ref="A2956:H2956"/>
    <mergeCell ref="A2957:B2957"/>
    <mergeCell ref="F2957:G2957"/>
    <mergeCell ref="A2958:B2958"/>
    <mergeCell ref="F2958:G2958"/>
    <mergeCell ref="A2959:B2959"/>
    <mergeCell ref="F2959:G2959"/>
    <mergeCell ref="A2960:B2960"/>
    <mergeCell ref="F2960:G2960"/>
    <mergeCell ref="A2961:G2961"/>
    <mergeCell ref="A2963:D2963"/>
    <mergeCell ref="F2968:G2968"/>
    <mergeCell ref="A2971:H2971"/>
    <mergeCell ref="A2973:A2976"/>
    <mergeCell ref="B2973:G2976"/>
    <mergeCell ref="H2973:H2975"/>
    <mergeCell ref="B2977:F2977"/>
    <mergeCell ref="B2978:E2978"/>
    <mergeCell ref="A2981:C2981"/>
    <mergeCell ref="A2982:C2982"/>
    <mergeCell ref="A2983:C2983"/>
    <mergeCell ref="A2984:C2984"/>
    <mergeCell ref="B2926:F2926"/>
    <mergeCell ref="B2927:E2927"/>
    <mergeCell ref="A2930:C2930"/>
    <mergeCell ref="A2931:C2931"/>
    <mergeCell ref="A2932:C2932"/>
    <mergeCell ref="A2933:C2933"/>
    <mergeCell ref="A2934:G2934"/>
    <mergeCell ref="A2935:H2935"/>
    <mergeCell ref="A2936:B2936"/>
    <mergeCell ref="F2936:G2936"/>
    <mergeCell ref="A2937:B2937"/>
    <mergeCell ref="F2937:G2937"/>
    <mergeCell ref="A2938:B2938"/>
    <mergeCell ref="F2938:G2938"/>
    <mergeCell ref="A2939:B2939"/>
    <mergeCell ref="F2939:G2939"/>
    <mergeCell ref="A2940:B2940"/>
    <mergeCell ref="F2940:G2940"/>
    <mergeCell ref="A2941:B2941"/>
    <mergeCell ref="F2941:G2941"/>
    <mergeCell ref="A2942:B2942"/>
    <mergeCell ref="F2942:G2942"/>
    <mergeCell ref="A2943:B2943"/>
    <mergeCell ref="F2943:G2943"/>
    <mergeCell ref="A2944:B2944"/>
    <mergeCell ref="F2944:G2944"/>
    <mergeCell ref="A2945:B2945"/>
    <mergeCell ref="F2945:G2945"/>
    <mergeCell ref="A2946:B2946"/>
    <mergeCell ref="F2946:G2946"/>
    <mergeCell ref="A2947:B2947"/>
    <mergeCell ref="F2947:G2947"/>
    <mergeCell ref="A2948:B2948"/>
    <mergeCell ref="F2948:G2948"/>
    <mergeCell ref="A2894:B2894"/>
    <mergeCell ref="F2894:G2894"/>
    <mergeCell ref="A2895:B2895"/>
    <mergeCell ref="F2895:G2895"/>
    <mergeCell ref="A2896:B2896"/>
    <mergeCell ref="F2896:G2896"/>
    <mergeCell ref="A2897:B2897"/>
    <mergeCell ref="F2897:G2897"/>
    <mergeCell ref="A2898:B2898"/>
    <mergeCell ref="F2898:G2898"/>
    <mergeCell ref="A2899:B2899"/>
    <mergeCell ref="F2899:G2899"/>
    <mergeCell ref="A2900:G2900"/>
    <mergeCell ref="A2901:H2901"/>
    <mergeCell ref="A2902:B2902"/>
    <mergeCell ref="F2902:G2902"/>
    <mergeCell ref="A2903:B2903"/>
    <mergeCell ref="F2903:G2903"/>
    <mergeCell ref="A2904:G2904"/>
    <mergeCell ref="A2905:H2905"/>
    <mergeCell ref="A2906:B2906"/>
    <mergeCell ref="F2906:G2906"/>
    <mergeCell ref="A2907:B2907"/>
    <mergeCell ref="F2907:G2907"/>
    <mergeCell ref="A2908:B2908"/>
    <mergeCell ref="F2908:G2908"/>
    <mergeCell ref="A2909:B2909"/>
    <mergeCell ref="F2909:G2909"/>
    <mergeCell ref="A2910:G2910"/>
    <mergeCell ref="A2912:D2912"/>
    <mergeCell ref="F2917:G2917"/>
    <mergeCell ref="A2920:H2920"/>
    <mergeCell ref="A2922:A2925"/>
    <mergeCell ref="B2922:G2925"/>
    <mergeCell ref="H2922:H2924"/>
    <mergeCell ref="A2859:G2859"/>
    <mergeCell ref="A2861:D2861"/>
    <mergeCell ref="F2866:G2866"/>
    <mergeCell ref="A2869:H2869"/>
    <mergeCell ref="A2871:A2874"/>
    <mergeCell ref="B2871:G2874"/>
    <mergeCell ref="H2871:H2873"/>
    <mergeCell ref="B2875:F2875"/>
    <mergeCell ref="B2876:E2876"/>
    <mergeCell ref="A2879:C2879"/>
    <mergeCell ref="A2880:C2880"/>
    <mergeCell ref="A2881:C2881"/>
    <mergeCell ref="A2882:C2882"/>
    <mergeCell ref="A2883:G2883"/>
    <mergeCell ref="A2884:H2884"/>
    <mergeCell ref="A2885:B2885"/>
    <mergeCell ref="F2885:G2885"/>
    <mergeCell ref="A2886:B2886"/>
    <mergeCell ref="F2886:G2886"/>
    <mergeCell ref="A2887:B2887"/>
    <mergeCell ref="F2887:G2887"/>
    <mergeCell ref="A2888:B2888"/>
    <mergeCell ref="F2888:G2888"/>
    <mergeCell ref="A2889:B2889"/>
    <mergeCell ref="F2889:G2889"/>
    <mergeCell ref="A2890:B2890"/>
    <mergeCell ref="F2890:G2890"/>
    <mergeCell ref="A2891:B2891"/>
    <mergeCell ref="F2891:G2891"/>
    <mergeCell ref="A2892:B2892"/>
    <mergeCell ref="F2892:G2892"/>
    <mergeCell ref="A2893:B2893"/>
    <mergeCell ref="F2893:G2893"/>
    <mergeCell ref="A2840:B2840"/>
    <mergeCell ref="F2840:G2840"/>
    <mergeCell ref="A2841:B2841"/>
    <mergeCell ref="F2841:G2841"/>
    <mergeCell ref="A2842:B2842"/>
    <mergeCell ref="F2842:G2842"/>
    <mergeCell ref="A2843:B2843"/>
    <mergeCell ref="F2843:G2843"/>
    <mergeCell ref="A2844:B2844"/>
    <mergeCell ref="F2844:G2844"/>
    <mergeCell ref="A2845:B2845"/>
    <mergeCell ref="F2845:G2845"/>
    <mergeCell ref="A2846:B2846"/>
    <mergeCell ref="F2846:G2846"/>
    <mergeCell ref="A2847:B2847"/>
    <mergeCell ref="F2847:G2847"/>
    <mergeCell ref="A2848:B2848"/>
    <mergeCell ref="F2848:G2848"/>
    <mergeCell ref="A2849:G2849"/>
    <mergeCell ref="A2850:H2850"/>
    <mergeCell ref="A2851:B2851"/>
    <mergeCell ref="F2851:G2851"/>
    <mergeCell ref="A2852:B2852"/>
    <mergeCell ref="F2852:G2852"/>
    <mergeCell ref="A2853:G2853"/>
    <mergeCell ref="A2854:H2854"/>
    <mergeCell ref="A2855:B2855"/>
    <mergeCell ref="F2855:G2855"/>
    <mergeCell ref="A2856:B2856"/>
    <mergeCell ref="F2856:G2856"/>
    <mergeCell ref="A2857:B2857"/>
    <mergeCell ref="F2857:G2857"/>
    <mergeCell ref="A2858:B2858"/>
    <mergeCell ref="F2858:G2858"/>
    <mergeCell ref="A2805:B2805"/>
    <mergeCell ref="F2805:G2805"/>
    <mergeCell ref="A2806:B2806"/>
    <mergeCell ref="F2806:G2806"/>
    <mergeCell ref="A2807:B2807"/>
    <mergeCell ref="F2807:G2807"/>
    <mergeCell ref="A2808:G2808"/>
    <mergeCell ref="A2810:D2810"/>
    <mergeCell ref="F2815:G2815"/>
    <mergeCell ref="A2818:H2818"/>
    <mergeCell ref="A2820:A2823"/>
    <mergeCell ref="B2820:G2823"/>
    <mergeCell ref="H2820:H2822"/>
    <mergeCell ref="B2824:F2824"/>
    <mergeCell ref="B2825:E2825"/>
    <mergeCell ref="A2828:C2828"/>
    <mergeCell ref="A2829:C2829"/>
    <mergeCell ref="A2830:C2830"/>
    <mergeCell ref="A2831:C2831"/>
    <mergeCell ref="A2832:G2832"/>
    <mergeCell ref="A2833:H2833"/>
    <mergeCell ref="A2834:B2834"/>
    <mergeCell ref="F2834:G2834"/>
    <mergeCell ref="A2835:B2835"/>
    <mergeCell ref="F2835:G2835"/>
    <mergeCell ref="A2836:B2836"/>
    <mergeCell ref="F2836:G2836"/>
    <mergeCell ref="A2837:B2837"/>
    <mergeCell ref="F2837:G2837"/>
    <mergeCell ref="A2838:B2838"/>
    <mergeCell ref="F2838:G2838"/>
    <mergeCell ref="A2839:B2839"/>
    <mergeCell ref="F2839:G2839"/>
    <mergeCell ref="A2786:B2786"/>
    <mergeCell ref="F2786:G2786"/>
    <mergeCell ref="A2787:B2787"/>
    <mergeCell ref="F2787:G2787"/>
    <mergeCell ref="A2788:B2788"/>
    <mergeCell ref="F2788:G2788"/>
    <mergeCell ref="A2789:B2789"/>
    <mergeCell ref="F2789:G2789"/>
    <mergeCell ref="A2790:B2790"/>
    <mergeCell ref="F2790:G2790"/>
    <mergeCell ref="A2791:B2791"/>
    <mergeCell ref="F2791:G2791"/>
    <mergeCell ref="A2792:B2792"/>
    <mergeCell ref="F2792:G2792"/>
    <mergeCell ref="A2793:B2793"/>
    <mergeCell ref="F2793:G2793"/>
    <mergeCell ref="A2794:B2794"/>
    <mergeCell ref="F2794:G2794"/>
    <mergeCell ref="A2795:B2795"/>
    <mergeCell ref="F2795:G2795"/>
    <mergeCell ref="A2796:B2796"/>
    <mergeCell ref="F2796:G2796"/>
    <mergeCell ref="A2797:B2797"/>
    <mergeCell ref="F2797:G2797"/>
    <mergeCell ref="A2798:G2798"/>
    <mergeCell ref="A2799:H2799"/>
    <mergeCell ref="A2800:B2800"/>
    <mergeCell ref="F2800:G2800"/>
    <mergeCell ref="A2801:B2801"/>
    <mergeCell ref="F2801:G2801"/>
    <mergeCell ref="A2802:G2802"/>
    <mergeCell ref="A2803:H2803"/>
    <mergeCell ref="A2804:B2804"/>
    <mergeCell ref="F2804:G2804"/>
    <mergeCell ref="A2750:B2750"/>
    <mergeCell ref="F2750:G2750"/>
    <mergeCell ref="A2751:G2751"/>
    <mergeCell ref="A2752:H2752"/>
    <mergeCell ref="A2753:B2753"/>
    <mergeCell ref="F2753:G2753"/>
    <mergeCell ref="A2754:B2754"/>
    <mergeCell ref="F2754:G2754"/>
    <mergeCell ref="A2755:B2755"/>
    <mergeCell ref="F2755:G2755"/>
    <mergeCell ref="A2756:B2756"/>
    <mergeCell ref="F2756:G2756"/>
    <mergeCell ref="A2757:G2757"/>
    <mergeCell ref="A2759:D2759"/>
    <mergeCell ref="F2764:G2764"/>
    <mergeCell ref="A2767:H2767"/>
    <mergeCell ref="A2769:A2772"/>
    <mergeCell ref="B2769:G2772"/>
    <mergeCell ref="H2769:H2771"/>
    <mergeCell ref="B2773:F2773"/>
    <mergeCell ref="B2774:E2774"/>
    <mergeCell ref="A2777:C2777"/>
    <mergeCell ref="A2778:C2778"/>
    <mergeCell ref="A2779:C2779"/>
    <mergeCell ref="A2780:C2780"/>
    <mergeCell ref="A2781:G2781"/>
    <mergeCell ref="A2782:H2782"/>
    <mergeCell ref="A2783:B2783"/>
    <mergeCell ref="F2783:G2783"/>
    <mergeCell ref="A2784:B2784"/>
    <mergeCell ref="F2784:G2784"/>
    <mergeCell ref="A2785:B2785"/>
    <mergeCell ref="F2785:G2785"/>
    <mergeCell ref="A2732:B2732"/>
    <mergeCell ref="F2732:G2732"/>
    <mergeCell ref="A2733:B2733"/>
    <mergeCell ref="F2733:G2733"/>
    <mergeCell ref="A2734:B2734"/>
    <mergeCell ref="F2734:G2734"/>
    <mergeCell ref="A2735:B2735"/>
    <mergeCell ref="F2735:G2735"/>
    <mergeCell ref="A2736:B2736"/>
    <mergeCell ref="F2736:G2736"/>
    <mergeCell ref="A2737:B2737"/>
    <mergeCell ref="F2737:G2737"/>
    <mergeCell ref="A2738:B2738"/>
    <mergeCell ref="F2738:G2738"/>
    <mergeCell ref="A2739:B2739"/>
    <mergeCell ref="F2739:G2739"/>
    <mergeCell ref="A2740:B2740"/>
    <mergeCell ref="F2740:G2740"/>
    <mergeCell ref="A2741:B2741"/>
    <mergeCell ref="F2741:G2741"/>
    <mergeCell ref="A2742:B2742"/>
    <mergeCell ref="F2742:G2742"/>
    <mergeCell ref="A2743:B2743"/>
    <mergeCell ref="F2743:G2743"/>
    <mergeCell ref="A2744:B2744"/>
    <mergeCell ref="F2744:G2744"/>
    <mergeCell ref="A2745:B2745"/>
    <mergeCell ref="F2745:G2745"/>
    <mergeCell ref="A2746:B2746"/>
    <mergeCell ref="F2746:G2746"/>
    <mergeCell ref="A2747:G2747"/>
    <mergeCell ref="A2748:H2748"/>
    <mergeCell ref="A2749:B2749"/>
    <mergeCell ref="F2749:G2749"/>
    <mergeCell ref="A2695:B2695"/>
    <mergeCell ref="F2695:G2695"/>
    <mergeCell ref="A2696:G2696"/>
    <mergeCell ref="A2697:H2697"/>
    <mergeCell ref="A2698:B2698"/>
    <mergeCell ref="F2698:G2698"/>
    <mergeCell ref="A2699:B2699"/>
    <mergeCell ref="F2699:G2699"/>
    <mergeCell ref="A2700:G2700"/>
    <mergeCell ref="A2701:H2701"/>
    <mergeCell ref="A2702:B2702"/>
    <mergeCell ref="F2702:G2702"/>
    <mergeCell ref="A2703:B2703"/>
    <mergeCell ref="F2703:G2703"/>
    <mergeCell ref="A2704:B2704"/>
    <mergeCell ref="F2704:G2704"/>
    <mergeCell ref="A2705:B2705"/>
    <mergeCell ref="F2705:G2705"/>
    <mergeCell ref="A2706:G2706"/>
    <mergeCell ref="A2708:D2708"/>
    <mergeCell ref="F2713:G2713"/>
    <mergeCell ref="A2716:H2716"/>
    <mergeCell ref="A2718:A2721"/>
    <mergeCell ref="B2718:G2721"/>
    <mergeCell ref="H2718:H2720"/>
    <mergeCell ref="B2722:F2722"/>
    <mergeCell ref="B2723:E2723"/>
    <mergeCell ref="A2726:C2726"/>
    <mergeCell ref="A2727:C2727"/>
    <mergeCell ref="A2728:C2728"/>
    <mergeCell ref="A2729:C2729"/>
    <mergeCell ref="A2730:G2730"/>
    <mergeCell ref="A2731:H2731"/>
    <mergeCell ref="A2676:C2676"/>
    <mergeCell ref="A2677:C2677"/>
    <mergeCell ref="A2678:C2678"/>
    <mergeCell ref="A2679:G2679"/>
    <mergeCell ref="A2680:H2680"/>
    <mergeCell ref="A2681:B2681"/>
    <mergeCell ref="F2681:G2681"/>
    <mergeCell ref="A2682:B2682"/>
    <mergeCell ref="F2682:G2682"/>
    <mergeCell ref="A2683:B2683"/>
    <mergeCell ref="F2683:G2683"/>
    <mergeCell ref="A2684:B2684"/>
    <mergeCell ref="F2684:G2684"/>
    <mergeCell ref="A2685:B2685"/>
    <mergeCell ref="F2685:G2685"/>
    <mergeCell ref="A2686:B2686"/>
    <mergeCell ref="F2686:G2686"/>
    <mergeCell ref="A2687:B2687"/>
    <mergeCell ref="F2687:G2687"/>
    <mergeCell ref="A2688:B2688"/>
    <mergeCell ref="F2688:G2688"/>
    <mergeCell ref="A2689:B2689"/>
    <mergeCell ref="F2689:G2689"/>
    <mergeCell ref="A2690:B2690"/>
    <mergeCell ref="F2690:G2690"/>
    <mergeCell ref="A2691:B2691"/>
    <mergeCell ref="F2691:G2691"/>
    <mergeCell ref="A2692:B2692"/>
    <mergeCell ref="F2692:G2692"/>
    <mergeCell ref="A2693:B2693"/>
    <mergeCell ref="F2693:G2693"/>
    <mergeCell ref="A2694:B2694"/>
    <mergeCell ref="F2694:G2694"/>
    <mergeCell ref="F2641:G2641"/>
    <mergeCell ref="A2642:B2642"/>
    <mergeCell ref="F2642:G2642"/>
    <mergeCell ref="A2643:B2643"/>
    <mergeCell ref="F2643:G2643"/>
    <mergeCell ref="A2644:B2644"/>
    <mergeCell ref="F2644:G2644"/>
    <mergeCell ref="A2645:G2645"/>
    <mergeCell ref="A2646:H2646"/>
    <mergeCell ref="A2647:B2647"/>
    <mergeCell ref="F2647:G2647"/>
    <mergeCell ref="A2648:B2648"/>
    <mergeCell ref="F2648:G2648"/>
    <mergeCell ref="A2649:G2649"/>
    <mergeCell ref="A2650:H2650"/>
    <mergeCell ref="A2651:B2651"/>
    <mergeCell ref="F2651:G2651"/>
    <mergeCell ref="A2652:B2652"/>
    <mergeCell ref="F2652:G2652"/>
    <mergeCell ref="A2653:B2653"/>
    <mergeCell ref="F2653:G2653"/>
    <mergeCell ref="A2654:B2654"/>
    <mergeCell ref="F2654:G2654"/>
    <mergeCell ref="A2655:G2655"/>
    <mergeCell ref="A2657:D2657"/>
    <mergeCell ref="F2662:G2662"/>
    <mergeCell ref="A2665:H2665"/>
    <mergeCell ref="A2667:A2670"/>
    <mergeCell ref="B2667:G2670"/>
    <mergeCell ref="H2667:H2669"/>
    <mergeCell ref="B2671:F2671"/>
    <mergeCell ref="B2672:E2672"/>
    <mergeCell ref="A2675:C2675"/>
    <mergeCell ref="A5056:B5056"/>
    <mergeCell ref="F5056:G5056"/>
    <mergeCell ref="A5057:G5057"/>
    <mergeCell ref="A5059:D5059"/>
    <mergeCell ref="F5064:G5064"/>
    <mergeCell ref="A2563:H2563"/>
    <mergeCell ref="A2565:A2568"/>
    <mergeCell ref="B2565:G2568"/>
    <mergeCell ref="H2565:H2567"/>
    <mergeCell ref="B2569:F2569"/>
    <mergeCell ref="B2570:E2570"/>
    <mergeCell ref="A2573:C2573"/>
    <mergeCell ref="A2574:C2574"/>
    <mergeCell ref="A2575:C2575"/>
    <mergeCell ref="A2576:C2576"/>
    <mergeCell ref="A2577:G2577"/>
    <mergeCell ref="A2578:H2578"/>
    <mergeCell ref="A2579:B2579"/>
    <mergeCell ref="F2579:G2579"/>
    <mergeCell ref="A2580:B2580"/>
    <mergeCell ref="F2580:G2580"/>
    <mergeCell ref="A2581:B2581"/>
    <mergeCell ref="F2581:G2581"/>
    <mergeCell ref="A2582:B2582"/>
    <mergeCell ref="F2582:G2582"/>
    <mergeCell ref="A2583:B2583"/>
    <mergeCell ref="F2583:G2583"/>
    <mergeCell ref="A2584:B2584"/>
    <mergeCell ref="F2584:G2584"/>
    <mergeCell ref="A2585:B2585"/>
    <mergeCell ref="F2585:G2585"/>
    <mergeCell ref="A2586:B2586"/>
    <mergeCell ref="F2586:G2586"/>
    <mergeCell ref="A2587:B2587"/>
    <mergeCell ref="F2587:G2587"/>
    <mergeCell ref="A2588:B2588"/>
    <mergeCell ref="A2596:B2596"/>
    <mergeCell ref="F2596:G2596"/>
    <mergeCell ref="A2597:B2597"/>
    <mergeCell ref="F2597:G2597"/>
    <mergeCell ref="A2598:G2598"/>
    <mergeCell ref="A2599:H2599"/>
    <mergeCell ref="A2600:B2600"/>
    <mergeCell ref="F2600:G2600"/>
    <mergeCell ref="A2601:B2601"/>
    <mergeCell ref="F2601:G2601"/>
    <mergeCell ref="A2602:B2602"/>
    <mergeCell ref="F2602:G2602"/>
    <mergeCell ref="A2603:B2603"/>
    <mergeCell ref="F2603:G2603"/>
    <mergeCell ref="A2604:G2604"/>
    <mergeCell ref="A2606:D2606"/>
    <mergeCell ref="F2611:G2611"/>
    <mergeCell ref="A2614:H2614"/>
    <mergeCell ref="A2616:A2619"/>
    <mergeCell ref="B2616:G2619"/>
    <mergeCell ref="H2616:H2618"/>
    <mergeCell ref="B2620:F2620"/>
    <mergeCell ref="B2621:E2621"/>
    <mergeCell ref="A2624:C2624"/>
    <mergeCell ref="F2639:G2639"/>
    <mergeCell ref="A2640:B2640"/>
    <mergeCell ref="F2640:G2640"/>
    <mergeCell ref="A2641:B2641"/>
    <mergeCell ref="F5037:G5037"/>
    <mergeCell ref="A5038:B5038"/>
    <mergeCell ref="F5038:G5038"/>
    <mergeCell ref="A5039:B5039"/>
    <mergeCell ref="F5039:G5039"/>
    <mergeCell ref="A5040:B5040"/>
    <mergeCell ref="F5040:G5040"/>
    <mergeCell ref="A5041:B5041"/>
    <mergeCell ref="F5041:G5041"/>
    <mergeCell ref="A5042:B5042"/>
    <mergeCell ref="F5042:G5042"/>
    <mergeCell ref="A5043:B5043"/>
    <mergeCell ref="F5043:G5043"/>
    <mergeCell ref="A5044:B5044"/>
    <mergeCell ref="F5044:G5044"/>
    <mergeCell ref="A5045:B5045"/>
    <mergeCell ref="F5045:G5045"/>
    <mergeCell ref="A5046:B5046"/>
    <mergeCell ref="F5046:G5046"/>
    <mergeCell ref="A5047:G5047"/>
    <mergeCell ref="A5048:H5048"/>
    <mergeCell ref="A5049:B5049"/>
    <mergeCell ref="F5049:G5049"/>
    <mergeCell ref="A5050:B5050"/>
    <mergeCell ref="F5050:G5050"/>
    <mergeCell ref="A5051:G5051"/>
    <mergeCell ref="A5052:H5052"/>
    <mergeCell ref="A5053:B5053"/>
    <mergeCell ref="F5053:G5053"/>
    <mergeCell ref="A5054:B5054"/>
    <mergeCell ref="F5054:G5054"/>
    <mergeCell ref="A5055:B5055"/>
    <mergeCell ref="F5055:G5055"/>
    <mergeCell ref="A6593:B6593"/>
    <mergeCell ref="F6593:G6593"/>
    <mergeCell ref="A6594:B6594"/>
    <mergeCell ref="F6594:G6594"/>
    <mergeCell ref="A6595:B6595"/>
    <mergeCell ref="F6595:G6595"/>
    <mergeCell ref="A6596:B6596"/>
    <mergeCell ref="F6596:G6596"/>
    <mergeCell ref="A6597:B6597"/>
    <mergeCell ref="F6597:G6597"/>
    <mergeCell ref="A6598:G6598"/>
    <mergeCell ref="A6599:H6599"/>
    <mergeCell ref="A6600:B6600"/>
    <mergeCell ref="F6600:G6600"/>
    <mergeCell ref="A6601:B6601"/>
    <mergeCell ref="F6601:G6601"/>
    <mergeCell ref="A6584:B6584"/>
    <mergeCell ref="F6584:G6584"/>
    <mergeCell ref="A6585:B6585"/>
    <mergeCell ref="F6585:G6585"/>
    <mergeCell ref="A6586:B6586"/>
    <mergeCell ref="F6586:G6586"/>
    <mergeCell ref="A6587:B6587"/>
    <mergeCell ref="F6587:G6587"/>
    <mergeCell ref="A6588:B6588"/>
    <mergeCell ref="F6588:G6588"/>
    <mergeCell ref="A6589:B6589"/>
    <mergeCell ref="F6589:G6589"/>
    <mergeCell ref="A6590:B6590"/>
    <mergeCell ref="F6590:G6590"/>
    <mergeCell ref="A4965:H4965"/>
    <mergeCell ref="A4967:A4970"/>
    <mergeCell ref="B4967:G4970"/>
    <mergeCell ref="H4967:H4969"/>
    <mergeCell ref="B4971:F4971"/>
    <mergeCell ref="B4972:E4972"/>
    <mergeCell ref="A4975:C4975"/>
    <mergeCell ref="A4976:C4976"/>
    <mergeCell ref="A4977:C4977"/>
    <mergeCell ref="A4978:C4978"/>
    <mergeCell ref="A4979:G4979"/>
    <mergeCell ref="A4980:H4980"/>
    <mergeCell ref="A4981:B4981"/>
    <mergeCell ref="F4981:G4981"/>
    <mergeCell ref="A4982:B4982"/>
    <mergeCell ref="F4982:G4982"/>
    <mergeCell ref="A4983:B4983"/>
    <mergeCell ref="F4983:G4983"/>
    <mergeCell ref="F4992:G4992"/>
    <mergeCell ref="A4993:B4993"/>
    <mergeCell ref="F4993:G4993"/>
    <mergeCell ref="A4994:B4994"/>
    <mergeCell ref="F4994:G4994"/>
    <mergeCell ref="A4995:B4995"/>
    <mergeCell ref="F4995:G4995"/>
    <mergeCell ref="A4996:G4996"/>
    <mergeCell ref="A4997:H4997"/>
    <mergeCell ref="A4998:B4998"/>
    <mergeCell ref="F4998:G4998"/>
    <mergeCell ref="A4999:B4999"/>
    <mergeCell ref="F4999:G4999"/>
    <mergeCell ref="A5000:G5000"/>
    <mergeCell ref="A5001:H5001"/>
    <mergeCell ref="A5002:B5002"/>
    <mergeCell ref="A6543:B6543"/>
    <mergeCell ref="F6543:G6543"/>
    <mergeCell ref="A6544:B6544"/>
    <mergeCell ref="F6544:G6544"/>
    <mergeCell ref="A6545:G6545"/>
    <mergeCell ref="A6546:H6546"/>
    <mergeCell ref="A6547:B6547"/>
    <mergeCell ref="F6547:G6547"/>
    <mergeCell ref="A6548:B6548"/>
    <mergeCell ref="F6548:G6548"/>
    <mergeCell ref="A6549:G6549"/>
    <mergeCell ref="A6550:H6550"/>
    <mergeCell ref="A6551:B6551"/>
    <mergeCell ref="F6551:G6551"/>
    <mergeCell ref="A6552:B6552"/>
    <mergeCell ref="F6552:G6552"/>
    <mergeCell ref="A6553:B6553"/>
    <mergeCell ref="F6553:G6553"/>
    <mergeCell ref="A6554:B6554"/>
    <mergeCell ref="F6554:G6554"/>
    <mergeCell ref="A6591:B6591"/>
    <mergeCell ref="F6591:G6591"/>
    <mergeCell ref="A6592:B6592"/>
    <mergeCell ref="F6592:G6592"/>
    <mergeCell ref="A6555:G6555"/>
    <mergeCell ref="A6557:D6557"/>
    <mergeCell ref="F6562:G6562"/>
    <mergeCell ref="A6566:H6566"/>
    <mergeCell ref="A6568:A6571"/>
    <mergeCell ref="B6568:G6571"/>
    <mergeCell ref="H6568:H6570"/>
    <mergeCell ref="B6572:F6572"/>
    <mergeCell ref="B6573:E6573"/>
    <mergeCell ref="A6576:C6576"/>
    <mergeCell ref="A6577:C6577"/>
    <mergeCell ref="A6578:C6578"/>
    <mergeCell ref="A6579:C6579"/>
    <mergeCell ref="A6580:C6580"/>
    <mergeCell ref="A6581:G6581"/>
    <mergeCell ref="A6582:H6582"/>
    <mergeCell ref="A6583:B6583"/>
    <mergeCell ref="F6583:G6583"/>
    <mergeCell ref="B6520:E6520"/>
    <mergeCell ref="A6523:C6523"/>
    <mergeCell ref="A6524:C6524"/>
    <mergeCell ref="A6525:C6525"/>
    <mergeCell ref="A6526:C6526"/>
    <mergeCell ref="A6527:C6527"/>
    <mergeCell ref="A6528:G6528"/>
    <mergeCell ref="A6529:H6529"/>
    <mergeCell ref="A6530:B6530"/>
    <mergeCell ref="F6530:G6530"/>
    <mergeCell ref="A6531:B6531"/>
    <mergeCell ref="F6531:G6531"/>
    <mergeCell ref="A6532:B6532"/>
    <mergeCell ref="F6532:G6532"/>
    <mergeCell ref="A6533:B6533"/>
    <mergeCell ref="F6533:G6533"/>
    <mergeCell ref="A6534:B6534"/>
    <mergeCell ref="F6534:G6534"/>
    <mergeCell ref="A6535:B6535"/>
    <mergeCell ref="F6535:G6535"/>
    <mergeCell ref="A6536:B6536"/>
    <mergeCell ref="F6536:G6536"/>
    <mergeCell ref="A6537:B6537"/>
    <mergeCell ref="F6537:G6537"/>
    <mergeCell ref="A6538:B6538"/>
    <mergeCell ref="F6538:G6538"/>
    <mergeCell ref="A6539:B6539"/>
    <mergeCell ref="F6539:G6539"/>
    <mergeCell ref="A6540:B6540"/>
    <mergeCell ref="F6540:G6540"/>
    <mergeCell ref="A6541:B6541"/>
    <mergeCell ref="F6541:G6541"/>
    <mergeCell ref="A6542:B6542"/>
    <mergeCell ref="F6542:G6542"/>
    <mergeCell ref="A4952:B4952"/>
    <mergeCell ref="F4952:G4952"/>
    <mergeCell ref="A4953:B4953"/>
    <mergeCell ref="F4953:G4953"/>
    <mergeCell ref="A4954:B4954"/>
    <mergeCell ref="F4954:G4954"/>
    <mergeCell ref="A4955:G4955"/>
    <mergeCell ref="A4957:D4957"/>
    <mergeCell ref="F4962:G4962"/>
    <mergeCell ref="A6513:H6513"/>
    <mergeCell ref="A6515:A6518"/>
    <mergeCell ref="B6515:G6518"/>
    <mergeCell ref="H6515:H6517"/>
    <mergeCell ref="B6519:F6519"/>
    <mergeCell ref="A4985:B4985"/>
    <mergeCell ref="F4985:G4985"/>
    <mergeCell ref="A4986:B4986"/>
    <mergeCell ref="F4986:G4986"/>
    <mergeCell ref="A4987:B4987"/>
    <mergeCell ref="F4987:G4987"/>
    <mergeCell ref="A4988:B4988"/>
    <mergeCell ref="F4988:G4988"/>
    <mergeCell ref="A4989:B4989"/>
    <mergeCell ref="F4989:G4989"/>
    <mergeCell ref="A4990:B4990"/>
    <mergeCell ref="F4990:G4990"/>
    <mergeCell ref="A4991:B4991"/>
    <mergeCell ref="F4991:G4991"/>
    <mergeCell ref="A4992:B4992"/>
    <mergeCell ref="A4984:B4984"/>
    <mergeCell ref="F4984:G4984"/>
    <mergeCell ref="F5002:G5002"/>
    <mergeCell ref="A5003:B5003"/>
    <mergeCell ref="F5003:G5003"/>
    <mergeCell ref="A5004:B5004"/>
    <mergeCell ref="F5004:G5004"/>
    <mergeCell ref="A5005:B5005"/>
    <mergeCell ref="F5005:G5005"/>
    <mergeCell ref="A5006:G5006"/>
    <mergeCell ref="A5008:D5008"/>
    <mergeCell ref="F5013:G5013"/>
    <mergeCell ref="A5016:H5016"/>
    <mergeCell ref="A5018:A5021"/>
    <mergeCell ref="B5018:G5021"/>
    <mergeCell ref="H5018:H5020"/>
    <mergeCell ref="B5022:F5022"/>
    <mergeCell ref="B5023:E5023"/>
    <mergeCell ref="A5026:C5026"/>
    <mergeCell ref="A5027:C5027"/>
    <mergeCell ref="A5028:C5028"/>
    <mergeCell ref="A5029:C5029"/>
    <mergeCell ref="A5030:G5030"/>
    <mergeCell ref="A5031:H5031"/>
    <mergeCell ref="A5032:B5032"/>
    <mergeCell ref="F5032:G5032"/>
    <mergeCell ref="A5033:B5033"/>
    <mergeCell ref="F5033:G5033"/>
    <mergeCell ref="A5034:B5034"/>
    <mergeCell ref="F5034:G5034"/>
    <mergeCell ref="A5035:B5035"/>
    <mergeCell ref="F5035:G5035"/>
    <mergeCell ref="A5036:B5036"/>
    <mergeCell ref="F5036:G5036"/>
    <mergeCell ref="A5037:B5037"/>
    <mergeCell ref="A4933:B4933"/>
    <mergeCell ref="F4933:G4933"/>
    <mergeCell ref="A4934:B4934"/>
    <mergeCell ref="F4934:G4934"/>
    <mergeCell ref="A4935:B4935"/>
    <mergeCell ref="F4935:G4935"/>
    <mergeCell ref="A4936:B4936"/>
    <mergeCell ref="F4936:G4936"/>
    <mergeCell ref="A4937:B4937"/>
    <mergeCell ref="F4937:G4937"/>
    <mergeCell ref="A4938:B4938"/>
    <mergeCell ref="F4938:G4938"/>
    <mergeCell ref="A4939:B4939"/>
    <mergeCell ref="F4939:G4939"/>
    <mergeCell ref="A4940:B4940"/>
    <mergeCell ref="F4940:G4940"/>
    <mergeCell ref="A4941:B4941"/>
    <mergeCell ref="F4941:G4941"/>
    <mergeCell ref="A4942:B4942"/>
    <mergeCell ref="F4942:G4942"/>
    <mergeCell ref="A4943:B4943"/>
    <mergeCell ref="F4943:G4943"/>
    <mergeCell ref="A4944:B4944"/>
    <mergeCell ref="F4944:G4944"/>
    <mergeCell ref="A4945:G4945"/>
    <mergeCell ref="A4946:H4946"/>
    <mergeCell ref="A4947:B4947"/>
    <mergeCell ref="F4947:G4947"/>
    <mergeCell ref="A4948:B4948"/>
    <mergeCell ref="F4948:G4948"/>
    <mergeCell ref="A4949:G4949"/>
    <mergeCell ref="A4950:H4950"/>
    <mergeCell ref="A4951:B4951"/>
    <mergeCell ref="F4951:G4951"/>
    <mergeCell ref="A4897:B4897"/>
    <mergeCell ref="F4897:G4897"/>
    <mergeCell ref="A4898:G4898"/>
    <mergeCell ref="A4899:H4899"/>
    <mergeCell ref="A4900:B4900"/>
    <mergeCell ref="F4900:G4900"/>
    <mergeCell ref="A4901:B4901"/>
    <mergeCell ref="F4901:G4901"/>
    <mergeCell ref="A4902:B4902"/>
    <mergeCell ref="F4902:G4902"/>
    <mergeCell ref="A4903:B4903"/>
    <mergeCell ref="F4903:G4903"/>
    <mergeCell ref="A4904:G4904"/>
    <mergeCell ref="A4906:D4906"/>
    <mergeCell ref="F4911:G4911"/>
    <mergeCell ref="A4914:H4914"/>
    <mergeCell ref="A4916:A4919"/>
    <mergeCell ref="B4916:G4919"/>
    <mergeCell ref="H4916:H4918"/>
    <mergeCell ref="B4920:F4920"/>
    <mergeCell ref="B4921:E4921"/>
    <mergeCell ref="A4924:C4924"/>
    <mergeCell ref="A4925:C4925"/>
    <mergeCell ref="A4926:C4926"/>
    <mergeCell ref="A4927:C4927"/>
    <mergeCell ref="A4928:G4928"/>
    <mergeCell ref="A4929:H4929"/>
    <mergeCell ref="A4930:B4930"/>
    <mergeCell ref="F4930:G4930"/>
    <mergeCell ref="A4931:B4931"/>
    <mergeCell ref="F4931:G4931"/>
    <mergeCell ref="A4932:B4932"/>
    <mergeCell ref="F4932:G4932"/>
    <mergeCell ref="A4879:B4879"/>
    <mergeCell ref="F4879:G4879"/>
    <mergeCell ref="A4880:B4880"/>
    <mergeCell ref="F4880:G4880"/>
    <mergeCell ref="A4881:B4881"/>
    <mergeCell ref="F4881:G4881"/>
    <mergeCell ref="A4882:B4882"/>
    <mergeCell ref="F4882:G4882"/>
    <mergeCell ref="A4883:B4883"/>
    <mergeCell ref="F4883:G4883"/>
    <mergeCell ref="A4884:B4884"/>
    <mergeCell ref="F4884:G4884"/>
    <mergeCell ref="A4885:B4885"/>
    <mergeCell ref="F4885:G4885"/>
    <mergeCell ref="A4886:B4886"/>
    <mergeCell ref="F4886:G4886"/>
    <mergeCell ref="A4887:B4887"/>
    <mergeCell ref="F4887:G4887"/>
    <mergeCell ref="A4888:B4888"/>
    <mergeCell ref="F4888:G4888"/>
    <mergeCell ref="A4889:B4889"/>
    <mergeCell ref="F4889:G4889"/>
    <mergeCell ref="A4890:B4890"/>
    <mergeCell ref="F4890:G4890"/>
    <mergeCell ref="A4891:B4891"/>
    <mergeCell ref="F4891:G4891"/>
    <mergeCell ref="A4892:B4892"/>
    <mergeCell ref="F4892:G4892"/>
    <mergeCell ref="A4893:B4893"/>
    <mergeCell ref="F4893:G4893"/>
    <mergeCell ref="A4894:G4894"/>
    <mergeCell ref="A4895:H4895"/>
    <mergeCell ref="A4896:B4896"/>
    <mergeCell ref="F4896:G4896"/>
    <mergeCell ref="A2541:B2541"/>
    <mergeCell ref="F2541:G2541"/>
    <mergeCell ref="A2542:B2542"/>
    <mergeCell ref="F2542:G2542"/>
    <mergeCell ref="A2543:G2543"/>
    <mergeCell ref="A2544:H2544"/>
    <mergeCell ref="A2545:B2545"/>
    <mergeCell ref="F2545:G2545"/>
    <mergeCell ref="A2546:B2546"/>
    <mergeCell ref="F2546:G2546"/>
    <mergeCell ref="A2547:G2547"/>
    <mergeCell ref="A2548:H2548"/>
    <mergeCell ref="A2549:B2549"/>
    <mergeCell ref="F2549:G2549"/>
    <mergeCell ref="A2550:B2550"/>
    <mergeCell ref="F2550:G2550"/>
    <mergeCell ref="A2551:B2551"/>
    <mergeCell ref="F2551:G2551"/>
    <mergeCell ref="A2552:B2552"/>
    <mergeCell ref="F2552:G2552"/>
    <mergeCell ref="A2553:G2553"/>
    <mergeCell ref="A2555:D2555"/>
    <mergeCell ref="F2560:G2560"/>
    <mergeCell ref="A4863:H4863"/>
    <mergeCell ref="A4865:A4868"/>
    <mergeCell ref="B4865:G4868"/>
    <mergeCell ref="H4865:H4867"/>
    <mergeCell ref="F2588:G2588"/>
    <mergeCell ref="A2589:B2589"/>
    <mergeCell ref="F2589:G2589"/>
    <mergeCell ref="A2590:B2590"/>
    <mergeCell ref="F2590:G2590"/>
    <mergeCell ref="A2591:B2591"/>
    <mergeCell ref="F2591:G2591"/>
    <mergeCell ref="A2592:B2592"/>
    <mergeCell ref="F2592:G2592"/>
    <mergeCell ref="A2593:B2593"/>
    <mergeCell ref="F2593:G2593"/>
    <mergeCell ref="A2594:G2594"/>
    <mergeCell ref="A2595:H2595"/>
    <mergeCell ref="A2625:C2625"/>
    <mergeCell ref="A2626:C2626"/>
    <mergeCell ref="A2627:C2627"/>
    <mergeCell ref="A2628:G2628"/>
    <mergeCell ref="A2629:H2629"/>
    <mergeCell ref="A2630:B2630"/>
    <mergeCell ref="F2630:G2630"/>
    <mergeCell ref="A2631:B2631"/>
    <mergeCell ref="F2631:G2631"/>
    <mergeCell ref="A2632:B2632"/>
    <mergeCell ref="F2632:G2632"/>
    <mergeCell ref="A2633:B2633"/>
    <mergeCell ref="F2633:G2633"/>
    <mergeCell ref="A2634:B2634"/>
    <mergeCell ref="F2634:G2634"/>
    <mergeCell ref="A2635:B2635"/>
    <mergeCell ref="F2635:G2635"/>
    <mergeCell ref="A2636:B2636"/>
    <mergeCell ref="F2636:G2636"/>
    <mergeCell ref="A2637:B2637"/>
    <mergeCell ref="F2637:G2637"/>
    <mergeCell ref="A2638:B2638"/>
    <mergeCell ref="F2638:G2638"/>
    <mergeCell ref="A2639:B2639"/>
    <mergeCell ref="B2518:F2518"/>
    <mergeCell ref="B2519:E2519"/>
    <mergeCell ref="A2522:C2522"/>
    <mergeCell ref="A2523:C2523"/>
    <mergeCell ref="A2524:C2524"/>
    <mergeCell ref="A2525:C2525"/>
    <mergeCell ref="A2526:G2526"/>
    <mergeCell ref="A2527:H2527"/>
    <mergeCell ref="A2528:B2528"/>
    <mergeCell ref="F2528:G2528"/>
    <mergeCell ref="A2529:B2529"/>
    <mergeCell ref="F2529:G2529"/>
    <mergeCell ref="A2530:B2530"/>
    <mergeCell ref="F2530:G2530"/>
    <mergeCell ref="A2531:B2531"/>
    <mergeCell ref="F2531:G2531"/>
    <mergeCell ref="A2532:B2532"/>
    <mergeCell ref="F2532:G2532"/>
    <mergeCell ref="A2533:B2533"/>
    <mergeCell ref="F2533:G2533"/>
    <mergeCell ref="A2534:B2534"/>
    <mergeCell ref="F2534:G2534"/>
    <mergeCell ref="A2535:B2535"/>
    <mergeCell ref="F2535:G2535"/>
    <mergeCell ref="A2536:B2536"/>
    <mergeCell ref="F2536:G2536"/>
    <mergeCell ref="A2537:B2537"/>
    <mergeCell ref="F2537:G2537"/>
    <mergeCell ref="A2538:B2538"/>
    <mergeCell ref="F2538:G2538"/>
    <mergeCell ref="A2539:B2539"/>
    <mergeCell ref="F2539:G2539"/>
    <mergeCell ref="A2540:B2540"/>
    <mergeCell ref="F2540:G2540"/>
    <mergeCell ref="F2486:G2486"/>
    <mergeCell ref="A2487:B2487"/>
    <mergeCell ref="F2487:G2487"/>
    <mergeCell ref="A2488:B2488"/>
    <mergeCell ref="F2488:G2488"/>
    <mergeCell ref="A2489:B2489"/>
    <mergeCell ref="F2489:G2489"/>
    <mergeCell ref="A2490:B2490"/>
    <mergeCell ref="F2490:G2490"/>
    <mergeCell ref="A2491:B2491"/>
    <mergeCell ref="F2491:G2491"/>
    <mergeCell ref="A2492:G2492"/>
    <mergeCell ref="A2493:H2493"/>
    <mergeCell ref="A2494:B2494"/>
    <mergeCell ref="F2494:G2494"/>
    <mergeCell ref="A2495:B2495"/>
    <mergeCell ref="F2495:G2495"/>
    <mergeCell ref="A2496:G2496"/>
    <mergeCell ref="A2497:H2497"/>
    <mergeCell ref="A2498:B2498"/>
    <mergeCell ref="F2498:G2498"/>
    <mergeCell ref="A2499:B2499"/>
    <mergeCell ref="F2499:G2499"/>
    <mergeCell ref="A2500:B2500"/>
    <mergeCell ref="F2500:G2500"/>
    <mergeCell ref="A2501:B2501"/>
    <mergeCell ref="F2501:G2501"/>
    <mergeCell ref="A2502:G2502"/>
    <mergeCell ref="A2504:D2504"/>
    <mergeCell ref="F2509:G2509"/>
    <mergeCell ref="A2512:H2512"/>
    <mergeCell ref="A2514:A2517"/>
    <mergeCell ref="B2514:G2517"/>
    <mergeCell ref="H2514:H2516"/>
    <mergeCell ref="A2241:G2241"/>
    <mergeCell ref="A2242:H2242"/>
    <mergeCell ref="A2243:B2243"/>
    <mergeCell ref="F2243:G2243"/>
    <mergeCell ref="A2244:B2244"/>
    <mergeCell ref="F2244:G2244"/>
    <mergeCell ref="A2245:B2245"/>
    <mergeCell ref="F2245:G2245"/>
    <mergeCell ref="A2246:B2246"/>
    <mergeCell ref="F2246:G2246"/>
    <mergeCell ref="A2247:G2247"/>
    <mergeCell ref="A2249:D2249"/>
    <mergeCell ref="F2254:G2254"/>
    <mergeCell ref="A8882:H8882"/>
    <mergeCell ref="A8884:A8887"/>
    <mergeCell ref="B8884:G8887"/>
    <mergeCell ref="H8884:H8886"/>
    <mergeCell ref="B8888:F8888"/>
    <mergeCell ref="A6342:H6342"/>
    <mergeCell ref="A6343:B6343"/>
    <mergeCell ref="F6343:G6343"/>
    <mergeCell ref="A6344:B6344"/>
    <mergeCell ref="F6344:G6344"/>
    <mergeCell ref="A6345:B6345"/>
    <mergeCell ref="F6345:G6345"/>
    <mergeCell ref="A6346:B6346"/>
    <mergeCell ref="F6346:G6346"/>
    <mergeCell ref="A6347:G6347"/>
    <mergeCell ref="A6349:D6349"/>
    <mergeCell ref="F6354:G6354"/>
    <mergeCell ref="A6332:B6332"/>
    <mergeCell ref="F6332:G6332"/>
    <mergeCell ref="A6333:B6333"/>
    <mergeCell ref="A2461:H2461"/>
    <mergeCell ref="A2463:A2466"/>
    <mergeCell ref="B2463:G2466"/>
    <mergeCell ref="H2463:H2465"/>
    <mergeCell ref="B2467:F2467"/>
    <mergeCell ref="B2468:E2468"/>
    <mergeCell ref="A2471:C2471"/>
    <mergeCell ref="A2472:C2472"/>
    <mergeCell ref="A2473:C2473"/>
    <mergeCell ref="A2474:C2474"/>
    <mergeCell ref="A2475:G2475"/>
    <mergeCell ref="A2476:H2476"/>
    <mergeCell ref="A2477:B2477"/>
    <mergeCell ref="F2477:G2477"/>
    <mergeCell ref="A2478:B2478"/>
    <mergeCell ref="F2478:G2478"/>
    <mergeCell ref="A2479:B2479"/>
    <mergeCell ref="F2479:G2479"/>
    <mergeCell ref="A2480:B2480"/>
    <mergeCell ref="F2480:G2480"/>
    <mergeCell ref="A2481:B2481"/>
    <mergeCell ref="F2481:G2481"/>
    <mergeCell ref="A2482:B2482"/>
    <mergeCell ref="F2482:G2482"/>
    <mergeCell ref="A2483:B2483"/>
    <mergeCell ref="F2483:G2483"/>
    <mergeCell ref="A2484:B2484"/>
    <mergeCell ref="F2484:G2484"/>
    <mergeCell ref="A2485:B2485"/>
    <mergeCell ref="F2485:G2485"/>
    <mergeCell ref="A2486:B2486"/>
    <mergeCell ref="A2223:B2223"/>
    <mergeCell ref="F2223:G2223"/>
    <mergeCell ref="A2224:B2224"/>
    <mergeCell ref="F2224:G2224"/>
    <mergeCell ref="A2225:B2225"/>
    <mergeCell ref="F2225:G2225"/>
    <mergeCell ref="A2226:B2226"/>
    <mergeCell ref="F2226:G2226"/>
    <mergeCell ref="A2227:B2227"/>
    <mergeCell ref="F2227:G2227"/>
    <mergeCell ref="A2228:B2228"/>
    <mergeCell ref="F2228:G2228"/>
    <mergeCell ref="A2229:B2229"/>
    <mergeCell ref="F2229:G2229"/>
    <mergeCell ref="A2230:B2230"/>
    <mergeCell ref="F2230:G2230"/>
    <mergeCell ref="A2231:B2231"/>
    <mergeCell ref="F2231:G2231"/>
    <mergeCell ref="A2232:B2232"/>
    <mergeCell ref="F2232:G2232"/>
    <mergeCell ref="A2233:B2233"/>
    <mergeCell ref="F2233:G2233"/>
    <mergeCell ref="A2234:B2234"/>
    <mergeCell ref="F2234:G2234"/>
    <mergeCell ref="A2235:B2235"/>
    <mergeCell ref="F2235:G2235"/>
    <mergeCell ref="A2236:B2236"/>
    <mergeCell ref="F2236:G2236"/>
    <mergeCell ref="A2237:G2237"/>
    <mergeCell ref="A2238:H2238"/>
    <mergeCell ref="A2239:B2239"/>
    <mergeCell ref="F2239:G2239"/>
    <mergeCell ref="A2240:B2240"/>
    <mergeCell ref="F2240:G2240"/>
    <mergeCell ref="A2184:B2184"/>
    <mergeCell ref="F2184:G2184"/>
    <mergeCell ref="A2185:G2185"/>
    <mergeCell ref="A2186:H2186"/>
    <mergeCell ref="A2187:B2187"/>
    <mergeCell ref="F2187:G2187"/>
    <mergeCell ref="A2188:B2188"/>
    <mergeCell ref="F2188:G2188"/>
    <mergeCell ref="A2189:G2189"/>
    <mergeCell ref="A2206:H2206"/>
    <mergeCell ref="A2208:A2211"/>
    <mergeCell ref="B2208:G2211"/>
    <mergeCell ref="H2208:H2210"/>
    <mergeCell ref="B2212:F2212"/>
    <mergeCell ref="B2213:E2213"/>
    <mergeCell ref="A2216:C2216"/>
    <mergeCell ref="A2217:C2217"/>
    <mergeCell ref="A2218:C2218"/>
    <mergeCell ref="A2219:C2219"/>
    <mergeCell ref="A2220:G2220"/>
    <mergeCell ref="A2221:H2221"/>
    <mergeCell ref="A2222:B2222"/>
    <mergeCell ref="F2222:G2222"/>
    <mergeCell ref="A2190:H2190"/>
    <mergeCell ref="A2191:B2191"/>
    <mergeCell ref="F2191:G2191"/>
    <mergeCell ref="A2192:B2192"/>
    <mergeCell ref="F2192:G2192"/>
    <mergeCell ref="A2193:B2193"/>
    <mergeCell ref="F2193:G2193"/>
    <mergeCell ref="A2194:B2194"/>
    <mergeCell ref="F2194:G2194"/>
    <mergeCell ref="A2195:G2195"/>
    <mergeCell ref="A2197:D2197"/>
    <mergeCell ref="F2202:G2202"/>
    <mergeCell ref="A2164:C2164"/>
    <mergeCell ref="A2165:C2165"/>
    <mergeCell ref="A2166:C2166"/>
    <mergeCell ref="A2167:C2167"/>
    <mergeCell ref="A2168:G2168"/>
    <mergeCell ref="A2169:H2169"/>
    <mergeCell ref="A2170:B2170"/>
    <mergeCell ref="F2170:G2170"/>
    <mergeCell ref="A2171:B2171"/>
    <mergeCell ref="F2171:G2171"/>
    <mergeCell ref="A2172:B2172"/>
    <mergeCell ref="F2172:G2172"/>
    <mergeCell ref="A2173:B2173"/>
    <mergeCell ref="F2173:G2173"/>
    <mergeCell ref="A2174:B2174"/>
    <mergeCell ref="F2174:G2174"/>
    <mergeCell ref="A2175:B2175"/>
    <mergeCell ref="F2175:G2175"/>
    <mergeCell ref="A2176:B2176"/>
    <mergeCell ref="F2176:G2176"/>
    <mergeCell ref="A2177:B2177"/>
    <mergeCell ref="F2177:G2177"/>
    <mergeCell ref="A2178:B2178"/>
    <mergeCell ref="F2178:G2178"/>
    <mergeCell ref="A2179:B2179"/>
    <mergeCell ref="F2179:G2179"/>
    <mergeCell ref="A2180:B2180"/>
    <mergeCell ref="F2180:G2180"/>
    <mergeCell ref="A2181:B2181"/>
    <mergeCell ref="F2181:G2181"/>
    <mergeCell ref="A2182:B2182"/>
    <mergeCell ref="F2182:G2182"/>
    <mergeCell ref="A2183:B2183"/>
    <mergeCell ref="F2183:G2183"/>
    <mergeCell ref="A2130:B2130"/>
    <mergeCell ref="F2130:G2130"/>
    <mergeCell ref="A2131:B2131"/>
    <mergeCell ref="F2131:G2131"/>
    <mergeCell ref="A2132:B2132"/>
    <mergeCell ref="F2132:G2132"/>
    <mergeCell ref="A2133:B2133"/>
    <mergeCell ref="F2133:G2133"/>
    <mergeCell ref="A2134:G2134"/>
    <mergeCell ref="A2135:H2135"/>
    <mergeCell ref="A2136:B2136"/>
    <mergeCell ref="F2136:G2136"/>
    <mergeCell ref="A2137:B2137"/>
    <mergeCell ref="F2137:G2137"/>
    <mergeCell ref="A2138:G2138"/>
    <mergeCell ref="A2139:H2139"/>
    <mergeCell ref="A2140:B2140"/>
    <mergeCell ref="F2140:G2140"/>
    <mergeCell ref="A2141:B2141"/>
    <mergeCell ref="F2141:G2141"/>
    <mergeCell ref="A2142:B2142"/>
    <mergeCell ref="F2142:G2142"/>
    <mergeCell ref="A2143:B2143"/>
    <mergeCell ref="F2143:G2143"/>
    <mergeCell ref="A2144:G2144"/>
    <mergeCell ref="A2146:D2146"/>
    <mergeCell ref="F2151:G2151"/>
    <mergeCell ref="A2154:H2154"/>
    <mergeCell ref="A2156:A2159"/>
    <mergeCell ref="B2156:G2159"/>
    <mergeCell ref="H2156:H2158"/>
    <mergeCell ref="B2160:F2160"/>
    <mergeCell ref="B2161:E2161"/>
    <mergeCell ref="A2103:H2103"/>
    <mergeCell ref="A2105:A2108"/>
    <mergeCell ref="B2105:G2108"/>
    <mergeCell ref="H2105:H2107"/>
    <mergeCell ref="B2109:F2109"/>
    <mergeCell ref="B2110:E2110"/>
    <mergeCell ref="A2113:C2113"/>
    <mergeCell ref="A2114:C2114"/>
    <mergeCell ref="A2115:C2115"/>
    <mergeCell ref="A2116:C2116"/>
    <mergeCell ref="A2117:G2117"/>
    <mergeCell ref="A2118:H2118"/>
    <mergeCell ref="A2119:B2119"/>
    <mergeCell ref="F2119:G2119"/>
    <mergeCell ref="A2120:B2120"/>
    <mergeCell ref="F2120:G2120"/>
    <mergeCell ref="A2121:B2121"/>
    <mergeCell ref="F2121:G2121"/>
    <mergeCell ref="A2122:B2122"/>
    <mergeCell ref="F2122:G2122"/>
    <mergeCell ref="A2123:B2123"/>
    <mergeCell ref="F2123:G2123"/>
    <mergeCell ref="A2124:B2124"/>
    <mergeCell ref="F2124:G2124"/>
    <mergeCell ref="A2125:B2125"/>
    <mergeCell ref="F2125:G2125"/>
    <mergeCell ref="A2126:B2126"/>
    <mergeCell ref="F2126:G2126"/>
    <mergeCell ref="A2127:B2127"/>
    <mergeCell ref="F2127:G2127"/>
    <mergeCell ref="A2128:B2128"/>
    <mergeCell ref="F2128:G2128"/>
    <mergeCell ref="A2129:B2129"/>
    <mergeCell ref="F2129:G2129"/>
    <mergeCell ref="A2076:B2076"/>
    <mergeCell ref="F2076:G2076"/>
    <mergeCell ref="A2077:B2077"/>
    <mergeCell ref="F2077:G2077"/>
    <mergeCell ref="A2078:B2078"/>
    <mergeCell ref="F2078:G2078"/>
    <mergeCell ref="A2079:B2079"/>
    <mergeCell ref="F2079:G2079"/>
    <mergeCell ref="A2080:B2080"/>
    <mergeCell ref="F2080:G2080"/>
    <mergeCell ref="A2081:B2081"/>
    <mergeCell ref="F2081:G2081"/>
    <mergeCell ref="A2082:B2082"/>
    <mergeCell ref="F2082:G2082"/>
    <mergeCell ref="A2083:G2083"/>
    <mergeCell ref="A2084:H2084"/>
    <mergeCell ref="A2085:B2085"/>
    <mergeCell ref="F2085:G2085"/>
    <mergeCell ref="A2086:B2086"/>
    <mergeCell ref="F2086:G2086"/>
    <mergeCell ref="A2087:G2087"/>
    <mergeCell ref="A2088:H2088"/>
    <mergeCell ref="A2089:B2089"/>
    <mergeCell ref="F2089:G2089"/>
    <mergeCell ref="A2090:B2090"/>
    <mergeCell ref="F2090:G2090"/>
    <mergeCell ref="A2091:B2091"/>
    <mergeCell ref="F2091:G2091"/>
    <mergeCell ref="A2092:B2092"/>
    <mergeCell ref="F2092:G2092"/>
    <mergeCell ref="A2093:G2093"/>
    <mergeCell ref="A2095:D2095"/>
    <mergeCell ref="F2100:G2100"/>
    <mergeCell ref="A2041:B2041"/>
    <mergeCell ref="F2041:G2041"/>
    <mergeCell ref="A2042:G2042"/>
    <mergeCell ref="A2044:D2044"/>
    <mergeCell ref="F2049:G2049"/>
    <mergeCell ref="A2052:H2052"/>
    <mergeCell ref="A2054:A2057"/>
    <mergeCell ref="B2054:G2057"/>
    <mergeCell ref="H2054:H2056"/>
    <mergeCell ref="B2058:F2058"/>
    <mergeCell ref="B2059:E2059"/>
    <mergeCell ref="A2062:C2062"/>
    <mergeCell ref="A2063:C2063"/>
    <mergeCell ref="A2064:C2064"/>
    <mergeCell ref="A2065:C2065"/>
    <mergeCell ref="A2066:G2066"/>
    <mergeCell ref="A2067:H2067"/>
    <mergeCell ref="A2068:B2068"/>
    <mergeCell ref="F2068:G2068"/>
    <mergeCell ref="A2069:B2069"/>
    <mergeCell ref="F2069:G2069"/>
    <mergeCell ref="A2070:B2070"/>
    <mergeCell ref="F2070:G2070"/>
    <mergeCell ref="A2071:B2071"/>
    <mergeCell ref="F2071:G2071"/>
    <mergeCell ref="A2072:B2072"/>
    <mergeCell ref="F2072:G2072"/>
    <mergeCell ref="A2073:B2073"/>
    <mergeCell ref="F2073:G2073"/>
    <mergeCell ref="A2074:B2074"/>
    <mergeCell ref="F2074:G2074"/>
    <mergeCell ref="A2075:B2075"/>
    <mergeCell ref="F2075:G2075"/>
    <mergeCell ref="A2022:B2022"/>
    <mergeCell ref="F2022:G2022"/>
    <mergeCell ref="A2023:B2023"/>
    <mergeCell ref="F2023:G2023"/>
    <mergeCell ref="A2024:B2024"/>
    <mergeCell ref="F2024:G2024"/>
    <mergeCell ref="A2025:B2025"/>
    <mergeCell ref="F2025:G2025"/>
    <mergeCell ref="A2026:B2026"/>
    <mergeCell ref="F2026:G2026"/>
    <mergeCell ref="A2027:B2027"/>
    <mergeCell ref="F2027:G2027"/>
    <mergeCell ref="A2028:B2028"/>
    <mergeCell ref="F2028:G2028"/>
    <mergeCell ref="A2029:B2029"/>
    <mergeCell ref="F2029:G2029"/>
    <mergeCell ref="A2030:B2030"/>
    <mergeCell ref="F2030:G2030"/>
    <mergeCell ref="A2031:B2031"/>
    <mergeCell ref="F2031:G2031"/>
    <mergeCell ref="A2032:G2032"/>
    <mergeCell ref="A2033:H2033"/>
    <mergeCell ref="A2034:B2034"/>
    <mergeCell ref="F2034:G2034"/>
    <mergeCell ref="A2035:B2035"/>
    <mergeCell ref="F2035:G2035"/>
    <mergeCell ref="A2036:G2036"/>
    <mergeCell ref="A2037:H2037"/>
    <mergeCell ref="A2038:B2038"/>
    <mergeCell ref="F2038:G2038"/>
    <mergeCell ref="A2039:B2039"/>
    <mergeCell ref="F2039:G2039"/>
    <mergeCell ref="A2040:B2040"/>
    <mergeCell ref="F2040:G2040"/>
    <mergeCell ref="A1986:H1986"/>
    <mergeCell ref="A1987:B1987"/>
    <mergeCell ref="F1987:G1987"/>
    <mergeCell ref="A1988:B1988"/>
    <mergeCell ref="F1988:G1988"/>
    <mergeCell ref="A1989:B1989"/>
    <mergeCell ref="F1989:G1989"/>
    <mergeCell ref="A1990:B1990"/>
    <mergeCell ref="F1990:G1990"/>
    <mergeCell ref="A1991:G1991"/>
    <mergeCell ref="A1993:D1993"/>
    <mergeCell ref="F1998:G1998"/>
    <mergeCell ref="A2001:H2001"/>
    <mergeCell ref="A2003:A2006"/>
    <mergeCell ref="B2003:G2006"/>
    <mergeCell ref="H2003:H2005"/>
    <mergeCell ref="B2007:F2007"/>
    <mergeCell ref="B2008:E2008"/>
    <mergeCell ref="A2011:C2011"/>
    <mergeCell ref="A2012:C2012"/>
    <mergeCell ref="A2013:C2013"/>
    <mergeCell ref="A2014:C2014"/>
    <mergeCell ref="A2015:G2015"/>
    <mergeCell ref="A2016:H2016"/>
    <mergeCell ref="A2017:B2017"/>
    <mergeCell ref="F2017:G2017"/>
    <mergeCell ref="A2018:B2018"/>
    <mergeCell ref="F2018:G2018"/>
    <mergeCell ref="A2019:B2019"/>
    <mergeCell ref="F2019:G2019"/>
    <mergeCell ref="A2020:B2020"/>
    <mergeCell ref="F2020:G2020"/>
    <mergeCell ref="A2021:B2021"/>
    <mergeCell ref="F2021:G2021"/>
    <mergeCell ref="A1968:B1968"/>
    <mergeCell ref="F1968:G1968"/>
    <mergeCell ref="A1969:B1969"/>
    <mergeCell ref="F1969:G1969"/>
    <mergeCell ref="A1970:B1970"/>
    <mergeCell ref="F1970:G1970"/>
    <mergeCell ref="A1971:B1971"/>
    <mergeCell ref="F1971:G1971"/>
    <mergeCell ref="A1972:B1972"/>
    <mergeCell ref="F1972:G1972"/>
    <mergeCell ref="A1973:B1973"/>
    <mergeCell ref="F1973:G1973"/>
    <mergeCell ref="A1974:B1974"/>
    <mergeCell ref="F1974:G1974"/>
    <mergeCell ref="A1975:B1975"/>
    <mergeCell ref="F1975:G1975"/>
    <mergeCell ref="A1976:B1976"/>
    <mergeCell ref="F1976:G1976"/>
    <mergeCell ref="A1977:B1977"/>
    <mergeCell ref="F1977:G1977"/>
    <mergeCell ref="A1978:B1978"/>
    <mergeCell ref="F1978:G1978"/>
    <mergeCell ref="A1979:B1979"/>
    <mergeCell ref="F1979:G1979"/>
    <mergeCell ref="A1980:B1980"/>
    <mergeCell ref="F1980:G1980"/>
    <mergeCell ref="A1981:G1981"/>
    <mergeCell ref="A1982:H1982"/>
    <mergeCell ref="A1983:B1983"/>
    <mergeCell ref="F1983:G1983"/>
    <mergeCell ref="A1984:B1984"/>
    <mergeCell ref="F1984:G1984"/>
    <mergeCell ref="A1985:G1985"/>
    <mergeCell ref="A1931:H1931"/>
    <mergeCell ref="A1932:B1932"/>
    <mergeCell ref="F1932:G1932"/>
    <mergeCell ref="A1933:B1933"/>
    <mergeCell ref="F1933:G1933"/>
    <mergeCell ref="A1934:G1934"/>
    <mergeCell ref="A1935:H1935"/>
    <mergeCell ref="A1936:B1936"/>
    <mergeCell ref="F1936:G1936"/>
    <mergeCell ref="A1937:B1937"/>
    <mergeCell ref="F1937:G1937"/>
    <mergeCell ref="A1938:B1938"/>
    <mergeCell ref="F1938:G1938"/>
    <mergeCell ref="A1939:B1939"/>
    <mergeCell ref="F1939:G1939"/>
    <mergeCell ref="A1940:G1940"/>
    <mergeCell ref="A1942:D1942"/>
    <mergeCell ref="F1947:G1947"/>
    <mergeCell ref="A1950:H1950"/>
    <mergeCell ref="A1952:A1955"/>
    <mergeCell ref="B1952:G1955"/>
    <mergeCell ref="H1952:H1954"/>
    <mergeCell ref="B1956:F1956"/>
    <mergeCell ref="B1957:E1957"/>
    <mergeCell ref="A1960:C1960"/>
    <mergeCell ref="A1961:C1961"/>
    <mergeCell ref="A1962:C1962"/>
    <mergeCell ref="A1963:C1963"/>
    <mergeCell ref="A1964:G1964"/>
    <mergeCell ref="A1965:H1965"/>
    <mergeCell ref="A1966:B1966"/>
    <mergeCell ref="F1966:G1966"/>
    <mergeCell ref="A1967:B1967"/>
    <mergeCell ref="F1967:G1967"/>
    <mergeCell ref="A1913:G1913"/>
    <mergeCell ref="A1914:H1914"/>
    <mergeCell ref="A1915:B1915"/>
    <mergeCell ref="F1915:G1915"/>
    <mergeCell ref="A1916:B1916"/>
    <mergeCell ref="F1916:G1916"/>
    <mergeCell ref="A1917:B1917"/>
    <mergeCell ref="F1917:G1917"/>
    <mergeCell ref="A1918:B1918"/>
    <mergeCell ref="F1918:G1918"/>
    <mergeCell ref="A1919:B1919"/>
    <mergeCell ref="F1919:G1919"/>
    <mergeCell ref="A1920:B1920"/>
    <mergeCell ref="F1920:G1920"/>
    <mergeCell ref="A1921:B1921"/>
    <mergeCell ref="F1921:G1921"/>
    <mergeCell ref="A1922:B1922"/>
    <mergeCell ref="F1922:G1922"/>
    <mergeCell ref="A1923:B1923"/>
    <mergeCell ref="F1923:G1923"/>
    <mergeCell ref="A1924:B1924"/>
    <mergeCell ref="F1924:G1924"/>
    <mergeCell ref="A1925:B1925"/>
    <mergeCell ref="F1925:G1925"/>
    <mergeCell ref="A1926:B1926"/>
    <mergeCell ref="F1926:G1926"/>
    <mergeCell ref="A1927:B1927"/>
    <mergeCell ref="F1927:G1927"/>
    <mergeCell ref="A1928:B1928"/>
    <mergeCell ref="F1928:G1928"/>
    <mergeCell ref="A1929:B1929"/>
    <mergeCell ref="F1929:G1929"/>
    <mergeCell ref="A1930:G1930"/>
    <mergeCell ref="A1877:B1877"/>
    <mergeCell ref="F1877:G1877"/>
    <mergeCell ref="A1878:B1878"/>
    <mergeCell ref="F1878:G1878"/>
    <mergeCell ref="A1879:G1879"/>
    <mergeCell ref="A1880:H1880"/>
    <mergeCell ref="A1881:B1881"/>
    <mergeCell ref="F1881:G1881"/>
    <mergeCell ref="A1882:B1882"/>
    <mergeCell ref="F1882:G1882"/>
    <mergeCell ref="A1883:G1883"/>
    <mergeCell ref="A1884:H1884"/>
    <mergeCell ref="A1885:B1885"/>
    <mergeCell ref="F1885:G1885"/>
    <mergeCell ref="A1886:B1886"/>
    <mergeCell ref="F1886:G1886"/>
    <mergeCell ref="A1887:B1887"/>
    <mergeCell ref="F1887:G1887"/>
    <mergeCell ref="A1888:B1888"/>
    <mergeCell ref="F1888:G1888"/>
    <mergeCell ref="A1889:G1889"/>
    <mergeCell ref="A1891:D1891"/>
    <mergeCell ref="F1896:G1896"/>
    <mergeCell ref="A1899:H1899"/>
    <mergeCell ref="A1901:A1904"/>
    <mergeCell ref="B1901:G1904"/>
    <mergeCell ref="H1901:H1903"/>
    <mergeCell ref="B1905:F1905"/>
    <mergeCell ref="B1906:E1906"/>
    <mergeCell ref="A1909:C1909"/>
    <mergeCell ref="A1910:C1910"/>
    <mergeCell ref="A1911:C1911"/>
    <mergeCell ref="A1912:C1912"/>
    <mergeCell ref="B1855:E1855"/>
    <mergeCell ref="A1858:C1858"/>
    <mergeCell ref="A1859:C1859"/>
    <mergeCell ref="A1860:C1860"/>
    <mergeCell ref="A1861:C1861"/>
    <mergeCell ref="A1862:G1862"/>
    <mergeCell ref="A1863:H1863"/>
    <mergeCell ref="A1864:B1864"/>
    <mergeCell ref="F1864:G1864"/>
    <mergeCell ref="A1865:B1865"/>
    <mergeCell ref="F1865:G1865"/>
    <mergeCell ref="A1866:B1866"/>
    <mergeCell ref="F1866:G1866"/>
    <mergeCell ref="A1867:B1867"/>
    <mergeCell ref="F1867:G1867"/>
    <mergeCell ref="A1868:B1868"/>
    <mergeCell ref="F1868:G1868"/>
    <mergeCell ref="A1869:B1869"/>
    <mergeCell ref="F1869:G1869"/>
    <mergeCell ref="A1870:B1870"/>
    <mergeCell ref="F1870:G1870"/>
    <mergeCell ref="A1871:B1871"/>
    <mergeCell ref="F1871:G1871"/>
    <mergeCell ref="A1872:B1872"/>
    <mergeCell ref="F1872:G1872"/>
    <mergeCell ref="A1873:B1873"/>
    <mergeCell ref="F1873:G1873"/>
    <mergeCell ref="A1874:B1874"/>
    <mergeCell ref="F1874:G1874"/>
    <mergeCell ref="A1875:B1875"/>
    <mergeCell ref="F1875:G1875"/>
    <mergeCell ref="A1876:B1876"/>
    <mergeCell ref="F1876:G1876"/>
    <mergeCell ref="F9233:G9233"/>
    <mergeCell ref="A9234:G9234"/>
    <mergeCell ref="A9235:H9235"/>
    <mergeCell ref="A9236:B9236"/>
    <mergeCell ref="F9236:G9236"/>
    <mergeCell ref="A9237:B9237"/>
    <mergeCell ref="F9237:G9237"/>
    <mergeCell ref="A9238:B9238"/>
    <mergeCell ref="F9238:G9238"/>
    <mergeCell ref="A9239:B9239"/>
    <mergeCell ref="F9239:G9239"/>
    <mergeCell ref="A9240:G9240"/>
    <mergeCell ref="A9242:D9242"/>
    <mergeCell ref="F9247:G9247"/>
    <mergeCell ref="A1797:H1797"/>
    <mergeCell ref="A1799:A1802"/>
    <mergeCell ref="B1799:G1802"/>
    <mergeCell ref="H1799:H1801"/>
    <mergeCell ref="B1803:F1803"/>
    <mergeCell ref="B1804:E1804"/>
    <mergeCell ref="A1807:C1807"/>
    <mergeCell ref="A1808:C1808"/>
    <mergeCell ref="A1809:C1809"/>
    <mergeCell ref="A1810:C1810"/>
    <mergeCell ref="A1811:G1811"/>
    <mergeCell ref="A1812:H1812"/>
    <mergeCell ref="A1813:B1813"/>
    <mergeCell ref="F1813:G1813"/>
    <mergeCell ref="A1814:B1814"/>
    <mergeCell ref="F1814:G1814"/>
    <mergeCell ref="A1815:B1815"/>
    <mergeCell ref="F1815:G1815"/>
    <mergeCell ref="A1816:B1816"/>
    <mergeCell ref="F1816:G1816"/>
    <mergeCell ref="A1817:B1817"/>
    <mergeCell ref="F1817:G1817"/>
    <mergeCell ref="A1818:B1818"/>
    <mergeCell ref="F1818:G1818"/>
    <mergeCell ref="A1819:B1819"/>
    <mergeCell ref="F1819:G1819"/>
    <mergeCell ref="A1820:B1820"/>
    <mergeCell ref="F1820:G1820"/>
    <mergeCell ref="A1821:B1821"/>
    <mergeCell ref="F1821:G1821"/>
    <mergeCell ref="A1822:B1822"/>
    <mergeCell ref="F1822:G1822"/>
    <mergeCell ref="A1823:B1823"/>
    <mergeCell ref="A9190:D9190"/>
    <mergeCell ref="F9195:G9195"/>
    <mergeCell ref="A9198:H9198"/>
    <mergeCell ref="A9200:A9203"/>
    <mergeCell ref="B9200:G9203"/>
    <mergeCell ref="H9200:H9202"/>
    <mergeCell ref="B9204:F9204"/>
    <mergeCell ref="B9205:E9205"/>
    <mergeCell ref="A9208:C9208"/>
    <mergeCell ref="A9209:C9209"/>
    <mergeCell ref="A9210:C9210"/>
    <mergeCell ref="A9211:C9211"/>
    <mergeCell ref="A9212:C9212"/>
    <mergeCell ref="A9213:G9213"/>
    <mergeCell ref="A9214:H9214"/>
    <mergeCell ref="A9215:B9215"/>
    <mergeCell ref="F9215:G9215"/>
    <mergeCell ref="A9216:B9216"/>
    <mergeCell ref="F9216:G9216"/>
    <mergeCell ref="A9217:B9217"/>
    <mergeCell ref="F9217:G9217"/>
    <mergeCell ref="A9218:B9218"/>
    <mergeCell ref="F9218:G9218"/>
    <mergeCell ref="A9219:B9219"/>
    <mergeCell ref="F9219:G9219"/>
    <mergeCell ref="A9220:B9220"/>
    <mergeCell ref="F9220:G9220"/>
    <mergeCell ref="A9221:B9221"/>
    <mergeCell ref="F9221:G9221"/>
    <mergeCell ref="A9222:B9222"/>
    <mergeCell ref="F9222:G9222"/>
    <mergeCell ref="A9223:B9223"/>
    <mergeCell ref="F9223:G9223"/>
    <mergeCell ref="A9170:B9170"/>
    <mergeCell ref="F9170:G9170"/>
    <mergeCell ref="A9171:B9171"/>
    <mergeCell ref="F9171:G9171"/>
    <mergeCell ref="A9172:B9172"/>
    <mergeCell ref="F9172:G9172"/>
    <mergeCell ref="A9173:B9173"/>
    <mergeCell ref="F9173:G9173"/>
    <mergeCell ref="A9174:B9174"/>
    <mergeCell ref="F9174:G9174"/>
    <mergeCell ref="A9175:B9175"/>
    <mergeCell ref="F9175:G9175"/>
    <mergeCell ref="A9176:B9176"/>
    <mergeCell ref="F9176:G9176"/>
    <mergeCell ref="A9177:B9177"/>
    <mergeCell ref="F9177:G9177"/>
    <mergeCell ref="A9178:G9178"/>
    <mergeCell ref="A9179:H9179"/>
    <mergeCell ref="A9180:B9180"/>
    <mergeCell ref="F9180:G9180"/>
    <mergeCell ref="A9181:B9181"/>
    <mergeCell ref="F9181:G9181"/>
    <mergeCell ref="A9182:G9182"/>
    <mergeCell ref="A9183:H9183"/>
    <mergeCell ref="A9184:B9184"/>
    <mergeCell ref="F9184:G9184"/>
    <mergeCell ref="A9185:B9185"/>
    <mergeCell ref="F9185:G9185"/>
    <mergeCell ref="A9186:B9186"/>
    <mergeCell ref="F9186:G9186"/>
    <mergeCell ref="A9187:B9187"/>
    <mergeCell ref="F9187:G9187"/>
    <mergeCell ref="A9188:G9188"/>
    <mergeCell ref="A9134:B9134"/>
    <mergeCell ref="F9134:G9134"/>
    <mergeCell ref="A9135:B9135"/>
    <mergeCell ref="F9135:G9135"/>
    <mergeCell ref="A9136:G9136"/>
    <mergeCell ref="A9138:D9138"/>
    <mergeCell ref="F9143:G9143"/>
    <mergeCell ref="A9146:H9146"/>
    <mergeCell ref="A9148:A9151"/>
    <mergeCell ref="B9148:G9151"/>
    <mergeCell ref="H9148:H9150"/>
    <mergeCell ref="B9152:F9152"/>
    <mergeCell ref="B9153:E9153"/>
    <mergeCell ref="A9156:C9156"/>
    <mergeCell ref="A9157:C9157"/>
    <mergeCell ref="A9158:C9158"/>
    <mergeCell ref="A9159:C9159"/>
    <mergeCell ref="A9160:C9160"/>
    <mergeCell ref="A9161:G9161"/>
    <mergeCell ref="A9162:H9162"/>
    <mergeCell ref="A9163:B9163"/>
    <mergeCell ref="F9163:G9163"/>
    <mergeCell ref="A9164:B9164"/>
    <mergeCell ref="F9164:G9164"/>
    <mergeCell ref="A9165:B9165"/>
    <mergeCell ref="F9165:G9165"/>
    <mergeCell ref="A9166:B9166"/>
    <mergeCell ref="F9166:G9166"/>
    <mergeCell ref="A9167:B9167"/>
    <mergeCell ref="F9167:G9167"/>
    <mergeCell ref="A9168:B9168"/>
    <mergeCell ref="F9168:G9168"/>
    <mergeCell ref="A9169:B9169"/>
    <mergeCell ref="F9169:G9169"/>
    <mergeCell ref="A9115:B9115"/>
    <mergeCell ref="F9115:G9115"/>
    <mergeCell ref="A9116:B9116"/>
    <mergeCell ref="F9116:G9116"/>
    <mergeCell ref="A9117:B9117"/>
    <mergeCell ref="F9117:G9117"/>
    <mergeCell ref="A9118:B9118"/>
    <mergeCell ref="F9118:G9118"/>
    <mergeCell ref="A9119:B9119"/>
    <mergeCell ref="F9119:G9119"/>
    <mergeCell ref="A9120:B9120"/>
    <mergeCell ref="F9120:G9120"/>
    <mergeCell ref="A9121:B9121"/>
    <mergeCell ref="F9121:G9121"/>
    <mergeCell ref="A9122:B9122"/>
    <mergeCell ref="F9122:G9122"/>
    <mergeCell ref="A9123:B9123"/>
    <mergeCell ref="F9123:G9123"/>
    <mergeCell ref="A9124:B9124"/>
    <mergeCell ref="F9124:G9124"/>
    <mergeCell ref="A9125:B9125"/>
    <mergeCell ref="F9125:G9125"/>
    <mergeCell ref="A9126:G9126"/>
    <mergeCell ref="A9127:H9127"/>
    <mergeCell ref="A9128:B9128"/>
    <mergeCell ref="F9128:G9128"/>
    <mergeCell ref="A9129:B9129"/>
    <mergeCell ref="F9129:G9129"/>
    <mergeCell ref="A9130:G9130"/>
    <mergeCell ref="A9131:H9131"/>
    <mergeCell ref="A9132:B9132"/>
    <mergeCell ref="F9132:G9132"/>
    <mergeCell ref="A9133:B9133"/>
    <mergeCell ref="F9133:G9133"/>
    <mergeCell ref="A9077:G9077"/>
    <mergeCell ref="A9078:H9078"/>
    <mergeCell ref="A9079:B9079"/>
    <mergeCell ref="F9079:G9079"/>
    <mergeCell ref="A9080:B9080"/>
    <mergeCell ref="F9080:G9080"/>
    <mergeCell ref="A9081:B9081"/>
    <mergeCell ref="F9081:G9081"/>
    <mergeCell ref="A9082:B9082"/>
    <mergeCell ref="F9082:G9082"/>
    <mergeCell ref="A9083:G9083"/>
    <mergeCell ref="A9085:D9085"/>
    <mergeCell ref="F9090:G9090"/>
    <mergeCell ref="A9094:H9094"/>
    <mergeCell ref="A9096:A9099"/>
    <mergeCell ref="B9096:G9099"/>
    <mergeCell ref="H9096:H9098"/>
    <mergeCell ref="B9100:F9100"/>
    <mergeCell ref="B9101:E9101"/>
    <mergeCell ref="A9104:C9104"/>
    <mergeCell ref="A9105:C9105"/>
    <mergeCell ref="A9106:C9106"/>
    <mergeCell ref="A9107:C9107"/>
    <mergeCell ref="A9108:C9108"/>
    <mergeCell ref="A9109:G9109"/>
    <mergeCell ref="A9110:H9110"/>
    <mergeCell ref="A9111:B9111"/>
    <mergeCell ref="F9111:G9111"/>
    <mergeCell ref="A9112:B9112"/>
    <mergeCell ref="F9112:G9112"/>
    <mergeCell ref="A9113:B9113"/>
    <mergeCell ref="F9113:G9113"/>
    <mergeCell ref="A9114:B9114"/>
    <mergeCell ref="F9114:G9114"/>
    <mergeCell ref="A9059:B9059"/>
    <mergeCell ref="F9059:G9059"/>
    <mergeCell ref="A9060:B9060"/>
    <mergeCell ref="F9060:G9060"/>
    <mergeCell ref="A9061:B9061"/>
    <mergeCell ref="F9061:G9061"/>
    <mergeCell ref="A9062:B9062"/>
    <mergeCell ref="F9062:G9062"/>
    <mergeCell ref="A9063:B9063"/>
    <mergeCell ref="F9063:G9063"/>
    <mergeCell ref="A9064:B9064"/>
    <mergeCell ref="F9064:G9064"/>
    <mergeCell ref="A9065:B9065"/>
    <mergeCell ref="F9065:G9065"/>
    <mergeCell ref="A9066:B9066"/>
    <mergeCell ref="F9066:G9066"/>
    <mergeCell ref="A9067:B9067"/>
    <mergeCell ref="F9067:G9067"/>
    <mergeCell ref="A9068:B9068"/>
    <mergeCell ref="F9068:G9068"/>
    <mergeCell ref="A9069:B9069"/>
    <mergeCell ref="F9069:G9069"/>
    <mergeCell ref="A9070:B9070"/>
    <mergeCell ref="F9070:G9070"/>
    <mergeCell ref="A9071:B9071"/>
    <mergeCell ref="F9071:G9071"/>
    <mergeCell ref="A9072:B9072"/>
    <mergeCell ref="F9072:G9072"/>
    <mergeCell ref="A9073:G9073"/>
    <mergeCell ref="A9074:H9074"/>
    <mergeCell ref="A9075:B9075"/>
    <mergeCell ref="F9075:G9075"/>
    <mergeCell ref="A9076:B9076"/>
    <mergeCell ref="F9076:G9076"/>
    <mergeCell ref="A9021:G9021"/>
    <mergeCell ref="A9022:H9022"/>
    <mergeCell ref="A9023:B9023"/>
    <mergeCell ref="F9023:G9023"/>
    <mergeCell ref="A9024:B9024"/>
    <mergeCell ref="F9024:G9024"/>
    <mergeCell ref="A9025:G9025"/>
    <mergeCell ref="A9026:H9026"/>
    <mergeCell ref="A9027:B9027"/>
    <mergeCell ref="F9027:G9027"/>
    <mergeCell ref="A9028:B9028"/>
    <mergeCell ref="F9028:G9028"/>
    <mergeCell ref="A9029:B9029"/>
    <mergeCell ref="F9029:G9029"/>
    <mergeCell ref="A9030:B9030"/>
    <mergeCell ref="F9030:G9030"/>
    <mergeCell ref="A9031:G9031"/>
    <mergeCell ref="A9033:D9033"/>
    <mergeCell ref="F9038:G9038"/>
    <mergeCell ref="A9041:H9041"/>
    <mergeCell ref="A9043:A9046"/>
    <mergeCell ref="B9043:G9046"/>
    <mergeCell ref="H9043:H9045"/>
    <mergeCell ref="B9047:F9047"/>
    <mergeCell ref="B9048:E9048"/>
    <mergeCell ref="A9051:C9051"/>
    <mergeCell ref="A9052:C9052"/>
    <mergeCell ref="A9053:C9053"/>
    <mergeCell ref="A9054:C9054"/>
    <mergeCell ref="A9055:C9055"/>
    <mergeCell ref="A9056:G9056"/>
    <mergeCell ref="A9057:H9057"/>
    <mergeCell ref="A9058:B9058"/>
    <mergeCell ref="F9058:G9058"/>
    <mergeCell ref="A9003:C9003"/>
    <mergeCell ref="A9004:G9004"/>
    <mergeCell ref="A9005:H9005"/>
    <mergeCell ref="A9006:B9006"/>
    <mergeCell ref="F9006:G9006"/>
    <mergeCell ref="A9007:B9007"/>
    <mergeCell ref="F9007:G9007"/>
    <mergeCell ref="A9008:B9008"/>
    <mergeCell ref="F9008:G9008"/>
    <mergeCell ref="A9009:B9009"/>
    <mergeCell ref="F9009:G9009"/>
    <mergeCell ref="A9010:B9010"/>
    <mergeCell ref="F9010:G9010"/>
    <mergeCell ref="A9011:B9011"/>
    <mergeCell ref="F9011:G9011"/>
    <mergeCell ref="A9012:B9012"/>
    <mergeCell ref="F9012:G9012"/>
    <mergeCell ref="A9013:B9013"/>
    <mergeCell ref="F9013:G9013"/>
    <mergeCell ref="A9014:B9014"/>
    <mergeCell ref="F9014:G9014"/>
    <mergeCell ref="A9015:B9015"/>
    <mergeCell ref="F9015:G9015"/>
    <mergeCell ref="A9016:B9016"/>
    <mergeCell ref="F9016:G9016"/>
    <mergeCell ref="A9017:B9017"/>
    <mergeCell ref="F9017:G9017"/>
    <mergeCell ref="A9018:B9018"/>
    <mergeCell ref="F9018:G9018"/>
    <mergeCell ref="A9019:B9019"/>
    <mergeCell ref="F9019:G9019"/>
    <mergeCell ref="A9020:B9020"/>
    <mergeCell ref="F9020:G9020"/>
    <mergeCell ref="A8967:B8967"/>
    <mergeCell ref="F8967:G8967"/>
    <mergeCell ref="A8968:B8968"/>
    <mergeCell ref="F8968:G8968"/>
    <mergeCell ref="A8969:G8969"/>
    <mergeCell ref="A8970:H8970"/>
    <mergeCell ref="A8971:B8971"/>
    <mergeCell ref="F8971:G8971"/>
    <mergeCell ref="A8972:B8972"/>
    <mergeCell ref="F8972:G8972"/>
    <mergeCell ref="A8973:G8973"/>
    <mergeCell ref="A8974:H8974"/>
    <mergeCell ref="A8975:B8975"/>
    <mergeCell ref="F8975:G8975"/>
    <mergeCell ref="A8976:B8976"/>
    <mergeCell ref="F8976:G8976"/>
    <mergeCell ref="A8977:B8977"/>
    <mergeCell ref="F8977:G8977"/>
    <mergeCell ref="A8978:B8978"/>
    <mergeCell ref="F8978:G8978"/>
    <mergeCell ref="A8979:G8979"/>
    <mergeCell ref="A8981:D8981"/>
    <mergeCell ref="F8986:G8986"/>
    <mergeCell ref="A8989:H8989"/>
    <mergeCell ref="A8991:A8994"/>
    <mergeCell ref="B8991:G8994"/>
    <mergeCell ref="H8991:H8993"/>
    <mergeCell ref="B8995:F8995"/>
    <mergeCell ref="B8996:E8996"/>
    <mergeCell ref="A8999:C8999"/>
    <mergeCell ref="A9000:C9000"/>
    <mergeCell ref="A9001:C9001"/>
    <mergeCell ref="A9002:C9002"/>
    <mergeCell ref="A8947:C8947"/>
    <mergeCell ref="A8948:C8948"/>
    <mergeCell ref="A8949:C8949"/>
    <mergeCell ref="A8950:C8950"/>
    <mergeCell ref="A8951:C8951"/>
    <mergeCell ref="A8952:G8952"/>
    <mergeCell ref="A8953:H8953"/>
    <mergeCell ref="A8954:B8954"/>
    <mergeCell ref="F8954:G8954"/>
    <mergeCell ref="A8955:B8955"/>
    <mergeCell ref="F8955:G8955"/>
    <mergeCell ref="A8956:B8956"/>
    <mergeCell ref="F8956:G8956"/>
    <mergeCell ref="A8957:B8957"/>
    <mergeCell ref="F8957:G8957"/>
    <mergeCell ref="A8958:B8958"/>
    <mergeCell ref="F8958:G8958"/>
    <mergeCell ref="A8959:B8959"/>
    <mergeCell ref="F8959:G8959"/>
    <mergeCell ref="A8960:B8960"/>
    <mergeCell ref="F8960:G8960"/>
    <mergeCell ref="A8961:B8961"/>
    <mergeCell ref="F8961:G8961"/>
    <mergeCell ref="A8962:B8962"/>
    <mergeCell ref="F8962:G8962"/>
    <mergeCell ref="A8963:B8963"/>
    <mergeCell ref="F8963:G8963"/>
    <mergeCell ref="A8964:B8964"/>
    <mergeCell ref="F8964:G8964"/>
    <mergeCell ref="A8965:B8965"/>
    <mergeCell ref="F8965:G8965"/>
    <mergeCell ref="A8966:B8966"/>
    <mergeCell ref="F8966:G8966"/>
    <mergeCell ref="A8937:H8937"/>
    <mergeCell ref="A8939:A8942"/>
    <mergeCell ref="B8939:G8942"/>
    <mergeCell ref="H8939:H8941"/>
    <mergeCell ref="B8943:F8943"/>
    <mergeCell ref="B8889:E8889"/>
    <mergeCell ref="A8892:C8892"/>
    <mergeCell ref="A8893:C8893"/>
    <mergeCell ref="A8894:C8894"/>
    <mergeCell ref="A8895:C8895"/>
    <mergeCell ref="A8896:C8896"/>
    <mergeCell ref="A8897:G8897"/>
    <mergeCell ref="A8898:H8898"/>
    <mergeCell ref="A8899:B8899"/>
    <mergeCell ref="F8899:G8899"/>
    <mergeCell ref="A8900:B8900"/>
    <mergeCell ref="F8900:G8900"/>
    <mergeCell ref="A8901:B8901"/>
    <mergeCell ref="F8901:G8901"/>
    <mergeCell ref="A8902:B8902"/>
    <mergeCell ref="F8902:G8902"/>
    <mergeCell ref="A8903:B8903"/>
    <mergeCell ref="F8903:G8903"/>
    <mergeCell ref="A8904:B8904"/>
    <mergeCell ref="F8904:G8904"/>
    <mergeCell ref="A8905:B8905"/>
    <mergeCell ref="F8905:G8905"/>
    <mergeCell ref="A8906:B8906"/>
    <mergeCell ref="F8906:G8906"/>
    <mergeCell ref="A8907:B8907"/>
    <mergeCell ref="F8907:G8907"/>
    <mergeCell ref="A8908:B8908"/>
    <mergeCell ref="B8944:E8944"/>
    <mergeCell ref="A8910:B8910"/>
    <mergeCell ref="F8910:G8910"/>
    <mergeCell ref="A8922:B8922"/>
    <mergeCell ref="F8922:G8922"/>
    <mergeCell ref="A8923:B8923"/>
    <mergeCell ref="F8923:G8923"/>
    <mergeCell ref="A8924:G8924"/>
    <mergeCell ref="A8926:D8926"/>
    <mergeCell ref="F8931:G8931"/>
    <mergeCell ref="A8911:B8911"/>
    <mergeCell ref="F8911:G8911"/>
    <mergeCell ref="A8912:B8912"/>
    <mergeCell ref="F8912:G8912"/>
    <mergeCell ref="A8913:B8913"/>
    <mergeCell ref="F8913:G8913"/>
    <mergeCell ref="A8914:G8914"/>
    <mergeCell ref="A8915:H8915"/>
    <mergeCell ref="A8916:B8916"/>
    <mergeCell ref="F8916:G8916"/>
    <mergeCell ref="A8917:B8917"/>
    <mergeCell ref="F8917:G8917"/>
    <mergeCell ref="A8918:G8918"/>
    <mergeCell ref="A8919:H8919"/>
    <mergeCell ref="A8920:B8920"/>
    <mergeCell ref="F8920:G8920"/>
    <mergeCell ref="A8921:B8921"/>
    <mergeCell ref="F8921:G8921"/>
    <mergeCell ref="B6311:F6311"/>
    <mergeCell ref="B6312:E6312"/>
    <mergeCell ref="A6315:C6315"/>
    <mergeCell ref="A6316:C6316"/>
    <mergeCell ref="A6317:C6317"/>
    <mergeCell ref="A6318:C6318"/>
    <mergeCell ref="A6319:C6319"/>
    <mergeCell ref="A6320:G6320"/>
    <mergeCell ref="A6321:H6321"/>
    <mergeCell ref="A6322:B6322"/>
    <mergeCell ref="F6322:G6322"/>
    <mergeCell ref="F6333:G6333"/>
    <mergeCell ref="A6334:B6334"/>
    <mergeCell ref="F6334:G6334"/>
    <mergeCell ref="A6335:B6335"/>
    <mergeCell ref="F6335:G6335"/>
    <mergeCell ref="A6336:B6336"/>
    <mergeCell ref="F6336:G6336"/>
    <mergeCell ref="A6337:G6337"/>
    <mergeCell ref="A6338:H6338"/>
    <mergeCell ref="A6339:B6339"/>
    <mergeCell ref="F6339:G6339"/>
    <mergeCell ref="A6340:B6340"/>
    <mergeCell ref="F6340:G6340"/>
    <mergeCell ref="A6341:G6341"/>
    <mergeCell ref="A6323:B6323"/>
    <mergeCell ref="F6323:G6323"/>
    <mergeCell ref="A6324:B6324"/>
    <mergeCell ref="F6324:G6324"/>
    <mergeCell ref="A6325:B6325"/>
    <mergeCell ref="F6325:G6325"/>
    <mergeCell ref="A6326:B6326"/>
    <mergeCell ref="F6326:G6326"/>
    <mergeCell ref="A6327:B6327"/>
    <mergeCell ref="F6327:G6327"/>
    <mergeCell ref="A6328:B6328"/>
    <mergeCell ref="F6328:G6328"/>
    <mergeCell ref="A6329:B6329"/>
    <mergeCell ref="F6329:G6329"/>
    <mergeCell ref="A6330:B6330"/>
    <mergeCell ref="F6330:G6330"/>
    <mergeCell ref="A6331:B6331"/>
    <mergeCell ref="F6331:G6331"/>
    <mergeCell ref="A6279:B6279"/>
    <mergeCell ref="F6279:G6279"/>
    <mergeCell ref="A6280:B6280"/>
    <mergeCell ref="F6280:G6280"/>
    <mergeCell ref="A6281:B6281"/>
    <mergeCell ref="F6281:G6281"/>
    <mergeCell ref="A6282:B6282"/>
    <mergeCell ref="F6282:G6282"/>
    <mergeCell ref="A6283:B6283"/>
    <mergeCell ref="F6283:G6283"/>
    <mergeCell ref="A6284:B6284"/>
    <mergeCell ref="F6284:G6284"/>
    <mergeCell ref="A6285:G6285"/>
    <mergeCell ref="A6286:H6286"/>
    <mergeCell ref="A6287:B6287"/>
    <mergeCell ref="F6287:G6287"/>
    <mergeCell ref="A6288:B6288"/>
    <mergeCell ref="F6288:G6288"/>
    <mergeCell ref="A6289:G6289"/>
    <mergeCell ref="A6290:H6290"/>
    <mergeCell ref="A6291:B6291"/>
    <mergeCell ref="F6291:G6291"/>
    <mergeCell ref="A6292:B6292"/>
    <mergeCell ref="F6292:G6292"/>
    <mergeCell ref="A6293:B6293"/>
    <mergeCell ref="F6293:G6293"/>
    <mergeCell ref="A6294:B6294"/>
    <mergeCell ref="F6294:G6294"/>
    <mergeCell ref="A6295:G6295"/>
    <mergeCell ref="A6297:D6297"/>
    <mergeCell ref="F6302:G6302"/>
    <mergeCell ref="A6305:H6305"/>
    <mergeCell ref="A6307:A6310"/>
    <mergeCell ref="B6307:G6310"/>
    <mergeCell ref="H6307:H6309"/>
    <mergeCell ref="A6243:G6243"/>
    <mergeCell ref="A6245:D6245"/>
    <mergeCell ref="F6250:G6250"/>
    <mergeCell ref="A6253:H6253"/>
    <mergeCell ref="A6255:A6258"/>
    <mergeCell ref="B6255:G6258"/>
    <mergeCell ref="H6255:H6257"/>
    <mergeCell ref="B6259:F6259"/>
    <mergeCell ref="B6260:E6260"/>
    <mergeCell ref="A6263:C6263"/>
    <mergeCell ref="A6264:C6264"/>
    <mergeCell ref="A6265:C6265"/>
    <mergeCell ref="A6266:C6266"/>
    <mergeCell ref="A6267:C6267"/>
    <mergeCell ref="A6268:G6268"/>
    <mergeCell ref="A6269:H6269"/>
    <mergeCell ref="A6270:B6270"/>
    <mergeCell ref="F6270:G6270"/>
    <mergeCell ref="A6271:B6271"/>
    <mergeCell ref="F6271:G6271"/>
    <mergeCell ref="A6272:B6272"/>
    <mergeCell ref="F6272:G6272"/>
    <mergeCell ref="A6273:B6273"/>
    <mergeCell ref="F6273:G6273"/>
    <mergeCell ref="A6274:B6274"/>
    <mergeCell ref="F6274:G6274"/>
    <mergeCell ref="A6275:B6275"/>
    <mergeCell ref="F6275:G6275"/>
    <mergeCell ref="A6276:B6276"/>
    <mergeCell ref="F6276:G6276"/>
    <mergeCell ref="A6277:B6277"/>
    <mergeCell ref="F6277:G6277"/>
    <mergeCell ref="A6278:B6278"/>
    <mergeCell ref="F6278:G6278"/>
    <mergeCell ref="A6224:B6224"/>
    <mergeCell ref="F6224:G6224"/>
    <mergeCell ref="A6225:B6225"/>
    <mergeCell ref="F6225:G6225"/>
    <mergeCell ref="A6226:B6226"/>
    <mergeCell ref="F6226:G6226"/>
    <mergeCell ref="A6227:B6227"/>
    <mergeCell ref="F6227:G6227"/>
    <mergeCell ref="A6228:B6228"/>
    <mergeCell ref="F6228:G6228"/>
    <mergeCell ref="A6229:B6229"/>
    <mergeCell ref="F6229:G6229"/>
    <mergeCell ref="A6230:B6230"/>
    <mergeCell ref="F6230:G6230"/>
    <mergeCell ref="A6231:B6231"/>
    <mergeCell ref="F6231:G6231"/>
    <mergeCell ref="A6232:B6232"/>
    <mergeCell ref="F6232:G6232"/>
    <mergeCell ref="A6233:G6233"/>
    <mergeCell ref="A6234:H6234"/>
    <mergeCell ref="A6235:B6235"/>
    <mergeCell ref="F6235:G6235"/>
    <mergeCell ref="A6236:B6236"/>
    <mergeCell ref="F6236:G6236"/>
    <mergeCell ref="A6237:G6237"/>
    <mergeCell ref="A6238:H6238"/>
    <mergeCell ref="A6239:B6239"/>
    <mergeCell ref="F6239:G6239"/>
    <mergeCell ref="A6240:B6240"/>
    <mergeCell ref="F6240:G6240"/>
    <mergeCell ref="A6241:B6241"/>
    <mergeCell ref="F6241:G6241"/>
    <mergeCell ref="A6242:B6242"/>
    <mergeCell ref="F6242:G6242"/>
    <mergeCell ref="A6188:B6188"/>
    <mergeCell ref="F6188:G6188"/>
    <mergeCell ref="A6189:B6189"/>
    <mergeCell ref="F6189:G6189"/>
    <mergeCell ref="A6190:B6190"/>
    <mergeCell ref="F6190:G6190"/>
    <mergeCell ref="A6191:G6191"/>
    <mergeCell ref="A6193:D6193"/>
    <mergeCell ref="F6198:G6198"/>
    <mergeCell ref="A6201:H6201"/>
    <mergeCell ref="A6203:A6206"/>
    <mergeCell ref="B6203:G6206"/>
    <mergeCell ref="H6203:H6205"/>
    <mergeCell ref="B6207:F6207"/>
    <mergeCell ref="B6208:E6208"/>
    <mergeCell ref="A6211:C6211"/>
    <mergeCell ref="A6212:C6212"/>
    <mergeCell ref="A6213:C6213"/>
    <mergeCell ref="A6214:C6214"/>
    <mergeCell ref="A6215:C6215"/>
    <mergeCell ref="A6216:G6216"/>
    <mergeCell ref="A6217:H6217"/>
    <mergeCell ref="A6218:B6218"/>
    <mergeCell ref="F6218:G6218"/>
    <mergeCell ref="A6219:B6219"/>
    <mergeCell ref="F6219:G6219"/>
    <mergeCell ref="A6220:B6220"/>
    <mergeCell ref="F6220:G6220"/>
    <mergeCell ref="A6221:B6221"/>
    <mergeCell ref="F6221:G6221"/>
    <mergeCell ref="A6222:B6222"/>
    <mergeCell ref="F6222:G6222"/>
    <mergeCell ref="A6223:B6223"/>
    <mergeCell ref="F6223:G6223"/>
    <mergeCell ref="A6169:B6169"/>
    <mergeCell ref="F6169:G6169"/>
    <mergeCell ref="A6170:B6170"/>
    <mergeCell ref="F6170:G6170"/>
    <mergeCell ref="A6171:B6171"/>
    <mergeCell ref="F6171:G6171"/>
    <mergeCell ref="A6172:B6172"/>
    <mergeCell ref="F6172:G6172"/>
    <mergeCell ref="A6173:B6173"/>
    <mergeCell ref="F6173:G6173"/>
    <mergeCell ref="A6174:B6174"/>
    <mergeCell ref="F6174:G6174"/>
    <mergeCell ref="A6175:B6175"/>
    <mergeCell ref="F6175:G6175"/>
    <mergeCell ref="A6176:B6176"/>
    <mergeCell ref="F6176:G6176"/>
    <mergeCell ref="A6177:B6177"/>
    <mergeCell ref="F6177:G6177"/>
    <mergeCell ref="A6178:B6178"/>
    <mergeCell ref="F6178:G6178"/>
    <mergeCell ref="A6179:B6179"/>
    <mergeCell ref="F6179:G6179"/>
    <mergeCell ref="A6180:B6180"/>
    <mergeCell ref="F6180:G6180"/>
    <mergeCell ref="A6181:G6181"/>
    <mergeCell ref="A6182:H6182"/>
    <mergeCell ref="A6183:B6183"/>
    <mergeCell ref="F6183:G6183"/>
    <mergeCell ref="A6184:B6184"/>
    <mergeCell ref="F6184:G6184"/>
    <mergeCell ref="A6185:G6185"/>
    <mergeCell ref="A6186:H6186"/>
    <mergeCell ref="A6187:B6187"/>
    <mergeCell ref="F6187:G6187"/>
    <mergeCell ref="A6133:B6133"/>
    <mergeCell ref="F6133:G6133"/>
    <mergeCell ref="A6134:G6134"/>
    <mergeCell ref="A6135:H6135"/>
    <mergeCell ref="A6136:B6136"/>
    <mergeCell ref="F6136:G6136"/>
    <mergeCell ref="A6137:B6137"/>
    <mergeCell ref="F6137:G6137"/>
    <mergeCell ref="A6138:B6138"/>
    <mergeCell ref="F6138:G6138"/>
    <mergeCell ref="A6139:B6139"/>
    <mergeCell ref="F6139:G6139"/>
    <mergeCell ref="A6140:G6140"/>
    <mergeCell ref="A6142:D6142"/>
    <mergeCell ref="F6147:G6147"/>
    <mergeCell ref="A6149:H6149"/>
    <mergeCell ref="A6151:A6154"/>
    <mergeCell ref="B6151:G6154"/>
    <mergeCell ref="H6151:H6153"/>
    <mergeCell ref="B6155:F6155"/>
    <mergeCell ref="B6156:E6156"/>
    <mergeCell ref="A6159:C6159"/>
    <mergeCell ref="A6160:C6160"/>
    <mergeCell ref="A6161:C6161"/>
    <mergeCell ref="A6162:C6162"/>
    <mergeCell ref="A6163:C6163"/>
    <mergeCell ref="A6164:G6164"/>
    <mergeCell ref="A6165:H6165"/>
    <mergeCell ref="A6166:B6166"/>
    <mergeCell ref="F6166:G6166"/>
    <mergeCell ref="A6167:B6167"/>
    <mergeCell ref="F6167:G6167"/>
    <mergeCell ref="A6168:B6168"/>
    <mergeCell ref="F6168:G6168"/>
    <mergeCell ref="A4693:B4693"/>
    <mergeCell ref="F4693:G4693"/>
    <mergeCell ref="A4694:G4694"/>
    <mergeCell ref="A4695:H4695"/>
    <mergeCell ref="A4696:B4696"/>
    <mergeCell ref="F4696:G4696"/>
    <mergeCell ref="A4697:B4697"/>
    <mergeCell ref="F4697:G4697"/>
    <mergeCell ref="A4698:B4698"/>
    <mergeCell ref="F4698:G4698"/>
    <mergeCell ref="A4699:B4699"/>
    <mergeCell ref="F4699:G4699"/>
    <mergeCell ref="A4700:G4700"/>
    <mergeCell ref="A4702:D4702"/>
    <mergeCell ref="F4707:G4707"/>
    <mergeCell ref="A6098:H6098"/>
    <mergeCell ref="A6100:A6103"/>
    <mergeCell ref="B6100:G6103"/>
    <mergeCell ref="H6100:H6102"/>
    <mergeCell ref="B6104:F6104"/>
    <mergeCell ref="B5688:F5688"/>
    <mergeCell ref="B5689:E5689"/>
    <mergeCell ref="A5692:C5692"/>
    <mergeCell ref="A5693:C5693"/>
    <mergeCell ref="A5695:C5695"/>
    <mergeCell ref="A5696:C5696"/>
    <mergeCell ref="A5697:G5697"/>
    <mergeCell ref="A5698:H5698"/>
    <mergeCell ref="A5699:B5699"/>
    <mergeCell ref="F5699:G5699"/>
    <mergeCell ref="A5694:C5694"/>
    <mergeCell ref="A5715:H5715"/>
    <mergeCell ref="A5716:B5716"/>
    <mergeCell ref="F5716:G5716"/>
    <mergeCell ref="A5717:B5717"/>
    <mergeCell ref="F5717:G5717"/>
    <mergeCell ref="A5718:G5718"/>
    <mergeCell ref="A5719:H5719"/>
    <mergeCell ref="A5710:B5710"/>
    <mergeCell ref="F5710:G5710"/>
    <mergeCell ref="A5711:B5711"/>
    <mergeCell ref="F5711:G5711"/>
    <mergeCell ref="A5712:B5712"/>
    <mergeCell ref="F5712:G5712"/>
    <mergeCell ref="A5713:B5713"/>
    <mergeCell ref="F5713:G5713"/>
    <mergeCell ref="A5714:G5714"/>
    <mergeCell ref="A5734:H5734"/>
    <mergeCell ref="A5736:A5739"/>
    <mergeCell ref="B5736:G5739"/>
    <mergeCell ref="H5736:H5738"/>
    <mergeCell ref="B5740:F5740"/>
    <mergeCell ref="B5741:E5741"/>
    <mergeCell ref="A5744:C5744"/>
    <mergeCell ref="A5745:C5745"/>
    <mergeCell ref="A5746:C5746"/>
    <mergeCell ref="B4869:F4869"/>
    <mergeCell ref="B4870:E4870"/>
    <mergeCell ref="A4873:C4873"/>
    <mergeCell ref="A4874:C4874"/>
    <mergeCell ref="A4875:C4875"/>
    <mergeCell ref="A4876:C4876"/>
    <mergeCell ref="A4877:G4877"/>
    <mergeCell ref="A4878:H4878"/>
    <mergeCell ref="A4675:B4675"/>
    <mergeCell ref="F4675:G4675"/>
    <mergeCell ref="A4676:B4676"/>
    <mergeCell ref="F4676:G4676"/>
    <mergeCell ref="A4677:B4677"/>
    <mergeCell ref="F4677:G4677"/>
    <mergeCell ref="A4678:B4678"/>
    <mergeCell ref="F4678:G4678"/>
    <mergeCell ref="A4679:B4679"/>
    <mergeCell ref="F4679:G4679"/>
    <mergeCell ref="A4680:B4680"/>
    <mergeCell ref="F4680:G4680"/>
    <mergeCell ref="A4681:B4681"/>
    <mergeCell ref="F4681:G4681"/>
    <mergeCell ref="A4682:B4682"/>
    <mergeCell ref="F4682:G4682"/>
    <mergeCell ref="A4683:B4683"/>
    <mergeCell ref="F4683:G4683"/>
    <mergeCell ref="A4684:B4684"/>
    <mergeCell ref="F4684:G4684"/>
    <mergeCell ref="A4685:B4685"/>
    <mergeCell ref="F4685:G4685"/>
    <mergeCell ref="A4686:B4686"/>
    <mergeCell ref="F4686:G4686"/>
    <mergeCell ref="A4687:B4687"/>
    <mergeCell ref="F4687:G4687"/>
    <mergeCell ref="A4688:B4688"/>
    <mergeCell ref="F4688:G4688"/>
    <mergeCell ref="A4689:B4689"/>
    <mergeCell ref="F4689:G4689"/>
    <mergeCell ref="A4690:G4690"/>
    <mergeCell ref="A4691:H4691"/>
    <mergeCell ref="A4692:B4692"/>
    <mergeCell ref="F4692:G4692"/>
    <mergeCell ref="A4638:B4638"/>
    <mergeCell ref="F4638:G4638"/>
    <mergeCell ref="A4639:G4639"/>
    <mergeCell ref="A4640:H4640"/>
    <mergeCell ref="A4641:B4641"/>
    <mergeCell ref="F4641:G4641"/>
    <mergeCell ref="A4642:B4642"/>
    <mergeCell ref="F4642:G4642"/>
    <mergeCell ref="A4643:G4643"/>
    <mergeCell ref="A4644:H4644"/>
    <mergeCell ref="A4645:B4645"/>
    <mergeCell ref="F4645:G4645"/>
    <mergeCell ref="A4646:B4646"/>
    <mergeCell ref="F4646:G4646"/>
    <mergeCell ref="A4647:B4647"/>
    <mergeCell ref="F4647:G4647"/>
    <mergeCell ref="A4648:B4648"/>
    <mergeCell ref="F4648:G4648"/>
    <mergeCell ref="A4649:G4649"/>
    <mergeCell ref="A4651:D4651"/>
    <mergeCell ref="F4656:G4656"/>
    <mergeCell ref="A4659:H4659"/>
    <mergeCell ref="A4661:A4664"/>
    <mergeCell ref="B4661:G4664"/>
    <mergeCell ref="H4661:H4663"/>
    <mergeCell ref="B4665:F4665"/>
    <mergeCell ref="B4666:E4666"/>
    <mergeCell ref="A4669:C4669"/>
    <mergeCell ref="A4670:C4670"/>
    <mergeCell ref="A4671:C4671"/>
    <mergeCell ref="A4672:C4672"/>
    <mergeCell ref="A4673:G4673"/>
    <mergeCell ref="A4674:H4674"/>
    <mergeCell ref="A4618:C4618"/>
    <mergeCell ref="A4619:C4619"/>
    <mergeCell ref="A4620:C4620"/>
    <mergeCell ref="A4621:C4621"/>
    <mergeCell ref="A4622:G4622"/>
    <mergeCell ref="A4623:H4623"/>
    <mergeCell ref="A4624:B4624"/>
    <mergeCell ref="F4624:G4624"/>
    <mergeCell ref="A4625:B4625"/>
    <mergeCell ref="F4625:G4625"/>
    <mergeCell ref="A4626:B4626"/>
    <mergeCell ref="F4626:G4626"/>
    <mergeCell ref="A4627:B4627"/>
    <mergeCell ref="F4627:G4627"/>
    <mergeCell ref="A4628:B4628"/>
    <mergeCell ref="F4628:G4628"/>
    <mergeCell ref="A4629:B4629"/>
    <mergeCell ref="F4629:G4629"/>
    <mergeCell ref="A4630:B4630"/>
    <mergeCell ref="F4630:G4630"/>
    <mergeCell ref="A4631:B4631"/>
    <mergeCell ref="F4631:G4631"/>
    <mergeCell ref="A4632:B4632"/>
    <mergeCell ref="F4632:G4632"/>
    <mergeCell ref="A4633:B4633"/>
    <mergeCell ref="F4633:G4633"/>
    <mergeCell ref="A4634:B4634"/>
    <mergeCell ref="F4634:G4634"/>
    <mergeCell ref="A4635:B4635"/>
    <mergeCell ref="F4635:G4635"/>
    <mergeCell ref="A4636:B4636"/>
    <mergeCell ref="F4636:G4636"/>
    <mergeCell ref="A4637:B4637"/>
    <mergeCell ref="F4637:G4637"/>
    <mergeCell ref="H4354:H4356"/>
    <mergeCell ref="A4392:B4392"/>
    <mergeCell ref="F4392:G4392"/>
    <mergeCell ref="A4393:G4393"/>
    <mergeCell ref="A4395:D4395"/>
    <mergeCell ref="F4400:G4400"/>
    <mergeCell ref="A4381:B4381"/>
    <mergeCell ref="F4381:G4381"/>
    <mergeCell ref="A4382:B4382"/>
    <mergeCell ref="F4382:G4382"/>
    <mergeCell ref="A4383:G4383"/>
    <mergeCell ref="A4384:H4384"/>
    <mergeCell ref="A4385:B4385"/>
    <mergeCell ref="F4385:G4385"/>
    <mergeCell ref="A4386:B4386"/>
    <mergeCell ref="F4386:G4386"/>
    <mergeCell ref="A4387:G4387"/>
    <mergeCell ref="A4388:H4388"/>
    <mergeCell ref="A4389:B4389"/>
    <mergeCell ref="F4389:G4389"/>
    <mergeCell ref="A4390:B4390"/>
    <mergeCell ref="F4390:G4390"/>
    <mergeCell ref="A4391:B4391"/>
    <mergeCell ref="F4391:G4391"/>
    <mergeCell ref="B4358:F4358"/>
    <mergeCell ref="B4359:E4359"/>
    <mergeCell ref="A4362:C4362"/>
    <mergeCell ref="A4363:C4363"/>
    <mergeCell ref="A4364:C4364"/>
    <mergeCell ref="A4365:C4365"/>
    <mergeCell ref="A4366:G4366"/>
    <mergeCell ref="A4367:H4367"/>
    <mergeCell ref="A4584:B4584"/>
    <mergeCell ref="F4584:G4584"/>
    <mergeCell ref="B4409:F4409"/>
    <mergeCell ref="B4410:E4410"/>
    <mergeCell ref="A4413:C4413"/>
    <mergeCell ref="A4414:C4414"/>
    <mergeCell ref="A4415:C4415"/>
    <mergeCell ref="A4416:C4416"/>
    <mergeCell ref="A4417:G4417"/>
    <mergeCell ref="A4418:H4418"/>
    <mergeCell ref="A4419:B4419"/>
    <mergeCell ref="F4419:G4419"/>
    <mergeCell ref="A4435:H4435"/>
    <mergeCell ref="A4436:B4436"/>
    <mergeCell ref="F4436:G4436"/>
    <mergeCell ref="A4437:B4437"/>
    <mergeCell ref="F4437:G4437"/>
    <mergeCell ref="A4438:G4438"/>
    <mergeCell ref="A4439:H4439"/>
    <mergeCell ref="A4440:B4440"/>
    <mergeCell ref="F4440:G4440"/>
    <mergeCell ref="A4430:B4430"/>
    <mergeCell ref="F4430:G4430"/>
    <mergeCell ref="A4431:B4431"/>
    <mergeCell ref="F4431:G4431"/>
    <mergeCell ref="A4432:B4432"/>
    <mergeCell ref="F4432:G4432"/>
    <mergeCell ref="A4433:B4433"/>
    <mergeCell ref="F4433:G4433"/>
    <mergeCell ref="A4434:G4434"/>
    <mergeCell ref="A4425:B4425"/>
    <mergeCell ref="F4425:G4425"/>
    <mergeCell ref="F4271:G4271"/>
    <mergeCell ref="A4274:B4274"/>
    <mergeCell ref="F4274:G4274"/>
    <mergeCell ref="A4277:B4277"/>
    <mergeCell ref="F4277:G4277"/>
    <mergeCell ref="A4270:B4270"/>
    <mergeCell ref="A480:B480"/>
    <mergeCell ref="A4293:D4293"/>
    <mergeCell ref="F4298:G4298"/>
    <mergeCell ref="A4301:H4301"/>
    <mergeCell ref="A4303:A4306"/>
    <mergeCell ref="B4303:G4306"/>
    <mergeCell ref="H4303:H4305"/>
    <mergeCell ref="B4307:F4307"/>
    <mergeCell ref="B4308:E4308"/>
    <mergeCell ref="A4311:C4311"/>
    <mergeCell ref="A4312:C4312"/>
    <mergeCell ref="A4313:C4313"/>
    <mergeCell ref="A4314:C4314"/>
    <mergeCell ref="A4315:G4315"/>
    <mergeCell ref="A4316:H4316"/>
    <mergeCell ref="A4321:B4321"/>
    <mergeCell ref="F4321:G4321"/>
    <mergeCell ref="A4341:B4341"/>
    <mergeCell ref="F4341:G4341"/>
    <mergeCell ref="F4319:G4319"/>
    <mergeCell ref="A4324:B4324"/>
    <mergeCell ref="F4324:G4324"/>
    <mergeCell ref="A4327:B4327"/>
    <mergeCell ref="F4327:G4327"/>
    <mergeCell ref="A4320:B4320"/>
    <mergeCell ref="F4320:G4320"/>
    <mergeCell ref="A4323:B4323"/>
    <mergeCell ref="F4323:G4323"/>
    <mergeCell ref="A4325:B4325"/>
    <mergeCell ref="F4325:G4325"/>
    <mergeCell ref="A4326:B4326"/>
    <mergeCell ref="F4326:G4326"/>
    <mergeCell ref="F1823:G1823"/>
    <mergeCell ref="A1824:B1824"/>
    <mergeCell ref="F1824:G1824"/>
    <mergeCell ref="A1825:B1825"/>
    <mergeCell ref="F1825:G1825"/>
    <mergeCell ref="A1826:B1826"/>
    <mergeCell ref="F1826:G1826"/>
    <mergeCell ref="A1827:B1827"/>
    <mergeCell ref="F1827:G1827"/>
    <mergeCell ref="A1828:G1828"/>
    <mergeCell ref="A1829:H1829"/>
    <mergeCell ref="A1830:B1830"/>
    <mergeCell ref="F1830:G1830"/>
    <mergeCell ref="A1831:B1831"/>
    <mergeCell ref="F1831:G1831"/>
    <mergeCell ref="A1832:G1832"/>
    <mergeCell ref="A1833:H1833"/>
    <mergeCell ref="A1834:B1834"/>
    <mergeCell ref="F1834:G1834"/>
    <mergeCell ref="A1835:B1835"/>
    <mergeCell ref="F1835:G1835"/>
    <mergeCell ref="A1836:B1836"/>
    <mergeCell ref="F1836:G1836"/>
    <mergeCell ref="A1837:B1837"/>
    <mergeCell ref="F1837:G1837"/>
    <mergeCell ref="A1838:G1838"/>
    <mergeCell ref="A340:B340"/>
    <mergeCell ref="F340:G340"/>
    <mergeCell ref="A341:B341"/>
    <mergeCell ref="F341:G341"/>
    <mergeCell ref="A332:B332"/>
    <mergeCell ref="F332:G332"/>
    <mergeCell ref="A333:B333"/>
    <mergeCell ref="F333:G333"/>
    <mergeCell ref="A334:B334"/>
    <mergeCell ref="A474:C474"/>
    <mergeCell ref="A475:C475"/>
    <mergeCell ref="A476:C476"/>
    <mergeCell ref="A477:C477"/>
    <mergeCell ref="A405:D405"/>
    <mergeCell ref="F410:G410"/>
    <mergeCell ref="A413:H413"/>
    <mergeCell ref="A415:A418"/>
    <mergeCell ref="B415:G418"/>
    <mergeCell ref="H415:H417"/>
    <mergeCell ref="B419:F419"/>
    <mergeCell ref="B420:E420"/>
    <mergeCell ref="A423:C423"/>
    <mergeCell ref="A424:C424"/>
    <mergeCell ref="A425:C425"/>
    <mergeCell ref="A426:C426"/>
    <mergeCell ref="A427:G427"/>
    <mergeCell ref="A428:H428"/>
    <mergeCell ref="A436:B436"/>
    <mergeCell ref="B471:E471"/>
    <mergeCell ref="F84:G84"/>
    <mergeCell ref="A90:B90"/>
    <mergeCell ref="F90:G90"/>
    <mergeCell ref="A91:G91"/>
    <mergeCell ref="A93:B93"/>
    <mergeCell ref="F93:G93"/>
    <mergeCell ref="A94:B94"/>
    <mergeCell ref="F94:G94"/>
    <mergeCell ref="A92:H92"/>
    <mergeCell ref="A89:B89"/>
    <mergeCell ref="F89:G89"/>
    <mergeCell ref="A85:B85"/>
    <mergeCell ref="F85:G85"/>
    <mergeCell ref="A86:B86"/>
    <mergeCell ref="F86:G86"/>
    <mergeCell ref="A87:G87"/>
    <mergeCell ref="A88:H88"/>
    <mergeCell ref="A148:G148"/>
    <mergeCell ref="A150:D150"/>
    <mergeCell ref="F155:G155"/>
    <mergeCell ref="A158:H158"/>
    <mergeCell ref="A160:A163"/>
    <mergeCell ref="B160:G163"/>
    <mergeCell ref="H160:H162"/>
    <mergeCell ref="A175:B175"/>
    <mergeCell ref="F175:G175"/>
    <mergeCell ref="A144:B144"/>
    <mergeCell ref="F144:G144"/>
    <mergeCell ref="A142:G142"/>
    <mergeCell ref="A143:H143"/>
    <mergeCell ref="A145:B145"/>
    <mergeCell ref="F145:G145"/>
    <mergeCell ref="A146:B146"/>
    <mergeCell ref="F146:G146"/>
    <mergeCell ref="A147:B147"/>
    <mergeCell ref="F31:G31"/>
    <mergeCell ref="A31:B31"/>
    <mergeCell ref="A35:G35"/>
    <mergeCell ref="A20:B20"/>
    <mergeCell ref="F20:G20"/>
    <mergeCell ref="A16:C16"/>
    <mergeCell ref="F34:G34"/>
    <mergeCell ref="A34:B34"/>
    <mergeCell ref="F21:G21"/>
    <mergeCell ref="A37:B37"/>
    <mergeCell ref="A28:B28"/>
    <mergeCell ref="F27:G27"/>
    <mergeCell ref="A27:B27"/>
    <mergeCell ref="F26:G26"/>
    <mergeCell ref="A26:B26"/>
    <mergeCell ref="F28:G28"/>
    <mergeCell ref="F22:G22"/>
    <mergeCell ref="A25:B25"/>
    <mergeCell ref="F25:G25"/>
    <mergeCell ref="F24:G24"/>
    <mergeCell ref="A24:B24"/>
    <mergeCell ref="F37:G37"/>
    <mergeCell ref="A33:B33"/>
    <mergeCell ref="F33:G33"/>
    <mergeCell ref="F32:G32"/>
    <mergeCell ref="A32:B32"/>
    <mergeCell ref="A4:H4"/>
    <mergeCell ref="A6:A9"/>
    <mergeCell ref="B6:G9"/>
    <mergeCell ref="H6:H8"/>
    <mergeCell ref="B10:F10"/>
    <mergeCell ref="F23:G23"/>
    <mergeCell ref="F30:G30"/>
    <mergeCell ref="F29:G29"/>
    <mergeCell ref="A29:B29"/>
    <mergeCell ref="B11:E11"/>
    <mergeCell ref="A23:B23"/>
    <mergeCell ref="A14:C14"/>
    <mergeCell ref="A15:C15"/>
    <mergeCell ref="A17:C17"/>
    <mergeCell ref="A18:G18"/>
    <mergeCell ref="A21:B21"/>
    <mergeCell ref="A22:B22"/>
    <mergeCell ref="A19:H19"/>
    <mergeCell ref="A30:B30"/>
    <mergeCell ref="F41:G41"/>
    <mergeCell ref="A66:C66"/>
    <mergeCell ref="A67:C67"/>
    <mergeCell ref="A75:B75"/>
    <mergeCell ref="F75:G75"/>
    <mergeCell ref="A76:B76"/>
    <mergeCell ref="F76:G76"/>
    <mergeCell ref="A77:B77"/>
    <mergeCell ref="F77:G77"/>
    <mergeCell ref="A72:B72"/>
    <mergeCell ref="F72:G72"/>
    <mergeCell ref="A73:B73"/>
    <mergeCell ref="F73:G73"/>
    <mergeCell ref="A74:B74"/>
    <mergeCell ref="F74:G74"/>
    <mergeCell ref="A40:H40"/>
    <mergeCell ref="A36:H36"/>
    <mergeCell ref="A41:B41"/>
    <mergeCell ref="A39:G39"/>
    <mergeCell ref="F38:G38"/>
    <mergeCell ref="A38:B38"/>
    <mergeCell ref="F42:G42"/>
    <mergeCell ref="F43:G43"/>
    <mergeCell ref="F44:G44"/>
    <mergeCell ref="A45:G45"/>
    <mergeCell ref="A44:B44"/>
    <mergeCell ref="A43:B43"/>
    <mergeCell ref="A42:B42"/>
    <mergeCell ref="A47:D47"/>
    <mergeCell ref="F52:G52"/>
    <mergeCell ref="A56:H56"/>
    <mergeCell ref="A58:A61"/>
    <mergeCell ref="B58:G61"/>
    <mergeCell ref="H58:H60"/>
    <mergeCell ref="B62:F62"/>
    <mergeCell ref="B63:E63"/>
    <mergeCell ref="A68:C68"/>
    <mergeCell ref="A69:C69"/>
    <mergeCell ref="A70:G70"/>
    <mergeCell ref="A71:H71"/>
    <mergeCell ref="A78:B78"/>
    <mergeCell ref="A131:B131"/>
    <mergeCell ref="F131:G131"/>
    <mergeCell ref="A132:B132"/>
    <mergeCell ref="F132:G132"/>
    <mergeCell ref="A133:B133"/>
    <mergeCell ref="F133:G133"/>
    <mergeCell ref="A128:B128"/>
    <mergeCell ref="F128:G128"/>
    <mergeCell ref="A129:B129"/>
    <mergeCell ref="F129:G129"/>
    <mergeCell ref="A130:B130"/>
    <mergeCell ref="F130:G130"/>
    <mergeCell ref="B113:F113"/>
    <mergeCell ref="B114:E114"/>
    <mergeCell ref="A118:C118"/>
    <mergeCell ref="A117:C117"/>
    <mergeCell ref="A125:B125"/>
    <mergeCell ref="F125:G125"/>
    <mergeCell ref="A126:B126"/>
    <mergeCell ref="F126:G126"/>
    <mergeCell ref="A127:B127"/>
    <mergeCell ref="F127:G127"/>
    <mergeCell ref="A123:B123"/>
    <mergeCell ref="F123:G123"/>
    <mergeCell ref="A124:B124"/>
    <mergeCell ref="F124:G124"/>
    <mergeCell ref="A119:C119"/>
    <mergeCell ref="A120:C120"/>
    <mergeCell ref="A121:G121"/>
    <mergeCell ref="A122:H122"/>
    <mergeCell ref="A96:B96"/>
    <mergeCell ref="F96:G96"/>
    <mergeCell ref="A97:G97"/>
    <mergeCell ref="A99:D99"/>
    <mergeCell ref="F104:G104"/>
    <mergeCell ref="A107:H107"/>
    <mergeCell ref="A109:A112"/>
    <mergeCell ref="B109:G112"/>
    <mergeCell ref="H109:H111"/>
    <mergeCell ref="F78:G78"/>
    <mergeCell ref="A79:B79"/>
    <mergeCell ref="F79:G79"/>
    <mergeCell ref="A80:B80"/>
    <mergeCell ref="F80:G80"/>
    <mergeCell ref="A84:B84"/>
    <mergeCell ref="A95:B95"/>
    <mergeCell ref="F95:G95"/>
    <mergeCell ref="A81:B81"/>
    <mergeCell ref="F81:G81"/>
    <mergeCell ref="A82:B82"/>
    <mergeCell ref="F82:G82"/>
    <mergeCell ref="A83:B83"/>
    <mergeCell ref="F83:G83"/>
    <mergeCell ref="F147:G147"/>
    <mergeCell ref="A141:B141"/>
    <mergeCell ref="F141:G141"/>
    <mergeCell ref="A134:B134"/>
    <mergeCell ref="F134:G134"/>
    <mergeCell ref="A137:B137"/>
    <mergeCell ref="F137:G137"/>
    <mergeCell ref="A135:B135"/>
    <mergeCell ref="F135:G135"/>
    <mergeCell ref="A136:B136"/>
    <mergeCell ref="F136:G136"/>
    <mergeCell ref="A138:G138"/>
    <mergeCell ref="A139:H139"/>
    <mergeCell ref="A140:B140"/>
    <mergeCell ref="F140:G140"/>
    <mergeCell ref="A188:B188"/>
    <mergeCell ref="F188:G188"/>
    <mergeCell ref="A189:G189"/>
    <mergeCell ref="A190:H190"/>
    <mergeCell ref="A191:B191"/>
    <mergeCell ref="F191:G191"/>
    <mergeCell ref="A184:B184"/>
    <mergeCell ref="F184:G184"/>
    <mergeCell ref="A187:B187"/>
    <mergeCell ref="F187:G187"/>
    <mergeCell ref="A185:B185"/>
    <mergeCell ref="F185:G185"/>
    <mergeCell ref="A186:B186"/>
    <mergeCell ref="F186:G186"/>
    <mergeCell ref="A181:B181"/>
    <mergeCell ref="F181:G181"/>
    <mergeCell ref="A182:B182"/>
    <mergeCell ref="F182:G182"/>
    <mergeCell ref="A183:B183"/>
    <mergeCell ref="F183:G183"/>
    <mergeCell ref="A178:B178"/>
    <mergeCell ref="F178:G178"/>
    <mergeCell ref="A179:B179"/>
    <mergeCell ref="F179:G179"/>
    <mergeCell ref="A180:B180"/>
    <mergeCell ref="F180:G180"/>
    <mergeCell ref="A176:B176"/>
    <mergeCell ref="F176:G176"/>
    <mergeCell ref="A177:B177"/>
    <mergeCell ref="F177:G177"/>
    <mergeCell ref="A174:B174"/>
    <mergeCell ref="F174:G174"/>
    <mergeCell ref="B164:F164"/>
    <mergeCell ref="B165:E165"/>
    <mergeCell ref="A168:C168"/>
    <mergeCell ref="A169:C169"/>
    <mergeCell ref="A170:C170"/>
    <mergeCell ref="A171:C171"/>
    <mergeCell ref="A172:G172"/>
    <mergeCell ref="A173:H173"/>
    <mergeCell ref="A233:B233"/>
    <mergeCell ref="F233:G233"/>
    <mergeCell ref="A234:B234"/>
    <mergeCell ref="F234:G234"/>
    <mergeCell ref="A229:B229"/>
    <mergeCell ref="F229:G229"/>
    <mergeCell ref="A230:B230"/>
    <mergeCell ref="F230:G230"/>
    <mergeCell ref="A231:B231"/>
    <mergeCell ref="F231:G231"/>
    <mergeCell ref="A227:B227"/>
    <mergeCell ref="F227:G227"/>
    <mergeCell ref="A228:B228"/>
    <mergeCell ref="F228:G228"/>
    <mergeCell ref="A225:B225"/>
    <mergeCell ref="F225:G225"/>
    <mergeCell ref="B211:G214"/>
    <mergeCell ref="A232:B232"/>
    <mergeCell ref="F232:G232"/>
    <mergeCell ref="A198:B198"/>
    <mergeCell ref="F198:G198"/>
    <mergeCell ref="A199:G199"/>
    <mergeCell ref="A201:D201"/>
    <mergeCell ref="F206:G206"/>
    <mergeCell ref="A209:H209"/>
    <mergeCell ref="A211:A214"/>
    <mergeCell ref="A226:B226"/>
    <mergeCell ref="F226:G226"/>
    <mergeCell ref="A192:B192"/>
    <mergeCell ref="F192:G192"/>
    <mergeCell ref="A193:G193"/>
    <mergeCell ref="A194:H194"/>
    <mergeCell ref="A195:B195"/>
    <mergeCell ref="F195:G195"/>
    <mergeCell ref="A196:B196"/>
    <mergeCell ref="F196:G196"/>
    <mergeCell ref="A197:B197"/>
    <mergeCell ref="F197:G197"/>
    <mergeCell ref="A219:C219"/>
    <mergeCell ref="A220:C220"/>
    <mergeCell ref="A221:C221"/>
    <mergeCell ref="A222:C222"/>
    <mergeCell ref="A223:G223"/>
    <mergeCell ref="A224:H224"/>
    <mergeCell ref="H211:H213"/>
    <mergeCell ref="B215:F215"/>
    <mergeCell ref="B216:E216"/>
    <mergeCell ref="A270:C270"/>
    <mergeCell ref="A271:C271"/>
    <mergeCell ref="A272:C272"/>
    <mergeCell ref="A273:C273"/>
    <mergeCell ref="A274:G274"/>
    <mergeCell ref="A275:H275"/>
    <mergeCell ref="A252:D252"/>
    <mergeCell ref="F257:G257"/>
    <mergeCell ref="A260:H260"/>
    <mergeCell ref="A262:A265"/>
    <mergeCell ref="B262:G265"/>
    <mergeCell ref="H262:H264"/>
    <mergeCell ref="B266:F266"/>
    <mergeCell ref="B267:E267"/>
    <mergeCell ref="A276:B276"/>
    <mergeCell ref="F276:G276"/>
    <mergeCell ref="A243:B243"/>
    <mergeCell ref="F243:G243"/>
    <mergeCell ref="A247:B247"/>
    <mergeCell ref="F247:G247"/>
    <mergeCell ref="A248:B248"/>
    <mergeCell ref="F248:G248"/>
    <mergeCell ref="A249:B249"/>
    <mergeCell ref="F249:G249"/>
    <mergeCell ref="A250:G250"/>
    <mergeCell ref="A239:B239"/>
    <mergeCell ref="F239:G239"/>
    <mergeCell ref="A240:G240"/>
    <mergeCell ref="A241:H241"/>
    <mergeCell ref="A242:B242"/>
    <mergeCell ref="F242:G242"/>
    <mergeCell ref="A235:B235"/>
    <mergeCell ref="F235:G235"/>
    <mergeCell ref="A238:B238"/>
    <mergeCell ref="F238:G238"/>
    <mergeCell ref="A244:G244"/>
    <mergeCell ref="A245:H245"/>
    <mergeCell ref="A246:B246"/>
    <mergeCell ref="F246:G246"/>
    <mergeCell ref="A236:B236"/>
    <mergeCell ref="F236:G236"/>
    <mergeCell ref="A237:B237"/>
    <mergeCell ref="F237:G237"/>
    <mergeCell ref="A290:B290"/>
    <mergeCell ref="F290:G290"/>
    <mergeCell ref="A291:G291"/>
    <mergeCell ref="A292:H292"/>
    <mergeCell ref="A293:B293"/>
    <mergeCell ref="F293:G293"/>
    <mergeCell ref="A294:B294"/>
    <mergeCell ref="F294:G294"/>
    <mergeCell ref="A295:G295"/>
    <mergeCell ref="A289:B289"/>
    <mergeCell ref="F289:G289"/>
    <mergeCell ref="A285:B285"/>
    <mergeCell ref="F285:G285"/>
    <mergeCell ref="A288:B288"/>
    <mergeCell ref="F288:G288"/>
    <mergeCell ref="A286:B286"/>
    <mergeCell ref="F286:G286"/>
    <mergeCell ref="A287:B287"/>
    <mergeCell ref="F287:G287"/>
    <mergeCell ref="A282:B282"/>
    <mergeCell ref="F282:G282"/>
    <mergeCell ref="A283:B283"/>
    <mergeCell ref="F283:G283"/>
    <mergeCell ref="A284:B284"/>
    <mergeCell ref="F284:G284"/>
    <mergeCell ref="A279:B279"/>
    <mergeCell ref="F279:G279"/>
    <mergeCell ref="A280:B280"/>
    <mergeCell ref="F280:G280"/>
    <mergeCell ref="A281:B281"/>
    <mergeCell ref="F281:G281"/>
    <mergeCell ref="A277:B277"/>
    <mergeCell ref="F277:G277"/>
    <mergeCell ref="A278:B278"/>
    <mergeCell ref="F278:G278"/>
    <mergeCell ref="F334:G334"/>
    <mergeCell ref="A329:B329"/>
    <mergeCell ref="F329:G329"/>
    <mergeCell ref="A330:B330"/>
    <mergeCell ref="F330:G330"/>
    <mergeCell ref="A331:B331"/>
    <mergeCell ref="F331:G331"/>
    <mergeCell ref="A339:B339"/>
    <mergeCell ref="F339:G339"/>
    <mergeCell ref="A335:B335"/>
    <mergeCell ref="F335:G335"/>
    <mergeCell ref="A338:B338"/>
    <mergeCell ref="F338:G338"/>
    <mergeCell ref="A301:G301"/>
    <mergeCell ref="A303:D303"/>
    <mergeCell ref="F308:G308"/>
    <mergeCell ref="A311:H311"/>
    <mergeCell ref="A313:A316"/>
    <mergeCell ref="A327:B327"/>
    <mergeCell ref="F327:G327"/>
    <mergeCell ref="A328:B328"/>
    <mergeCell ref="F328:G328"/>
    <mergeCell ref="B313:G316"/>
    <mergeCell ref="H313:H315"/>
    <mergeCell ref="B317:F317"/>
    <mergeCell ref="B318:E318"/>
    <mergeCell ref="A321:C321"/>
    <mergeCell ref="A322:C322"/>
    <mergeCell ref="A323:C323"/>
    <mergeCell ref="A324:C324"/>
    <mergeCell ref="A325:G325"/>
    <mergeCell ref="A326:H326"/>
    <mergeCell ref="A296:H296"/>
    <mergeCell ref="A297:B297"/>
    <mergeCell ref="F297:G297"/>
    <mergeCell ref="A298:B298"/>
    <mergeCell ref="F298:G298"/>
    <mergeCell ref="A299:B299"/>
    <mergeCell ref="F299:G299"/>
    <mergeCell ref="A300:B300"/>
    <mergeCell ref="F300:G300"/>
    <mergeCell ref="A336:B336"/>
    <mergeCell ref="F336:G336"/>
    <mergeCell ref="A337:B337"/>
    <mergeCell ref="F337:G337"/>
    <mergeCell ref="A378:B378"/>
    <mergeCell ref="F378:G378"/>
    <mergeCell ref="A362:H362"/>
    <mergeCell ref="A364:A367"/>
    <mergeCell ref="B364:G367"/>
    <mergeCell ref="H364:H366"/>
    <mergeCell ref="B368:F368"/>
    <mergeCell ref="B369:E369"/>
    <mergeCell ref="A372:C372"/>
    <mergeCell ref="A373:C373"/>
    <mergeCell ref="A374:C374"/>
    <mergeCell ref="A375:C375"/>
    <mergeCell ref="A376:G376"/>
    <mergeCell ref="A377:H377"/>
    <mergeCell ref="A349:B349"/>
    <mergeCell ref="F349:G349"/>
    <mergeCell ref="A350:B350"/>
    <mergeCell ref="F350:G350"/>
    <mergeCell ref="A351:B351"/>
    <mergeCell ref="F351:G351"/>
    <mergeCell ref="A352:G352"/>
    <mergeCell ref="A354:D354"/>
    <mergeCell ref="F359:G359"/>
    <mergeCell ref="A342:G342"/>
    <mergeCell ref="A346:G346"/>
    <mergeCell ref="A344:B344"/>
    <mergeCell ref="F344:G344"/>
    <mergeCell ref="A345:B345"/>
    <mergeCell ref="F345:G345"/>
    <mergeCell ref="A343:H343"/>
    <mergeCell ref="A347:H347"/>
    <mergeCell ref="A348:B348"/>
    <mergeCell ref="F348:G348"/>
    <mergeCell ref="A395:B395"/>
    <mergeCell ref="F395:G395"/>
    <mergeCell ref="A393:G393"/>
    <mergeCell ref="A394:H394"/>
    <mergeCell ref="A396:B396"/>
    <mergeCell ref="F396:G396"/>
    <mergeCell ref="A397:G397"/>
    <mergeCell ref="A398:H398"/>
    <mergeCell ref="A399:B399"/>
    <mergeCell ref="F399:G399"/>
    <mergeCell ref="A389:B389"/>
    <mergeCell ref="F389:G389"/>
    <mergeCell ref="A392:B392"/>
    <mergeCell ref="F392:G392"/>
    <mergeCell ref="A385:B385"/>
    <mergeCell ref="F385:G385"/>
    <mergeCell ref="A388:B388"/>
    <mergeCell ref="F388:G388"/>
    <mergeCell ref="A386:B386"/>
    <mergeCell ref="F386:G386"/>
    <mergeCell ref="A387:B387"/>
    <mergeCell ref="F387:G387"/>
    <mergeCell ref="A390:B390"/>
    <mergeCell ref="F390:G390"/>
    <mergeCell ref="A391:B391"/>
    <mergeCell ref="F391:G391"/>
    <mergeCell ref="A382:B382"/>
    <mergeCell ref="F382:G382"/>
    <mergeCell ref="A383:B383"/>
    <mergeCell ref="F383:G383"/>
    <mergeCell ref="A384:B384"/>
    <mergeCell ref="F384:G384"/>
    <mergeCell ref="A379:B379"/>
    <mergeCell ref="F379:G379"/>
    <mergeCell ref="A380:B380"/>
    <mergeCell ref="F380:G380"/>
    <mergeCell ref="A381:B381"/>
    <mergeCell ref="F381:G381"/>
    <mergeCell ref="A439:B439"/>
    <mergeCell ref="F439:G439"/>
    <mergeCell ref="A442:B442"/>
    <mergeCell ref="F442:G442"/>
    <mergeCell ref="A435:B435"/>
    <mergeCell ref="F435:G435"/>
    <mergeCell ref="A438:B438"/>
    <mergeCell ref="F438:G438"/>
    <mergeCell ref="A440:B440"/>
    <mergeCell ref="F440:G440"/>
    <mergeCell ref="A441:B441"/>
    <mergeCell ref="F441:G441"/>
    <mergeCell ref="A433:B433"/>
    <mergeCell ref="F433:G433"/>
    <mergeCell ref="A434:B434"/>
    <mergeCell ref="F434:G434"/>
    <mergeCell ref="A429:B429"/>
    <mergeCell ref="F429:G429"/>
    <mergeCell ref="A430:B430"/>
    <mergeCell ref="F430:G430"/>
    <mergeCell ref="A431:B431"/>
    <mergeCell ref="F431:G431"/>
    <mergeCell ref="A437:B437"/>
    <mergeCell ref="F437:G437"/>
    <mergeCell ref="F436:G436"/>
    <mergeCell ref="A400:B400"/>
    <mergeCell ref="F400:G400"/>
    <mergeCell ref="A401:B401"/>
    <mergeCell ref="F401:G401"/>
    <mergeCell ref="A402:B402"/>
    <mergeCell ref="F402:G402"/>
    <mergeCell ref="A403:G403"/>
    <mergeCell ref="A432:B432"/>
    <mergeCell ref="F432:G432"/>
    <mergeCell ref="A489:B489"/>
    <mergeCell ref="F489:G489"/>
    <mergeCell ref="A492:B492"/>
    <mergeCell ref="F492:G492"/>
    <mergeCell ref="A485:B485"/>
    <mergeCell ref="F485:G485"/>
    <mergeCell ref="A488:B488"/>
    <mergeCell ref="F488:G488"/>
    <mergeCell ref="A487:B487"/>
    <mergeCell ref="F487:G487"/>
    <mergeCell ref="A490:B490"/>
    <mergeCell ref="F490:G490"/>
    <mergeCell ref="A491:B491"/>
    <mergeCell ref="F491:G491"/>
    <mergeCell ref="A482:B482"/>
    <mergeCell ref="F482:G482"/>
    <mergeCell ref="A483:B483"/>
    <mergeCell ref="F483:G483"/>
    <mergeCell ref="A484:B484"/>
    <mergeCell ref="F484:G484"/>
    <mergeCell ref="A486:B486"/>
    <mergeCell ref="F486:G486"/>
    <mergeCell ref="F480:G480"/>
    <mergeCell ref="A481:B481"/>
    <mergeCell ref="F481:G481"/>
    <mergeCell ref="F453:G453"/>
    <mergeCell ref="A443:B443"/>
    <mergeCell ref="F443:G443"/>
    <mergeCell ref="A444:G444"/>
    <mergeCell ref="A445:H445"/>
    <mergeCell ref="A446:B446"/>
    <mergeCell ref="F446:G446"/>
    <mergeCell ref="A447:B447"/>
    <mergeCell ref="F447:G447"/>
    <mergeCell ref="A448:G448"/>
    <mergeCell ref="A449:H449"/>
    <mergeCell ref="A450:B450"/>
    <mergeCell ref="F450:G450"/>
    <mergeCell ref="A451:B451"/>
    <mergeCell ref="F451:G451"/>
    <mergeCell ref="A452:B452"/>
    <mergeCell ref="F452:G452"/>
    <mergeCell ref="A453:B453"/>
    <mergeCell ref="A478:G478"/>
    <mergeCell ref="A479:H479"/>
    <mergeCell ref="A454:G454"/>
    <mergeCell ref="A456:D456"/>
    <mergeCell ref="F461:G461"/>
    <mergeCell ref="A464:H464"/>
    <mergeCell ref="A466:A469"/>
    <mergeCell ref="B466:G469"/>
    <mergeCell ref="H466:H468"/>
    <mergeCell ref="B470:F470"/>
    <mergeCell ref="A504:B504"/>
    <mergeCell ref="F504:G504"/>
    <mergeCell ref="A4267:B4267"/>
    <mergeCell ref="F4267:G4267"/>
    <mergeCell ref="A4268:B4268"/>
    <mergeCell ref="F4268:G4268"/>
    <mergeCell ref="A4269:B4269"/>
    <mergeCell ref="F4269:G4269"/>
    <mergeCell ref="A4266:B4266"/>
    <mergeCell ref="F4266:G4266"/>
    <mergeCell ref="A535:B535"/>
    <mergeCell ref="F535:G535"/>
    <mergeCell ref="A536:B536"/>
    <mergeCell ref="F536:G536"/>
    <mergeCell ref="A537:B537"/>
    <mergeCell ref="F537:G537"/>
    <mergeCell ref="A538:B538"/>
    <mergeCell ref="F538:G538"/>
    <mergeCell ref="A539:B539"/>
    <mergeCell ref="F539:G539"/>
    <mergeCell ref="A540:B540"/>
    <mergeCell ref="F540:G540"/>
    <mergeCell ref="A541:B541"/>
    <mergeCell ref="F541:G541"/>
    <mergeCell ref="F503:G503"/>
    <mergeCell ref="A493:B493"/>
    <mergeCell ref="F493:G493"/>
    <mergeCell ref="A494:B494"/>
    <mergeCell ref="F494:G494"/>
    <mergeCell ref="A495:G495"/>
    <mergeCell ref="A496:H496"/>
    <mergeCell ref="A497:B497"/>
    <mergeCell ref="F497:G497"/>
    <mergeCell ref="A498:B498"/>
    <mergeCell ref="F498:G498"/>
    <mergeCell ref="A499:G499"/>
    <mergeCell ref="A500:H500"/>
    <mergeCell ref="A501:B501"/>
    <mergeCell ref="F501:G501"/>
    <mergeCell ref="A502:B502"/>
    <mergeCell ref="F502:G502"/>
    <mergeCell ref="A503:B503"/>
    <mergeCell ref="A505:G505"/>
    <mergeCell ref="A507:D507"/>
    <mergeCell ref="F512:G512"/>
    <mergeCell ref="A4250:H4250"/>
    <mergeCell ref="A4252:A4255"/>
    <mergeCell ref="B4252:G4255"/>
    <mergeCell ref="H4252:H4254"/>
    <mergeCell ref="B4256:F4256"/>
    <mergeCell ref="B4257:E4257"/>
    <mergeCell ref="A4260:C4260"/>
    <mergeCell ref="A4261:C4261"/>
    <mergeCell ref="A4262:C4262"/>
    <mergeCell ref="A4263:C4263"/>
    <mergeCell ref="A4264:G4264"/>
    <mergeCell ref="A4265:H4265"/>
    <mergeCell ref="A1840:D1840"/>
    <mergeCell ref="F1845:G1845"/>
    <mergeCell ref="A1848:H1848"/>
    <mergeCell ref="A1850:A1853"/>
    <mergeCell ref="B1850:G1853"/>
    <mergeCell ref="H1850:H1852"/>
    <mergeCell ref="B1854:F1854"/>
    <mergeCell ref="F544:G544"/>
    <mergeCell ref="A545:B545"/>
    <mergeCell ref="F545:G545"/>
    <mergeCell ref="A546:B546"/>
    <mergeCell ref="F546:G546"/>
    <mergeCell ref="A548:H548"/>
    <mergeCell ref="A549:B549"/>
    <mergeCell ref="F549:G549"/>
    <mergeCell ref="A550:B550"/>
    <mergeCell ref="F550:G550"/>
    <mergeCell ref="A551:G551"/>
    <mergeCell ref="A552:H552"/>
    <mergeCell ref="A553:B553"/>
    <mergeCell ref="F553:G553"/>
    <mergeCell ref="A580:C580"/>
    <mergeCell ref="A581:G581"/>
    <mergeCell ref="A582:H582"/>
    <mergeCell ref="A583:B583"/>
    <mergeCell ref="A4289:B4289"/>
    <mergeCell ref="F4289:G4289"/>
    <mergeCell ref="A4290:B4290"/>
    <mergeCell ref="F4290:G4290"/>
    <mergeCell ref="A4291:G4291"/>
    <mergeCell ref="A4317:B4317"/>
    <mergeCell ref="F4317:G4317"/>
    <mergeCell ref="A4318:B4318"/>
    <mergeCell ref="F4318:G4318"/>
    <mergeCell ref="A534:B534"/>
    <mergeCell ref="F534:G534"/>
    <mergeCell ref="A4377:B4377"/>
    <mergeCell ref="F4377:G4377"/>
    <mergeCell ref="A4370:B4370"/>
    <mergeCell ref="F4370:G4370"/>
    <mergeCell ref="A4373:B4373"/>
    <mergeCell ref="F4373:G4373"/>
    <mergeCell ref="A4371:B4371"/>
    <mergeCell ref="F4371:G4371"/>
    <mergeCell ref="A4372:B4372"/>
    <mergeCell ref="F4372:G4372"/>
    <mergeCell ref="A4375:B4375"/>
    <mergeCell ref="F4375:G4375"/>
    <mergeCell ref="A4376:B4376"/>
    <mergeCell ref="F4376:G4376"/>
    <mergeCell ref="A4339:B4339"/>
    <mergeCell ref="F4339:G4339"/>
    <mergeCell ref="A4340:B4340"/>
    <mergeCell ref="F4340:G4340"/>
    <mergeCell ref="A4368:B4368"/>
    <mergeCell ref="F4368:G4368"/>
    <mergeCell ref="A4369:B4369"/>
    <mergeCell ref="A4281:G4281"/>
    <mergeCell ref="F4288:G4288"/>
    <mergeCell ref="A4278:B4278"/>
    <mergeCell ref="F4278:G4278"/>
    <mergeCell ref="A4279:B4279"/>
    <mergeCell ref="F4279:G4279"/>
    <mergeCell ref="A4280:B4280"/>
    <mergeCell ref="F4280:G4280"/>
    <mergeCell ref="A4282:H4282"/>
    <mergeCell ref="A4283:B4283"/>
    <mergeCell ref="F4283:G4283"/>
    <mergeCell ref="A4284:B4284"/>
    <mergeCell ref="F4284:G4284"/>
    <mergeCell ref="A4285:G4285"/>
    <mergeCell ref="F583:G583"/>
    <mergeCell ref="A584:B584"/>
    <mergeCell ref="F584:G584"/>
    <mergeCell ref="A585:B585"/>
    <mergeCell ref="F585:G585"/>
    <mergeCell ref="A567:H567"/>
    <mergeCell ref="A569:A572"/>
    <mergeCell ref="B569:G572"/>
    <mergeCell ref="H569:H571"/>
    <mergeCell ref="B573:F573"/>
    <mergeCell ref="B574:E574"/>
    <mergeCell ref="A577:C577"/>
    <mergeCell ref="A578:C578"/>
    <mergeCell ref="A579:C579"/>
    <mergeCell ref="A591:B591"/>
    <mergeCell ref="F591:G591"/>
    <mergeCell ref="A592:B592"/>
    <mergeCell ref="F592:G592"/>
    <mergeCell ref="A4378:B4378"/>
    <mergeCell ref="F4378:G4378"/>
    <mergeCell ref="A4379:B4379"/>
    <mergeCell ref="F4379:G4379"/>
    <mergeCell ref="A4380:B4380"/>
    <mergeCell ref="F4380:G4380"/>
    <mergeCell ref="A516:H516"/>
    <mergeCell ref="A518:A521"/>
    <mergeCell ref="B518:G521"/>
    <mergeCell ref="H518:H520"/>
    <mergeCell ref="B522:F522"/>
    <mergeCell ref="B523:E523"/>
    <mergeCell ref="A526:C526"/>
    <mergeCell ref="A527:C527"/>
    <mergeCell ref="A528:C528"/>
    <mergeCell ref="A529:C529"/>
    <mergeCell ref="A530:G530"/>
    <mergeCell ref="A531:H531"/>
    <mergeCell ref="A532:B532"/>
    <mergeCell ref="F532:G532"/>
    <mergeCell ref="A533:B533"/>
    <mergeCell ref="F533:G533"/>
    <mergeCell ref="A554:B554"/>
    <mergeCell ref="F554:G554"/>
    <mergeCell ref="A555:B555"/>
    <mergeCell ref="F555:G555"/>
    <mergeCell ref="A556:B556"/>
    <mergeCell ref="F556:G556"/>
    <mergeCell ref="A557:G557"/>
    <mergeCell ref="A559:D559"/>
    <mergeCell ref="F564:G564"/>
    <mergeCell ref="A547:G547"/>
    <mergeCell ref="F4369:G4369"/>
    <mergeCell ref="A4374:B4374"/>
    <mergeCell ref="F4374:G4374"/>
    <mergeCell ref="F4338:G4338"/>
    <mergeCell ref="A4328:B4328"/>
    <mergeCell ref="F4328:G4328"/>
    <mergeCell ref="A4329:B4329"/>
    <mergeCell ref="F4329:G4329"/>
    <mergeCell ref="A4330:B4330"/>
    <mergeCell ref="A542:B542"/>
    <mergeCell ref="F542:G542"/>
    <mergeCell ref="A543:B543"/>
    <mergeCell ref="F543:G543"/>
    <mergeCell ref="A544:B544"/>
    <mergeCell ref="A603:H603"/>
    <mergeCell ref="A604:B604"/>
    <mergeCell ref="F604:G604"/>
    <mergeCell ref="A605:B605"/>
    <mergeCell ref="F605:G605"/>
    <mergeCell ref="A606:B606"/>
    <mergeCell ref="F606:G606"/>
    <mergeCell ref="A607:B607"/>
    <mergeCell ref="F607:G607"/>
    <mergeCell ref="A596:B596"/>
    <mergeCell ref="F596:G596"/>
    <mergeCell ref="A597:B597"/>
    <mergeCell ref="F597:G597"/>
    <mergeCell ref="A598:G598"/>
    <mergeCell ref="A599:H599"/>
    <mergeCell ref="A600:B600"/>
    <mergeCell ref="F600:G600"/>
    <mergeCell ref="A601:B601"/>
    <mergeCell ref="F601:G601"/>
    <mergeCell ref="A593:B593"/>
    <mergeCell ref="F593:G593"/>
    <mergeCell ref="A594:B594"/>
    <mergeCell ref="F594:G594"/>
    <mergeCell ref="A595:B595"/>
    <mergeCell ref="F595:G595"/>
    <mergeCell ref="A586:B586"/>
    <mergeCell ref="F586:G586"/>
    <mergeCell ref="A587:B587"/>
    <mergeCell ref="F587:G587"/>
    <mergeCell ref="A588:B588"/>
    <mergeCell ref="F588:G588"/>
    <mergeCell ref="A589:B589"/>
    <mergeCell ref="F589:G589"/>
    <mergeCell ref="A590:B590"/>
    <mergeCell ref="F590:G590"/>
    <mergeCell ref="A602:G602"/>
    <mergeCell ref="A641:B641"/>
    <mergeCell ref="F641:G641"/>
    <mergeCell ref="A642:B642"/>
    <mergeCell ref="F642:G642"/>
    <mergeCell ref="A643:B643"/>
    <mergeCell ref="F643:G643"/>
    <mergeCell ref="A644:B644"/>
    <mergeCell ref="F644:G644"/>
    <mergeCell ref="A645:B645"/>
    <mergeCell ref="F645:G645"/>
    <mergeCell ref="A636:B636"/>
    <mergeCell ref="F636:G636"/>
    <mergeCell ref="A637:B637"/>
    <mergeCell ref="F637:G637"/>
    <mergeCell ref="A638:B638"/>
    <mergeCell ref="F638:G638"/>
    <mergeCell ref="A639:B639"/>
    <mergeCell ref="F639:G639"/>
    <mergeCell ref="A640:B640"/>
    <mergeCell ref="F640:G640"/>
    <mergeCell ref="A628:C628"/>
    <mergeCell ref="A629:C629"/>
    <mergeCell ref="A630:C630"/>
    <mergeCell ref="A631:C631"/>
    <mergeCell ref="A632:G632"/>
    <mergeCell ref="A633:H633"/>
    <mergeCell ref="A634:B634"/>
    <mergeCell ref="F634:G634"/>
    <mergeCell ref="A635:B635"/>
    <mergeCell ref="F635:G635"/>
    <mergeCell ref="A608:G608"/>
    <mergeCell ref="A610:D610"/>
    <mergeCell ref="F615:G615"/>
    <mergeCell ref="A618:H618"/>
    <mergeCell ref="A620:A623"/>
    <mergeCell ref="B620:G623"/>
    <mergeCell ref="H620:H622"/>
    <mergeCell ref="B624:F624"/>
    <mergeCell ref="B625:E625"/>
    <mergeCell ref="B675:F675"/>
    <mergeCell ref="B676:E676"/>
    <mergeCell ref="A679:C679"/>
    <mergeCell ref="A680:C680"/>
    <mergeCell ref="A681:C681"/>
    <mergeCell ref="A682:C682"/>
    <mergeCell ref="A683:G683"/>
    <mergeCell ref="A684:H684"/>
    <mergeCell ref="A685:B685"/>
    <mergeCell ref="F685:G685"/>
    <mergeCell ref="A658:B658"/>
    <mergeCell ref="F658:G658"/>
    <mergeCell ref="A659:G659"/>
    <mergeCell ref="A661:D661"/>
    <mergeCell ref="F666:G666"/>
    <mergeCell ref="A669:H669"/>
    <mergeCell ref="A671:A674"/>
    <mergeCell ref="B671:G674"/>
    <mergeCell ref="H671:H673"/>
    <mergeCell ref="A652:B652"/>
    <mergeCell ref="F652:G652"/>
    <mergeCell ref="A653:G653"/>
    <mergeCell ref="A654:H654"/>
    <mergeCell ref="A655:B655"/>
    <mergeCell ref="F655:G655"/>
    <mergeCell ref="A656:B656"/>
    <mergeCell ref="F656:G656"/>
    <mergeCell ref="A657:B657"/>
    <mergeCell ref="F657:G657"/>
    <mergeCell ref="A646:B646"/>
    <mergeCell ref="F646:G646"/>
    <mergeCell ref="A647:B647"/>
    <mergeCell ref="F647:G647"/>
    <mergeCell ref="A648:B648"/>
    <mergeCell ref="F648:G648"/>
    <mergeCell ref="A649:G649"/>
    <mergeCell ref="A650:H650"/>
    <mergeCell ref="A651:B651"/>
    <mergeCell ref="F651:G651"/>
    <mergeCell ref="A701:H701"/>
    <mergeCell ref="A702:B702"/>
    <mergeCell ref="F702:G702"/>
    <mergeCell ref="A703:B703"/>
    <mergeCell ref="F703:G703"/>
    <mergeCell ref="A704:G704"/>
    <mergeCell ref="A705:H705"/>
    <mergeCell ref="A706:B706"/>
    <mergeCell ref="F706:G706"/>
    <mergeCell ref="A696:B696"/>
    <mergeCell ref="F696:G696"/>
    <mergeCell ref="A697:B697"/>
    <mergeCell ref="F697:G697"/>
    <mergeCell ref="A698:B698"/>
    <mergeCell ref="F698:G698"/>
    <mergeCell ref="A699:B699"/>
    <mergeCell ref="F699:G699"/>
    <mergeCell ref="A700:G700"/>
    <mergeCell ref="A691:B691"/>
    <mergeCell ref="F691:G691"/>
    <mergeCell ref="A692:B692"/>
    <mergeCell ref="F692:G692"/>
    <mergeCell ref="A693:B693"/>
    <mergeCell ref="F693:G693"/>
    <mergeCell ref="A694:B694"/>
    <mergeCell ref="F694:G694"/>
    <mergeCell ref="A695:B695"/>
    <mergeCell ref="F695:G695"/>
    <mergeCell ref="A686:B686"/>
    <mergeCell ref="F686:G686"/>
    <mergeCell ref="A687:B687"/>
    <mergeCell ref="F687:G687"/>
    <mergeCell ref="A688:B688"/>
    <mergeCell ref="F688:G688"/>
    <mergeCell ref="A689:B689"/>
    <mergeCell ref="F689:G689"/>
    <mergeCell ref="A690:B690"/>
    <mergeCell ref="F690:G690"/>
    <mergeCell ref="A739:B739"/>
    <mergeCell ref="F739:G739"/>
    <mergeCell ref="A740:B740"/>
    <mergeCell ref="F740:G740"/>
    <mergeCell ref="A741:B741"/>
    <mergeCell ref="F741:G741"/>
    <mergeCell ref="A742:B742"/>
    <mergeCell ref="F742:G742"/>
    <mergeCell ref="A743:B743"/>
    <mergeCell ref="F743:G743"/>
    <mergeCell ref="A733:C733"/>
    <mergeCell ref="A734:G734"/>
    <mergeCell ref="A735:H735"/>
    <mergeCell ref="A736:B736"/>
    <mergeCell ref="F736:G736"/>
    <mergeCell ref="A737:B737"/>
    <mergeCell ref="F737:G737"/>
    <mergeCell ref="A738:B738"/>
    <mergeCell ref="F738:G738"/>
    <mergeCell ref="A720:H720"/>
    <mergeCell ref="A722:A725"/>
    <mergeCell ref="B722:G725"/>
    <mergeCell ref="H722:H724"/>
    <mergeCell ref="B726:F726"/>
    <mergeCell ref="B727:E727"/>
    <mergeCell ref="A730:C730"/>
    <mergeCell ref="A731:C731"/>
    <mergeCell ref="A732:C732"/>
    <mergeCell ref="A707:B707"/>
    <mergeCell ref="F707:G707"/>
    <mergeCell ref="A708:B708"/>
    <mergeCell ref="F708:G708"/>
    <mergeCell ref="A709:B709"/>
    <mergeCell ref="F709:G709"/>
    <mergeCell ref="A710:G710"/>
    <mergeCell ref="A712:D712"/>
    <mergeCell ref="F717:G717"/>
    <mergeCell ref="A761:G761"/>
    <mergeCell ref="A763:D763"/>
    <mergeCell ref="F768:G768"/>
    <mergeCell ref="A771:H771"/>
    <mergeCell ref="A773:A776"/>
    <mergeCell ref="B773:G776"/>
    <mergeCell ref="H773:H775"/>
    <mergeCell ref="B777:F777"/>
    <mergeCell ref="B778:E778"/>
    <mergeCell ref="A755:G755"/>
    <mergeCell ref="A756:H756"/>
    <mergeCell ref="A757:B757"/>
    <mergeCell ref="F757:G757"/>
    <mergeCell ref="A758:B758"/>
    <mergeCell ref="F758:G758"/>
    <mergeCell ref="A759:B759"/>
    <mergeCell ref="F759:G759"/>
    <mergeCell ref="A760:B760"/>
    <mergeCell ref="F760:G760"/>
    <mergeCell ref="A749:B749"/>
    <mergeCell ref="F749:G749"/>
    <mergeCell ref="A750:B750"/>
    <mergeCell ref="F750:G750"/>
    <mergeCell ref="A751:G751"/>
    <mergeCell ref="A752:H752"/>
    <mergeCell ref="A753:B753"/>
    <mergeCell ref="F753:G753"/>
    <mergeCell ref="A754:B754"/>
    <mergeCell ref="F754:G754"/>
    <mergeCell ref="A744:B744"/>
    <mergeCell ref="F744:G744"/>
    <mergeCell ref="A745:B745"/>
    <mergeCell ref="F745:G745"/>
    <mergeCell ref="A746:B746"/>
    <mergeCell ref="F746:G746"/>
    <mergeCell ref="A747:B747"/>
    <mergeCell ref="F747:G747"/>
    <mergeCell ref="A748:B748"/>
    <mergeCell ref="F748:G748"/>
    <mergeCell ref="A799:B799"/>
    <mergeCell ref="F799:G799"/>
    <mergeCell ref="A800:B800"/>
    <mergeCell ref="F800:G800"/>
    <mergeCell ref="A801:B801"/>
    <mergeCell ref="F801:G801"/>
    <mergeCell ref="A802:G802"/>
    <mergeCell ref="A803:H803"/>
    <mergeCell ref="A804:B804"/>
    <mergeCell ref="F804:G804"/>
    <mergeCell ref="A794:B794"/>
    <mergeCell ref="F794:G794"/>
    <mergeCell ref="A795:B795"/>
    <mergeCell ref="F795:G795"/>
    <mergeCell ref="A796:B796"/>
    <mergeCell ref="F796:G796"/>
    <mergeCell ref="A797:B797"/>
    <mergeCell ref="F797:G797"/>
    <mergeCell ref="A798:B798"/>
    <mergeCell ref="F798:G798"/>
    <mergeCell ref="A789:B789"/>
    <mergeCell ref="F789:G789"/>
    <mergeCell ref="A790:B790"/>
    <mergeCell ref="F790:G790"/>
    <mergeCell ref="A791:B791"/>
    <mergeCell ref="F791:G791"/>
    <mergeCell ref="A792:B792"/>
    <mergeCell ref="F792:G792"/>
    <mergeCell ref="A793:B793"/>
    <mergeCell ref="F793:G793"/>
    <mergeCell ref="A781:C781"/>
    <mergeCell ref="A782:C782"/>
    <mergeCell ref="A783:C783"/>
    <mergeCell ref="A784:C784"/>
    <mergeCell ref="A785:G785"/>
    <mergeCell ref="A786:H786"/>
    <mergeCell ref="A787:B787"/>
    <mergeCell ref="F787:G787"/>
    <mergeCell ref="A788:B788"/>
    <mergeCell ref="F788:G788"/>
    <mergeCell ref="A811:B811"/>
    <mergeCell ref="F811:G811"/>
    <mergeCell ref="A812:G812"/>
    <mergeCell ref="A814:D814"/>
    <mergeCell ref="F819:G819"/>
    <mergeCell ref="A4403:H4403"/>
    <mergeCell ref="A4405:A4408"/>
    <mergeCell ref="B4405:G4408"/>
    <mergeCell ref="H4405:H4407"/>
    <mergeCell ref="A805:B805"/>
    <mergeCell ref="F805:G805"/>
    <mergeCell ref="A806:G806"/>
    <mergeCell ref="A807:H807"/>
    <mergeCell ref="A808:B808"/>
    <mergeCell ref="F808:G808"/>
    <mergeCell ref="A809:B809"/>
    <mergeCell ref="F809:G809"/>
    <mergeCell ref="A810:B810"/>
    <mergeCell ref="F810:G810"/>
    <mergeCell ref="F4330:G4330"/>
    <mergeCell ref="A4331:B4331"/>
    <mergeCell ref="F4331:G4331"/>
    <mergeCell ref="A4332:G4332"/>
    <mergeCell ref="A4333:H4333"/>
    <mergeCell ref="A4334:B4334"/>
    <mergeCell ref="F4334:G4334"/>
    <mergeCell ref="A4335:B4335"/>
    <mergeCell ref="F4335:G4335"/>
    <mergeCell ref="A4336:G4336"/>
    <mergeCell ref="A4337:H4337"/>
    <mergeCell ref="A4338:B4338"/>
    <mergeCell ref="A4319:B4319"/>
    <mergeCell ref="A4286:H4286"/>
    <mergeCell ref="A4287:B4287"/>
    <mergeCell ref="F4287:G4287"/>
    <mergeCell ref="A4288:B4288"/>
    <mergeCell ref="F4270:G4270"/>
    <mergeCell ref="A4273:B4273"/>
    <mergeCell ref="F4273:G4273"/>
    <mergeCell ref="A4272:B4272"/>
    <mergeCell ref="F4272:G4272"/>
    <mergeCell ref="A4275:B4275"/>
    <mergeCell ref="F4275:G4275"/>
    <mergeCell ref="A4276:B4276"/>
    <mergeCell ref="F4276:G4276"/>
    <mergeCell ref="A4342:G4342"/>
    <mergeCell ref="A4344:D4344"/>
    <mergeCell ref="F4349:G4349"/>
    <mergeCell ref="A4352:H4352"/>
    <mergeCell ref="A4354:A4357"/>
    <mergeCell ref="B4354:G4357"/>
    <mergeCell ref="A4322:B4322"/>
    <mergeCell ref="F4322:G4322"/>
    <mergeCell ref="A4271:B4271"/>
    <mergeCell ref="A823:H823"/>
    <mergeCell ref="A825:A828"/>
    <mergeCell ref="B825:G828"/>
    <mergeCell ref="H825:H827"/>
    <mergeCell ref="B829:F829"/>
    <mergeCell ref="B830:E830"/>
    <mergeCell ref="A833:C833"/>
    <mergeCell ref="A834:C834"/>
    <mergeCell ref="A835:C835"/>
    <mergeCell ref="A836:C836"/>
    <mergeCell ref="A4426:B4426"/>
    <mergeCell ref="F4426:G4426"/>
    <mergeCell ref="A4427:B4427"/>
    <mergeCell ref="F4427:G4427"/>
    <mergeCell ref="A4428:B4428"/>
    <mergeCell ref="F4428:G4428"/>
    <mergeCell ref="A4429:B4429"/>
    <mergeCell ref="F4429:G4429"/>
    <mergeCell ref="A4420:B4420"/>
    <mergeCell ref="F4420:G4420"/>
    <mergeCell ref="A4421:B4421"/>
    <mergeCell ref="F4421:G4421"/>
    <mergeCell ref="A4422:B4422"/>
    <mergeCell ref="F4422:G4422"/>
    <mergeCell ref="A4423:B4423"/>
    <mergeCell ref="F4423:G4423"/>
    <mergeCell ref="A4424:B4424"/>
    <mergeCell ref="F4424:G4424"/>
    <mergeCell ref="A4473:B4473"/>
    <mergeCell ref="F4473:G4473"/>
    <mergeCell ref="A4474:B4474"/>
    <mergeCell ref="F4474:G4474"/>
    <mergeCell ref="A4475:B4475"/>
    <mergeCell ref="F4475:G4475"/>
    <mergeCell ref="A4476:B4476"/>
    <mergeCell ref="F4476:G4476"/>
    <mergeCell ref="A4477:B4477"/>
    <mergeCell ref="F4477:G4477"/>
    <mergeCell ref="A4467:C4467"/>
    <mergeCell ref="A4468:G4468"/>
    <mergeCell ref="A4469:H4469"/>
    <mergeCell ref="A4470:B4470"/>
    <mergeCell ref="F4470:G4470"/>
    <mergeCell ref="A4471:B4471"/>
    <mergeCell ref="F4471:G4471"/>
    <mergeCell ref="A4472:B4472"/>
    <mergeCell ref="F4472:G4472"/>
    <mergeCell ref="A4454:H4454"/>
    <mergeCell ref="A4456:A4459"/>
    <mergeCell ref="B4456:G4459"/>
    <mergeCell ref="H4456:H4458"/>
    <mergeCell ref="B4460:F4460"/>
    <mergeCell ref="B4461:E4461"/>
    <mergeCell ref="A4464:C4464"/>
    <mergeCell ref="A4465:C4465"/>
    <mergeCell ref="A4466:C4466"/>
    <mergeCell ref="A4441:B4441"/>
    <mergeCell ref="F4441:G4441"/>
    <mergeCell ref="A4442:B4442"/>
    <mergeCell ref="F4442:G4442"/>
    <mergeCell ref="A4443:B4443"/>
    <mergeCell ref="F4443:G4443"/>
    <mergeCell ref="A4444:G4444"/>
    <mergeCell ref="A4446:D4446"/>
    <mergeCell ref="F4451:G4451"/>
    <mergeCell ref="A4495:G4495"/>
    <mergeCell ref="A4497:D4497"/>
    <mergeCell ref="F4502:G4502"/>
    <mergeCell ref="A4489:G4489"/>
    <mergeCell ref="A4490:H4490"/>
    <mergeCell ref="A4491:B4491"/>
    <mergeCell ref="F4491:G4491"/>
    <mergeCell ref="A4492:B4492"/>
    <mergeCell ref="F4492:G4492"/>
    <mergeCell ref="A4493:B4493"/>
    <mergeCell ref="F4493:G4493"/>
    <mergeCell ref="A4494:B4494"/>
    <mergeCell ref="F4494:G4494"/>
    <mergeCell ref="A4483:B4483"/>
    <mergeCell ref="F4483:G4483"/>
    <mergeCell ref="A4484:B4484"/>
    <mergeCell ref="F4484:G4484"/>
    <mergeCell ref="A4485:G4485"/>
    <mergeCell ref="A4486:H4486"/>
    <mergeCell ref="A4487:B4487"/>
    <mergeCell ref="F4487:G4487"/>
    <mergeCell ref="A4488:B4488"/>
    <mergeCell ref="F4488:G4488"/>
    <mergeCell ref="A4478:B4478"/>
    <mergeCell ref="F4478:G4478"/>
    <mergeCell ref="A4479:B4479"/>
    <mergeCell ref="F4479:G4479"/>
    <mergeCell ref="A4480:B4480"/>
    <mergeCell ref="F4480:G4480"/>
    <mergeCell ref="A4481:B4481"/>
    <mergeCell ref="F4481:G4481"/>
    <mergeCell ref="A4482:B4482"/>
    <mergeCell ref="F4482:G4482"/>
    <mergeCell ref="B4512:F4512"/>
    <mergeCell ref="B4513:E4513"/>
    <mergeCell ref="A4516:C4516"/>
    <mergeCell ref="A4517:C4517"/>
    <mergeCell ref="A4518:C4518"/>
    <mergeCell ref="A4519:C4519"/>
    <mergeCell ref="A4520:G4520"/>
    <mergeCell ref="A4521:H4521"/>
    <mergeCell ref="A4522:B4522"/>
    <mergeCell ref="F4522:G4522"/>
    <mergeCell ref="A4506:H4506"/>
    <mergeCell ref="A4508:A4511"/>
    <mergeCell ref="B4508:G4511"/>
    <mergeCell ref="H4508:H4510"/>
    <mergeCell ref="A5682:H5682"/>
    <mergeCell ref="A5684:A5687"/>
    <mergeCell ref="B5684:G5687"/>
    <mergeCell ref="H5684:H5686"/>
    <mergeCell ref="A4528:B4528"/>
    <mergeCell ref="F4528:G4528"/>
    <mergeCell ref="A4529:B4529"/>
    <mergeCell ref="F4529:G4529"/>
    <mergeCell ref="A4530:B4530"/>
    <mergeCell ref="F4530:G4530"/>
    <mergeCell ref="A4531:B4531"/>
    <mergeCell ref="F4531:G4531"/>
    <mergeCell ref="A4532:B4532"/>
    <mergeCell ref="F4532:G4532"/>
    <mergeCell ref="A4523:B4523"/>
    <mergeCell ref="F4523:G4523"/>
    <mergeCell ref="A4524:B4524"/>
    <mergeCell ref="F4524:G4524"/>
    <mergeCell ref="A4577:B4577"/>
    <mergeCell ref="F4577:G4577"/>
    <mergeCell ref="A4578:B4578"/>
    <mergeCell ref="F4578:G4578"/>
    <mergeCell ref="A4579:B4579"/>
    <mergeCell ref="F4579:G4579"/>
    <mergeCell ref="A4580:B4580"/>
    <mergeCell ref="F4580:G4580"/>
    <mergeCell ref="A4581:B4581"/>
    <mergeCell ref="F4581:G4581"/>
    <mergeCell ref="A4582:B4582"/>
    <mergeCell ref="F4582:G4582"/>
    <mergeCell ref="A4583:B4583"/>
    <mergeCell ref="F4583:G4583"/>
    <mergeCell ref="A4585:B4585"/>
    <mergeCell ref="F4585:G4585"/>
    <mergeCell ref="A4586:B4586"/>
    <mergeCell ref="F4586:G4586"/>
    <mergeCell ref="A4587:B4587"/>
    <mergeCell ref="F4587:G4587"/>
    <mergeCell ref="A4588:G4588"/>
    <mergeCell ref="A4589:H4589"/>
    <mergeCell ref="A4590:B4590"/>
    <mergeCell ref="F4590:G4590"/>
    <mergeCell ref="A4591:B4591"/>
    <mergeCell ref="F4591:G4591"/>
    <mergeCell ref="A4592:G4592"/>
    <mergeCell ref="A4593:H4593"/>
    <mergeCell ref="A4594:B4594"/>
    <mergeCell ref="F4594:G4594"/>
    <mergeCell ref="A4595:B4595"/>
    <mergeCell ref="F4595:G4595"/>
    <mergeCell ref="A5720:B5720"/>
    <mergeCell ref="F5720:G5720"/>
    <mergeCell ref="A5754:B5754"/>
    <mergeCell ref="F5754:G5754"/>
    <mergeCell ref="A5755:B5755"/>
    <mergeCell ref="F5755:G5755"/>
    <mergeCell ref="A5756:B5756"/>
    <mergeCell ref="F5756:G5756"/>
    <mergeCell ref="A5705:B5705"/>
    <mergeCell ref="F5705:G5705"/>
    <mergeCell ref="A5706:B5706"/>
    <mergeCell ref="F5706:G5706"/>
    <mergeCell ref="A5707:B5707"/>
    <mergeCell ref="F5707:G5707"/>
    <mergeCell ref="A5708:B5708"/>
    <mergeCell ref="F5708:G5708"/>
    <mergeCell ref="A5709:B5709"/>
    <mergeCell ref="F5709:G5709"/>
    <mergeCell ref="A5700:B5700"/>
    <mergeCell ref="F5700:G5700"/>
    <mergeCell ref="A5701:B5701"/>
    <mergeCell ref="F5701:G5701"/>
    <mergeCell ref="A5702:B5702"/>
    <mergeCell ref="F5702:G5702"/>
    <mergeCell ref="A5703:B5703"/>
    <mergeCell ref="F5703:G5703"/>
    <mergeCell ref="A5704:B5704"/>
    <mergeCell ref="F5704:G5704"/>
    <mergeCell ref="F4525:G4525"/>
    <mergeCell ref="A4526:B4526"/>
    <mergeCell ref="F4526:G4526"/>
    <mergeCell ref="A4527:B4527"/>
    <mergeCell ref="F4527:G4527"/>
    <mergeCell ref="A4538:H4538"/>
    <mergeCell ref="A4539:B4539"/>
    <mergeCell ref="F4539:G4539"/>
    <mergeCell ref="A4540:B4540"/>
    <mergeCell ref="F4540:G4540"/>
    <mergeCell ref="A4541:G4541"/>
    <mergeCell ref="A4542:H4542"/>
    <mergeCell ref="A4543:B4543"/>
    <mergeCell ref="F4543:G4543"/>
    <mergeCell ref="A4533:B4533"/>
    <mergeCell ref="F4533:G4533"/>
    <mergeCell ref="A4534:B4534"/>
    <mergeCell ref="F4534:G4534"/>
    <mergeCell ref="A4535:B4535"/>
    <mergeCell ref="F4535:G4535"/>
    <mergeCell ref="A4536:B4536"/>
    <mergeCell ref="F4536:G4536"/>
    <mergeCell ref="A4537:G4537"/>
    <mergeCell ref="A4596:B4596"/>
    <mergeCell ref="F4596:G4596"/>
    <mergeCell ref="A4597:B4597"/>
    <mergeCell ref="F4597:G4597"/>
    <mergeCell ref="A4598:G4598"/>
    <mergeCell ref="A4600:D4600"/>
    <mergeCell ref="F4605:G4605"/>
    <mergeCell ref="A4608:H4608"/>
    <mergeCell ref="A4610:A4613"/>
    <mergeCell ref="B4610:G4613"/>
    <mergeCell ref="H4610:H4612"/>
    <mergeCell ref="B4614:F4614"/>
    <mergeCell ref="B4615:E4615"/>
    <mergeCell ref="A5759:B5759"/>
    <mergeCell ref="F5759:G5759"/>
    <mergeCell ref="A5760:B5760"/>
    <mergeCell ref="F5760:G5760"/>
    <mergeCell ref="A5761:B5761"/>
    <mergeCell ref="F5761:G5761"/>
    <mergeCell ref="A5762:B5762"/>
    <mergeCell ref="F5762:G5762"/>
    <mergeCell ref="A5763:B5763"/>
    <mergeCell ref="F5763:G5763"/>
    <mergeCell ref="A5776:G5776"/>
    <mergeCell ref="A5757:B5757"/>
    <mergeCell ref="F5757:G5757"/>
    <mergeCell ref="A5758:B5758"/>
    <mergeCell ref="F5758:G5758"/>
    <mergeCell ref="A5747:C5747"/>
    <mergeCell ref="A5748:C5748"/>
    <mergeCell ref="A5749:G5749"/>
    <mergeCell ref="A5750:H5750"/>
    <mergeCell ref="A5751:B5751"/>
    <mergeCell ref="F5751:G5751"/>
    <mergeCell ref="A5752:B5752"/>
    <mergeCell ref="F5752:G5752"/>
    <mergeCell ref="A5753:B5753"/>
    <mergeCell ref="F5753:G5753"/>
    <mergeCell ref="A5764:B5764"/>
    <mergeCell ref="F5764:G5764"/>
    <mergeCell ref="A5765:B5765"/>
    <mergeCell ref="F5765:G5765"/>
    <mergeCell ref="A5721:B5721"/>
    <mergeCell ref="F5721:G5721"/>
    <mergeCell ref="A5722:B5722"/>
    <mergeCell ref="F5722:G5722"/>
    <mergeCell ref="A5723:B5723"/>
    <mergeCell ref="F5723:G5723"/>
    <mergeCell ref="A5724:G5724"/>
    <mergeCell ref="A5726:D5726"/>
    <mergeCell ref="F5731:G5731"/>
    <mergeCell ref="A5796:C5796"/>
    <mergeCell ref="A5797:C5797"/>
    <mergeCell ref="A5798:C5798"/>
    <mergeCell ref="A5799:C5799"/>
    <mergeCell ref="A5800:C5800"/>
    <mergeCell ref="A5801:G5801"/>
    <mergeCell ref="A5802:H5802"/>
    <mergeCell ref="A5803:B5803"/>
    <mergeCell ref="F5803:G5803"/>
    <mergeCell ref="A5778:D5778"/>
    <mergeCell ref="F5783:G5783"/>
    <mergeCell ref="A5786:H5786"/>
    <mergeCell ref="A5788:A5791"/>
    <mergeCell ref="B5788:G5791"/>
    <mergeCell ref="H5788:H5790"/>
    <mergeCell ref="B5792:F5792"/>
    <mergeCell ref="B5793:E5793"/>
    <mergeCell ref="A5770:G5770"/>
    <mergeCell ref="A5771:H5771"/>
    <mergeCell ref="A5772:B5772"/>
    <mergeCell ref="F5772:G5772"/>
    <mergeCell ref="A5773:B5773"/>
    <mergeCell ref="F5773:G5773"/>
    <mergeCell ref="A5774:B5774"/>
    <mergeCell ref="F5774:G5774"/>
    <mergeCell ref="A5775:B5775"/>
    <mergeCell ref="F5775:G5775"/>
    <mergeCell ref="A5766:G5766"/>
    <mergeCell ref="A5767:H5767"/>
    <mergeCell ref="A5768:B5768"/>
    <mergeCell ref="F5768:G5768"/>
    <mergeCell ref="A5769:B5769"/>
    <mergeCell ref="F5769:G5769"/>
    <mergeCell ref="A5819:H5819"/>
    <mergeCell ref="A5820:B5820"/>
    <mergeCell ref="F5820:G5820"/>
    <mergeCell ref="A5821:B5821"/>
    <mergeCell ref="F5821:G5821"/>
    <mergeCell ref="A5822:G5822"/>
    <mergeCell ref="A5823:H5823"/>
    <mergeCell ref="A5824:B5824"/>
    <mergeCell ref="F5824:G5824"/>
    <mergeCell ref="A5814:B5814"/>
    <mergeCell ref="F5814:G5814"/>
    <mergeCell ref="A5815:B5815"/>
    <mergeCell ref="F5815:G5815"/>
    <mergeCell ref="A5816:B5816"/>
    <mergeCell ref="F5816:G5816"/>
    <mergeCell ref="A5817:B5817"/>
    <mergeCell ref="F5817:G5817"/>
    <mergeCell ref="A5818:G5818"/>
    <mergeCell ref="A5809:B5809"/>
    <mergeCell ref="F5809:G5809"/>
    <mergeCell ref="A5810:B5810"/>
    <mergeCell ref="F5810:G5810"/>
    <mergeCell ref="A5811:B5811"/>
    <mergeCell ref="F5811:G5811"/>
    <mergeCell ref="A5812:B5812"/>
    <mergeCell ref="F5812:G5812"/>
    <mergeCell ref="A5813:B5813"/>
    <mergeCell ref="F5813:G5813"/>
    <mergeCell ref="A5804:B5804"/>
    <mergeCell ref="F5804:G5804"/>
    <mergeCell ref="A5805:B5805"/>
    <mergeCell ref="F5805:G5805"/>
    <mergeCell ref="A5806:B5806"/>
    <mergeCell ref="F5806:G5806"/>
    <mergeCell ref="A5807:B5807"/>
    <mergeCell ref="F5807:G5807"/>
    <mergeCell ref="A5808:B5808"/>
    <mergeCell ref="F5808:G5808"/>
    <mergeCell ref="A5858:B5858"/>
    <mergeCell ref="F5858:G5858"/>
    <mergeCell ref="A5859:B5859"/>
    <mergeCell ref="F5859:G5859"/>
    <mergeCell ref="A5860:B5860"/>
    <mergeCell ref="F5860:G5860"/>
    <mergeCell ref="A5861:B5861"/>
    <mergeCell ref="F5861:G5861"/>
    <mergeCell ref="A5862:B5862"/>
    <mergeCell ref="F5862:G5862"/>
    <mergeCell ref="A5851:C5851"/>
    <mergeCell ref="A5852:C5852"/>
    <mergeCell ref="A5853:G5853"/>
    <mergeCell ref="A5854:H5854"/>
    <mergeCell ref="A5855:B5855"/>
    <mergeCell ref="F5855:G5855"/>
    <mergeCell ref="A5856:B5856"/>
    <mergeCell ref="F5856:G5856"/>
    <mergeCell ref="A5857:B5857"/>
    <mergeCell ref="F5857:G5857"/>
    <mergeCell ref="A5838:H5838"/>
    <mergeCell ref="A5840:A5843"/>
    <mergeCell ref="B5840:G5843"/>
    <mergeCell ref="H5840:H5842"/>
    <mergeCell ref="B5844:F5844"/>
    <mergeCell ref="B5845:E5845"/>
    <mergeCell ref="A5848:C5848"/>
    <mergeCell ref="A5849:C5849"/>
    <mergeCell ref="A5850:C5850"/>
    <mergeCell ref="A5825:B5825"/>
    <mergeCell ref="F5825:G5825"/>
    <mergeCell ref="A5826:B5826"/>
    <mergeCell ref="F5826:G5826"/>
    <mergeCell ref="A5827:B5827"/>
    <mergeCell ref="F5827:G5827"/>
    <mergeCell ref="A5828:G5828"/>
    <mergeCell ref="A5830:D5830"/>
    <mergeCell ref="F5835:G5835"/>
    <mergeCell ref="A5880:G5880"/>
    <mergeCell ref="A5882:D5882"/>
    <mergeCell ref="F5887:G5887"/>
    <mergeCell ref="A5890:H5890"/>
    <mergeCell ref="A5892:A5895"/>
    <mergeCell ref="B5892:G5895"/>
    <mergeCell ref="H5892:H5894"/>
    <mergeCell ref="B5896:F5896"/>
    <mergeCell ref="B5897:E5897"/>
    <mergeCell ref="A5874:G5874"/>
    <mergeCell ref="A5875:H5875"/>
    <mergeCell ref="A5876:B5876"/>
    <mergeCell ref="F5876:G5876"/>
    <mergeCell ref="A5877:B5877"/>
    <mergeCell ref="F5877:G5877"/>
    <mergeCell ref="A5878:B5878"/>
    <mergeCell ref="F5878:G5878"/>
    <mergeCell ref="A5879:B5879"/>
    <mergeCell ref="F5879:G5879"/>
    <mergeCell ref="A5868:B5868"/>
    <mergeCell ref="F5868:G5868"/>
    <mergeCell ref="A5869:B5869"/>
    <mergeCell ref="F5869:G5869"/>
    <mergeCell ref="A5870:G5870"/>
    <mergeCell ref="A5871:H5871"/>
    <mergeCell ref="A5872:B5872"/>
    <mergeCell ref="F5872:G5872"/>
    <mergeCell ref="A5873:B5873"/>
    <mergeCell ref="F5873:G5873"/>
    <mergeCell ref="A5863:B5863"/>
    <mergeCell ref="F5863:G5863"/>
    <mergeCell ref="A5864:B5864"/>
    <mergeCell ref="F5864:G5864"/>
    <mergeCell ref="A5865:B5865"/>
    <mergeCell ref="F5865:G5865"/>
    <mergeCell ref="A5866:B5866"/>
    <mergeCell ref="F5866:G5866"/>
    <mergeCell ref="A5867:B5867"/>
    <mergeCell ref="F5867:G5867"/>
    <mergeCell ref="A5918:B5918"/>
    <mergeCell ref="F5918:G5918"/>
    <mergeCell ref="A5919:B5919"/>
    <mergeCell ref="F5919:G5919"/>
    <mergeCell ref="A5920:B5920"/>
    <mergeCell ref="F5920:G5920"/>
    <mergeCell ref="A5921:B5921"/>
    <mergeCell ref="F5921:G5921"/>
    <mergeCell ref="A5922:G5922"/>
    <mergeCell ref="A5913:B5913"/>
    <mergeCell ref="F5913:G5913"/>
    <mergeCell ref="A5914:B5914"/>
    <mergeCell ref="F5914:G5914"/>
    <mergeCell ref="A5915:B5915"/>
    <mergeCell ref="F5915:G5915"/>
    <mergeCell ref="A5916:B5916"/>
    <mergeCell ref="F5916:G5916"/>
    <mergeCell ref="A5917:B5917"/>
    <mergeCell ref="F5917:G5917"/>
    <mergeCell ref="A5908:B5908"/>
    <mergeCell ref="F5908:G5908"/>
    <mergeCell ref="A5909:B5909"/>
    <mergeCell ref="F5909:G5909"/>
    <mergeCell ref="A5910:B5910"/>
    <mergeCell ref="F5910:G5910"/>
    <mergeCell ref="A5911:B5911"/>
    <mergeCell ref="F5911:G5911"/>
    <mergeCell ref="A5912:B5912"/>
    <mergeCell ref="F5912:G5912"/>
    <mergeCell ref="A5900:C5900"/>
    <mergeCell ref="A5901:C5901"/>
    <mergeCell ref="A5902:C5902"/>
    <mergeCell ref="A5903:C5903"/>
    <mergeCell ref="A5904:C5904"/>
    <mergeCell ref="A5905:G5905"/>
    <mergeCell ref="A5906:H5906"/>
    <mergeCell ref="A5907:B5907"/>
    <mergeCell ref="F5907:G5907"/>
    <mergeCell ref="A5955:C5955"/>
    <mergeCell ref="A5956:C5956"/>
    <mergeCell ref="A5957:G5957"/>
    <mergeCell ref="A5958:H5958"/>
    <mergeCell ref="A5959:B5959"/>
    <mergeCell ref="F5959:G5959"/>
    <mergeCell ref="A5960:B5960"/>
    <mergeCell ref="F5960:G5960"/>
    <mergeCell ref="A5961:B5961"/>
    <mergeCell ref="F5961:G5961"/>
    <mergeCell ref="A5942:H5942"/>
    <mergeCell ref="A5944:A5947"/>
    <mergeCell ref="B5944:G5947"/>
    <mergeCell ref="H5944:H5946"/>
    <mergeCell ref="B5948:F5948"/>
    <mergeCell ref="B5949:E5949"/>
    <mergeCell ref="A5952:C5952"/>
    <mergeCell ref="A5953:C5953"/>
    <mergeCell ref="A5954:C5954"/>
    <mergeCell ref="A5929:B5929"/>
    <mergeCell ref="F5929:G5929"/>
    <mergeCell ref="A5930:B5930"/>
    <mergeCell ref="F5930:G5930"/>
    <mergeCell ref="A5931:B5931"/>
    <mergeCell ref="F5931:G5931"/>
    <mergeCell ref="A5932:G5932"/>
    <mergeCell ref="A5934:D5934"/>
    <mergeCell ref="F5939:G5939"/>
    <mergeCell ref="A5923:H5923"/>
    <mergeCell ref="A5924:B5924"/>
    <mergeCell ref="F5924:G5924"/>
    <mergeCell ref="A5925:B5925"/>
    <mergeCell ref="F5925:G5925"/>
    <mergeCell ref="A5926:G5926"/>
    <mergeCell ref="A5927:H5927"/>
    <mergeCell ref="A5928:B5928"/>
    <mergeCell ref="F5928:G5928"/>
    <mergeCell ref="A5978:G5978"/>
    <mergeCell ref="A5979:H5979"/>
    <mergeCell ref="A5980:B5980"/>
    <mergeCell ref="F5980:G5980"/>
    <mergeCell ref="A5981:B5981"/>
    <mergeCell ref="F5981:G5981"/>
    <mergeCell ref="A5982:B5982"/>
    <mergeCell ref="F5982:G5982"/>
    <mergeCell ref="A5983:B5983"/>
    <mergeCell ref="F5983:G5983"/>
    <mergeCell ref="A5972:B5972"/>
    <mergeCell ref="F5972:G5972"/>
    <mergeCell ref="A5973:B5973"/>
    <mergeCell ref="F5973:G5973"/>
    <mergeCell ref="A5974:G5974"/>
    <mergeCell ref="A5975:H5975"/>
    <mergeCell ref="A5976:B5976"/>
    <mergeCell ref="F5976:G5976"/>
    <mergeCell ref="A5977:B5977"/>
    <mergeCell ref="F5977:G5977"/>
    <mergeCell ref="A5967:B5967"/>
    <mergeCell ref="F5967:G5967"/>
    <mergeCell ref="A5968:B5968"/>
    <mergeCell ref="F5968:G5968"/>
    <mergeCell ref="A5969:B5969"/>
    <mergeCell ref="F5969:G5969"/>
    <mergeCell ref="A5970:B5970"/>
    <mergeCell ref="F5970:G5970"/>
    <mergeCell ref="A5971:B5971"/>
    <mergeCell ref="F5971:G5971"/>
    <mergeCell ref="A5962:B5962"/>
    <mergeCell ref="F5962:G5962"/>
    <mergeCell ref="A5963:B5963"/>
    <mergeCell ref="F5963:G5963"/>
    <mergeCell ref="A5964:B5964"/>
    <mergeCell ref="F5964:G5964"/>
    <mergeCell ref="A5965:B5965"/>
    <mergeCell ref="F5965:G5965"/>
    <mergeCell ref="A5966:B5966"/>
    <mergeCell ref="F5966:G5966"/>
    <mergeCell ref="A6017:B6017"/>
    <mergeCell ref="F6017:G6017"/>
    <mergeCell ref="A6018:B6018"/>
    <mergeCell ref="F6018:G6018"/>
    <mergeCell ref="A6019:B6019"/>
    <mergeCell ref="F6019:G6019"/>
    <mergeCell ref="A6020:B6020"/>
    <mergeCell ref="F6020:G6020"/>
    <mergeCell ref="A6021:B6021"/>
    <mergeCell ref="F6021:G6021"/>
    <mergeCell ref="A6012:B6012"/>
    <mergeCell ref="F6012:G6012"/>
    <mergeCell ref="A6013:B6013"/>
    <mergeCell ref="F6013:G6013"/>
    <mergeCell ref="A6014:B6014"/>
    <mergeCell ref="F6014:G6014"/>
    <mergeCell ref="A6015:B6015"/>
    <mergeCell ref="F6015:G6015"/>
    <mergeCell ref="A6016:B6016"/>
    <mergeCell ref="F6016:G6016"/>
    <mergeCell ref="A6004:C6004"/>
    <mergeCell ref="A6005:C6005"/>
    <mergeCell ref="A6006:C6006"/>
    <mergeCell ref="A6007:C6007"/>
    <mergeCell ref="A6008:C6008"/>
    <mergeCell ref="A6009:G6009"/>
    <mergeCell ref="A6010:H6010"/>
    <mergeCell ref="A6011:B6011"/>
    <mergeCell ref="F6011:G6011"/>
    <mergeCell ref="A5984:G5984"/>
    <mergeCell ref="A5986:D5986"/>
    <mergeCell ref="F5991:G5991"/>
    <mergeCell ref="A5994:H5994"/>
    <mergeCell ref="A5996:A5999"/>
    <mergeCell ref="B5996:G5999"/>
    <mergeCell ref="H5996:H5998"/>
    <mergeCell ref="B6000:F6000"/>
    <mergeCell ref="B6001:E6001"/>
    <mergeCell ref="A6046:H6046"/>
    <mergeCell ref="A6048:A6051"/>
    <mergeCell ref="B6048:G6051"/>
    <mergeCell ref="H6048:H6050"/>
    <mergeCell ref="B6052:F6052"/>
    <mergeCell ref="B6053:E6053"/>
    <mergeCell ref="A6056:C6056"/>
    <mergeCell ref="A6057:C6057"/>
    <mergeCell ref="A6058:C6058"/>
    <mergeCell ref="A6033:B6033"/>
    <mergeCell ref="F6033:G6033"/>
    <mergeCell ref="A6034:B6034"/>
    <mergeCell ref="F6034:G6034"/>
    <mergeCell ref="A6035:B6035"/>
    <mergeCell ref="F6035:G6035"/>
    <mergeCell ref="A6036:G6036"/>
    <mergeCell ref="A6038:D6038"/>
    <mergeCell ref="F6043:G6043"/>
    <mergeCell ref="A6027:H6027"/>
    <mergeCell ref="A6028:B6028"/>
    <mergeCell ref="F6028:G6028"/>
    <mergeCell ref="A6029:B6029"/>
    <mergeCell ref="F6029:G6029"/>
    <mergeCell ref="A6030:G6030"/>
    <mergeCell ref="A6031:H6031"/>
    <mergeCell ref="A6032:B6032"/>
    <mergeCell ref="F6032:G6032"/>
    <mergeCell ref="A6022:B6022"/>
    <mergeCell ref="F6022:G6022"/>
    <mergeCell ref="A6023:B6023"/>
    <mergeCell ref="F6023:G6023"/>
    <mergeCell ref="A6024:B6024"/>
    <mergeCell ref="F6024:G6024"/>
    <mergeCell ref="A6025:B6025"/>
    <mergeCell ref="F6025:G6025"/>
    <mergeCell ref="A6026:G6026"/>
    <mergeCell ref="A6120:B6120"/>
    <mergeCell ref="F6120:G6120"/>
    <mergeCell ref="A6121:B6121"/>
    <mergeCell ref="F6121:G6121"/>
    <mergeCell ref="A6122:B6122"/>
    <mergeCell ref="F6122:G6122"/>
    <mergeCell ref="A6123:B6123"/>
    <mergeCell ref="F6123:G6123"/>
    <mergeCell ref="A6124:B6124"/>
    <mergeCell ref="F6124:G6124"/>
    <mergeCell ref="A6125:B6125"/>
    <mergeCell ref="F6125:G6125"/>
    <mergeCell ref="A6126:B6126"/>
    <mergeCell ref="F6126:G6126"/>
    <mergeCell ref="A6127:B6127"/>
    <mergeCell ref="F6127:G6127"/>
    <mergeCell ref="A6128:B6128"/>
    <mergeCell ref="F6128:G6128"/>
    <mergeCell ref="A6129:B6129"/>
    <mergeCell ref="F6129:G6129"/>
    <mergeCell ref="A6130:G6130"/>
    <mergeCell ref="A6131:H6131"/>
    <mergeCell ref="A6132:B6132"/>
    <mergeCell ref="F6132:G6132"/>
    <mergeCell ref="A6060:C6060"/>
    <mergeCell ref="A6061:G6061"/>
    <mergeCell ref="A6062:H6062"/>
    <mergeCell ref="A6063:B6063"/>
    <mergeCell ref="F6063:G6063"/>
    <mergeCell ref="A6064:B6064"/>
    <mergeCell ref="F6064:G6064"/>
    <mergeCell ref="A6065:B6065"/>
    <mergeCell ref="F6065:G6065"/>
    <mergeCell ref="B6105:E6105"/>
    <mergeCell ref="A6108:C6108"/>
    <mergeCell ref="A6109:C6109"/>
    <mergeCell ref="A6110:C6110"/>
    <mergeCell ref="A6111:C6111"/>
    <mergeCell ref="A6112:C6112"/>
    <mergeCell ref="A6113:G6113"/>
    <mergeCell ref="A6114:H6114"/>
    <mergeCell ref="A6115:B6115"/>
    <mergeCell ref="F6115:G6115"/>
    <mergeCell ref="A6116:B6116"/>
    <mergeCell ref="F6116:G6116"/>
    <mergeCell ref="A6117:B6117"/>
    <mergeCell ref="F6117:G6117"/>
    <mergeCell ref="A6078:G6078"/>
    <mergeCell ref="A6079:H6079"/>
    <mergeCell ref="A6080:B6080"/>
    <mergeCell ref="F6080:G6080"/>
    <mergeCell ref="A6081:B6081"/>
    <mergeCell ref="F6081:G6081"/>
    <mergeCell ref="A6071:B6071"/>
    <mergeCell ref="F6071:G6071"/>
    <mergeCell ref="A6072:B6072"/>
    <mergeCell ref="F6072:G6072"/>
    <mergeCell ref="A6073:B6073"/>
    <mergeCell ref="F6073:G6073"/>
    <mergeCell ref="A6074:B6074"/>
    <mergeCell ref="F6074:G6074"/>
    <mergeCell ref="A6075:B6075"/>
    <mergeCell ref="F6075:G6075"/>
    <mergeCell ref="A6118:B6118"/>
    <mergeCell ref="F6118:G6118"/>
    <mergeCell ref="A6119:B6119"/>
    <mergeCell ref="F6119:G6119"/>
    <mergeCell ref="A8051:B8051"/>
    <mergeCell ref="F8051:G8051"/>
    <mergeCell ref="A8052:B8052"/>
    <mergeCell ref="F8052:G8052"/>
    <mergeCell ref="A8053:B8053"/>
    <mergeCell ref="F8053:G8053"/>
    <mergeCell ref="A8054:B8054"/>
    <mergeCell ref="F8054:G8054"/>
    <mergeCell ref="A8055:B8055"/>
    <mergeCell ref="F8055:G8055"/>
    <mergeCell ref="A8046:B8046"/>
    <mergeCell ref="F8046:G8046"/>
    <mergeCell ref="A8047:B8047"/>
    <mergeCell ref="F8047:G8047"/>
    <mergeCell ref="A8048:B8048"/>
    <mergeCell ref="F8048:G8048"/>
    <mergeCell ref="A8049:B8049"/>
    <mergeCell ref="F8049:G8049"/>
    <mergeCell ref="A8050:B8050"/>
    <mergeCell ref="F8050:G8050"/>
    <mergeCell ref="A8038:C8038"/>
    <mergeCell ref="A8039:C8039"/>
    <mergeCell ref="A8040:C8040"/>
    <mergeCell ref="A8041:C8041"/>
    <mergeCell ref="A8042:C8042"/>
    <mergeCell ref="A8043:G8043"/>
    <mergeCell ref="A8044:H8044"/>
    <mergeCell ref="A8045:B8045"/>
    <mergeCell ref="F8045:G8045"/>
    <mergeCell ref="A8028:H8028"/>
    <mergeCell ref="A8030:A8033"/>
    <mergeCell ref="B8030:G8033"/>
    <mergeCell ref="H8030:H8032"/>
    <mergeCell ref="B8034:F8034"/>
    <mergeCell ref="B8035:E8035"/>
    <mergeCell ref="A6384:B6384"/>
    <mergeCell ref="F6384:G6384"/>
    <mergeCell ref="A6385:B6385"/>
    <mergeCell ref="F6385:G6385"/>
    <mergeCell ref="A6386:B6386"/>
    <mergeCell ref="F6386:G6386"/>
    <mergeCell ref="A6387:B6387"/>
    <mergeCell ref="F6387:G6387"/>
    <mergeCell ref="A6388:B6388"/>
    <mergeCell ref="F6388:G6388"/>
    <mergeCell ref="A6389:G6389"/>
    <mergeCell ref="A6390:H6390"/>
    <mergeCell ref="A6391:B6391"/>
    <mergeCell ref="F6391:G6391"/>
    <mergeCell ref="A6392:B6392"/>
    <mergeCell ref="F6392:G6392"/>
    <mergeCell ref="A6393:G6393"/>
    <mergeCell ref="A6375:B6375"/>
    <mergeCell ref="F6375:G6375"/>
    <mergeCell ref="A6376:B6376"/>
    <mergeCell ref="F6376:G6376"/>
    <mergeCell ref="A6377:B6377"/>
    <mergeCell ref="F6377:G6377"/>
    <mergeCell ref="A6378:B6378"/>
    <mergeCell ref="F6378:G6378"/>
    <mergeCell ref="A6379:B6379"/>
    <mergeCell ref="B8784:F8784"/>
    <mergeCell ref="B8785:E8785"/>
    <mergeCell ref="A8788:C8788"/>
    <mergeCell ref="A8789:C8789"/>
    <mergeCell ref="A8790:C8790"/>
    <mergeCell ref="A8641:B8641"/>
    <mergeCell ref="F8641:G8641"/>
    <mergeCell ref="A8642:B8642"/>
    <mergeCell ref="F8642:G8642"/>
    <mergeCell ref="A8643:B8643"/>
    <mergeCell ref="F8643:G8643"/>
    <mergeCell ref="A8644:B8644"/>
    <mergeCell ref="F8644:G8644"/>
    <mergeCell ref="A8635:B8635"/>
    <mergeCell ref="F8635:G8635"/>
    <mergeCell ref="A8636:B8636"/>
    <mergeCell ref="F8636:G8636"/>
    <mergeCell ref="A8637:B8637"/>
    <mergeCell ref="F8637:G8637"/>
    <mergeCell ref="A8638:B8638"/>
    <mergeCell ref="F8638:G8638"/>
    <mergeCell ref="A8639:B8639"/>
    <mergeCell ref="F8639:G8639"/>
    <mergeCell ref="B8727:E8727"/>
    <mergeCell ref="A8730:C8730"/>
    <mergeCell ref="A8731:C8731"/>
    <mergeCell ref="A8732:C8732"/>
    <mergeCell ref="A8733:C8733"/>
    <mergeCell ref="A8734:C8734"/>
    <mergeCell ref="A8735:G8735"/>
    <mergeCell ref="A8736:H8736"/>
    <mergeCell ref="A8737:B8737"/>
    <mergeCell ref="F8737:G8737"/>
    <mergeCell ref="A8738:B8738"/>
    <mergeCell ref="F8738:G8738"/>
    <mergeCell ref="A8739:B8739"/>
    <mergeCell ref="F8739:G8739"/>
    <mergeCell ref="A8740:B8740"/>
    <mergeCell ref="F8740:G8740"/>
    <mergeCell ref="A8741:B8741"/>
    <mergeCell ref="F8741:G8741"/>
    <mergeCell ref="A8742:B8742"/>
    <mergeCell ref="F8742:G8742"/>
    <mergeCell ref="A8743:B8743"/>
    <mergeCell ref="F8743:G8743"/>
    <mergeCell ref="A8744:B8744"/>
    <mergeCell ref="F8744:G8744"/>
    <mergeCell ref="A8745:B8745"/>
    <mergeCell ref="F8745:G8745"/>
    <mergeCell ref="A8746:B8746"/>
    <mergeCell ref="F8746:G8746"/>
    <mergeCell ref="A8747:B8747"/>
    <mergeCell ref="F8747:G8747"/>
    <mergeCell ref="A8748:B8748"/>
    <mergeCell ref="F8748:G8748"/>
    <mergeCell ref="A8749:B8749"/>
    <mergeCell ref="F8749:G8749"/>
    <mergeCell ref="A8750:B8750"/>
    <mergeCell ref="F8750:G8750"/>
    <mergeCell ref="A8762:B8762"/>
    <mergeCell ref="F8762:G8762"/>
    <mergeCell ref="A8763:B8763"/>
    <mergeCell ref="F8763:G8763"/>
    <mergeCell ref="A8764:B8764"/>
    <mergeCell ref="A8810:G8810"/>
    <mergeCell ref="A8811:H8811"/>
    <mergeCell ref="A8812:B8812"/>
    <mergeCell ref="F8812:G8812"/>
    <mergeCell ref="A8813:B8813"/>
    <mergeCell ref="F8813:G8813"/>
    <mergeCell ref="A8814:G8814"/>
    <mergeCell ref="A8815:H8815"/>
    <mergeCell ref="A8816:B8816"/>
    <mergeCell ref="F8816:G8816"/>
    <mergeCell ref="A8695:B8695"/>
    <mergeCell ref="F8695:G8695"/>
    <mergeCell ref="A8807:B8807"/>
    <mergeCell ref="F8807:G8807"/>
    <mergeCell ref="A8808:B8808"/>
    <mergeCell ref="F8808:G8808"/>
    <mergeCell ref="A8698:B8698"/>
    <mergeCell ref="F8698:G8698"/>
    <mergeCell ref="A8809:B8809"/>
    <mergeCell ref="F8809:G8809"/>
    <mergeCell ref="A8697:B8697"/>
    <mergeCell ref="F8697:G8697"/>
    <mergeCell ref="A8699:B8699"/>
    <mergeCell ref="F8699:G8699"/>
    <mergeCell ref="A8700:G8700"/>
    <mergeCell ref="A8701:H8701"/>
    <mergeCell ref="A8702:B8702"/>
    <mergeCell ref="F8702:G8702"/>
    <mergeCell ref="A8703:B8703"/>
    <mergeCell ref="F8703:G8703"/>
    <mergeCell ref="A8704:G8704"/>
    <mergeCell ref="A8705:H8705"/>
    <mergeCell ref="A8803:B8803"/>
    <mergeCell ref="F8803:G8803"/>
    <mergeCell ref="A8804:B8804"/>
    <mergeCell ref="F8804:G8804"/>
    <mergeCell ref="A8805:B8805"/>
    <mergeCell ref="F8805:G8805"/>
    <mergeCell ref="A8806:B8806"/>
    <mergeCell ref="F8806:G8806"/>
    <mergeCell ref="A8798:B8798"/>
    <mergeCell ref="F8798:G8798"/>
    <mergeCell ref="A8799:B8799"/>
    <mergeCell ref="F8799:G8799"/>
    <mergeCell ref="A8800:B8800"/>
    <mergeCell ref="F8800:G8800"/>
    <mergeCell ref="A8801:B8801"/>
    <mergeCell ref="F8801:G8801"/>
    <mergeCell ref="A8802:B8802"/>
    <mergeCell ref="F8802:G8802"/>
    <mergeCell ref="A8791:C8791"/>
    <mergeCell ref="A8792:C8792"/>
    <mergeCell ref="A8793:G8793"/>
    <mergeCell ref="A8794:H8794"/>
    <mergeCell ref="A8795:B8795"/>
    <mergeCell ref="F8795:G8795"/>
    <mergeCell ref="A8796:B8796"/>
    <mergeCell ref="F8796:G8796"/>
    <mergeCell ref="A8797:B8797"/>
    <mergeCell ref="F8797:G8797"/>
    <mergeCell ref="A8778:H8778"/>
    <mergeCell ref="A8780:A8783"/>
    <mergeCell ref="B8780:G8783"/>
    <mergeCell ref="H8780:H8782"/>
    <mergeCell ref="F8851:G8851"/>
    <mergeCell ref="A8852:B8852"/>
    <mergeCell ref="F8852:G8852"/>
    <mergeCell ref="A8853:B8853"/>
    <mergeCell ref="F8853:G8853"/>
    <mergeCell ref="A8854:B8854"/>
    <mergeCell ref="F8854:G8854"/>
    <mergeCell ref="A8843:C8843"/>
    <mergeCell ref="A8844:C8844"/>
    <mergeCell ref="A8845:G8845"/>
    <mergeCell ref="A8846:H8846"/>
    <mergeCell ref="A8847:B8847"/>
    <mergeCell ref="F8847:G8847"/>
    <mergeCell ref="A8848:B8848"/>
    <mergeCell ref="F8848:G8848"/>
    <mergeCell ref="A8849:B8849"/>
    <mergeCell ref="F8849:G8849"/>
    <mergeCell ref="A8830:H8830"/>
    <mergeCell ref="A8832:A8835"/>
    <mergeCell ref="B8832:G8835"/>
    <mergeCell ref="H8832:H8834"/>
    <mergeCell ref="B8836:F8836"/>
    <mergeCell ref="B8837:E8837"/>
    <mergeCell ref="A8840:C8840"/>
    <mergeCell ref="A8841:C8841"/>
    <mergeCell ref="A8842:C8842"/>
    <mergeCell ref="A8817:B8817"/>
    <mergeCell ref="F8817:G8817"/>
    <mergeCell ref="A8818:B8818"/>
    <mergeCell ref="F8818:G8818"/>
    <mergeCell ref="A8819:B8819"/>
    <mergeCell ref="F8819:G8819"/>
    <mergeCell ref="A8820:G8820"/>
    <mergeCell ref="A8822:D8822"/>
    <mergeCell ref="F8827:G8827"/>
    <mergeCell ref="A8872:G8872"/>
    <mergeCell ref="A8874:D8874"/>
    <mergeCell ref="F8879:G8879"/>
    <mergeCell ref="A8665:H8665"/>
    <mergeCell ref="A8667:A8670"/>
    <mergeCell ref="B8667:G8670"/>
    <mergeCell ref="H8667:H8669"/>
    <mergeCell ref="B8671:F8671"/>
    <mergeCell ref="B8672:E8672"/>
    <mergeCell ref="A8675:C8675"/>
    <mergeCell ref="A8676:C8676"/>
    <mergeCell ref="A8677:C8677"/>
    <mergeCell ref="A8678:C8678"/>
    <mergeCell ref="A8679:C8679"/>
    <mergeCell ref="A8680:G8680"/>
    <mergeCell ref="A8681:H8681"/>
    <mergeCell ref="A8682:B8682"/>
    <mergeCell ref="F8682:G8682"/>
    <mergeCell ref="A8683:B8683"/>
    <mergeCell ref="F8683:G8683"/>
    <mergeCell ref="A8684:B8684"/>
    <mergeCell ref="F8684:G8684"/>
    <mergeCell ref="A8685:B8685"/>
    <mergeCell ref="F8685:G8685"/>
    <mergeCell ref="A8866:G8866"/>
    <mergeCell ref="A8867:H8867"/>
    <mergeCell ref="A8868:B8868"/>
    <mergeCell ref="F8868:G8868"/>
    <mergeCell ref="A8869:B8869"/>
    <mergeCell ref="F8869:G8869"/>
    <mergeCell ref="A8870:B8870"/>
    <mergeCell ref="F8870:G8870"/>
    <mergeCell ref="A8871:B8871"/>
    <mergeCell ref="F8871:G8871"/>
    <mergeCell ref="A8860:B8860"/>
    <mergeCell ref="F8860:G8860"/>
    <mergeCell ref="A8861:B8861"/>
    <mergeCell ref="F8861:G8861"/>
    <mergeCell ref="A8862:G8862"/>
    <mergeCell ref="A8863:H8863"/>
    <mergeCell ref="A8864:B8864"/>
    <mergeCell ref="A8707:B8707"/>
    <mergeCell ref="F8707:G8707"/>
    <mergeCell ref="A8708:B8708"/>
    <mergeCell ref="F8708:G8708"/>
    <mergeCell ref="A8709:B8709"/>
    <mergeCell ref="F8709:G8709"/>
    <mergeCell ref="A8710:G8710"/>
    <mergeCell ref="F8864:G8864"/>
    <mergeCell ref="A8865:B8865"/>
    <mergeCell ref="F8865:G8865"/>
    <mergeCell ref="A8855:B8855"/>
    <mergeCell ref="F8855:G8855"/>
    <mergeCell ref="A8856:B8856"/>
    <mergeCell ref="F8856:G8856"/>
    <mergeCell ref="A8857:B8857"/>
    <mergeCell ref="F8857:G8857"/>
    <mergeCell ref="A8858:B8858"/>
    <mergeCell ref="F8858:G8858"/>
    <mergeCell ref="A8859:B8859"/>
    <mergeCell ref="F8859:G8859"/>
    <mergeCell ref="A8850:B8850"/>
    <mergeCell ref="F8850:G8850"/>
    <mergeCell ref="A8851:B8851"/>
    <mergeCell ref="A8653:B8653"/>
    <mergeCell ref="F8653:G8653"/>
    <mergeCell ref="A8654:B8654"/>
    <mergeCell ref="F8654:G8654"/>
    <mergeCell ref="A8655:G8655"/>
    <mergeCell ref="A8657:D8657"/>
    <mergeCell ref="F8662:G8662"/>
    <mergeCell ref="A8645:G8645"/>
    <mergeCell ref="A8646:H8646"/>
    <mergeCell ref="A8647:B8647"/>
    <mergeCell ref="F8647:G8647"/>
    <mergeCell ref="A8648:B8648"/>
    <mergeCell ref="F8648:G8648"/>
    <mergeCell ref="A8712:D8712"/>
    <mergeCell ref="A8095:C8095"/>
    <mergeCell ref="A8096:C8096"/>
    <mergeCell ref="A8097:C8097"/>
    <mergeCell ref="A8098:G8098"/>
    <mergeCell ref="A8099:H8099"/>
    <mergeCell ref="A8100:B8100"/>
    <mergeCell ref="A8630:B8630"/>
    <mergeCell ref="F8630:G8630"/>
    <mergeCell ref="A8631:B8631"/>
    <mergeCell ref="F8631:G8631"/>
    <mergeCell ref="A8632:B8632"/>
    <mergeCell ref="F8632:G8632"/>
    <mergeCell ref="A8633:B8633"/>
    <mergeCell ref="F8633:G8633"/>
    <mergeCell ref="A8634:B8634"/>
    <mergeCell ref="F8634:G8634"/>
    <mergeCell ref="A8623:C8623"/>
    <mergeCell ref="A8624:C8624"/>
    <mergeCell ref="A8625:G8625"/>
    <mergeCell ref="A8626:H8626"/>
    <mergeCell ref="A8627:B8627"/>
    <mergeCell ref="F8627:G8627"/>
    <mergeCell ref="A8628:B8628"/>
    <mergeCell ref="F8628:G8628"/>
    <mergeCell ref="A8629:B8629"/>
    <mergeCell ref="F8629:G8629"/>
    <mergeCell ref="A8107:B8107"/>
    <mergeCell ref="F8107:G8107"/>
    <mergeCell ref="A8108:B8108"/>
    <mergeCell ref="F8108:G8108"/>
    <mergeCell ref="A8109:B8109"/>
    <mergeCell ref="F8155:G8155"/>
    <mergeCell ref="A8156:B8156"/>
    <mergeCell ref="A8113:B8113"/>
    <mergeCell ref="F8113:G8113"/>
    <mergeCell ref="A8114:G8114"/>
    <mergeCell ref="A8115:H8115"/>
    <mergeCell ref="A8116:B8116"/>
    <mergeCell ref="F8116:G8116"/>
    <mergeCell ref="A8117:B8117"/>
    <mergeCell ref="F8117:G8117"/>
    <mergeCell ref="A8118:B8118"/>
    <mergeCell ref="F8118:G8118"/>
    <mergeCell ref="A8119:B8119"/>
    <mergeCell ref="F8119:G8119"/>
    <mergeCell ref="A8120:G8120"/>
    <mergeCell ref="A8122:D8122"/>
    <mergeCell ref="F8127:G8127"/>
    <mergeCell ref="A8130:H8130"/>
    <mergeCell ref="A8132:A8135"/>
    <mergeCell ref="A847:B847"/>
    <mergeCell ref="F847:G847"/>
    <mergeCell ref="A848:B848"/>
    <mergeCell ref="F848:G848"/>
    <mergeCell ref="A849:B849"/>
    <mergeCell ref="F849:G849"/>
    <mergeCell ref="A850:B850"/>
    <mergeCell ref="F850:G850"/>
    <mergeCell ref="A851:B851"/>
    <mergeCell ref="F851:G851"/>
    <mergeCell ref="A852:B852"/>
    <mergeCell ref="F852:G852"/>
    <mergeCell ref="A853:B853"/>
    <mergeCell ref="F853:G853"/>
    <mergeCell ref="A854:G854"/>
    <mergeCell ref="A855:H855"/>
    <mergeCell ref="A856:B856"/>
    <mergeCell ref="F856:G856"/>
    <mergeCell ref="A837:G837"/>
    <mergeCell ref="A838:H838"/>
    <mergeCell ref="A839:B839"/>
    <mergeCell ref="F839:G839"/>
    <mergeCell ref="A840:B840"/>
    <mergeCell ref="F840:G840"/>
    <mergeCell ref="A841:B841"/>
    <mergeCell ref="F841:G841"/>
    <mergeCell ref="A842:B842"/>
    <mergeCell ref="F842:G842"/>
    <mergeCell ref="A843:B843"/>
    <mergeCell ref="F843:G843"/>
    <mergeCell ref="A844:B844"/>
    <mergeCell ref="F844:G844"/>
    <mergeCell ref="A845:B845"/>
    <mergeCell ref="F845:G845"/>
    <mergeCell ref="A846:B846"/>
    <mergeCell ref="F846:G846"/>
    <mergeCell ref="A1107:B1107"/>
    <mergeCell ref="F1107:G1107"/>
    <mergeCell ref="A1108:B1108"/>
    <mergeCell ref="F1108:G1108"/>
    <mergeCell ref="A1109:B1109"/>
    <mergeCell ref="F1109:G1109"/>
    <mergeCell ref="A1110:B1110"/>
    <mergeCell ref="F1110:G1110"/>
    <mergeCell ref="A1111:B1111"/>
    <mergeCell ref="F1111:G1111"/>
    <mergeCell ref="B1088:F1088"/>
    <mergeCell ref="B1089:E1089"/>
    <mergeCell ref="A1092:C1092"/>
    <mergeCell ref="A1093:C1093"/>
    <mergeCell ref="A1094:C1094"/>
    <mergeCell ref="A1095:C1095"/>
    <mergeCell ref="A1096:G1096"/>
    <mergeCell ref="A1097:H1097"/>
    <mergeCell ref="A1098:B1098"/>
    <mergeCell ref="F1098:G1098"/>
    <mergeCell ref="A1099:B1099"/>
    <mergeCell ref="F1099:G1099"/>
    <mergeCell ref="A1100:B1100"/>
    <mergeCell ref="F1100:G1100"/>
    <mergeCell ref="A1101:B1101"/>
    <mergeCell ref="F1101:G1101"/>
    <mergeCell ref="A1102:B1102"/>
    <mergeCell ref="F1102:G1102"/>
    <mergeCell ref="A857:B857"/>
    <mergeCell ref="F857:G857"/>
    <mergeCell ref="A858:G858"/>
    <mergeCell ref="A859:H859"/>
    <mergeCell ref="A860:B860"/>
    <mergeCell ref="F860:G860"/>
    <mergeCell ref="A861:B861"/>
    <mergeCell ref="F861:G861"/>
    <mergeCell ref="A862:B862"/>
    <mergeCell ref="F862:G862"/>
    <mergeCell ref="A863:B863"/>
    <mergeCell ref="F863:G863"/>
    <mergeCell ref="A864:G864"/>
    <mergeCell ref="A866:D866"/>
    <mergeCell ref="F871:G871"/>
    <mergeCell ref="A1082:H1082"/>
    <mergeCell ref="A1084:A1087"/>
    <mergeCell ref="B1084:G1087"/>
    <mergeCell ref="H1084:H1086"/>
    <mergeCell ref="F898:G898"/>
    <mergeCell ref="A899:B899"/>
    <mergeCell ref="F899:G899"/>
    <mergeCell ref="A900:B900"/>
    <mergeCell ref="F900:G900"/>
    <mergeCell ref="A901:B901"/>
    <mergeCell ref="F901:G901"/>
    <mergeCell ref="A902:B902"/>
    <mergeCell ref="F902:G902"/>
    <mergeCell ref="A903:B903"/>
    <mergeCell ref="F903:G903"/>
    <mergeCell ref="A904:B904"/>
    <mergeCell ref="F904:G904"/>
    <mergeCell ref="A905:G905"/>
    <mergeCell ref="A906:H906"/>
    <mergeCell ref="A907:B907"/>
    <mergeCell ref="F907:G907"/>
    <mergeCell ref="A908:B908"/>
    <mergeCell ref="F908:G908"/>
    <mergeCell ref="A909:G909"/>
    <mergeCell ref="A910:H910"/>
    <mergeCell ref="A911:B911"/>
    <mergeCell ref="F911:G911"/>
    <mergeCell ref="A912:B912"/>
    <mergeCell ref="F912:G912"/>
    <mergeCell ref="A913:B913"/>
    <mergeCell ref="F913:G913"/>
    <mergeCell ref="A914:B914"/>
    <mergeCell ref="F914:G914"/>
    <mergeCell ref="A915:G915"/>
    <mergeCell ref="A874:H874"/>
    <mergeCell ref="A876:A879"/>
    <mergeCell ref="B876:G879"/>
    <mergeCell ref="H876:H878"/>
    <mergeCell ref="B880:F880"/>
    <mergeCell ref="B881:E881"/>
    <mergeCell ref="A884:C884"/>
    <mergeCell ref="A885:C885"/>
    <mergeCell ref="A886:C886"/>
    <mergeCell ref="A887:C887"/>
    <mergeCell ref="A888:G888"/>
    <mergeCell ref="A889:H889"/>
    <mergeCell ref="A890:B890"/>
    <mergeCell ref="F890:G890"/>
    <mergeCell ref="A891:B891"/>
    <mergeCell ref="F891:G891"/>
    <mergeCell ref="A892:B892"/>
    <mergeCell ref="F892:G892"/>
    <mergeCell ref="A893:B893"/>
    <mergeCell ref="F893:G893"/>
    <mergeCell ref="A894:B894"/>
    <mergeCell ref="F894:G894"/>
    <mergeCell ref="A895:B895"/>
    <mergeCell ref="F895:G895"/>
    <mergeCell ref="A896:B896"/>
    <mergeCell ref="F896:G896"/>
    <mergeCell ref="A897:B897"/>
    <mergeCell ref="F897:G897"/>
    <mergeCell ref="A898:B898"/>
    <mergeCell ref="A943:B943"/>
    <mergeCell ref="F943:G943"/>
    <mergeCell ref="A944:B944"/>
    <mergeCell ref="F944:G944"/>
    <mergeCell ref="A945:B945"/>
    <mergeCell ref="F945:G945"/>
    <mergeCell ref="A946:B946"/>
    <mergeCell ref="F946:G946"/>
    <mergeCell ref="A947:B947"/>
    <mergeCell ref="F947:G947"/>
    <mergeCell ref="A948:B948"/>
    <mergeCell ref="F948:G948"/>
    <mergeCell ref="A949:B949"/>
    <mergeCell ref="F949:G949"/>
    <mergeCell ref="A950:B950"/>
    <mergeCell ref="F950:G950"/>
    <mergeCell ref="A951:B951"/>
    <mergeCell ref="F951:G951"/>
    <mergeCell ref="A917:D917"/>
    <mergeCell ref="F922:G922"/>
    <mergeCell ref="A925:H925"/>
    <mergeCell ref="A927:A930"/>
    <mergeCell ref="B927:G930"/>
    <mergeCell ref="H927:H929"/>
    <mergeCell ref="B931:F931"/>
    <mergeCell ref="B932:E932"/>
    <mergeCell ref="A935:C935"/>
    <mergeCell ref="A936:C936"/>
    <mergeCell ref="A937:C937"/>
    <mergeCell ref="A938:C938"/>
    <mergeCell ref="A939:G939"/>
    <mergeCell ref="A940:H940"/>
    <mergeCell ref="A941:B941"/>
    <mergeCell ref="F941:G941"/>
    <mergeCell ref="A942:B942"/>
    <mergeCell ref="F942:G942"/>
    <mergeCell ref="A963:B963"/>
    <mergeCell ref="F963:G963"/>
    <mergeCell ref="A964:B964"/>
    <mergeCell ref="F964:G964"/>
    <mergeCell ref="A965:B965"/>
    <mergeCell ref="F965:G965"/>
    <mergeCell ref="A966:G966"/>
    <mergeCell ref="A968:D968"/>
    <mergeCell ref="F973:G973"/>
    <mergeCell ref="A976:H976"/>
    <mergeCell ref="A978:A981"/>
    <mergeCell ref="B978:G981"/>
    <mergeCell ref="H978:H980"/>
    <mergeCell ref="B982:F982"/>
    <mergeCell ref="B983:E983"/>
    <mergeCell ref="A986:C986"/>
    <mergeCell ref="A987:C987"/>
    <mergeCell ref="A952:B952"/>
    <mergeCell ref="F952:G952"/>
    <mergeCell ref="A953:B953"/>
    <mergeCell ref="F953:G953"/>
    <mergeCell ref="A954:B954"/>
    <mergeCell ref="F954:G954"/>
    <mergeCell ref="A955:B955"/>
    <mergeCell ref="F955:G955"/>
    <mergeCell ref="A956:G956"/>
    <mergeCell ref="A957:H957"/>
    <mergeCell ref="A958:B958"/>
    <mergeCell ref="F958:G958"/>
    <mergeCell ref="A959:B959"/>
    <mergeCell ref="F959:G959"/>
    <mergeCell ref="A960:G960"/>
    <mergeCell ref="A961:H961"/>
    <mergeCell ref="A962:B962"/>
    <mergeCell ref="F962:G962"/>
    <mergeCell ref="A999:B999"/>
    <mergeCell ref="F999:G999"/>
    <mergeCell ref="A1000:B1000"/>
    <mergeCell ref="F1000:G1000"/>
    <mergeCell ref="A1001:B1001"/>
    <mergeCell ref="F1001:G1001"/>
    <mergeCell ref="A1002:B1002"/>
    <mergeCell ref="F1002:G1002"/>
    <mergeCell ref="A1003:B1003"/>
    <mergeCell ref="F1003:G1003"/>
    <mergeCell ref="A1004:B1004"/>
    <mergeCell ref="F1004:G1004"/>
    <mergeCell ref="A1005:B1005"/>
    <mergeCell ref="F1005:G1005"/>
    <mergeCell ref="A1006:B1006"/>
    <mergeCell ref="F1006:G1006"/>
    <mergeCell ref="A1007:G1007"/>
    <mergeCell ref="A988:C988"/>
    <mergeCell ref="A989:C989"/>
    <mergeCell ref="A990:G990"/>
    <mergeCell ref="A991:H991"/>
    <mergeCell ref="A992:B992"/>
    <mergeCell ref="F992:G992"/>
    <mergeCell ref="A993:B993"/>
    <mergeCell ref="F993:G993"/>
    <mergeCell ref="A994:B994"/>
    <mergeCell ref="F994:G994"/>
    <mergeCell ref="A995:B995"/>
    <mergeCell ref="F995:G995"/>
    <mergeCell ref="A996:B996"/>
    <mergeCell ref="F996:G996"/>
    <mergeCell ref="A997:B997"/>
    <mergeCell ref="F997:G997"/>
    <mergeCell ref="A998:B998"/>
    <mergeCell ref="F998:G998"/>
    <mergeCell ref="F1024:G1024"/>
    <mergeCell ref="A1027:H1027"/>
    <mergeCell ref="A1029:A1032"/>
    <mergeCell ref="B1029:G1032"/>
    <mergeCell ref="H1029:H1031"/>
    <mergeCell ref="B1033:F1033"/>
    <mergeCell ref="B1034:E1034"/>
    <mergeCell ref="A1037:C1037"/>
    <mergeCell ref="A1038:C1038"/>
    <mergeCell ref="A1039:C1039"/>
    <mergeCell ref="A1040:C1040"/>
    <mergeCell ref="A1041:G1041"/>
    <mergeCell ref="A1042:H1042"/>
    <mergeCell ref="A1043:B1043"/>
    <mergeCell ref="F1043:G1043"/>
    <mergeCell ref="A1044:B1044"/>
    <mergeCell ref="F1044:G1044"/>
    <mergeCell ref="A1008:H1008"/>
    <mergeCell ref="A1009:B1009"/>
    <mergeCell ref="F1009:G1009"/>
    <mergeCell ref="A1010:B1010"/>
    <mergeCell ref="F1010:G1010"/>
    <mergeCell ref="A1011:G1011"/>
    <mergeCell ref="A1012:H1012"/>
    <mergeCell ref="A1013:B1013"/>
    <mergeCell ref="F1013:G1013"/>
    <mergeCell ref="A1014:B1014"/>
    <mergeCell ref="F1014:G1014"/>
    <mergeCell ref="A1015:B1015"/>
    <mergeCell ref="F1015:G1015"/>
    <mergeCell ref="A1016:B1016"/>
    <mergeCell ref="F1016:G1016"/>
    <mergeCell ref="A1017:G1017"/>
    <mergeCell ref="A1019:D1019"/>
    <mergeCell ref="A1054:B1054"/>
    <mergeCell ref="F1054:G1054"/>
    <mergeCell ref="A1055:B1055"/>
    <mergeCell ref="F1055:G1055"/>
    <mergeCell ref="A1056:B1056"/>
    <mergeCell ref="F1056:G1056"/>
    <mergeCell ref="A1057:B1057"/>
    <mergeCell ref="F1057:G1057"/>
    <mergeCell ref="A1058:G1058"/>
    <mergeCell ref="A1059:H1059"/>
    <mergeCell ref="A1060:B1060"/>
    <mergeCell ref="F1060:G1060"/>
    <mergeCell ref="A1061:B1061"/>
    <mergeCell ref="F1061:G1061"/>
    <mergeCell ref="A1062:G1062"/>
    <mergeCell ref="A1063:H1063"/>
    <mergeCell ref="A1064:B1064"/>
    <mergeCell ref="F1064:G1064"/>
    <mergeCell ref="A1045:B1045"/>
    <mergeCell ref="F1045:G1045"/>
    <mergeCell ref="A1046:B1046"/>
    <mergeCell ref="F1046:G1046"/>
    <mergeCell ref="A1047:B1047"/>
    <mergeCell ref="F1047:G1047"/>
    <mergeCell ref="A1048:B1048"/>
    <mergeCell ref="F1048:G1048"/>
    <mergeCell ref="A1049:B1049"/>
    <mergeCell ref="F1049:G1049"/>
    <mergeCell ref="A1050:B1050"/>
    <mergeCell ref="F1050:G1050"/>
    <mergeCell ref="A1051:B1051"/>
    <mergeCell ref="F1051:G1051"/>
    <mergeCell ref="A1052:B1052"/>
    <mergeCell ref="F1052:G1052"/>
    <mergeCell ref="A1053:B1053"/>
    <mergeCell ref="F1053:G1053"/>
    <mergeCell ref="A1145:C1145"/>
    <mergeCell ref="A1146:C1146"/>
    <mergeCell ref="A1147:G1147"/>
    <mergeCell ref="A1148:H1148"/>
    <mergeCell ref="A1149:B1149"/>
    <mergeCell ref="F1149:G1149"/>
    <mergeCell ref="A1150:B1150"/>
    <mergeCell ref="F1150:G1150"/>
    <mergeCell ref="A1151:B1151"/>
    <mergeCell ref="F1151:G1151"/>
    <mergeCell ref="A1152:B1152"/>
    <mergeCell ref="F1152:G1152"/>
    <mergeCell ref="A1153:B1153"/>
    <mergeCell ref="F1153:G1153"/>
    <mergeCell ref="A1154:B1154"/>
    <mergeCell ref="F1154:G1154"/>
    <mergeCell ref="A1155:B1155"/>
    <mergeCell ref="F1155:G1155"/>
    <mergeCell ref="A1065:B1065"/>
    <mergeCell ref="F1065:G1065"/>
    <mergeCell ref="A1066:B1066"/>
    <mergeCell ref="F1066:G1066"/>
    <mergeCell ref="A1067:B1067"/>
    <mergeCell ref="F1067:G1067"/>
    <mergeCell ref="A1068:G1068"/>
    <mergeCell ref="A1070:D1070"/>
    <mergeCell ref="F1075:G1075"/>
    <mergeCell ref="A1133:H1133"/>
    <mergeCell ref="A1135:A1138"/>
    <mergeCell ref="B1135:G1138"/>
    <mergeCell ref="H1135:H1137"/>
    <mergeCell ref="B1139:F1139"/>
    <mergeCell ref="B1140:E1140"/>
    <mergeCell ref="A1143:C1143"/>
    <mergeCell ref="A1144:C1144"/>
    <mergeCell ref="A1123:G1123"/>
    <mergeCell ref="A1125:D1125"/>
    <mergeCell ref="F1130:G1130"/>
    <mergeCell ref="A1116:B1116"/>
    <mergeCell ref="F1116:G1116"/>
    <mergeCell ref="A1117:G1117"/>
    <mergeCell ref="A1118:H1118"/>
    <mergeCell ref="A1119:B1119"/>
    <mergeCell ref="F1119:G1119"/>
    <mergeCell ref="A1120:B1120"/>
    <mergeCell ref="F1120:G1120"/>
    <mergeCell ref="A1121:B1121"/>
    <mergeCell ref="F1121:G1121"/>
    <mergeCell ref="A1122:B1122"/>
    <mergeCell ref="F1122:G1122"/>
    <mergeCell ref="A1112:B1112"/>
    <mergeCell ref="F1112:G1112"/>
    <mergeCell ref="A1113:G1113"/>
    <mergeCell ref="A1114:H1114"/>
    <mergeCell ref="A1115:B1115"/>
    <mergeCell ref="F1115:G1115"/>
    <mergeCell ref="A1103:B1103"/>
    <mergeCell ref="F1103:G1103"/>
    <mergeCell ref="A1104:B1104"/>
    <mergeCell ref="F1104:G1104"/>
    <mergeCell ref="A1105:B1105"/>
    <mergeCell ref="F1105:G1105"/>
    <mergeCell ref="A1106:B1106"/>
    <mergeCell ref="F1106:G1106"/>
    <mergeCell ref="A1165:H1165"/>
    <mergeCell ref="A1166:B1166"/>
    <mergeCell ref="F1166:G1166"/>
    <mergeCell ref="A1167:B1167"/>
    <mergeCell ref="F1167:G1167"/>
    <mergeCell ref="A1168:G1168"/>
    <mergeCell ref="A1169:H1169"/>
    <mergeCell ref="A1170:B1170"/>
    <mergeCell ref="F1170:G1170"/>
    <mergeCell ref="A1171:B1171"/>
    <mergeCell ref="F1171:G1171"/>
    <mergeCell ref="A1172:B1172"/>
    <mergeCell ref="F1172:G1172"/>
    <mergeCell ref="A1173:B1173"/>
    <mergeCell ref="F1173:G1173"/>
    <mergeCell ref="A1174:G1174"/>
    <mergeCell ref="A1176:D1176"/>
    <mergeCell ref="A1156:B1156"/>
    <mergeCell ref="F1156:G1156"/>
    <mergeCell ref="A1157:B1157"/>
    <mergeCell ref="F1157:G1157"/>
    <mergeCell ref="A1158:B1158"/>
    <mergeCell ref="F1158:G1158"/>
    <mergeCell ref="A1159:B1159"/>
    <mergeCell ref="F1159:G1159"/>
    <mergeCell ref="A1160:B1160"/>
    <mergeCell ref="F1160:G1160"/>
    <mergeCell ref="A1161:B1161"/>
    <mergeCell ref="F1161:G1161"/>
    <mergeCell ref="A1162:B1162"/>
    <mergeCell ref="F1162:G1162"/>
    <mergeCell ref="A1163:B1163"/>
    <mergeCell ref="F1163:G1163"/>
    <mergeCell ref="A1164:G1164"/>
    <mergeCell ref="A1202:B1202"/>
    <mergeCell ref="F1202:G1202"/>
    <mergeCell ref="A1203:B1203"/>
    <mergeCell ref="F1203:G1203"/>
    <mergeCell ref="A1204:B1204"/>
    <mergeCell ref="F1204:G1204"/>
    <mergeCell ref="A1205:B1205"/>
    <mergeCell ref="F1205:G1205"/>
    <mergeCell ref="A1206:B1206"/>
    <mergeCell ref="F1206:G1206"/>
    <mergeCell ref="A1207:B1207"/>
    <mergeCell ref="F1207:G1207"/>
    <mergeCell ref="A1208:B1208"/>
    <mergeCell ref="F1208:G1208"/>
    <mergeCell ref="A1209:B1209"/>
    <mergeCell ref="F1209:G1209"/>
    <mergeCell ref="A1210:B1210"/>
    <mergeCell ref="F1210:G1210"/>
    <mergeCell ref="F1181:G1181"/>
    <mergeCell ref="A1184:H1184"/>
    <mergeCell ref="A1186:A1189"/>
    <mergeCell ref="B1186:G1189"/>
    <mergeCell ref="H1186:H1188"/>
    <mergeCell ref="B1190:F1190"/>
    <mergeCell ref="B1191:E1191"/>
    <mergeCell ref="A1194:C1194"/>
    <mergeCell ref="A1195:C1195"/>
    <mergeCell ref="A1196:C1196"/>
    <mergeCell ref="A1197:C1197"/>
    <mergeCell ref="A1198:G1198"/>
    <mergeCell ref="A1199:H1199"/>
    <mergeCell ref="A1200:B1200"/>
    <mergeCell ref="F1200:G1200"/>
    <mergeCell ref="A1201:B1201"/>
    <mergeCell ref="F1201:G1201"/>
    <mergeCell ref="A1222:B1222"/>
    <mergeCell ref="F1222:G1222"/>
    <mergeCell ref="A1223:B1223"/>
    <mergeCell ref="F1223:G1223"/>
    <mergeCell ref="A1224:B1224"/>
    <mergeCell ref="F1224:G1224"/>
    <mergeCell ref="A1225:G1225"/>
    <mergeCell ref="A1227:D1227"/>
    <mergeCell ref="F1232:G1232"/>
    <mergeCell ref="A1235:H1235"/>
    <mergeCell ref="A1237:A1240"/>
    <mergeCell ref="B1237:G1240"/>
    <mergeCell ref="H1237:H1239"/>
    <mergeCell ref="B1241:F1241"/>
    <mergeCell ref="B1242:E1242"/>
    <mergeCell ref="A1245:C1245"/>
    <mergeCell ref="A1246:C1246"/>
    <mergeCell ref="A1211:B1211"/>
    <mergeCell ref="F1211:G1211"/>
    <mergeCell ref="A1212:B1212"/>
    <mergeCell ref="F1212:G1212"/>
    <mergeCell ref="A1213:B1213"/>
    <mergeCell ref="F1213:G1213"/>
    <mergeCell ref="A1214:B1214"/>
    <mergeCell ref="F1214:G1214"/>
    <mergeCell ref="A1215:G1215"/>
    <mergeCell ref="A1216:H1216"/>
    <mergeCell ref="A1217:B1217"/>
    <mergeCell ref="F1217:G1217"/>
    <mergeCell ref="A1218:B1218"/>
    <mergeCell ref="F1218:G1218"/>
    <mergeCell ref="A1219:G1219"/>
    <mergeCell ref="A1220:H1220"/>
    <mergeCell ref="A1221:B1221"/>
    <mergeCell ref="F1221:G1221"/>
    <mergeCell ref="A1258:B1258"/>
    <mergeCell ref="F1258:G1258"/>
    <mergeCell ref="A1259:B1259"/>
    <mergeCell ref="F1259:G1259"/>
    <mergeCell ref="A1260:B1260"/>
    <mergeCell ref="F1260:G1260"/>
    <mergeCell ref="A1261:B1261"/>
    <mergeCell ref="F1261:G1261"/>
    <mergeCell ref="A1262:B1262"/>
    <mergeCell ref="F1262:G1262"/>
    <mergeCell ref="A1263:B1263"/>
    <mergeCell ref="F1263:G1263"/>
    <mergeCell ref="A1264:B1264"/>
    <mergeCell ref="F1264:G1264"/>
    <mergeCell ref="A1265:B1265"/>
    <mergeCell ref="F1265:G1265"/>
    <mergeCell ref="A1266:G1266"/>
    <mergeCell ref="A1247:C1247"/>
    <mergeCell ref="A1248:C1248"/>
    <mergeCell ref="A1249:G1249"/>
    <mergeCell ref="A1250:H1250"/>
    <mergeCell ref="A1251:B1251"/>
    <mergeCell ref="F1251:G1251"/>
    <mergeCell ref="A1252:B1252"/>
    <mergeCell ref="F1252:G1252"/>
    <mergeCell ref="A1253:B1253"/>
    <mergeCell ref="F1253:G1253"/>
    <mergeCell ref="A1254:B1254"/>
    <mergeCell ref="F1254:G1254"/>
    <mergeCell ref="A1255:B1255"/>
    <mergeCell ref="F1255:G1255"/>
    <mergeCell ref="A1256:B1256"/>
    <mergeCell ref="F1256:G1256"/>
    <mergeCell ref="A1257:B1257"/>
    <mergeCell ref="F1257:G1257"/>
    <mergeCell ref="F1305:G1305"/>
    <mergeCell ref="A1306:B1306"/>
    <mergeCell ref="F1306:G1306"/>
    <mergeCell ref="A1307:B1307"/>
    <mergeCell ref="F1307:G1307"/>
    <mergeCell ref="A1308:B1308"/>
    <mergeCell ref="F1308:G1308"/>
    <mergeCell ref="A1309:B1309"/>
    <mergeCell ref="F1309:G1309"/>
    <mergeCell ref="A1310:B1310"/>
    <mergeCell ref="F1310:G1310"/>
    <mergeCell ref="A1311:B1311"/>
    <mergeCell ref="F1311:G1311"/>
    <mergeCell ref="A1312:B1312"/>
    <mergeCell ref="F1312:G1312"/>
    <mergeCell ref="F1283:G1283"/>
    <mergeCell ref="A1267:H1267"/>
    <mergeCell ref="A1268:B1268"/>
    <mergeCell ref="F1268:G1268"/>
    <mergeCell ref="A1269:B1269"/>
    <mergeCell ref="F1269:G1269"/>
    <mergeCell ref="A1270:G1270"/>
    <mergeCell ref="A1271:H1271"/>
    <mergeCell ref="A1272:B1272"/>
    <mergeCell ref="F1272:G1272"/>
    <mergeCell ref="A1273:B1273"/>
    <mergeCell ref="F1273:G1273"/>
    <mergeCell ref="A1274:B1274"/>
    <mergeCell ref="F1274:G1274"/>
    <mergeCell ref="A1275:B1275"/>
    <mergeCell ref="F1275:G1275"/>
    <mergeCell ref="A1276:G1276"/>
    <mergeCell ref="A1278:D1278"/>
    <mergeCell ref="A1337:H1337"/>
    <mergeCell ref="A1339:A1342"/>
    <mergeCell ref="B1339:G1342"/>
    <mergeCell ref="H1339:H1341"/>
    <mergeCell ref="B1343:F1343"/>
    <mergeCell ref="B1344:E1344"/>
    <mergeCell ref="A1347:C1347"/>
    <mergeCell ref="A1348:C1348"/>
    <mergeCell ref="A1349:C1349"/>
    <mergeCell ref="A1350:C1350"/>
    <mergeCell ref="A1351:G1351"/>
    <mergeCell ref="A1352:H1352"/>
    <mergeCell ref="A1353:B1353"/>
    <mergeCell ref="F1353:G1353"/>
    <mergeCell ref="A1354:B1354"/>
    <mergeCell ref="F1354:G1354"/>
    <mergeCell ref="A1355:B1355"/>
    <mergeCell ref="F1355:G1355"/>
    <mergeCell ref="A1324:B1324"/>
    <mergeCell ref="F1324:G1324"/>
    <mergeCell ref="A1325:B1325"/>
    <mergeCell ref="F1325:G1325"/>
    <mergeCell ref="A1326:B1326"/>
    <mergeCell ref="F1326:G1326"/>
    <mergeCell ref="A1327:G1327"/>
    <mergeCell ref="A1329:D1329"/>
    <mergeCell ref="F1334:G1334"/>
    <mergeCell ref="A1286:H1286"/>
    <mergeCell ref="A1288:A1291"/>
    <mergeCell ref="B1288:G1291"/>
    <mergeCell ref="H1288:H1290"/>
    <mergeCell ref="B1292:F1292"/>
    <mergeCell ref="B1293:E1293"/>
    <mergeCell ref="A1296:C1296"/>
    <mergeCell ref="A1297:C1297"/>
    <mergeCell ref="A1298:C1298"/>
    <mergeCell ref="A1299:C1299"/>
    <mergeCell ref="A1300:G1300"/>
    <mergeCell ref="A1301:H1301"/>
    <mergeCell ref="A1302:B1302"/>
    <mergeCell ref="F1302:G1302"/>
    <mergeCell ref="A1303:B1303"/>
    <mergeCell ref="F1303:G1303"/>
    <mergeCell ref="A1313:B1313"/>
    <mergeCell ref="F1313:G1313"/>
    <mergeCell ref="A1314:B1314"/>
    <mergeCell ref="F1314:G1314"/>
    <mergeCell ref="A1315:B1315"/>
    <mergeCell ref="F1315:G1315"/>
    <mergeCell ref="A1316:B1316"/>
    <mergeCell ref="F1316:G1316"/>
    <mergeCell ref="A1317:G1317"/>
    <mergeCell ref="A1318:H1318"/>
    <mergeCell ref="A1319:B1319"/>
    <mergeCell ref="F1319:G1319"/>
    <mergeCell ref="A1320:B1320"/>
    <mergeCell ref="F1320:G1320"/>
    <mergeCell ref="A1321:G1321"/>
    <mergeCell ref="A1322:H1322"/>
    <mergeCell ref="A1323:B1323"/>
    <mergeCell ref="F1323:G1323"/>
    <mergeCell ref="A1304:B1304"/>
    <mergeCell ref="F1304:G1304"/>
    <mergeCell ref="A1305:B1305"/>
    <mergeCell ref="A1365:B1365"/>
    <mergeCell ref="F1365:G1365"/>
    <mergeCell ref="A1366:B1366"/>
    <mergeCell ref="F1366:G1366"/>
    <mergeCell ref="A1367:B1367"/>
    <mergeCell ref="F1367:G1367"/>
    <mergeCell ref="A1368:G1368"/>
    <mergeCell ref="A1369:H1369"/>
    <mergeCell ref="A1370:B1370"/>
    <mergeCell ref="F1370:G1370"/>
    <mergeCell ref="A1371:B1371"/>
    <mergeCell ref="F1371:G1371"/>
    <mergeCell ref="A1372:G1372"/>
    <mergeCell ref="A1373:H1373"/>
    <mergeCell ref="A1374:B1374"/>
    <mergeCell ref="F1374:G1374"/>
    <mergeCell ref="A1375:B1375"/>
    <mergeCell ref="F1375:G1375"/>
    <mergeCell ref="A1356:B1356"/>
    <mergeCell ref="F1356:G1356"/>
    <mergeCell ref="A1357:B1357"/>
    <mergeCell ref="F1357:G1357"/>
    <mergeCell ref="A1358:B1358"/>
    <mergeCell ref="F1358:G1358"/>
    <mergeCell ref="A1359:B1359"/>
    <mergeCell ref="F1359:G1359"/>
    <mergeCell ref="A1360:B1360"/>
    <mergeCell ref="F1360:G1360"/>
    <mergeCell ref="A1361:B1361"/>
    <mergeCell ref="F1361:G1361"/>
    <mergeCell ref="A1362:B1362"/>
    <mergeCell ref="F1362:G1362"/>
    <mergeCell ref="A1363:B1363"/>
    <mergeCell ref="F1363:G1363"/>
    <mergeCell ref="A1364:B1364"/>
    <mergeCell ref="F1364:G1364"/>
    <mergeCell ref="A1402:G1402"/>
    <mergeCell ref="A1403:H1403"/>
    <mergeCell ref="A1404:B1404"/>
    <mergeCell ref="F1404:G1404"/>
    <mergeCell ref="A1405:B1405"/>
    <mergeCell ref="F1405:G1405"/>
    <mergeCell ref="A1406:B1406"/>
    <mergeCell ref="F1406:G1406"/>
    <mergeCell ref="A1407:B1407"/>
    <mergeCell ref="F1407:G1407"/>
    <mergeCell ref="A1408:B1408"/>
    <mergeCell ref="F1408:G1408"/>
    <mergeCell ref="A1409:B1409"/>
    <mergeCell ref="F1409:G1409"/>
    <mergeCell ref="A1410:B1410"/>
    <mergeCell ref="F1410:G1410"/>
    <mergeCell ref="A1411:B1411"/>
    <mergeCell ref="F1411:G1411"/>
    <mergeCell ref="A1376:B1376"/>
    <mergeCell ref="F1376:G1376"/>
    <mergeCell ref="A1377:B1377"/>
    <mergeCell ref="F1377:G1377"/>
    <mergeCell ref="A1378:G1378"/>
    <mergeCell ref="A1380:D1380"/>
    <mergeCell ref="F1385:G1385"/>
    <mergeCell ref="A1388:H1388"/>
    <mergeCell ref="A1390:A1393"/>
    <mergeCell ref="B1390:G1393"/>
    <mergeCell ref="H1390:H1392"/>
    <mergeCell ref="B1394:F1394"/>
    <mergeCell ref="B1395:E1395"/>
    <mergeCell ref="A1398:C1398"/>
    <mergeCell ref="A1399:C1399"/>
    <mergeCell ref="A1400:C1400"/>
    <mergeCell ref="A1401:C1401"/>
    <mergeCell ref="F1456:G1456"/>
    <mergeCell ref="A1457:B1457"/>
    <mergeCell ref="F1457:G1457"/>
    <mergeCell ref="A1458:B1458"/>
    <mergeCell ref="F1458:G1458"/>
    <mergeCell ref="A1459:B1459"/>
    <mergeCell ref="F1459:G1459"/>
    <mergeCell ref="A1422:B1422"/>
    <mergeCell ref="F1422:G1422"/>
    <mergeCell ref="A1423:G1423"/>
    <mergeCell ref="A1424:H1424"/>
    <mergeCell ref="A1425:B1425"/>
    <mergeCell ref="F1425:G1425"/>
    <mergeCell ref="A1426:B1426"/>
    <mergeCell ref="F1426:G1426"/>
    <mergeCell ref="A1427:B1427"/>
    <mergeCell ref="F1427:G1427"/>
    <mergeCell ref="A1428:B1428"/>
    <mergeCell ref="F1428:G1428"/>
    <mergeCell ref="A1429:G1429"/>
    <mergeCell ref="A1431:D1431"/>
    <mergeCell ref="F1436:G1436"/>
    <mergeCell ref="A1412:B1412"/>
    <mergeCell ref="F1412:G1412"/>
    <mergeCell ref="A1413:B1413"/>
    <mergeCell ref="F1413:G1413"/>
    <mergeCell ref="A1414:B1414"/>
    <mergeCell ref="F1414:G1414"/>
    <mergeCell ref="A1415:B1415"/>
    <mergeCell ref="F1415:G1415"/>
    <mergeCell ref="A1416:B1416"/>
    <mergeCell ref="F1416:G1416"/>
    <mergeCell ref="A1417:B1417"/>
    <mergeCell ref="F1417:G1417"/>
    <mergeCell ref="A1418:B1418"/>
    <mergeCell ref="F1418:G1418"/>
    <mergeCell ref="A1419:G1419"/>
    <mergeCell ref="A1420:H1420"/>
    <mergeCell ref="A1421:B1421"/>
    <mergeCell ref="F1421:G1421"/>
    <mergeCell ref="A1480:G1480"/>
    <mergeCell ref="A1482:D1482"/>
    <mergeCell ref="F1487:G1487"/>
    <mergeCell ref="A1439:H1439"/>
    <mergeCell ref="A1441:A1444"/>
    <mergeCell ref="B1441:G1444"/>
    <mergeCell ref="H1441:H1443"/>
    <mergeCell ref="A1490:H1490"/>
    <mergeCell ref="A1492:A1495"/>
    <mergeCell ref="B1492:G1495"/>
    <mergeCell ref="H1492:H1494"/>
    <mergeCell ref="B1496:F1496"/>
    <mergeCell ref="B1497:E1497"/>
    <mergeCell ref="A1500:C1500"/>
    <mergeCell ref="A1501:C1501"/>
    <mergeCell ref="A1502:C1502"/>
    <mergeCell ref="A1503:C1503"/>
    <mergeCell ref="A1469:B1469"/>
    <mergeCell ref="F1469:G1469"/>
    <mergeCell ref="A1470:G1470"/>
    <mergeCell ref="A1471:H1471"/>
    <mergeCell ref="A1472:B1472"/>
    <mergeCell ref="F1472:G1472"/>
    <mergeCell ref="A1473:B1473"/>
    <mergeCell ref="F1473:G1473"/>
    <mergeCell ref="A1474:G1474"/>
    <mergeCell ref="A1475:H1475"/>
    <mergeCell ref="A1476:B1476"/>
    <mergeCell ref="F1476:G1476"/>
    <mergeCell ref="A1477:B1477"/>
    <mergeCell ref="F1477:G1477"/>
    <mergeCell ref="A1478:B1478"/>
    <mergeCell ref="F1478:G1478"/>
    <mergeCell ref="A1479:B1479"/>
    <mergeCell ref="F1479:G1479"/>
    <mergeCell ref="A1460:B1460"/>
    <mergeCell ref="F1460:G1460"/>
    <mergeCell ref="A1461:B1461"/>
    <mergeCell ref="F1461:G1461"/>
    <mergeCell ref="A1462:B1462"/>
    <mergeCell ref="F1462:G1462"/>
    <mergeCell ref="A1463:B1463"/>
    <mergeCell ref="F1463:G1463"/>
    <mergeCell ref="A1464:B1464"/>
    <mergeCell ref="F1464:G1464"/>
    <mergeCell ref="A1465:B1465"/>
    <mergeCell ref="F1465:G1465"/>
    <mergeCell ref="A1466:B1466"/>
    <mergeCell ref="F1466:G1466"/>
    <mergeCell ref="A1467:B1467"/>
    <mergeCell ref="F1467:G1467"/>
    <mergeCell ref="A1468:B1468"/>
    <mergeCell ref="F1468:G1468"/>
    <mergeCell ref="B1445:F1445"/>
    <mergeCell ref="B1446:E1446"/>
    <mergeCell ref="A1449:C1449"/>
    <mergeCell ref="A1450:C1450"/>
    <mergeCell ref="A1451:C1451"/>
    <mergeCell ref="A1452:C1452"/>
    <mergeCell ref="A1453:G1453"/>
    <mergeCell ref="A1454:H1454"/>
    <mergeCell ref="A1455:B1455"/>
    <mergeCell ref="F1455:G1455"/>
    <mergeCell ref="A1456:B1456"/>
    <mergeCell ref="A1514:B1514"/>
    <mergeCell ref="F1514:G1514"/>
    <mergeCell ref="A1515:B1515"/>
    <mergeCell ref="F1515:G1515"/>
    <mergeCell ref="A1516:B1516"/>
    <mergeCell ref="F1516:G1516"/>
    <mergeCell ref="A1517:B1517"/>
    <mergeCell ref="F1517:G1517"/>
    <mergeCell ref="A1518:B1518"/>
    <mergeCell ref="F1518:G1518"/>
    <mergeCell ref="A1519:B1519"/>
    <mergeCell ref="F1519:G1519"/>
    <mergeCell ref="A1520:B1520"/>
    <mergeCell ref="F1520:G1520"/>
    <mergeCell ref="A1521:G1521"/>
    <mergeCell ref="A1522:H1522"/>
    <mergeCell ref="A1523:B1523"/>
    <mergeCell ref="F1523:G1523"/>
    <mergeCell ref="A1504:G1504"/>
    <mergeCell ref="A1505:H1505"/>
    <mergeCell ref="A1506:B1506"/>
    <mergeCell ref="F1506:G1506"/>
    <mergeCell ref="A1507:B1507"/>
    <mergeCell ref="F1507:G1507"/>
    <mergeCell ref="A1508:B1508"/>
    <mergeCell ref="F1508:G1508"/>
    <mergeCell ref="A1509:B1509"/>
    <mergeCell ref="F1509:G1509"/>
    <mergeCell ref="A1510:B1510"/>
    <mergeCell ref="F1510:G1510"/>
    <mergeCell ref="A1511:B1511"/>
    <mergeCell ref="F1511:G1511"/>
    <mergeCell ref="A1512:B1512"/>
    <mergeCell ref="F1512:G1512"/>
    <mergeCell ref="A1513:B1513"/>
    <mergeCell ref="F1513:G1513"/>
    <mergeCell ref="B1547:F1547"/>
    <mergeCell ref="B1548:E1548"/>
    <mergeCell ref="A1551:C1551"/>
    <mergeCell ref="A1552:C1552"/>
    <mergeCell ref="A1553:C1553"/>
    <mergeCell ref="A1554:C1554"/>
    <mergeCell ref="A1555:G1555"/>
    <mergeCell ref="A1556:H1556"/>
    <mergeCell ref="A1557:B1557"/>
    <mergeCell ref="F1557:G1557"/>
    <mergeCell ref="A1558:B1558"/>
    <mergeCell ref="F1558:G1558"/>
    <mergeCell ref="A1559:B1559"/>
    <mergeCell ref="F1559:G1559"/>
    <mergeCell ref="A1560:B1560"/>
    <mergeCell ref="F1560:G1560"/>
    <mergeCell ref="A1561:B1561"/>
    <mergeCell ref="F1561:G1561"/>
    <mergeCell ref="A1524:B1524"/>
    <mergeCell ref="F1524:G1524"/>
    <mergeCell ref="A1525:G1525"/>
    <mergeCell ref="A1526:H1526"/>
    <mergeCell ref="A1527:B1527"/>
    <mergeCell ref="F1527:G1527"/>
    <mergeCell ref="A1528:B1528"/>
    <mergeCell ref="F1528:G1528"/>
    <mergeCell ref="A1529:B1529"/>
    <mergeCell ref="F1529:G1529"/>
    <mergeCell ref="A1530:B1530"/>
    <mergeCell ref="F1530:G1530"/>
    <mergeCell ref="A1531:G1531"/>
    <mergeCell ref="A1533:D1533"/>
    <mergeCell ref="F1538:G1538"/>
    <mergeCell ref="A1541:H1541"/>
    <mergeCell ref="A1543:A1546"/>
    <mergeCell ref="B1543:G1546"/>
    <mergeCell ref="H1543:H1545"/>
    <mergeCell ref="A1571:B1571"/>
    <mergeCell ref="F1571:G1571"/>
    <mergeCell ref="A1572:G1572"/>
    <mergeCell ref="A1573:H1573"/>
    <mergeCell ref="A1574:B1574"/>
    <mergeCell ref="F1574:G1574"/>
    <mergeCell ref="A1575:B1575"/>
    <mergeCell ref="F1575:G1575"/>
    <mergeCell ref="A1576:G1576"/>
    <mergeCell ref="A1577:H1577"/>
    <mergeCell ref="A1578:B1578"/>
    <mergeCell ref="F1578:G1578"/>
    <mergeCell ref="A1579:B1579"/>
    <mergeCell ref="F1579:G1579"/>
    <mergeCell ref="A1580:B1580"/>
    <mergeCell ref="F1580:G1580"/>
    <mergeCell ref="A1581:B1581"/>
    <mergeCell ref="F1581:G1581"/>
    <mergeCell ref="A1562:B1562"/>
    <mergeCell ref="F1562:G1562"/>
    <mergeCell ref="A1563:B1563"/>
    <mergeCell ref="F1563:G1563"/>
    <mergeCell ref="A1564:B1564"/>
    <mergeCell ref="F1564:G1564"/>
    <mergeCell ref="A1565:B1565"/>
    <mergeCell ref="F1565:G1565"/>
    <mergeCell ref="A1566:B1566"/>
    <mergeCell ref="F1566:G1566"/>
    <mergeCell ref="A1567:B1567"/>
    <mergeCell ref="F1567:G1567"/>
    <mergeCell ref="A1568:B1568"/>
    <mergeCell ref="F1568:G1568"/>
    <mergeCell ref="A1569:B1569"/>
    <mergeCell ref="F1569:G1569"/>
    <mergeCell ref="A1570:B1570"/>
    <mergeCell ref="F1570:G1570"/>
    <mergeCell ref="A1609:B1609"/>
    <mergeCell ref="F1609:G1609"/>
    <mergeCell ref="A1610:B1610"/>
    <mergeCell ref="F1610:G1610"/>
    <mergeCell ref="A1611:B1611"/>
    <mergeCell ref="F1611:G1611"/>
    <mergeCell ref="A1612:B1612"/>
    <mergeCell ref="F1612:G1612"/>
    <mergeCell ref="A1613:B1613"/>
    <mergeCell ref="F1613:G1613"/>
    <mergeCell ref="A1614:B1614"/>
    <mergeCell ref="F1614:G1614"/>
    <mergeCell ref="A1615:B1615"/>
    <mergeCell ref="F1615:G1615"/>
    <mergeCell ref="A1616:B1616"/>
    <mergeCell ref="F1616:G1616"/>
    <mergeCell ref="A1617:B1617"/>
    <mergeCell ref="F1617:G1617"/>
    <mergeCell ref="A1582:G1582"/>
    <mergeCell ref="A1584:D1584"/>
    <mergeCell ref="F1589:G1589"/>
    <mergeCell ref="A1592:H1592"/>
    <mergeCell ref="A1594:A1597"/>
    <mergeCell ref="B1594:G1597"/>
    <mergeCell ref="H1594:H1596"/>
    <mergeCell ref="B1598:F1598"/>
    <mergeCell ref="B1599:E1599"/>
    <mergeCell ref="A1602:C1602"/>
    <mergeCell ref="A1603:C1603"/>
    <mergeCell ref="A1604:C1604"/>
    <mergeCell ref="A1605:C1605"/>
    <mergeCell ref="A1606:G1606"/>
    <mergeCell ref="A1607:H1607"/>
    <mergeCell ref="A1608:B1608"/>
    <mergeCell ref="F1608:G1608"/>
    <mergeCell ref="A1628:H1628"/>
    <mergeCell ref="A1629:B1629"/>
    <mergeCell ref="F1629:G1629"/>
    <mergeCell ref="A1630:B1630"/>
    <mergeCell ref="F1630:G1630"/>
    <mergeCell ref="A1631:B1631"/>
    <mergeCell ref="F1631:G1631"/>
    <mergeCell ref="A1632:B1632"/>
    <mergeCell ref="F1632:G1632"/>
    <mergeCell ref="A1633:G1633"/>
    <mergeCell ref="A1635:D1635"/>
    <mergeCell ref="F1640:G1640"/>
    <mergeCell ref="A1643:H1643"/>
    <mergeCell ref="A1645:A1648"/>
    <mergeCell ref="B1645:G1648"/>
    <mergeCell ref="H1645:H1647"/>
    <mergeCell ref="B1649:F1649"/>
    <mergeCell ref="A1618:B1618"/>
    <mergeCell ref="F1618:G1618"/>
    <mergeCell ref="A1619:B1619"/>
    <mergeCell ref="F1619:G1619"/>
    <mergeCell ref="A1620:B1620"/>
    <mergeCell ref="F1620:G1620"/>
    <mergeCell ref="A1621:B1621"/>
    <mergeCell ref="F1621:G1621"/>
    <mergeCell ref="A1622:B1622"/>
    <mergeCell ref="F1622:G1622"/>
    <mergeCell ref="A1623:G1623"/>
    <mergeCell ref="A1624:H1624"/>
    <mergeCell ref="A1625:B1625"/>
    <mergeCell ref="F1625:G1625"/>
    <mergeCell ref="A1626:B1626"/>
    <mergeCell ref="F1626:G1626"/>
    <mergeCell ref="A1627:G1627"/>
    <mergeCell ref="A1664:B1664"/>
    <mergeCell ref="F1664:G1664"/>
    <mergeCell ref="A1665:B1665"/>
    <mergeCell ref="F1665:G1665"/>
    <mergeCell ref="A1666:B1666"/>
    <mergeCell ref="F1666:G1666"/>
    <mergeCell ref="A1667:B1667"/>
    <mergeCell ref="F1667:G1667"/>
    <mergeCell ref="A1668:B1668"/>
    <mergeCell ref="F1668:G1668"/>
    <mergeCell ref="A1669:B1669"/>
    <mergeCell ref="F1669:G1669"/>
    <mergeCell ref="A1670:B1670"/>
    <mergeCell ref="F1670:G1670"/>
    <mergeCell ref="A1671:B1671"/>
    <mergeCell ref="F1671:G1671"/>
    <mergeCell ref="A1672:B1672"/>
    <mergeCell ref="F1672:G1672"/>
    <mergeCell ref="B1650:E1650"/>
    <mergeCell ref="A1653:C1653"/>
    <mergeCell ref="A1654:C1654"/>
    <mergeCell ref="A1655:C1655"/>
    <mergeCell ref="A1656:C1656"/>
    <mergeCell ref="A1657:G1657"/>
    <mergeCell ref="A1658:H1658"/>
    <mergeCell ref="A1659:B1659"/>
    <mergeCell ref="F1659:G1659"/>
    <mergeCell ref="A1660:B1660"/>
    <mergeCell ref="F1660:G1660"/>
    <mergeCell ref="A1661:B1661"/>
    <mergeCell ref="F1661:G1661"/>
    <mergeCell ref="A1662:B1662"/>
    <mergeCell ref="F1662:G1662"/>
    <mergeCell ref="A1663:B1663"/>
    <mergeCell ref="F1663:G1663"/>
    <mergeCell ref="A1684:G1684"/>
    <mergeCell ref="A1686:D1686"/>
    <mergeCell ref="F1691:G1691"/>
    <mergeCell ref="A1695:H1695"/>
    <mergeCell ref="A1697:A1700"/>
    <mergeCell ref="B1697:G1700"/>
    <mergeCell ref="H1697:H1699"/>
    <mergeCell ref="B1701:F1701"/>
    <mergeCell ref="B1702:E1702"/>
    <mergeCell ref="A1705:C1705"/>
    <mergeCell ref="A1706:C1706"/>
    <mergeCell ref="A1707:C1707"/>
    <mergeCell ref="A1708:C1708"/>
    <mergeCell ref="A1709:G1709"/>
    <mergeCell ref="A1710:H1710"/>
    <mergeCell ref="A1711:B1711"/>
    <mergeCell ref="F1711:G1711"/>
    <mergeCell ref="A1673:B1673"/>
    <mergeCell ref="F1673:G1673"/>
    <mergeCell ref="A1674:G1674"/>
    <mergeCell ref="A1675:H1675"/>
    <mergeCell ref="A1676:B1676"/>
    <mergeCell ref="F1676:G1676"/>
    <mergeCell ref="A1677:B1677"/>
    <mergeCell ref="F1677:G1677"/>
    <mergeCell ref="A1678:G1678"/>
    <mergeCell ref="A1679:H1679"/>
    <mergeCell ref="A1680:B1680"/>
    <mergeCell ref="F1680:G1680"/>
    <mergeCell ref="A1681:B1681"/>
    <mergeCell ref="F1681:G1681"/>
    <mergeCell ref="A1682:B1682"/>
    <mergeCell ref="F1682:G1682"/>
    <mergeCell ref="A1683:B1683"/>
    <mergeCell ref="F1683:G1683"/>
    <mergeCell ref="A1721:B1721"/>
    <mergeCell ref="F1721:G1721"/>
    <mergeCell ref="A1722:B1722"/>
    <mergeCell ref="F1722:G1722"/>
    <mergeCell ref="A1723:B1723"/>
    <mergeCell ref="F1723:G1723"/>
    <mergeCell ref="A1724:B1724"/>
    <mergeCell ref="F1724:G1724"/>
    <mergeCell ref="A1725:B1725"/>
    <mergeCell ref="F1725:G1725"/>
    <mergeCell ref="A1726:G1726"/>
    <mergeCell ref="A1727:H1727"/>
    <mergeCell ref="A1728:B1728"/>
    <mergeCell ref="F1728:G1728"/>
    <mergeCell ref="A1729:B1729"/>
    <mergeCell ref="F1729:G1729"/>
    <mergeCell ref="A1730:G1730"/>
    <mergeCell ref="A1712:B1712"/>
    <mergeCell ref="F1712:G1712"/>
    <mergeCell ref="A1713:B1713"/>
    <mergeCell ref="F1713:G1713"/>
    <mergeCell ref="A1714:B1714"/>
    <mergeCell ref="F1714:G1714"/>
    <mergeCell ref="A1715:B1715"/>
    <mergeCell ref="F1715:G1715"/>
    <mergeCell ref="A1716:B1716"/>
    <mergeCell ref="F1716:G1716"/>
    <mergeCell ref="A1717:B1717"/>
    <mergeCell ref="F1717:G1717"/>
    <mergeCell ref="A1718:B1718"/>
    <mergeCell ref="F1718:G1718"/>
    <mergeCell ref="A1719:B1719"/>
    <mergeCell ref="F1719:G1719"/>
    <mergeCell ref="A1720:B1720"/>
    <mergeCell ref="F1720:G1720"/>
    <mergeCell ref="B1753:E1753"/>
    <mergeCell ref="A1756:C1756"/>
    <mergeCell ref="A1757:C1757"/>
    <mergeCell ref="A1758:C1758"/>
    <mergeCell ref="A1759:C1759"/>
    <mergeCell ref="A1760:G1760"/>
    <mergeCell ref="A1761:H1761"/>
    <mergeCell ref="A1762:B1762"/>
    <mergeCell ref="F1762:G1762"/>
    <mergeCell ref="A1763:B1763"/>
    <mergeCell ref="F1763:G1763"/>
    <mergeCell ref="A1764:B1764"/>
    <mergeCell ref="F1764:G1764"/>
    <mergeCell ref="A1765:B1765"/>
    <mergeCell ref="F1765:G1765"/>
    <mergeCell ref="A1766:B1766"/>
    <mergeCell ref="F1766:G1766"/>
    <mergeCell ref="A1731:H1731"/>
    <mergeCell ref="A1732:B1732"/>
    <mergeCell ref="F1732:G1732"/>
    <mergeCell ref="A1733:B1733"/>
    <mergeCell ref="F1733:G1733"/>
    <mergeCell ref="A1734:B1734"/>
    <mergeCell ref="F1734:G1734"/>
    <mergeCell ref="A1735:B1735"/>
    <mergeCell ref="F1735:G1735"/>
    <mergeCell ref="A1736:G1736"/>
    <mergeCell ref="A1738:D1738"/>
    <mergeCell ref="F1743:G1743"/>
    <mergeCell ref="A1746:H1746"/>
    <mergeCell ref="A1748:A1751"/>
    <mergeCell ref="B1748:G1751"/>
    <mergeCell ref="H1748:H1750"/>
    <mergeCell ref="B1752:F1752"/>
    <mergeCell ref="A1787:G1787"/>
    <mergeCell ref="A1789:D1789"/>
    <mergeCell ref="F1794:G1794"/>
    <mergeCell ref="A1776:B1776"/>
    <mergeCell ref="F1776:G1776"/>
    <mergeCell ref="A1777:G1777"/>
    <mergeCell ref="A1778:H1778"/>
    <mergeCell ref="A1779:B1779"/>
    <mergeCell ref="F1779:G1779"/>
    <mergeCell ref="A1780:B1780"/>
    <mergeCell ref="F1780:G1780"/>
    <mergeCell ref="A1781:G1781"/>
    <mergeCell ref="A1782:H1782"/>
    <mergeCell ref="A1783:B1783"/>
    <mergeCell ref="F1783:G1783"/>
    <mergeCell ref="A1784:B1784"/>
    <mergeCell ref="F1784:G1784"/>
    <mergeCell ref="A1785:B1785"/>
    <mergeCell ref="F1785:G1785"/>
    <mergeCell ref="A1786:B1786"/>
    <mergeCell ref="F1786:G1786"/>
    <mergeCell ref="A1767:B1767"/>
    <mergeCell ref="F1767:G1767"/>
    <mergeCell ref="A1768:B1768"/>
    <mergeCell ref="F1768:G1768"/>
    <mergeCell ref="A1769:B1769"/>
    <mergeCell ref="F1769:G1769"/>
    <mergeCell ref="A1770:B1770"/>
    <mergeCell ref="F1770:G1770"/>
    <mergeCell ref="A1771:B1771"/>
    <mergeCell ref="F1771:G1771"/>
    <mergeCell ref="A1772:B1772"/>
    <mergeCell ref="F1772:G1772"/>
    <mergeCell ref="A1773:B1773"/>
    <mergeCell ref="F1773:G1773"/>
    <mergeCell ref="A1774:B1774"/>
    <mergeCell ref="F1774:G1774"/>
    <mergeCell ref="A1775:B1775"/>
    <mergeCell ref="F1775:G1775"/>
    <mergeCell ref="A2257:H2257"/>
    <mergeCell ref="A2259:A2262"/>
    <mergeCell ref="B2259:G2262"/>
    <mergeCell ref="H2259:H2261"/>
    <mergeCell ref="B2263:F2263"/>
    <mergeCell ref="B2264:E2264"/>
    <mergeCell ref="A2267:C2267"/>
    <mergeCell ref="A2268:C2268"/>
    <mergeCell ref="A2269:C2269"/>
    <mergeCell ref="A2270:C2270"/>
    <mergeCell ref="A2271:G2271"/>
    <mergeCell ref="A2272:H2272"/>
    <mergeCell ref="A2273:B2273"/>
    <mergeCell ref="F2273:G2273"/>
    <mergeCell ref="A2274:B2274"/>
    <mergeCell ref="F2274:G2274"/>
    <mergeCell ref="A2275:B2275"/>
    <mergeCell ref="F2275:G2275"/>
    <mergeCell ref="A2276:B2276"/>
    <mergeCell ref="F2276:G2276"/>
    <mergeCell ref="A2277:B2277"/>
    <mergeCell ref="F2277:G2277"/>
    <mergeCell ref="A2278:B2278"/>
    <mergeCell ref="F2278:G2278"/>
    <mergeCell ref="A2279:B2279"/>
    <mergeCell ref="F2279:G2279"/>
    <mergeCell ref="A2280:B2280"/>
    <mergeCell ref="F2280:G2280"/>
    <mergeCell ref="A2281:B2281"/>
    <mergeCell ref="F2281:G2281"/>
    <mergeCell ref="A2282:B2282"/>
    <mergeCell ref="A2292:G2292"/>
    <mergeCell ref="A2293:H2293"/>
    <mergeCell ref="A8065:B8065"/>
    <mergeCell ref="F8065:G8065"/>
    <mergeCell ref="A8066:B8066"/>
    <mergeCell ref="F8066:G8066"/>
    <mergeCell ref="A8067:G8067"/>
    <mergeCell ref="A8068:H8068"/>
    <mergeCell ref="A8069:B8069"/>
    <mergeCell ref="F8069:G8069"/>
    <mergeCell ref="A8056:B8056"/>
    <mergeCell ref="F8056:G8056"/>
    <mergeCell ref="A8059:B8059"/>
    <mergeCell ref="F8059:G8059"/>
    <mergeCell ref="A8060:B8060"/>
    <mergeCell ref="B8132:G8135"/>
    <mergeCell ref="H8132:H8134"/>
    <mergeCell ref="F8100:G8100"/>
    <mergeCell ref="A8101:B8101"/>
    <mergeCell ref="F8101:G8101"/>
    <mergeCell ref="A8102:B8102"/>
    <mergeCell ref="F8102:G8102"/>
    <mergeCell ref="A8103:B8103"/>
    <mergeCell ref="F8103:G8103"/>
    <mergeCell ref="A8104:B8104"/>
    <mergeCell ref="F8104:G8104"/>
    <mergeCell ref="A8105:B8105"/>
    <mergeCell ref="F8105:G8105"/>
    <mergeCell ref="A8106:B8106"/>
    <mergeCell ref="F8106:G8106"/>
    <mergeCell ref="A8110:G8110"/>
    <mergeCell ref="A8111:H8111"/>
    <mergeCell ref="A8112:B8112"/>
    <mergeCell ref="F8112:G8112"/>
    <mergeCell ref="F8109:G8109"/>
    <mergeCell ref="F8060:G8060"/>
    <mergeCell ref="A8062:B8062"/>
    <mergeCell ref="F8062:G8062"/>
    <mergeCell ref="A8063:G8063"/>
    <mergeCell ref="A8058:B8058"/>
    <mergeCell ref="F8058:G8058"/>
    <mergeCell ref="A8057:B8057"/>
    <mergeCell ref="F8057:G8057"/>
    <mergeCell ref="A8061:B8061"/>
    <mergeCell ref="F8061:G8061"/>
    <mergeCell ref="A2308:H2308"/>
    <mergeCell ref="A2310:A2313"/>
    <mergeCell ref="B2310:G2313"/>
    <mergeCell ref="H2310:H2312"/>
    <mergeCell ref="F2282:G2282"/>
    <mergeCell ref="A2283:B2283"/>
    <mergeCell ref="F2283:G2283"/>
    <mergeCell ref="A2284:B2284"/>
    <mergeCell ref="F2284:G2284"/>
    <mergeCell ref="A2285:B2285"/>
    <mergeCell ref="F2285:G2285"/>
    <mergeCell ref="A2286:B2286"/>
    <mergeCell ref="F2286:G2286"/>
    <mergeCell ref="A2287:B2287"/>
    <mergeCell ref="F2287:G2287"/>
    <mergeCell ref="A2288:G2288"/>
    <mergeCell ref="A2289:H2289"/>
    <mergeCell ref="A2290:B2290"/>
    <mergeCell ref="F2290:G2290"/>
    <mergeCell ref="A2291:B2291"/>
    <mergeCell ref="F2291:G2291"/>
    <mergeCell ref="A2329:B2329"/>
    <mergeCell ref="F2329:G2329"/>
    <mergeCell ref="A2330:B2330"/>
    <mergeCell ref="F2330:G2330"/>
    <mergeCell ref="A2331:B2331"/>
    <mergeCell ref="F2331:G2331"/>
    <mergeCell ref="A2332:B2332"/>
    <mergeCell ref="F2332:G2332"/>
    <mergeCell ref="A2333:B2333"/>
    <mergeCell ref="F2333:G2333"/>
    <mergeCell ref="A2334:B2334"/>
    <mergeCell ref="F2334:G2334"/>
    <mergeCell ref="A2294:B2294"/>
    <mergeCell ref="F2294:G2294"/>
    <mergeCell ref="A2295:B2295"/>
    <mergeCell ref="F2295:G2295"/>
    <mergeCell ref="A2296:B2296"/>
    <mergeCell ref="F2296:G2296"/>
    <mergeCell ref="A2297:B2297"/>
    <mergeCell ref="F2297:G2297"/>
    <mergeCell ref="A2298:G2298"/>
    <mergeCell ref="A2300:D2300"/>
    <mergeCell ref="F2305:G2305"/>
    <mergeCell ref="A2335:B2335"/>
    <mergeCell ref="F2335:G2335"/>
    <mergeCell ref="A2336:B2336"/>
    <mergeCell ref="F2336:G2336"/>
    <mergeCell ref="A2337:B2337"/>
    <mergeCell ref="F2337:G2337"/>
    <mergeCell ref="B2314:F2314"/>
    <mergeCell ref="B2315:E2315"/>
    <mergeCell ref="A2318:C2318"/>
    <mergeCell ref="A2319:C2319"/>
    <mergeCell ref="A2320:C2320"/>
    <mergeCell ref="A2321:C2321"/>
    <mergeCell ref="A2322:G2322"/>
    <mergeCell ref="A2323:H2323"/>
    <mergeCell ref="A2324:B2324"/>
    <mergeCell ref="F2324:G2324"/>
    <mergeCell ref="A2325:B2325"/>
    <mergeCell ref="F2325:G2325"/>
    <mergeCell ref="A2326:B2326"/>
    <mergeCell ref="F2326:G2326"/>
    <mergeCell ref="A2327:B2327"/>
    <mergeCell ref="F2327:G2327"/>
    <mergeCell ref="A2328:B2328"/>
    <mergeCell ref="F2328:G2328"/>
    <mergeCell ref="A2349:G2349"/>
    <mergeCell ref="A2351:D2351"/>
    <mergeCell ref="F2356:G2356"/>
    <mergeCell ref="A2359:H2359"/>
    <mergeCell ref="A2361:A2364"/>
    <mergeCell ref="B2361:G2364"/>
    <mergeCell ref="H2361:H2363"/>
    <mergeCell ref="B2365:F2365"/>
    <mergeCell ref="B2366:E2366"/>
    <mergeCell ref="A2369:C2369"/>
    <mergeCell ref="A2370:C2370"/>
    <mergeCell ref="A2371:C2371"/>
    <mergeCell ref="A2372:C2372"/>
    <mergeCell ref="A2373:G2373"/>
    <mergeCell ref="A2374:H2374"/>
    <mergeCell ref="A2375:B2375"/>
    <mergeCell ref="F2375:G2375"/>
    <mergeCell ref="A2338:B2338"/>
    <mergeCell ref="F2338:G2338"/>
    <mergeCell ref="A2339:G2339"/>
    <mergeCell ref="A2340:H2340"/>
    <mergeCell ref="A2341:B2341"/>
    <mergeCell ref="F2341:G2341"/>
    <mergeCell ref="A2342:B2342"/>
    <mergeCell ref="F2342:G2342"/>
    <mergeCell ref="A2343:G2343"/>
    <mergeCell ref="A2344:H2344"/>
    <mergeCell ref="A2345:B2345"/>
    <mergeCell ref="F2345:G2345"/>
    <mergeCell ref="A2346:B2346"/>
    <mergeCell ref="F2346:G2346"/>
    <mergeCell ref="A2347:B2347"/>
    <mergeCell ref="F2347:G2347"/>
    <mergeCell ref="A2348:B2348"/>
    <mergeCell ref="F2348:G2348"/>
    <mergeCell ref="A2385:B2385"/>
    <mergeCell ref="F2385:G2385"/>
    <mergeCell ref="A2386:B2386"/>
    <mergeCell ref="F2386:G2386"/>
    <mergeCell ref="A2387:B2387"/>
    <mergeCell ref="F2387:G2387"/>
    <mergeCell ref="A2388:B2388"/>
    <mergeCell ref="F2388:G2388"/>
    <mergeCell ref="A2389:B2389"/>
    <mergeCell ref="F2389:G2389"/>
    <mergeCell ref="A2390:G2390"/>
    <mergeCell ref="A2391:H2391"/>
    <mergeCell ref="A2392:B2392"/>
    <mergeCell ref="F2392:G2392"/>
    <mergeCell ref="A2393:B2393"/>
    <mergeCell ref="F2393:G2393"/>
    <mergeCell ref="A2394:G2394"/>
    <mergeCell ref="A2376:B2376"/>
    <mergeCell ref="F2376:G2376"/>
    <mergeCell ref="A2377:B2377"/>
    <mergeCell ref="F2377:G2377"/>
    <mergeCell ref="A2378:B2378"/>
    <mergeCell ref="F2378:G2378"/>
    <mergeCell ref="A2379:B2379"/>
    <mergeCell ref="F2379:G2379"/>
    <mergeCell ref="A2380:B2380"/>
    <mergeCell ref="F2380:G2380"/>
    <mergeCell ref="A2381:B2381"/>
    <mergeCell ref="F2381:G2381"/>
    <mergeCell ref="A2382:B2382"/>
    <mergeCell ref="F2382:G2382"/>
    <mergeCell ref="A2383:B2383"/>
    <mergeCell ref="F2383:G2383"/>
    <mergeCell ref="A2384:B2384"/>
    <mergeCell ref="F2384:G2384"/>
    <mergeCell ref="B2417:E2417"/>
    <mergeCell ref="A2420:C2420"/>
    <mergeCell ref="A2421:C2421"/>
    <mergeCell ref="A2422:C2422"/>
    <mergeCell ref="A2423:C2423"/>
    <mergeCell ref="A2424:G2424"/>
    <mergeCell ref="A2425:H2425"/>
    <mergeCell ref="A2426:B2426"/>
    <mergeCell ref="F2426:G2426"/>
    <mergeCell ref="A2427:B2427"/>
    <mergeCell ref="F2427:G2427"/>
    <mergeCell ref="A2428:B2428"/>
    <mergeCell ref="F2428:G2428"/>
    <mergeCell ref="A2429:B2429"/>
    <mergeCell ref="F2429:G2429"/>
    <mergeCell ref="A2430:B2430"/>
    <mergeCell ref="F2430:G2430"/>
    <mergeCell ref="A2395:H2395"/>
    <mergeCell ref="A2396:B2396"/>
    <mergeCell ref="F2396:G2396"/>
    <mergeCell ref="A2397:B2397"/>
    <mergeCell ref="F2397:G2397"/>
    <mergeCell ref="A2398:B2398"/>
    <mergeCell ref="F2398:G2398"/>
    <mergeCell ref="A2399:B2399"/>
    <mergeCell ref="F2399:G2399"/>
    <mergeCell ref="A2400:G2400"/>
    <mergeCell ref="A2402:D2402"/>
    <mergeCell ref="F2407:G2407"/>
    <mergeCell ref="A2410:H2410"/>
    <mergeCell ref="A2412:A2415"/>
    <mergeCell ref="B2412:G2415"/>
    <mergeCell ref="H2412:H2414"/>
    <mergeCell ref="B2416:F2416"/>
    <mergeCell ref="A2440:B2440"/>
    <mergeCell ref="F2440:G2440"/>
    <mergeCell ref="A2441:G2441"/>
    <mergeCell ref="A2442:H2442"/>
    <mergeCell ref="A2443:B2443"/>
    <mergeCell ref="F2443:G2443"/>
    <mergeCell ref="A2444:B2444"/>
    <mergeCell ref="F2444:G2444"/>
    <mergeCell ref="A2445:G2445"/>
    <mergeCell ref="A2446:H2446"/>
    <mergeCell ref="A2447:B2447"/>
    <mergeCell ref="F2447:G2447"/>
    <mergeCell ref="A2448:B2448"/>
    <mergeCell ref="F2448:G2448"/>
    <mergeCell ref="A2449:B2449"/>
    <mergeCell ref="F2449:G2449"/>
    <mergeCell ref="A2450:B2450"/>
    <mergeCell ref="F2450:G2450"/>
    <mergeCell ref="A2431:B2431"/>
    <mergeCell ref="F2431:G2431"/>
    <mergeCell ref="A2432:B2432"/>
    <mergeCell ref="F2432:G2432"/>
    <mergeCell ref="A2433:B2433"/>
    <mergeCell ref="F2433:G2433"/>
    <mergeCell ref="A2434:B2434"/>
    <mergeCell ref="F2434:G2434"/>
    <mergeCell ref="A2435:B2435"/>
    <mergeCell ref="F2435:G2435"/>
    <mergeCell ref="A2436:B2436"/>
    <mergeCell ref="F2436:G2436"/>
    <mergeCell ref="A2437:B2437"/>
    <mergeCell ref="F2437:G2437"/>
    <mergeCell ref="A2438:B2438"/>
    <mergeCell ref="F2438:G2438"/>
    <mergeCell ref="A2439:B2439"/>
    <mergeCell ref="F2439:G2439"/>
    <mergeCell ref="B4717:E4717"/>
    <mergeCell ref="A4720:C4720"/>
    <mergeCell ref="A4721:C4721"/>
    <mergeCell ref="F3301:G3301"/>
    <mergeCell ref="A3302:B3302"/>
    <mergeCell ref="F3302:G3302"/>
    <mergeCell ref="A3303:B3303"/>
    <mergeCell ref="F3303:G3303"/>
    <mergeCell ref="A3304:B3304"/>
    <mergeCell ref="F3304:G3304"/>
    <mergeCell ref="A3316:B3316"/>
    <mergeCell ref="F3316:G3316"/>
    <mergeCell ref="A3317:B3317"/>
    <mergeCell ref="F3317:G3317"/>
    <mergeCell ref="A3318:G3318"/>
    <mergeCell ref="A3320:D3320"/>
    <mergeCell ref="F3325:G3325"/>
    <mergeCell ref="A3305:B3305"/>
    <mergeCell ref="F3305:G3305"/>
    <mergeCell ref="A3306:B3306"/>
    <mergeCell ref="F3306:G3306"/>
    <mergeCell ref="A3307:B3307"/>
    <mergeCell ref="F3307:G3307"/>
    <mergeCell ref="A3308:G3308"/>
    <mergeCell ref="A3309:H3309"/>
    <mergeCell ref="A3310:B3310"/>
    <mergeCell ref="F3310:G3310"/>
    <mergeCell ref="A3311:B3311"/>
    <mergeCell ref="F3311:G3311"/>
    <mergeCell ref="A3312:G3312"/>
    <mergeCell ref="A3313:H3313"/>
    <mergeCell ref="A3314:B3314"/>
    <mergeCell ref="A3290:C3290"/>
    <mergeCell ref="A3291:G3291"/>
    <mergeCell ref="A4722:C4722"/>
    <mergeCell ref="A4723:C4723"/>
    <mergeCell ref="A4724:G4724"/>
    <mergeCell ref="A4725:H4725"/>
    <mergeCell ref="A4726:B4726"/>
    <mergeCell ref="F4726:G4726"/>
    <mergeCell ref="A4727:B4727"/>
    <mergeCell ref="F4727:G4727"/>
    <mergeCell ref="A4728:B4728"/>
    <mergeCell ref="F4728:G4728"/>
    <mergeCell ref="A4729:B4729"/>
    <mergeCell ref="F4729:G4729"/>
    <mergeCell ref="A4730:B4730"/>
    <mergeCell ref="F4730:G4730"/>
    <mergeCell ref="A2451:G2451"/>
    <mergeCell ref="A2453:D2453"/>
    <mergeCell ref="F2458:G2458"/>
    <mergeCell ref="A4710:H4710"/>
    <mergeCell ref="A4712:A4715"/>
    <mergeCell ref="B4712:G4715"/>
    <mergeCell ref="H4712:H4714"/>
    <mergeCell ref="B4716:F4716"/>
    <mergeCell ref="A4569:C4569"/>
    <mergeCell ref="A4570:C4570"/>
    <mergeCell ref="A4571:G4571"/>
    <mergeCell ref="A4572:H4572"/>
    <mergeCell ref="A4573:B4573"/>
    <mergeCell ref="F4573:G4573"/>
    <mergeCell ref="A4574:B4574"/>
    <mergeCell ref="F4574:G4574"/>
    <mergeCell ref="A4575:B4575"/>
    <mergeCell ref="F4575:G4575"/>
    <mergeCell ref="A4576:B4576"/>
    <mergeCell ref="F4576:G4576"/>
    <mergeCell ref="A4544:B4544"/>
    <mergeCell ref="F4544:G4544"/>
    <mergeCell ref="A4545:B4545"/>
    <mergeCell ref="A3277:H3277"/>
    <mergeCell ref="A3279:A3282"/>
    <mergeCell ref="B3279:G3282"/>
    <mergeCell ref="H3279:H3281"/>
    <mergeCell ref="B3283:F3283"/>
    <mergeCell ref="B3284:E3284"/>
    <mergeCell ref="A3287:C3287"/>
    <mergeCell ref="A3288:C3288"/>
    <mergeCell ref="A3289:C3289"/>
    <mergeCell ref="F4545:G4545"/>
    <mergeCell ref="A4546:B4546"/>
    <mergeCell ref="F4546:G4546"/>
    <mergeCell ref="A4547:G4547"/>
    <mergeCell ref="A4549:D4549"/>
    <mergeCell ref="F4554:G4554"/>
    <mergeCell ref="A4557:H4557"/>
    <mergeCell ref="A4559:A4562"/>
    <mergeCell ref="B4559:G4562"/>
    <mergeCell ref="H4559:H4561"/>
    <mergeCell ref="B4563:F4563"/>
    <mergeCell ref="B4564:E4564"/>
    <mergeCell ref="A4567:C4567"/>
    <mergeCell ref="A4568:C4568"/>
    <mergeCell ref="A4525:B4525"/>
    <mergeCell ref="A3300:B3300"/>
    <mergeCell ref="F3300:G3300"/>
    <mergeCell ref="A3301:B3301"/>
    <mergeCell ref="A4740:B4740"/>
    <mergeCell ref="F4740:G4740"/>
    <mergeCell ref="A4741:G4741"/>
    <mergeCell ref="A4742:H4742"/>
    <mergeCell ref="A4743:B4743"/>
    <mergeCell ref="F4743:G4743"/>
    <mergeCell ref="A4744:B4744"/>
    <mergeCell ref="F4744:G4744"/>
    <mergeCell ref="A4745:G4745"/>
    <mergeCell ref="A4746:H4746"/>
    <mergeCell ref="A4747:B4747"/>
    <mergeCell ref="F4747:G4747"/>
    <mergeCell ref="A4748:B4748"/>
    <mergeCell ref="F4748:G4748"/>
    <mergeCell ref="A4749:B4749"/>
    <mergeCell ref="F4749:G4749"/>
    <mergeCell ref="A4750:B4750"/>
    <mergeCell ref="F4750:G4750"/>
    <mergeCell ref="A4731:B4731"/>
    <mergeCell ref="F4731:G4731"/>
    <mergeCell ref="A4732:B4732"/>
    <mergeCell ref="F4732:G4732"/>
    <mergeCell ref="A4733:B4733"/>
    <mergeCell ref="F4733:G4733"/>
    <mergeCell ref="A4734:B4734"/>
    <mergeCell ref="F4734:G4734"/>
    <mergeCell ref="A4735:B4735"/>
    <mergeCell ref="F4735:G4735"/>
    <mergeCell ref="A4736:B4736"/>
    <mergeCell ref="F4736:G4736"/>
    <mergeCell ref="A4737:B4737"/>
    <mergeCell ref="F4737:G4737"/>
    <mergeCell ref="A4738:B4738"/>
    <mergeCell ref="F4738:G4738"/>
    <mergeCell ref="A4739:B4739"/>
    <mergeCell ref="F4739:G4739"/>
    <mergeCell ref="A4778:B4778"/>
    <mergeCell ref="F4778:G4778"/>
    <mergeCell ref="A4779:B4779"/>
    <mergeCell ref="F4779:G4779"/>
    <mergeCell ref="A4780:B4780"/>
    <mergeCell ref="F4780:G4780"/>
    <mergeCell ref="A4781:B4781"/>
    <mergeCell ref="F4781:G4781"/>
    <mergeCell ref="A4782:B4782"/>
    <mergeCell ref="F4782:G4782"/>
    <mergeCell ref="A4783:B4783"/>
    <mergeCell ref="F4783:G4783"/>
    <mergeCell ref="A4784:B4784"/>
    <mergeCell ref="F4784:G4784"/>
    <mergeCell ref="A4785:B4785"/>
    <mergeCell ref="F4785:G4785"/>
    <mergeCell ref="A4786:B4786"/>
    <mergeCell ref="F4786:G4786"/>
    <mergeCell ref="A4751:G4751"/>
    <mergeCell ref="A4753:D4753"/>
    <mergeCell ref="F4758:G4758"/>
    <mergeCell ref="A4761:H4761"/>
    <mergeCell ref="A4763:A4766"/>
    <mergeCell ref="B4763:G4766"/>
    <mergeCell ref="H4763:H4765"/>
    <mergeCell ref="B4767:F4767"/>
    <mergeCell ref="B4768:E4768"/>
    <mergeCell ref="A4771:C4771"/>
    <mergeCell ref="A4772:C4772"/>
    <mergeCell ref="A4773:C4773"/>
    <mergeCell ref="A4774:C4774"/>
    <mergeCell ref="A4775:G4775"/>
    <mergeCell ref="A4776:H4776"/>
    <mergeCell ref="A4777:B4777"/>
    <mergeCell ref="F4777:G4777"/>
    <mergeCell ref="A4797:H4797"/>
    <mergeCell ref="A4798:B4798"/>
    <mergeCell ref="F4798:G4798"/>
    <mergeCell ref="A4799:B4799"/>
    <mergeCell ref="F4799:G4799"/>
    <mergeCell ref="A4800:B4800"/>
    <mergeCell ref="F4800:G4800"/>
    <mergeCell ref="A4801:B4801"/>
    <mergeCell ref="F4801:G4801"/>
    <mergeCell ref="A4802:G4802"/>
    <mergeCell ref="A4804:D4804"/>
    <mergeCell ref="F4809:G4809"/>
    <mergeCell ref="A4812:H4812"/>
    <mergeCell ref="A4814:A4817"/>
    <mergeCell ref="B4814:G4817"/>
    <mergeCell ref="H4814:H4816"/>
    <mergeCell ref="B4818:F4818"/>
    <mergeCell ref="A4787:B4787"/>
    <mergeCell ref="F4787:G4787"/>
    <mergeCell ref="A4788:B4788"/>
    <mergeCell ref="F4788:G4788"/>
    <mergeCell ref="A4789:B4789"/>
    <mergeCell ref="F4789:G4789"/>
    <mergeCell ref="A4790:B4790"/>
    <mergeCell ref="F4790:G4790"/>
    <mergeCell ref="A4791:B4791"/>
    <mergeCell ref="F4791:G4791"/>
    <mergeCell ref="A4792:G4792"/>
    <mergeCell ref="A4793:H4793"/>
    <mergeCell ref="A4794:B4794"/>
    <mergeCell ref="F4794:G4794"/>
    <mergeCell ref="A4795:B4795"/>
    <mergeCell ref="F4795:G4795"/>
    <mergeCell ref="A4796:G4796"/>
    <mergeCell ref="A4833:B4833"/>
    <mergeCell ref="F4833:G4833"/>
    <mergeCell ref="A4834:B4834"/>
    <mergeCell ref="F4834:G4834"/>
    <mergeCell ref="A4835:B4835"/>
    <mergeCell ref="F4835:G4835"/>
    <mergeCell ref="A4836:B4836"/>
    <mergeCell ref="F4836:G4836"/>
    <mergeCell ref="A4837:B4837"/>
    <mergeCell ref="F4837:G4837"/>
    <mergeCell ref="A4838:B4838"/>
    <mergeCell ref="F4838:G4838"/>
    <mergeCell ref="A4839:B4839"/>
    <mergeCell ref="F4839:G4839"/>
    <mergeCell ref="A4840:B4840"/>
    <mergeCell ref="F4840:G4840"/>
    <mergeCell ref="A4841:B4841"/>
    <mergeCell ref="F4841:G4841"/>
    <mergeCell ref="B4819:E4819"/>
    <mergeCell ref="A4822:C4822"/>
    <mergeCell ref="A4823:C4823"/>
    <mergeCell ref="A4824:C4824"/>
    <mergeCell ref="A4825:C4825"/>
    <mergeCell ref="A4826:G4826"/>
    <mergeCell ref="A4827:H4827"/>
    <mergeCell ref="A4828:B4828"/>
    <mergeCell ref="F4828:G4828"/>
    <mergeCell ref="A4829:B4829"/>
    <mergeCell ref="F4829:G4829"/>
    <mergeCell ref="A4830:B4830"/>
    <mergeCell ref="F4830:G4830"/>
    <mergeCell ref="A4831:B4831"/>
    <mergeCell ref="F4831:G4831"/>
    <mergeCell ref="A4832:B4832"/>
    <mergeCell ref="F4832:G4832"/>
    <mergeCell ref="A4853:G4853"/>
    <mergeCell ref="A4855:D4855"/>
    <mergeCell ref="F4860:G4860"/>
    <mergeCell ref="A6357:H6357"/>
    <mergeCell ref="A6359:A6362"/>
    <mergeCell ref="B6359:G6362"/>
    <mergeCell ref="H6359:H6361"/>
    <mergeCell ref="B6363:F6363"/>
    <mergeCell ref="B6364:E6364"/>
    <mergeCell ref="A6367:C6367"/>
    <mergeCell ref="A6368:C6368"/>
    <mergeCell ref="A6369:C6369"/>
    <mergeCell ref="A6370:C6370"/>
    <mergeCell ref="A6371:C6371"/>
    <mergeCell ref="A6372:G6372"/>
    <mergeCell ref="A6373:H6373"/>
    <mergeCell ref="A6374:B6374"/>
    <mergeCell ref="F6374:G6374"/>
    <mergeCell ref="A6082:G6082"/>
    <mergeCell ref="A6083:H6083"/>
    <mergeCell ref="A6084:B6084"/>
    <mergeCell ref="F6084:G6084"/>
    <mergeCell ref="A6085:B6085"/>
    <mergeCell ref="F6085:G6085"/>
    <mergeCell ref="A6086:B6086"/>
    <mergeCell ref="F6086:G6086"/>
    <mergeCell ref="A6087:B6087"/>
    <mergeCell ref="F6087:G6087"/>
    <mergeCell ref="A6076:B6076"/>
    <mergeCell ref="F6076:G6076"/>
    <mergeCell ref="A6077:B6077"/>
    <mergeCell ref="F6077:G6077"/>
    <mergeCell ref="A4842:B4842"/>
    <mergeCell ref="F4842:G4842"/>
    <mergeCell ref="A4843:G4843"/>
    <mergeCell ref="A4844:H4844"/>
    <mergeCell ref="A4845:B4845"/>
    <mergeCell ref="F4845:G4845"/>
    <mergeCell ref="A4846:B4846"/>
    <mergeCell ref="F4846:G4846"/>
    <mergeCell ref="A4847:G4847"/>
    <mergeCell ref="A4848:H4848"/>
    <mergeCell ref="A4849:B4849"/>
    <mergeCell ref="F4849:G4849"/>
    <mergeCell ref="A4850:B4850"/>
    <mergeCell ref="F4850:G4850"/>
    <mergeCell ref="A4851:B4851"/>
    <mergeCell ref="F4851:G4851"/>
    <mergeCell ref="A4852:B4852"/>
    <mergeCell ref="F4852:G4852"/>
    <mergeCell ref="A6088:G6088"/>
    <mergeCell ref="A6090:D6090"/>
    <mergeCell ref="F6095:G6095"/>
    <mergeCell ref="A6066:B6066"/>
    <mergeCell ref="F6066:G6066"/>
    <mergeCell ref="A6067:B6067"/>
    <mergeCell ref="F6067:G6067"/>
    <mergeCell ref="A6068:B6068"/>
    <mergeCell ref="F6068:G6068"/>
    <mergeCell ref="A6069:B6069"/>
    <mergeCell ref="F6069:G6069"/>
    <mergeCell ref="A6070:B6070"/>
    <mergeCell ref="F6070:G6070"/>
    <mergeCell ref="A6059:C6059"/>
    <mergeCell ref="F6379:G6379"/>
    <mergeCell ref="A6380:B6380"/>
    <mergeCell ref="F6380:G6380"/>
    <mergeCell ref="A6381:B6381"/>
    <mergeCell ref="F6381:G6381"/>
    <mergeCell ref="A6382:B6382"/>
    <mergeCell ref="F6382:G6382"/>
    <mergeCell ref="A6383:B6383"/>
    <mergeCell ref="F6383:G6383"/>
    <mergeCell ref="B6416:E6416"/>
    <mergeCell ref="A6419:C6419"/>
    <mergeCell ref="A6420:C6420"/>
    <mergeCell ref="A6421:C6421"/>
    <mergeCell ref="A6422:C6422"/>
    <mergeCell ref="A6423:C6423"/>
    <mergeCell ref="A6424:G6424"/>
    <mergeCell ref="A6425:H6425"/>
    <mergeCell ref="A6426:B6426"/>
    <mergeCell ref="F6426:G6426"/>
    <mergeCell ref="A6427:B6427"/>
    <mergeCell ref="F6427:G6427"/>
    <mergeCell ref="A6428:B6428"/>
    <mergeCell ref="F6428:G6428"/>
    <mergeCell ref="A6429:B6429"/>
    <mergeCell ref="F6429:G6429"/>
    <mergeCell ref="A6430:B6430"/>
    <mergeCell ref="F6430:G6430"/>
    <mergeCell ref="A6394:H6394"/>
    <mergeCell ref="A6395:B6395"/>
    <mergeCell ref="F6395:G6395"/>
    <mergeCell ref="A6396:B6396"/>
    <mergeCell ref="F6396:G6396"/>
    <mergeCell ref="A6397:B6397"/>
    <mergeCell ref="F6397:G6397"/>
    <mergeCell ref="A6398:B6398"/>
    <mergeCell ref="F6398:G6398"/>
    <mergeCell ref="A6399:G6399"/>
    <mergeCell ref="A6401:D6401"/>
    <mergeCell ref="F6406:G6406"/>
    <mergeCell ref="A6409:H6409"/>
    <mergeCell ref="A6411:A6414"/>
    <mergeCell ref="B6411:G6414"/>
    <mergeCell ref="H6411:H6413"/>
    <mergeCell ref="B6415:F6415"/>
    <mergeCell ref="A6440:B6440"/>
    <mergeCell ref="F6440:G6440"/>
    <mergeCell ref="A6441:G6441"/>
    <mergeCell ref="A6442:H6442"/>
    <mergeCell ref="A6443:B6443"/>
    <mergeCell ref="F6443:G6443"/>
    <mergeCell ref="A6444:B6444"/>
    <mergeCell ref="F6444:G6444"/>
    <mergeCell ref="A6445:G6445"/>
    <mergeCell ref="A6446:H6446"/>
    <mergeCell ref="A6447:B6447"/>
    <mergeCell ref="F6447:G6447"/>
    <mergeCell ref="A6448:B6448"/>
    <mergeCell ref="F6448:G6448"/>
    <mergeCell ref="A6449:B6449"/>
    <mergeCell ref="F6449:G6449"/>
    <mergeCell ref="A6450:B6450"/>
    <mergeCell ref="F6450:G6450"/>
    <mergeCell ref="A6431:B6431"/>
    <mergeCell ref="F6431:G6431"/>
    <mergeCell ref="A6432:B6432"/>
    <mergeCell ref="F6432:G6432"/>
    <mergeCell ref="A6433:B6433"/>
    <mergeCell ref="F6433:G6433"/>
    <mergeCell ref="A6434:B6434"/>
    <mergeCell ref="F6434:G6434"/>
    <mergeCell ref="A6435:B6435"/>
    <mergeCell ref="F6435:G6435"/>
    <mergeCell ref="A6436:B6436"/>
    <mergeCell ref="F6436:G6436"/>
    <mergeCell ref="A6437:B6437"/>
    <mergeCell ref="F6437:G6437"/>
    <mergeCell ref="A6438:B6438"/>
    <mergeCell ref="F6438:G6438"/>
    <mergeCell ref="A6439:B6439"/>
    <mergeCell ref="F6439:G6439"/>
    <mergeCell ref="A6479:B6479"/>
    <mergeCell ref="F6479:G6479"/>
    <mergeCell ref="A6480:B6480"/>
    <mergeCell ref="F6480:G6480"/>
    <mergeCell ref="A6481:B6481"/>
    <mergeCell ref="F6481:G6481"/>
    <mergeCell ref="A6482:B6482"/>
    <mergeCell ref="F6482:G6482"/>
    <mergeCell ref="A6483:B6483"/>
    <mergeCell ref="F6483:G6483"/>
    <mergeCell ref="A6484:B6484"/>
    <mergeCell ref="F6484:G6484"/>
    <mergeCell ref="A6485:B6485"/>
    <mergeCell ref="F6485:G6485"/>
    <mergeCell ref="A6486:B6486"/>
    <mergeCell ref="F6486:G6486"/>
    <mergeCell ref="A6487:B6487"/>
    <mergeCell ref="F6487:G6487"/>
    <mergeCell ref="A6451:G6451"/>
    <mergeCell ref="A6453:D6453"/>
    <mergeCell ref="F6458:G6458"/>
    <mergeCell ref="A6461:H6461"/>
    <mergeCell ref="A6463:A6466"/>
    <mergeCell ref="B6463:G6466"/>
    <mergeCell ref="H6463:H6465"/>
    <mergeCell ref="B6467:F6467"/>
    <mergeCell ref="B6468:E6468"/>
    <mergeCell ref="A6471:C6471"/>
    <mergeCell ref="A6472:C6472"/>
    <mergeCell ref="A6473:C6473"/>
    <mergeCell ref="A6474:C6474"/>
    <mergeCell ref="A6475:C6475"/>
    <mergeCell ref="A6476:G6476"/>
    <mergeCell ref="A6477:H6477"/>
    <mergeCell ref="A6478:B6478"/>
    <mergeCell ref="F6478:G6478"/>
    <mergeCell ref="A6489:B6489"/>
    <mergeCell ref="F6489:G6489"/>
    <mergeCell ref="A6490:B6490"/>
    <mergeCell ref="F6490:G6490"/>
    <mergeCell ref="A6491:B6491"/>
    <mergeCell ref="F6491:G6491"/>
    <mergeCell ref="A6492:B6492"/>
    <mergeCell ref="F6492:G6492"/>
    <mergeCell ref="A6493:G6493"/>
    <mergeCell ref="A6494:H6494"/>
    <mergeCell ref="A6495:B6495"/>
    <mergeCell ref="F6495:G6495"/>
    <mergeCell ref="A6496:B6496"/>
    <mergeCell ref="F6496:G6496"/>
    <mergeCell ref="A6497:G6497"/>
    <mergeCell ref="F8156:G8156"/>
    <mergeCell ref="A8140:C8140"/>
    <mergeCell ref="A8141:C8141"/>
    <mergeCell ref="A8142:C8142"/>
    <mergeCell ref="A8143:C8143"/>
    <mergeCell ref="A8144:C8144"/>
    <mergeCell ref="A8145:G8145"/>
    <mergeCell ref="A8146:H8146"/>
    <mergeCell ref="A8147:B8147"/>
    <mergeCell ref="F8147:G8147"/>
    <mergeCell ref="F8165:G8165"/>
    <mergeCell ref="A8166:B8166"/>
    <mergeCell ref="F8166:G8166"/>
    <mergeCell ref="A8167:G8167"/>
    <mergeCell ref="A8148:B8148"/>
    <mergeCell ref="F8148:G8148"/>
    <mergeCell ref="A8149:B8149"/>
    <mergeCell ref="F8149:G8149"/>
    <mergeCell ref="A8150:B8150"/>
    <mergeCell ref="F8150:G8150"/>
    <mergeCell ref="A8151:B8151"/>
    <mergeCell ref="F8151:G8151"/>
    <mergeCell ref="A8152:B8152"/>
    <mergeCell ref="F8152:G8152"/>
    <mergeCell ref="A8153:B8153"/>
    <mergeCell ref="F8153:G8153"/>
    <mergeCell ref="A8154:B8154"/>
    <mergeCell ref="F8154:G8154"/>
    <mergeCell ref="A8155:B8155"/>
    <mergeCell ref="B8136:F8136"/>
    <mergeCell ref="B8137:E8137"/>
    <mergeCell ref="A8070:B8070"/>
    <mergeCell ref="F8070:G8070"/>
    <mergeCell ref="A8071:B8071"/>
    <mergeCell ref="F8071:G8071"/>
    <mergeCell ref="A8072:B8072"/>
    <mergeCell ref="F8072:G8072"/>
    <mergeCell ref="A8073:G8073"/>
    <mergeCell ref="A8075:D8075"/>
    <mergeCell ref="F8080:G8080"/>
    <mergeCell ref="A8083:H8083"/>
    <mergeCell ref="A8085:A8088"/>
    <mergeCell ref="B8085:G8088"/>
    <mergeCell ref="H8085:H8087"/>
    <mergeCell ref="B8089:F8089"/>
    <mergeCell ref="B8090:E8090"/>
    <mergeCell ref="A8093:C8093"/>
    <mergeCell ref="A8094:C8094"/>
    <mergeCell ref="A8064:H8064"/>
    <mergeCell ref="B8184:E8184"/>
    <mergeCell ref="A8187:C8187"/>
    <mergeCell ref="A8188:C8188"/>
    <mergeCell ref="A8189:C8189"/>
    <mergeCell ref="A8190:C8190"/>
    <mergeCell ref="A8191:C8191"/>
    <mergeCell ref="A8192:G8192"/>
    <mergeCell ref="A8193:H8193"/>
    <mergeCell ref="A8194:B8194"/>
    <mergeCell ref="F8194:G8194"/>
    <mergeCell ref="A8195:B8195"/>
    <mergeCell ref="F8195:G8195"/>
    <mergeCell ref="A8196:B8196"/>
    <mergeCell ref="F8196:G8196"/>
    <mergeCell ref="A8197:B8197"/>
    <mergeCell ref="F8197:G8197"/>
    <mergeCell ref="A8198:B8198"/>
    <mergeCell ref="F8198:G8198"/>
    <mergeCell ref="A8177:H8177"/>
    <mergeCell ref="A8179:A8182"/>
    <mergeCell ref="B8179:G8182"/>
    <mergeCell ref="H8179:H8181"/>
    <mergeCell ref="B8183:F8183"/>
    <mergeCell ref="A8169:D8169"/>
    <mergeCell ref="F8174:G8174"/>
    <mergeCell ref="A8157:G8157"/>
    <mergeCell ref="A8158:H8158"/>
    <mergeCell ref="A8159:B8159"/>
    <mergeCell ref="F8159:G8159"/>
    <mergeCell ref="A8160:B8160"/>
    <mergeCell ref="F8160:G8160"/>
    <mergeCell ref="A8161:G8161"/>
    <mergeCell ref="A8162:H8162"/>
    <mergeCell ref="A8163:B8163"/>
    <mergeCell ref="F8163:G8163"/>
    <mergeCell ref="A8164:B8164"/>
    <mergeCell ref="F8164:G8164"/>
    <mergeCell ref="A8165:B8165"/>
    <mergeCell ref="A8208:B8208"/>
    <mergeCell ref="F8208:G8208"/>
    <mergeCell ref="A8209:B8209"/>
    <mergeCell ref="F8209:G8209"/>
    <mergeCell ref="A8210:B8210"/>
    <mergeCell ref="F8210:G8210"/>
    <mergeCell ref="A8211:B8211"/>
    <mergeCell ref="F8211:G8211"/>
    <mergeCell ref="A8212:G8212"/>
    <mergeCell ref="A8213:H8213"/>
    <mergeCell ref="A8214:B8214"/>
    <mergeCell ref="F8214:G8214"/>
    <mergeCell ref="A8215:B8215"/>
    <mergeCell ref="F8215:G8215"/>
    <mergeCell ref="A8216:G8216"/>
    <mergeCell ref="A8217:H8217"/>
    <mergeCell ref="A8218:B8218"/>
    <mergeCell ref="F8218:G8218"/>
    <mergeCell ref="A8199:B8199"/>
    <mergeCell ref="F8199:G8199"/>
    <mergeCell ref="A8200:B8200"/>
    <mergeCell ref="F8200:G8200"/>
    <mergeCell ref="A8201:B8201"/>
    <mergeCell ref="F8201:G8201"/>
    <mergeCell ref="A8202:B8202"/>
    <mergeCell ref="F8202:G8202"/>
    <mergeCell ref="A8203:B8203"/>
    <mergeCell ref="F8203:G8203"/>
    <mergeCell ref="A8204:B8204"/>
    <mergeCell ref="F8204:G8204"/>
    <mergeCell ref="A8205:B8205"/>
    <mergeCell ref="F8205:G8205"/>
    <mergeCell ref="A8206:B8206"/>
    <mergeCell ref="F8206:G8206"/>
    <mergeCell ref="A8207:B8207"/>
    <mergeCell ref="F8207:G8207"/>
    <mergeCell ref="A8244:C8244"/>
    <mergeCell ref="A8245:C8245"/>
    <mergeCell ref="A8246:C8246"/>
    <mergeCell ref="A8247:G8247"/>
    <mergeCell ref="A8248:H8248"/>
    <mergeCell ref="A8249:B8249"/>
    <mergeCell ref="F8249:G8249"/>
    <mergeCell ref="A8250:B8250"/>
    <mergeCell ref="F8250:G8250"/>
    <mergeCell ref="A8251:B8251"/>
    <mergeCell ref="F8251:G8251"/>
    <mergeCell ref="A8252:B8252"/>
    <mergeCell ref="F8252:G8252"/>
    <mergeCell ref="A8253:B8253"/>
    <mergeCell ref="F8253:G8253"/>
    <mergeCell ref="A8254:B8254"/>
    <mergeCell ref="F8254:G8254"/>
    <mergeCell ref="A8219:B8219"/>
    <mergeCell ref="F8219:G8219"/>
    <mergeCell ref="A8220:B8220"/>
    <mergeCell ref="F8220:G8220"/>
    <mergeCell ref="A8221:B8221"/>
    <mergeCell ref="F8221:G8221"/>
    <mergeCell ref="A8222:G8222"/>
    <mergeCell ref="A8224:D8224"/>
    <mergeCell ref="F8229:G8229"/>
    <mergeCell ref="A8232:H8232"/>
    <mergeCell ref="A8234:A8237"/>
    <mergeCell ref="B8234:G8237"/>
    <mergeCell ref="H8234:H8236"/>
    <mergeCell ref="B8238:F8238"/>
    <mergeCell ref="B8239:E8239"/>
    <mergeCell ref="A8242:C8242"/>
    <mergeCell ref="A8243:C8243"/>
    <mergeCell ref="A8264:B8264"/>
    <mergeCell ref="F8264:G8264"/>
    <mergeCell ref="A8265:B8265"/>
    <mergeCell ref="F8265:G8265"/>
    <mergeCell ref="A8266:B8266"/>
    <mergeCell ref="F8266:G8266"/>
    <mergeCell ref="A8267:G8267"/>
    <mergeCell ref="A8268:H8268"/>
    <mergeCell ref="A8269:B8269"/>
    <mergeCell ref="F8269:G8269"/>
    <mergeCell ref="A8270:B8270"/>
    <mergeCell ref="F8270:G8270"/>
    <mergeCell ref="A8271:G8271"/>
    <mergeCell ref="A8272:H8272"/>
    <mergeCell ref="A8273:B8273"/>
    <mergeCell ref="F8273:G8273"/>
    <mergeCell ref="A8274:B8274"/>
    <mergeCell ref="F8274:G8274"/>
    <mergeCell ref="A8255:B8255"/>
    <mergeCell ref="F8255:G8255"/>
    <mergeCell ref="A8256:B8256"/>
    <mergeCell ref="F8256:G8256"/>
    <mergeCell ref="A8257:B8257"/>
    <mergeCell ref="F8257:G8257"/>
    <mergeCell ref="A8258:B8258"/>
    <mergeCell ref="F8258:G8258"/>
    <mergeCell ref="A8259:B8259"/>
    <mergeCell ref="F8259:G8259"/>
    <mergeCell ref="A8260:B8260"/>
    <mergeCell ref="F8260:G8260"/>
    <mergeCell ref="A8261:B8261"/>
    <mergeCell ref="F8261:G8261"/>
    <mergeCell ref="A8262:B8262"/>
    <mergeCell ref="F8262:G8262"/>
    <mergeCell ref="A8263:B8263"/>
    <mergeCell ref="F8263:G8263"/>
    <mergeCell ref="A8301:C8301"/>
    <mergeCell ref="A8302:G8302"/>
    <mergeCell ref="A8303:H8303"/>
    <mergeCell ref="A8304:B8304"/>
    <mergeCell ref="F8304:G8304"/>
    <mergeCell ref="A8305:B8305"/>
    <mergeCell ref="F8305:G8305"/>
    <mergeCell ref="A8306:B8306"/>
    <mergeCell ref="F8306:G8306"/>
    <mergeCell ref="A8307:B8307"/>
    <mergeCell ref="F8307:G8307"/>
    <mergeCell ref="A8308:B8308"/>
    <mergeCell ref="F8308:G8308"/>
    <mergeCell ref="A8309:B8309"/>
    <mergeCell ref="F8309:G8309"/>
    <mergeCell ref="A8310:B8310"/>
    <mergeCell ref="F8310:G8310"/>
    <mergeCell ref="A8275:B8275"/>
    <mergeCell ref="F8275:G8275"/>
    <mergeCell ref="A8276:B8276"/>
    <mergeCell ref="F8276:G8276"/>
    <mergeCell ref="A8277:G8277"/>
    <mergeCell ref="A8279:D8279"/>
    <mergeCell ref="F8284:G8284"/>
    <mergeCell ref="A8287:H8287"/>
    <mergeCell ref="A8289:A8292"/>
    <mergeCell ref="B8289:G8292"/>
    <mergeCell ref="H8289:H8291"/>
    <mergeCell ref="B8293:F8293"/>
    <mergeCell ref="B8294:E8294"/>
    <mergeCell ref="A8297:C8297"/>
    <mergeCell ref="A8298:C8298"/>
    <mergeCell ref="A8299:C8299"/>
    <mergeCell ref="A8300:C8300"/>
    <mergeCell ref="A8331:B8331"/>
    <mergeCell ref="F8331:G8331"/>
    <mergeCell ref="A8332:G8332"/>
    <mergeCell ref="A8334:D8334"/>
    <mergeCell ref="F8339:G8339"/>
    <mergeCell ref="A8320:B8320"/>
    <mergeCell ref="F8320:G8320"/>
    <mergeCell ref="A8321:B8321"/>
    <mergeCell ref="F8321:G8321"/>
    <mergeCell ref="A8322:G8322"/>
    <mergeCell ref="A8323:H8323"/>
    <mergeCell ref="A8324:B8324"/>
    <mergeCell ref="F8324:G8324"/>
    <mergeCell ref="A8325:B8325"/>
    <mergeCell ref="F8325:G8325"/>
    <mergeCell ref="A8326:G8326"/>
    <mergeCell ref="A8327:H8327"/>
    <mergeCell ref="A8328:B8328"/>
    <mergeCell ref="F8328:G8328"/>
    <mergeCell ref="A8329:B8329"/>
    <mergeCell ref="F8329:G8329"/>
    <mergeCell ref="A8330:B8330"/>
    <mergeCell ref="F8330:G8330"/>
    <mergeCell ref="A8311:B8311"/>
    <mergeCell ref="F8311:G8311"/>
    <mergeCell ref="A8312:B8312"/>
    <mergeCell ref="F8312:G8312"/>
    <mergeCell ref="A8313:B8313"/>
    <mergeCell ref="F8313:G8313"/>
    <mergeCell ref="A8314:B8314"/>
    <mergeCell ref="F8314:G8314"/>
    <mergeCell ref="A8315:B8315"/>
    <mergeCell ref="F8315:G8315"/>
    <mergeCell ref="A8316:B8316"/>
    <mergeCell ref="F8316:G8316"/>
    <mergeCell ref="A8317:B8317"/>
    <mergeCell ref="F8317:G8317"/>
    <mergeCell ref="A8318:B8318"/>
    <mergeCell ref="F8318:G8318"/>
    <mergeCell ref="A8319:B8319"/>
    <mergeCell ref="F8319:G8319"/>
    <mergeCell ref="A5086:B5086"/>
    <mergeCell ref="F5086:G5086"/>
    <mergeCell ref="A5087:B5087"/>
    <mergeCell ref="F5087:G5087"/>
    <mergeCell ref="A5088:B5088"/>
    <mergeCell ref="F5088:G5088"/>
    <mergeCell ref="A5089:B5089"/>
    <mergeCell ref="F5089:G5089"/>
    <mergeCell ref="A5090:B5090"/>
    <mergeCell ref="F5090:G5090"/>
    <mergeCell ref="A5091:B5091"/>
    <mergeCell ref="F5091:G5091"/>
    <mergeCell ref="A5092:B5092"/>
    <mergeCell ref="F5092:G5092"/>
    <mergeCell ref="A5093:B5093"/>
    <mergeCell ref="F5093:G5093"/>
    <mergeCell ref="A5094:B5094"/>
    <mergeCell ref="F5094:G5094"/>
    <mergeCell ref="A5067:H5067"/>
    <mergeCell ref="A5069:A5072"/>
    <mergeCell ref="B5069:G5072"/>
    <mergeCell ref="H5069:H5071"/>
    <mergeCell ref="B5073:F5073"/>
    <mergeCell ref="B5074:E5074"/>
    <mergeCell ref="A5077:C5077"/>
    <mergeCell ref="A5078:C5078"/>
    <mergeCell ref="A5079:C5079"/>
    <mergeCell ref="A5080:C5080"/>
    <mergeCell ref="A5081:G5081"/>
    <mergeCell ref="A5082:H5082"/>
    <mergeCell ref="A5083:B5083"/>
    <mergeCell ref="F5083:G5083"/>
    <mergeCell ref="A5084:B5084"/>
    <mergeCell ref="F5084:G5084"/>
    <mergeCell ref="A5085:B5085"/>
    <mergeCell ref="F5085:G5085"/>
    <mergeCell ref="A5106:B5106"/>
    <mergeCell ref="F5106:G5106"/>
    <mergeCell ref="A5107:B5107"/>
    <mergeCell ref="F5107:G5107"/>
    <mergeCell ref="A5108:G5108"/>
    <mergeCell ref="A5110:D5110"/>
    <mergeCell ref="F5115:G5115"/>
    <mergeCell ref="A5118:H5118"/>
    <mergeCell ref="A5120:A5123"/>
    <mergeCell ref="B5120:G5123"/>
    <mergeCell ref="H5120:H5122"/>
    <mergeCell ref="B5124:F5124"/>
    <mergeCell ref="B5125:E5125"/>
    <mergeCell ref="A5128:C5128"/>
    <mergeCell ref="A5129:C5129"/>
    <mergeCell ref="A5130:C5130"/>
    <mergeCell ref="A5131:C5131"/>
    <mergeCell ref="A5095:B5095"/>
    <mergeCell ref="F5095:G5095"/>
    <mergeCell ref="A5096:B5096"/>
    <mergeCell ref="F5096:G5096"/>
    <mergeCell ref="A5097:B5097"/>
    <mergeCell ref="F5097:G5097"/>
    <mergeCell ref="A5098:G5098"/>
    <mergeCell ref="A5099:H5099"/>
    <mergeCell ref="A5100:B5100"/>
    <mergeCell ref="F5100:G5100"/>
    <mergeCell ref="A5101:B5101"/>
    <mergeCell ref="F5101:G5101"/>
    <mergeCell ref="A5102:G5102"/>
    <mergeCell ref="A5103:H5103"/>
    <mergeCell ref="A5104:B5104"/>
    <mergeCell ref="F5104:G5104"/>
    <mergeCell ref="A5105:B5105"/>
    <mergeCell ref="F5105:G5105"/>
    <mergeCell ref="A5142:B5142"/>
    <mergeCell ref="F5142:G5142"/>
    <mergeCell ref="A5143:B5143"/>
    <mergeCell ref="F5143:G5143"/>
    <mergeCell ref="A5144:B5144"/>
    <mergeCell ref="F5144:G5144"/>
    <mergeCell ref="A5145:B5145"/>
    <mergeCell ref="F5145:G5145"/>
    <mergeCell ref="A5146:B5146"/>
    <mergeCell ref="F5146:G5146"/>
    <mergeCell ref="A5147:B5147"/>
    <mergeCell ref="F5147:G5147"/>
    <mergeCell ref="A5148:B5148"/>
    <mergeCell ref="F5148:G5148"/>
    <mergeCell ref="A5149:G5149"/>
    <mergeCell ref="A5150:H5150"/>
    <mergeCell ref="A5151:B5151"/>
    <mergeCell ref="F5151:G5151"/>
    <mergeCell ref="A5132:G5132"/>
    <mergeCell ref="A5133:H5133"/>
    <mergeCell ref="A5134:B5134"/>
    <mergeCell ref="F5134:G5134"/>
    <mergeCell ref="A5135:B5135"/>
    <mergeCell ref="F5135:G5135"/>
    <mergeCell ref="A5136:B5136"/>
    <mergeCell ref="F5136:G5136"/>
    <mergeCell ref="A5137:B5137"/>
    <mergeCell ref="F5137:G5137"/>
    <mergeCell ref="A5138:B5138"/>
    <mergeCell ref="F5138:G5138"/>
    <mergeCell ref="A5139:B5139"/>
    <mergeCell ref="F5139:G5139"/>
    <mergeCell ref="A5140:B5140"/>
    <mergeCell ref="F5140:G5140"/>
    <mergeCell ref="A5141:B5141"/>
    <mergeCell ref="F5141:G5141"/>
    <mergeCell ref="B5175:F5175"/>
    <mergeCell ref="B5176:E5176"/>
    <mergeCell ref="A5179:C5179"/>
    <mergeCell ref="A5180:C5180"/>
    <mergeCell ref="A5181:C5181"/>
    <mergeCell ref="A5182:C5182"/>
    <mergeCell ref="A5183:G5183"/>
    <mergeCell ref="A5184:H5184"/>
    <mergeCell ref="A5185:B5185"/>
    <mergeCell ref="F5185:G5185"/>
    <mergeCell ref="A5186:B5186"/>
    <mergeCell ref="F5186:G5186"/>
    <mergeCell ref="A5187:B5187"/>
    <mergeCell ref="F5187:G5187"/>
    <mergeCell ref="A5188:B5188"/>
    <mergeCell ref="F5188:G5188"/>
    <mergeCell ref="A5189:B5189"/>
    <mergeCell ref="F5189:G5189"/>
    <mergeCell ref="A5152:B5152"/>
    <mergeCell ref="F5152:G5152"/>
    <mergeCell ref="A5153:G5153"/>
    <mergeCell ref="A5154:H5154"/>
    <mergeCell ref="A5155:B5155"/>
    <mergeCell ref="F5155:G5155"/>
    <mergeCell ref="A5156:B5156"/>
    <mergeCell ref="F5156:G5156"/>
    <mergeCell ref="A5157:B5157"/>
    <mergeCell ref="F5157:G5157"/>
    <mergeCell ref="A5158:B5158"/>
    <mergeCell ref="F5158:G5158"/>
    <mergeCell ref="A5159:G5159"/>
    <mergeCell ref="A5161:D5161"/>
    <mergeCell ref="F5166:G5166"/>
    <mergeCell ref="A5169:H5169"/>
    <mergeCell ref="A5171:A5174"/>
    <mergeCell ref="B5171:G5174"/>
    <mergeCell ref="H5171:H5173"/>
    <mergeCell ref="A5199:B5199"/>
    <mergeCell ref="F5199:G5199"/>
    <mergeCell ref="A5200:G5200"/>
    <mergeCell ref="A5201:H5201"/>
    <mergeCell ref="A5202:B5202"/>
    <mergeCell ref="F5202:G5202"/>
    <mergeCell ref="A5203:B5203"/>
    <mergeCell ref="F5203:G5203"/>
    <mergeCell ref="A5204:G5204"/>
    <mergeCell ref="A5205:H5205"/>
    <mergeCell ref="A5206:B5206"/>
    <mergeCell ref="F5206:G5206"/>
    <mergeCell ref="A5207:B5207"/>
    <mergeCell ref="F5207:G5207"/>
    <mergeCell ref="A5208:B5208"/>
    <mergeCell ref="F5208:G5208"/>
    <mergeCell ref="A5209:B5209"/>
    <mergeCell ref="F5209:G5209"/>
    <mergeCell ref="A5190:B5190"/>
    <mergeCell ref="F5190:G5190"/>
    <mergeCell ref="A5191:B5191"/>
    <mergeCell ref="F5191:G5191"/>
    <mergeCell ref="A5192:B5192"/>
    <mergeCell ref="F5192:G5192"/>
    <mergeCell ref="A5193:B5193"/>
    <mergeCell ref="F5193:G5193"/>
    <mergeCell ref="A5194:B5194"/>
    <mergeCell ref="F5194:G5194"/>
    <mergeCell ref="A5195:B5195"/>
    <mergeCell ref="F5195:G5195"/>
    <mergeCell ref="A5196:B5196"/>
    <mergeCell ref="F5196:G5196"/>
    <mergeCell ref="A5197:B5197"/>
    <mergeCell ref="F5197:G5197"/>
    <mergeCell ref="A5198:B5198"/>
    <mergeCell ref="F5198:G5198"/>
    <mergeCell ref="F5249:G5249"/>
    <mergeCell ref="A5250:B5250"/>
    <mergeCell ref="F5250:G5250"/>
    <mergeCell ref="A5251:G5251"/>
    <mergeCell ref="A5252:H5252"/>
    <mergeCell ref="A5253:B5253"/>
    <mergeCell ref="F5253:G5253"/>
    <mergeCell ref="A5254:B5254"/>
    <mergeCell ref="F5254:G5254"/>
    <mergeCell ref="A5255:G5255"/>
    <mergeCell ref="A5237:B5237"/>
    <mergeCell ref="F5237:G5237"/>
    <mergeCell ref="A5238:B5238"/>
    <mergeCell ref="F5238:G5238"/>
    <mergeCell ref="A5239:B5239"/>
    <mergeCell ref="F5239:G5239"/>
    <mergeCell ref="A5240:B5240"/>
    <mergeCell ref="F5240:G5240"/>
    <mergeCell ref="A5241:B5241"/>
    <mergeCell ref="F5241:G5241"/>
    <mergeCell ref="A5242:B5242"/>
    <mergeCell ref="F5242:G5242"/>
    <mergeCell ref="A5243:B5243"/>
    <mergeCell ref="F5243:G5243"/>
    <mergeCell ref="A5244:B5244"/>
    <mergeCell ref="F5244:G5244"/>
    <mergeCell ref="A5245:B5245"/>
    <mergeCell ref="F5245:G5245"/>
    <mergeCell ref="A5210:G5210"/>
    <mergeCell ref="A5212:D5212"/>
    <mergeCell ref="F5217:G5217"/>
    <mergeCell ref="A5220:H5220"/>
    <mergeCell ref="A5222:A5225"/>
    <mergeCell ref="B5222:G5225"/>
    <mergeCell ref="H5222:H5224"/>
    <mergeCell ref="B5226:F5226"/>
    <mergeCell ref="B5227:E5227"/>
    <mergeCell ref="A5230:C5230"/>
    <mergeCell ref="A5231:C5231"/>
    <mergeCell ref="A5232:C5232"/>
    <mergeCell ref="A5233:C5233"/>
    <mergeCell ref="A5234:G5234"/>
    <mergeCell ref="A5235:H5235"/>
    <mergeCell ref="A5236:B5236"/>
    <mergeCell ref="F5236:G5236"/>
    <mergeCell ref="A3292:H3292"/>
    <mergeCell ref="A3293:B3293"/>
    <mergeCell ref="F3293:G3293"/>
    <mergeCell ref="A3294:B3294"/>
    <mergeCell ref="F3294:G3294"/>
    <mergeCell ref="A3295:B3295"/>
    <mergeCell ref="F3295:G3295"/>
    <mergeCell ref="A3296:B3296"/>
    <mergeCell ref="F3296:G3296"/>
    <mergeCell ref="A3297:B3297"/>
    <mergeCell ref="F3297:G3297"/>
    <mergeCell ref="A3298:B3298"/>
    <mergeCell ref="F3298:G3298"/>
    <mergeCell ref="A3299:B3299"/>
    <mergeCell ref="F3299:G3299"/>
    <mergeCell ref="A3498:B3498"/>
    <mergeCell ref="F3498:G3498"/>
    <mergeCell ref="A3499:B3499"/>
    <mergeCell ref="F3499:G3499"/>
    <mergeCell ref="A3500:B3500"/>
    <mergeCell ref="F3500:G3500"/>
    <mergeCell ref="A3501:B3501"/>
    <mergeCell ref="F3501:G3501"/>
    <mergeCell ref="A3502:B3502"/>
    <mergeCell ref="F3502:G3502"/>
    <mergeCell ref="A3503:B3503"/>
    <mergeCell ref="F3503:G3503"/>
    <mergeCell ref="A3504:B3504"/>
    <mergeCell ref="F3504:G3504"/>
    <mergeCell ref="A3505:B3505"/>
    <mergeCell ref="F3505:G3505"/>
    <mergeCell ref="A3506:B3506"/>
    <mergeCell ref="F3506:G3506"/>
    <mergeCell ref="F3314:G3314"/>
    <mergeCell ref="A3315:B3315"/>
    <mergeCell ref="F3315:G3315"/>
    <mergeCell ref="A3481:H3481"/>
    <mergeCell ref="A3483:A3486"/>
    <mergeCell ref="B3483:G3486"/>
    <mergeCell ref="H3483:H3485"/>
    <mergeCell ref="B3487:F3487"/>
    <mergeCell ref="B3488:E3488"/>
    <mergeCell ref="A3491:C3491"/>
    <mergeCell ref="A3492:C3492"/>
    <mergeCell ref="A3493:C3493"/>
    <mergeCell ref="A3494:C3494"/>
    <mergeCell ref="A3495:G3495"/>
    <mergeCell ref="A3496:H3496"/>
    <mergeCell ref="A3497:B3497"/>
    <mergeCell ref="F3497:G3497"/>
    <mergeCell ref="A3328:H3328"/>
    <mergeCell ref="A3330:A3333"/>
    <mergeCell ref="B3330:G3333"/>
    <mergeCell ref="H3330:H3332"/>
    <mergeCell ref="B3334:F3334"/>
    <mergeCell ref="B3335:E3335"/>
    <mergeCell ref="A3338:C3338"/>
    <mergeCell ref="A3339:C3339"/>
    <mergeCell ref="A3340:C3340"/>
    <mergeCell ref="A3341:C3341"/>
    <mergeCell ref="A3342:G3342"/>
    <mergeCell ref="A3343:H3343"/>
    <mergeCell ref="A3344:B3344"/>
    <mergeCell ref="F3344:G3344"/>
    <mergeCell ref="A3345:B3345"/>
    <mergeCell ref="F3413:G3413"/>
    <mergeCell ref="A3414:G3414"/>
    <mergeCell ref="A3415:H3415"/>
    <mergeCell ref="A3416:B3416"/>
    <mergeCell ref="F3416:G3416"/>
    <mergeCell ref="A3417:B3417"/>
    <mergeCell ref="F3417:G3417"/>
    <mergeCell ref="A3418:B3418"/>
    <mergeCell ref="F3418:G3418"/>
    <mergeCell ref="A3419:B3419"/>
    <mergeCell ref="F3419:G3419"/>
    <mergeCell ref="A3420:G3420"/>
    <mergeCell ref="A3422:D3422"/>
    <mergeCell ref="F3427:G3427"/>
    <mergeCell ref="A3517:H3517"/>
    <mergeCell ref="A3518:B3518"/>
    <mergeCell ref="F3518:G3518"/>
    <mergeCell ref="A3519:B3519"/>
    <mergeCell ref="F3519:G3519"/>
    <mergeCell ref="A3520:B3520"/>
    <mergeCell ref="F3520:G3520"/>
    <mergeCell ref="A3521:B3521"/>
    <mergeCell ref="F3521:G3521"/>
    <mergeCell ref="A3522:G3522"/>
    <mergeCell ref="A3524:D3524"/>
    <mergeCell ref="F3529:G3529"/>
    <mergeCell ref="A3532:H3532"/>
    <mergeCell ref="A3534:A3537"/>
    <mergeCell ref="B3534:G3537"/>
    <mergeCell ref="H3534:H3536"/>
    <mergeCell ref="B3538:F3538"/>
    <mergeCell ref="A3507:B3507"/>
    <mergeCell ref="F3507:G3507"/>
    <mergeCell ref="A3508:B3508"/>
    <mergeCell ref="F3508:G3508"/>
    <mergeCell ref="A3509:B3509"/>
    <mergeCell ref="F3509:G3509"/>
    <mergeCell ref="A3510:B3510"/>
    <mergeCell ref="F3510:G3510"/>
    <mergeCell ref="A3511:B3511"/>
    <mergeCell ref="F3511:G3511"/>
    <mergeCell ref="A3512:G3512"/>
    <mergeCell ref="A3513:H3513"/>
    <mergeCell ref="A3514:B3514"/>
    <mergeCell ref="F3514:G3514"/>
    <mergeCell ref="A3515:B3515"/>
    <mergeCell ref="F3515:G3515"/>
    <mergeCell ref="A3516:G3516"/>
    <mergeCell ref="B3432:G3435"/>
    <mergeCell ref="H3432:H3434"/>
    <mergeCell ref="B3436:F3436"/>
    <mergeCell ref="B3437:E3437"/>
    <mergeCell ref="A3440:C3440"/>
    <mergeCell ref="A3441:C3441"/>
    <mergeCell ref="A3442:C3442"/>
    <mergeCell ref="A3443:C3443"/>
    <mergeCell ref="A3444:G3444"/>
    <mergeCell ref="A3445:H3445"/>
    <mergeCell ref="A3446:B3446"/>
    <mergeCell ref="F3446:G3446"/>
    <mergeCell ref="A3447:B3447"/>
    <mergeCell ref="F3447:G3447"/>
    <mergeCell ref="A3448:B3448"/>
    <mergeCell ref="A3556:B3556"/>
    <mergeCell ref="F3556:G3556"/>
    <mergeCell ref="A3557:B3557"/>
    <mergeCell ref="F3557:G3557"/>
    <mergeCell ref="A3558:B3558"/>
    <mergeCell ref="F3558:G3558"/>
    <mergeCell ref="A3559:B3559"/>
    <mergeCell ref="F3559:G3559"/>
    <mergeCell ref="A3560:B3560"/>
    <mergeCell ref="F3560:G3560"/>
    <mergeCell ref="A3561:B3561"/>
    <mergeCell ref="F3561:G3561"/>
    <mergeCell ref="A3562:B3562"/>
    <mergeCell ref="F3562:G3562"/>
    <mergeCell ref="A3563:G3563"/>
    <mergeCell ref="A3564:H3564"/>
    <mergeCell ref="A3565:B3565"/>
    <mergeCell ref="B3539:E3539"/>
    <mergeCell ref="A3542:C3542"/>
    <mergeCell ref="A3543:C3543"/>
    <mergeCell ref="A3544:C3544"/>
    <mergeCell ref="A3545:C3545"/>
    <mergeCell ref="F3565:G3565"/>
    <mergeCell ref="A3546:G3546"/>
    <mergeCell ref="A3547:H3547"/>
    <mergeCell ref="A3548:B3548"/>
    <mergeCell ref="F3548:G3548"/>
    <mergeCell ref="A3549:B3549"/>
    <mergeCell ref="F3549:G3549"/>
    <mergeCell ref="A3550:B3550"/>
    <mergeCell ref="F3550:G3550"/>
    <mergeCell ref="A3551:B3551"/>
    <mergeCell ref="F3551:G3551"/>
    <mergeCell ref="A3552:B3552"/>
    <mergeCell ref="F3552:G3552"/>
    <mergeCell ref="A3553:B3553"/>
    <mergeCell ref="F3553:G3553"/>
    <mergeCell ref="A3554:B3554"/>
    <mergeCell ref="F3554:G3554"/>
    <mergeCell ref="A3555:B3555"/>
    <mergeCell ref="F3555:G3555"/>
    <mergeCell ref="A5550:B5550"/>
    <mergeCell ref="F5550:G5550"/>
    <mergeCell ref="A5551:B5551"/>
    <mergeCell ref="F5551:G5551"/>
    <mergeCell ref="A5552:B5552"/>
    <mergeCell ref="F5552:G5552"/>
    <mergeCell ref="A5553:B5553"/>
    <mergeCell ref="F5553:G5553"/>
    <mergeCell ref="A5554:B5554"/>
    <mergeCell ref="F5554:G5554"/>
    <mergeCell ref="A5555:B5555"/>
    <mergeCell ref="F5555:G5555"/>
    <mergeCell ref="A5528:H5528"/>
    <mergeCell ref="A5530:A5533"/>
    <mergeCell ref="B5530:G5533"/>
    <mergeCell ref="H5530:H5532"/>
    <mergeCell ref="B5534:F5534"/>
    <mergeCell ref="B5535:E5535"/>
    <mergeCell ref="A5538:C5538"/>
    <mergeCell ref="A5539:C5539"/>
    <mergeCell ref="A5540:C5540"/>
    <mergeCell ref="A5541:C5541"/>
    <mergeCell ref="A5542:G5542"/>
    <mergeCell ref="A5543:H5543"/>
    <mergeCell ref="A5544:B5544"/>
    <mergeCell ref="F5544:G5544"/>
    <mergeCell ref="A5545:B5545"/>
    <mergeCell ref="F5545:G5545"/>
    <mergeCell ref="A5546:B5546"/>
    <mergeCell ref="F5546:G5546"/>
    <mergeCell ref="A3566:B3566"/>
    <mergeCell ref="F3566:G3566"/>
    <mergeCell ref="A3567:G3567"/>
    <mergeCell ref="A3568:H3568"/>
    <mergeCell ref="A3569:B3569"/>
    <mergeCell ref="F3569:G3569"/>
    <mergeCell ref="A3570:B3570"/>
    <mergeCell ref="F3570:G3570"/>
    <mergeCell ref="A3571:B3571"/>
    <mergeCell ref="F3571:G3571"/>
    <mergeCell ref="A3572:B3572"/>
    <mergeCell ref="F3572:G3572"/>
    <mergeCell ref="A3573:G3573"/>
    <mergeCell ref="A3575:D3575"/>
    <mergeCell ref="F3580:G3580"/>
    <mergeCell ref="A5256:H5256"/>
    <mergeCell ref="A5257:B5257"/>
    <mergeCell ref="F5257:G5257"/>
    <mergeCell ref="A5258:B5258"/>
    <mergeCell ref="F5258:G5258"/>
    <mergeCell ref="A5259:B5259"/>
    <mergeCell ref="F5259:G5259"/>
    <mergeCell ref="A5260:B5260"/>
    <mergeCell ref="F5260:G5260"/>
    <mergeCell ref="A5261:G5261"/>
    <mergeCell ref="A5263:D5263"/>
    <mergeCell ref="F5268:G5268"/>
    <mergeCell ref="A5246:B5246"/>
    <mergeCell ref="F5246:G5246"/>
    <mergeCell ref="A5247:B5247"/>
    <mergeCell ref="F5247:G5247"/>
    <mergeCell ref="A5248:B5248"/>
    <mergeCell ref="F5248:G5248"/>
    <mergeCell ref="A5249:B5249"/>
    <mergeCell ref="F3809:G3809"/>
    <mergeCell ref="A3810:B3810"/>
    <mergeCell ref="F3810:G3810"/>
    <mergeCell ref="A3811:B3811"/>
    <mergeCell ref="F3811:G3811"/>
    <mergeCell ref="A3812:B3812"/>
    <mergeCell ref="F3812:G3812"/>
    <mergeCell ref="A3813:B3813"/>
    <mergeCell ref="F3813:G3813"/>
    <mergeCell ref="A3814:B3814"/>
    <mergeCell ref="F3814:G3814"/>
    <mergeCell ref="A3815:B3815"/>
    <mergeCell ref="F3815:G3815"/>
    <mergeCell ref="A3816:B3816"/>
    <mergeCell ref="F3816:G3816"/>
    <mergeCell ref="A3817:B3817"/>
    <mergeCell ref="F3817:G3817"/>
    <mergeCell ref="A5567:B5567"/>
    <mergeCell ref="F5567:G5567"/>
    <mergeCell ref="A5568:B5568"/>
    <mergeCell ref="F5568:G5568"/>
    <mergeCell ref="A5569:G5569"/>
    <mergeCell ref="A5571:D5571"/>
    <mergeCell ref="F5576:G5576"/>
    <mergeCell ref="A3787:H3787"/>
    <mergeCell ref="A3789:A3792"/>
    <mergeCell ref="B3789:G3792"/>
    <mergeCell ref="H3789:H3791"/>
    <mergeCell ref="B3793:F3793"/>
    <mergeCell ref="B3794:E3794"/>
    <mergeCell ref="A3797:C3797"/>
    <mergeCell ref="A3798:C3798"/>
    <mergeCell ref="A3799:C3799"/>
    <mergeCell ref="A3800:C3800"/>
    <mergeCell ref="A3801:G3801"/>
    <mergeCell ref="A3802:H3802"/>
    <mergeCell ref="A3803:B3803"/>
    <mergeCell ref="F3803:G3803"/>
    <mergeCell ref="A3804:B3804"/>
    <mergeCell ref="F3804:G3804"/>
    <mergeCell ref="A3805:B3805"/>
    <mergeCell ref="F3805:G3805"/>
    <mergeCell ref="A3806:B3806"/>
    <mergeCell ref="F3806:G3806"/>
    <mergeCell ref="A3807:B3807"/>
    <mergeCell ref="F3807:G3807"/>
    <mergeCell ref="A3808:B3808"/>
    <mergeCell ref="F3808:G3808"/>
    <mergeCell ref="A3809:B3809"/>
    <mergeCell ref="A5556:B5556"/>
    <mergeCell ref="F5556:G5556"/>
    <mergeCell ref="A5557:B5557"/>
    <mergeCell ref="F5557:G5557"/>
    <mergeCell ref="A5558:B5558"/>
    <mergeCell ref="F5558:G5558"/>
    <mergeCell ref="A5559:G5559"/>
    <mergeCell ref="A5560:H5560"/>
    <mergeCell ref="A5561:B5561"/>
    <mergeCell ref="F5561:G5561"/>
    <mergeCell ref="A5562:B5562"/>
    <mergeCell ref="F5562:G5562"/>
    <mergeCell ref="A5563:G5563"/>
    <mergeCell ref="A5564:H5564"/>
    <mergeCell ref="A5565:B5565"/>
    <mergeCell ref="A3830:D3830"/>
    <mergeCell ref="F3835:G3835"/>
    <mergeCell ref="A3838:H3838"/>
    <mergeCell ref="A3840:A3843"/>
    <mergeCell ref="B3840:G3843"/>
    <mergeCell ref="H3840:H3842"/>
    <mergeCell ref="B3844:F3844"/>
    <mergeCell ref="B3845:E3845"/>
    <mergeCell ref="A3848:C3848"/>
    <mergeCell ref="A3849:C3849"/>
    <mergeCell ref="A3850:C3850"/>
    <mergeCell ref="A3851:C3851"/>
    <mergeCell ref="A3852:G3852"/>
    <mergeCell ref="A3853:H3853"/>
    <mergeCell ref="A3854:B3854"/>
    <mergeCell ref="F3854:G3854"/>
    <mergeCell ref="A3855:B3855"/>
    <mergeCell ref="F3855:G3855"/>
    <mergeCell ref="A3818:G3818"/>
    <mergeCell ref="A3819:H3819"/>
    <mergeCell ref="A3820:B3820"/>
    <mergeCell ref="F3820:G3820"/>
    <mergeCell ref="A3821:B3821"/>
    <mergeCell ref="F3821:G3821"/>
    <mergeCell ref="A3822:G3822"/>
    <mergeCell ref="A3823:H3823"/>
    <mergeCell ref="A3824:B3824"/>
    <mergeCell ref="F3824:G3824"/>
    <mergeCell ref="A3825:B3825"/>
    <mergeCell ref="F3825:G3825"/>
    <mergeCell ref="A3826:B3826"/>
    <mergeCell ref="F3826:G3826"/>
    <mergeCell ref="A3827:B3827"/>
    <mergeCell ref="F3827:G3827"/>
    <mergeCell ref="A3828:G3828"/>
    <mergeCell ref="A3865:B3865"/>
    <mergeCell ref="F3865:G3865"/>
    <mergeCell ref="A3866:B3866"/>
    <mergeCell ref="F3866:G3866"/>
    <mergeCell ref="A3867:B3867"/>
    <mergeCell ref="F3867:G3867"/>
    <mergeCell ref="A3868:B3868"/>
    <mergeCell ref="F3868:G3868"/>
    <mergeCell ref="A3869:G3869"/>
    <mergeCell ref="A3870:H3870"/>
    <mergeCell ref="A3871:B3871"/>
    <mergeCell ref="F3871:G3871"/>
    <mergeCell ref="A3872:B3872"/>
    <mergeCell ref="F3872:G3872"/>
    <mergeCell ref="A3873:G3873"/>
    <mergeCell ref="A3874:H3874"/>
    <mergeCell ref="A3875:B3875"/>
    <mergeCell ref="F3875:G3875"/>
    <mergeCell ref="A3856:B3856"/>
    <mergeCell ref="F3856:G3856"/>
    <mergeCell ref="A3857:B3857"/>
    <mergeCell ref="F3857:G3857"/>
    <mergeCell ref="A3858:B3858"/>
    <mergeCell ref="F3858:G3858"/>
    <mergeCell ref="A3859:B3859"/>
    <mergeCell ref="F3859:G3859"/>
    <mergeCell ref="A3860:B3860"/>
    <mergeCell ref="F3860:G3860"/>
    <mergeCell ref="A3861:B3861"/>
    <mergeCell ref="F3861:G3861"/>
    <mergeCell ref="A3862:B3862"/>
    <mergeCell ref="F3862:G3862"/>
    <mergeCell ref="A3863:B3863"/>
    <mergeCell ref="F3863:G3863"/>
    <mergeCell ref="A3864:B3864"/>
    <mergeCell ref="F3864:G3864"/>
    <mergeCell ref="A5608:B5608"/>
    <mergeCell ref="F5608:G5608"/>
    <mergeCell ref="A5609:B5609"/>
    <mergeCell ref="F5609:G5609"/>
    <mergeCell ref="A5610:G5610"/>
    <mergeCell ref="A5591:C5591"/>
    <mergeCell ref="A5592:C5592"/>
    <mergeCell ref="A5593:G5593"/>
    <mergeCell ref="A5594:H5594"/>
    <mergeCell ref="A5595:B5595"/>
    <mergeCell ref="F5595:G5595"/>
    <mergeCell ref="A5596:B5596"/>
    <mergeCell ref="F5596:G5596"/>
    <mergeCell ref="A5597:B5597"/>
    <mergeCell ref="F5597:G5597"/>
    <mergeCell ref="A5598:B5598"/>
    <mergeCell ref="F5598:G5598"/>
    <mergeCell ref="A5599:B5599"/>
    <mergeCell ref="F5599:G5599"/>
    <mergeCell ref="A5600:B5600"/>
    <mergeCell ref="F5600:G5600"/>
    <mergeCell ref="A5601:B5601"/>
    <mergeCell ref="F5601:G5601"/>
    <mergeCell ref="A3876:B3876"/>
    <mergeCell ref="F3876:G3876"/>
    <mergeCell ref="A3877:B3877"/>
    <mergeCell ref="F3877:G3877"/>
    <mergeCell ref="A3878:B3878"/>
    <mergeCell ref="F3878:G3878"/>
    <mergeCell ref="A3879:G3879"/>
    <mergeCell ref="A3881:D3881"/>
    <mergeCell ref="F3886:G3886"/>
    <mergeCell ref="A5579:H5579"/>
    <mergeCell ref="A5581:A5584"/>
    <mergeCell ref="B5581:G5584"/>
    <mergeCell ref="H5581:H5583"/>
    <mergeCell ref="B5585:F5585"/>
    <mergeCell ref="B5586:E5586"/>
    <mergeCell ref="A5589:C5589"/>
    <mergeCell ref="A5590:C5590"/>
    <mergeCell ref="F3908:G3908"/>
    <mergeCell ref="A3909:B3909"/>
    <mergeCell ref="F3909:G3909"/>
    <mergeCell ref="A3910:B3910"/>
    <mergeCell ref="F3910:G3910"/>
    <mergeCell ref="A3911:B3911"/>
    <mergeCell ref="F3911:G3911"/>
    <mergeCell ref="A3912:B3912"/>
    <mergeCell ref="F3912:G3912"/>
    <mergeCell ref="A3913:B3913"/>
    <mergeCell ref="F3913:G3913"/>
    <mergeCell ref="A3914:B3914"/>
    <mergeCell ref="F3914:G3914"/>
    <mergeCell ref="A3915:B3915"/>
    <mergeCell ref="F3915:G3915"/>
    <mergeCell ref="F5565:G5565"/>
    <mergeCell ref="A5566:B5566"/>
    <mergeCell ref="F5566:G5566"/>
    <mergeCell ref="A5547:B5547"/>
    <mergeCell ref="F5547:G5547"/>
    <mergeCell ref="A5548:B5548"/>
    <mergeCell ref="F5548:G5548"/>
    <mergeCell ref="A5549:B5549"/>
    <mergeCell ref="F5549:G5549"/>
    <mergeCell ref="A3889:H3889"/>
    <mergeCell ref="A3891:A3894"/>
    <mergeCell ref="B3891:G3894"/>
    <mergeCell ref="H3891:H3893"/>
    <mergeCell ref="B3895:F3895"/>
    <mergeCell ref="B3896:E3896"/>
    <mergeCell ref="A3899:C3899"/>
    <mergeCell ref="A3900:C3900"/>
    <mergeCell ref="A3901:C3901"/>
    <mergeCell ref="A3902:C3902"/>
    <mergeCell ref="A3903:G3903"/>
    <mergeCell ref="A3904:H3904"/>
    <mergeCell ref="A3905:B3905"/>
    <mergeCell ref="F3905:G3905"/>
    <mergeCell ref="A3906:B3906"/>
    <mergeCell ref="F3906:G3906"/>
    <mergeCell ref="A3907:B3907"/>
    <mergeCell ref="F3907:G3907"/>
    <mergeCell ref="A3908:B3908"/>
    <mergeCell ref="F7320:G7320"/>
    <mergeCell ref="A7321:B7321"/>
    <mergeCell ref="F7321:G7321"/>
    <mergeCell ref="A7322:B7322"/>
    <mergeCell ref="F7322:G7322"/>
    <mergeCell ref="A7323:B7323"/>
    <mergeCell ref="F7323:G7323"/>
    <mergeCell ref="A7324:B7324"/>
    <mergeCell ref="F7324:G7324"/>
    <mergeCell ref="A7325:B7325"/>
    <mergeCell ref="F7325:G7325"/>
    <mergeCell ref="A7326:G7326"/>
    <mergeCell ref="A7327:H7327"/>
    <mergeCell ref="A7328:B7328"/>
    <mergeCell ref="F7328:G7328"/>
    <mergeCell ref="F5627:G5627"/>
    <mergeCell ref="A7294:H7294"/>
    <mergeCell ref="A7296:A7299"/>
    <mergeCell ref="B7296:G7299"/>
    <mergeCell ref="H7296:H7298"/>
    <mergeCell ref="B7300:F7300"/>
    <mergeCell ref="B7301:E7301"/>
    <mergeCell ref="A7304:C7304"/>
    <mergeCell ref="A7305:C7305"/>
    <mergeCell ref="A7306:C7306"/>
    <mergeCell ref="A7307:C7307"/>
    <mergeCell ref="A7308:C7308"/>
    <mergeCell ref="A7309:G7309"/>
    <mergeCell ref="A7310:H7310"/>
    <mergeCell ref="A7311:B7311"/>
    <mergeCell ref="F7311:G7311"/>
    <mergeCell ref="A7312:B7312"/>
    <mergeCell ref="F7312:G7312"/>
    <mergeCell ref="A6498:H6498"/>
    <mergeCell ref="A6499:B6499"/>
    <mergeCell ref="F6499:G6499"/>
    <mergeCell ref="A3927:B3927"/>
    <mergeCell ref="F3927:G3927"/>
    <mergeCell ref="A3928:B3928"/>
    <mergeCell ref="F3928:G3928"/>
    <mergeCell ref="A3929:B3929"/>
    <mergeCell ref="F3929:G3929"/>
    <mergeCell ref="A3930:G3930"/>
    <mergeCell ref="A3932:D3932"/>
    <mergeCell ref="F3937:G3937"/>
    <mergeCell ref="A3916:B3916"/>
    <mergeCell ref="F3916:G3916"/>
    <mergeCell ref="A3917:B3917"/>
    <mergeCell ref="F3917:G3917"/>
    <mergeCell ref="A3918:B3918"/>
    <mergeCell ref="F3918:G3918"/>
    <mergeCell ref="A3919:B3919"/>
    <mergeCell ref="F3919:G3919"/>
    <mergeCell ref="A3920:G3920"/>
    <mergeCell ref="A3921:H3921"/>
    <mergeCell ref="A3922:B3922"/>
    <mergeCell ref="F3922:G3922"/>
    <mergeCell ref="A3923:B3923"/>
    <mergeCell ref="F3923:G3923"/>
    <mergeCell ref="A3924:G3924"/>
    <mergeCell ref="A3925:H3925"/>
    <mergeCell ref="A3926:B3926"/>
    <mergeCell ref="F3926:G3926"/>
    <mergeCell ref="A7330:G7330"/>
    <mergeCell ref="A7331:H7331"/>
    <mergeCell ref="A7332:B7332"/>
    <mergeCell ref="F7332:G7332"/>
    <mergeCell ref="A7333:B7333"/>
    <mergeCell ref="F7333:G7333"/>
    <mergeCell ref="A6500:B6500"/>
    <mergeCell ref="F6500:G6500"/>
    <mergeCell ref="A6501:B6501"/>
    <mergeCell ref="F6501:G6501"/>
    <mergeCell ref="A6502:B6502"/>
    <mergeCell ref="F6502:G6502"/>
    <mergeCell ref="A6503:G6503"/>
    <mergeCell ref="A6505:D6505"/>
    <mergeCell ref="F6510:G6510"/>
    <mergeCell ref="A6488:B6488"/>
    <mergeCell ref="F6488:G6488"/>
    <mergeCell ref="A5611:H5611"/>
    <mergeCell ref="A5612:B5612"/>
    <mergeCell ref="F5612:G5612"/>
    <mergeCell ref="A5613:B5613"/>
    <mergeCell ref="F5613:G5613"/>
    <mergeCell ref="A5614:G5614"/>
    <mergeCell ref="A5615:H5615"/>
    <mergeCell ref="A5616:B5616"/>
    <mergeCell ref="F5616:G5616"/>
    <mergeCell ref="A5617:B5617"/>
    <mergeCell ref="F5617:G5617"/>
    <mergeCell ref="A5618:B5618"/>
    <mergeCell ref="F5618:G5618"/>
    <mergeCell ref="A5619:B5619"/>
    <mergeCell ref="F5619:G5619"/>
    <mergeCell ref="A5620:G5620"/>
    <mergeCell ref="A5622:D5622"/>
    <mergeCell ref="A5602:B5602"/>
    <mergeCell ref="F5602:G5602"/>
    <mergeCell ref="A5603:B5603"/>
    <mergeCell ref="F5603:G5603"/>
    <mergeCell ref="A5604:B5604"/>
    <mergeCell ref="F5604:G5604"/>
    <mergeCell ref="A5605:B5605"/>
    <mergeCell ref="F5605:G5605"/>
    <mergeCell ref="A5606:B5606"/>
    <mergeCell ref="F5606:G5606"/>
    <mergeCell ref="A5607:B5607"/>
    <mergeCell ref="F5607:G5607"/>
    <mergeCell ref="A9321:B9321"/>
    <mergeCell ref="F9321:G9321"/>
    <mergeCell ref="A9322:B9322"/>
    <mergeCell ref="F9322:G9322"/>
    <mergeCell ref="A9323:B9323"/>
    <mergeCell ref="F9323:G9323"/>
    <mergeCell ref="A9324:B9324"/>
    <mergeCell ref="F9324:G9324"/>
    <mergeCell ref="A9325:B9325"/>
    <mergeCell ref="F9325:G9325"/>
    <mergeCell ref="A9326:B9326"/>
    <mergeCell ref="F9326:G9326"/>
    <mergeCell ref="A9327:B9327"/>
    <mergeCell ref="F9327:G9327"/>
    <mergeCell ref="A9328:B9328"/>
    <mergeCell ref="F9328:G9328"/>
    <mergeCell ref="A9329:B9329"/>
    <mergeCell ref="F9329:G9329"/>
    <mergeCell ref="A9302:H9302"/>
    <mergeCell ref="A9304:A9307"/>
    <mergeCell ref="B9304:G9307"/>
    <mergeCell ref="H9304:H9306"/>
    <mergeCell ref="B9308:F9308"/>
    <mergeCell ref="B9309:E9309"/>
    <mergeCell ref="A9312:C9312"/>
    <mergeCell ref="A9313:C9313"/>
    <mergeCell ref="A9314:C9314"/>
    <mergeCell ref="A9315:C9315"/>
    <mergeCell ref="A9316:C9316"/>
    <mergeCell ref="A9317:G9317"/>
    <mergeCell ref="A9318:H9318"/>
    <mergeCell ref="A9319:B9319"/>
    <mergeCell ref="F9319:G9319"/>
    <mergeCell ref="A9320:B9320"/>
    <mergeCell ref="F9320:G9320"/>
    <mergeCell ref="A9341:B9341"/>
    <mergeCell ref="F9341:G9341"/>
    <mergeCell ref="A9342:B9342"/>
    <mergeCell ref="F9342:G9342"/>
    <mergeCell ref="A9343:B9343"/>
    <mergeCell ref="F9343:G9343"/>
    <mergeCell ref="A9344:G9344"/>
    <mergeCell ref="A9346:D9346"/>
    <mergeCell ref="F9351:G9351"/>
    <mergeCell ref="A9354:H9354"/>
    <mergeCell ref="A9356:A9359"/>
    <mergeCell ref="B9356:G9359"/>
    <mergeCell ref="H9356:H9358"/>
    <mergeCell ref="B9360:F9360"/>
    <mergeCell ref="B9361:E9361"/>
    <mergeCell ref="A9364:C9364"/>
    <mergeCell ref="A9365:C9365"/>
    <mergeCell ref="A9330:B9330"/>
    <mergeCell ref="F9330:G9330"/>
    <mergeCell ref="A9331:B9331"/>
    <mergeCell ref="F9331:G9331"/>
    <mergeCell ref="A9332:B9332"/>
    <mergeCell ref="F9332:G9332"/>
    <mergeCell ref="A9333:B9333"/>
    <mergeCell ref="F9333:G9333"/>
    <mergeCell ref="A9334:G9334"/>
    <mergeCell ref="A9335:H9335"/>
    <mergeCell ref="A9336:B9336"/>
    <mergeCell ref="F9336:G9336"/>
    <mergeCell ref="A9337:B9337"/>
    <mergeCell ref="F9337:G9337"/>
    <mergeCell ref="A9338:G9338"/>
    <mergeCell ref="A9339:H9339"/>
    <mergeCell ref="A9340:B9340"/>
    <mergeCell ref="F9340:G9340"/>
    <mergeCell ref="A9377:B9377"/>
    <mergeCell ref="F9377:G9377"/>
    <mergeCell ref="A9378:B9378"/>
    <mergeCell ref="F9378:G9378"/>
    <mergeCell ref="A9379:B9379"/>
    <mergeCell ref="F9379:G9379"/>
    <mergeCell ref="A9380:B9380"/>
    <mergeCell ref="F9380:G9380"/>
    <mergeCell ref="A9381:B9381"/>
    <mergeCell ref="F9381:G9381"/>
    <mergeCell ref="A9382:B9382"/>
    <mergeCell ref="F9382:G9382"/>
    <mergeCell ref="A9383:B9383"/>
    <mergeCell ref="F9383:G9383"/>
    <mergeCell ref="A9384:B9384"/>
    <mergeCell ref="F9384:G9384"/>
    <mergeCell ref="A9385:B9385"/>
    <mergeCell ref="F9385:G9385"/>
    <mergeCell ref="A9366:C9366"/>
    <mergeCell ref="A9367:C9367"/>
    <mergeCell ref="A9368:C9368"/>
    <mergeCell ref="A9369:G9369"/>
    <mergeCell ref="A9370:H9370"/>
    <mergeCell ref="A9371:B9371"/>
    <mergeCell ref="F9371:G9371"/>
    <mergeCell ref="A9372:B9372"/>
    <mergeCell ref="F9372:G9372"/>
    <mergeCell ref="A9373:B9373"/>
    <mergeCell ref="F9373:G9373"/>
    <mergeCell ref="A9374:B9374"/>
    <mergeCell ref="F9374:G9374"/>
    <mergeCell ref="A9375:B9375"/>
    <mergeCell ref="F9375:G9375"/>
    <mergeCell ref="A9376:B9376"/>
    <mergeCell ref="F9376:G9376"/>
    <mergeCell ref="F9425:G9425"/>
    <mergeCell ref="A9426:B9426"/>
    <mergeCell ref="F9426:G9426"/>
    <mergeCell ref="A9427:B9427"/>
    <mergeCell ref="F9427:G9427"/>
    <mergeCell ref="A9428:B9428"/>
    <mergeCell ref="F9428:G9428"/>
    <mergeCell ref="A9429:B9429"/>
    <mergeCell ref="F9429:G9429"/>
    <mergeCell ref="A9430:B9430"/>
    <mergeCell ref="F9430:G9430"/>
    <mergeCell ref="A9431:B9431"/>
    <mergeCell ref="F9431:G9431"/>
    <mergeCell ref="A9432:B9432"/>
    <mergeCell ref="F9432:G9432"/>
    <mergeCell ref="A9398:D9398"/>
    <mergeCell ref="F9403:G9403"/>
    <mergeCell ref="A9386:G9386"/>
    <mergeCell ref="A9387:H9387"/>
    <mergeCell ref="A9388:B9388"/>
    <mergeCell ref="F9388:G9388"/>
    <mergeCell ref="A9389:B9389"/>
    <mergeCell ref="F9389:G9389"/>
    <mergeCell ref="A9390:G9390"/>
    <mergeCell ref="A9391:H9391"/>
    <mergeCell ref="A9392:B9392"/>
    <mergeCell ref="F9392:G9392"/>
    <mergeCell ref="A9393:B9393"/>
    <mergeCell ref="F9393:G9393"/>
    <mergeCell ref="A9394:B9394"/>
    <mergeCell ref="F9394:G9394"/>
    <mergeCell ref="A9395:B9395"/>
    <mergeCell ref="F9395:G9395"/>
    <mergeCell ref="A9396:G9396"/>
    <mergeCell ref="A9458:H9458"/>
    <mergeCell ref="A9460:A9463"/>
    <mergeCell ref="B9460:G9463"/>
    <mergeCell ref="H9460:H9462"/>
    <mergeCell ref="B9464:F9464"/>
    <mergeCell ref="B9465:E9465"/>
    <mergeCell ref="A9468:C9468"/>
    <mergeCell ref="A9469:C9469"/>
    <mergeCell ref="A9470:C9470"/>
    <mergeCell ref="A9471:C9471"/>
    <mergeCell ref="A9472:C9472"/>
    <mergeCell ref="A9473:G9473"/>
    <mergeCell ref="A9474:H9474"/>
    <mergeCell ref="A9475:B9475"/>
    <mergeCell ref="F9475:G9475"/>
    <mergeCell ref="A9476:B9476"/>
    <mergeCell ref="F9476:G9476"/>
    <mergeCell ref="A9443:H9443"/>
    <mergeCell ref="A9444:B9444"/>
    <mergeCell ref="F9444:G9444"/>
    <mergeCell ref="A9445:B9445"/>
    <mergeCell ref="F9445:G9445"/>
    <mergeCell ref="A9446:B9446"/>
    <mergeCell ref="F9446:G9446"/>
    <mergeCell ref="A9447:B9447"/>
    <mergeCell ref="F9447:G9447"/>
    <mergeCell ref="A9448:G9448"/>
    <mergeCell ref="A9450:D9450"/>
    <mergeCell ref="F9455:G9455"/>
    <mergeCell ref="A9406:H9406"/>
    <mergeCell ref="A9408:A9411"/>
    <mergeCell ref="B9408:G9411"/>
    <mergeCell ref="H9408:H9410"/>
    <mergeCell ref="B9412:F9412"/>
    <mergeCell ref="B9413:E9413"/>
    <mergeCell ref="A9416:C9416"/>
    <mergeCell ref="A9417:C9417"/>
    <mergeCell ref="A9418:C9418"/>
    <mergeCell ref="A9419:C9419"/>
    <mergeCell ref="A9420:C9420"/>
    <mergeCell ref="A9421:G9421"/>
    <mergeCell ref="A9422:H9422"/>
    <mergeCell ref="A9423:B9423"/>
    <mergeCell ref="F9423:G9423"/>
    <mergeCell ref="A9433:B9433"/>
    <mergeCell ref="F9433:G9433"/>
    <mergeCell ref="A9434:B9434"/>
    <mergeCell ref="F9434:G9434"/>
    <mergeCell ref="A9435:B9435"/>
    <mergeCell ref="F9435:G9435"/>
    <mergeCell ref="A9436:B9436"/>
    <mergeCell ref="F9436:G9436"/>
    <mergeCell ref="A9437:B9437"/>
    <mergeCell ref="F9437:G9437"/>
    <mergeCell ref="A9438:G9438"/>
    <mergeCell ref="A9439:H9439"/>
    <mergeCell ref="A9440:B9440"/>
    <mergeCell ref="F9440:G9440"/>
    <mergeCell ref="A9441:B9441"/>
    <mergeCell ref="F9441:G9441"/>
    <mergeCell ref="A9442:G9442"/>
    <mergeCell ref="A9424:B9424"/>
    <mergeCell ref="F9424:G9424"/>
    <mergeCell ref="A9425:B9425"/>
    <mergeCell ref="A9497:B9497"/>
    <mergeCell ref="F9497:G9497"/>
    <mergeCell ref="A9498:B9498"/>
    <mergeCell ref="F9498:G9498"/>
    <mergeCell ref="A9499:B9499"/>
    <mergeCell ref="F9499:G9499"/>
    <mergeCell ref="A9500:G9500"/>
    <mergeCell ref="A9502:D9502"/>
    <mergeCell ref="F9507:G9507"/>
    <mergeCell ref="A9486:B9486"/>
    <mergeCell ref="F9486:G9486"/>
    <mergeCell ref="A9487:B9487"/>
    <mergeCell ref="F9487:G9487"/>
    <mergeCell ref="A9488:B9488"/>
    <mergeCell ref="F9488:G9488"/>
    <mergeCell ref="A9489:B9489"/>
    <mergeCell ref="F9489:G9489"/>
    <mergeCell ref="A9490:G9490"/>
    <mergeCell ref="A9491:H9491"/>
    <mergeCell ref="A9492:B9492"/>
    <mergeCell ref="F9492:G9492"/>
    <mergeCell ref="A9493:B9493"/>
    <mergeCell ref="F9493:G9493"/>
    <mergeCell ref="A9494:G9494"/>
    <mergeCell ref="A9495:H9495"/>
    <mergeCell ref="A9496:B9496"/>
    <mergeCell ref="F9496:G9496"/>
    <mergeCell ref="A9477:B9477"/>
    <mergeCell ref="F9477:G9477"/>
    <mergeCell ref="A9478:B9478"/>
    <mergeCell ref="F9478:G9478"/>
    <mergeCell ref="A9479:B9479"/>
    <mergeCell ref="F9479:G9479"/>
    <mergeCell ref="A9480:B9480"/>
    <mergeCell ref="F9480:G9480"/>
    <mergeCell ref="A9481:B9481"/>
    <mergeCell ref="F9481:G9481"/>
    <mergeCell ref="A9482:B9482"/>
    <mergeCell ref="F9482:G9482"/>
    <mergeCell ref="A9483:B9483"/>
    <mergeCell ref="F9483:G9483"/>
    <mergeCell ref="A9484:B9484"/>
    <mergeCell ref="F9484:G9484"/>
    <mergeCell ref="A9485:B9485"/>
    <mergeCell ref="F9485:G9485"/>
  </mergeCells>
  <pageMargins left="0.7" right="0.7" top="0.75" bottom="0.75" header="0.3" footer="0.3"/>
  <pageSetup scale="68" orientation="portrait" r:id="rId1"/>
  <rowBreaks count="2" manualBreakCount="2">
    <brk id="1283" max="7" man="1"/>
    <brk id="4248" max="7" man="1"/>
  </rowBreaks>
  <drawing r:id="rId2"/>
  <legacyDrawing r:id="rId3"/>
  <controls>
    <mc:AlternateContent xmlns:mc="http://schemas.openxmlformats.org/markup-compatibility/2006">
      <mc:Choice Requires="x14">
        <control shapeId="2051" r:id="rId4" name="Tempcombo">
          <controlPr defaultSize="0" autoLine="0" r:id="rId5">
            <anchor moveWithCells="1">
              <from>
                <xdr:col>0</xdr:col>
                <xdr:colOff>0</xdr:colOff>
                <xdr:row>8572</xdr:row>
                <xdr:rowOff>0</xdr:rowOff>
              </from>
              <to>
                <xdr:col>3</xdr:col>
                <xdr:colOff>60960</xdr:colOff>
                <xdr:row>8573</xdr:row>
                <xdr:rowOff>60960</xdr:rowOff>
              </to>
            </anchor>
          </controlPr>
        </control>
      </mc:Choice>
      <mc:Fallback>
        <control shapeId="2051" r:id="rId4" name="Tempcombo"/>
      </mc:Fallback>
    </mc:AlternateContent>
  </controls>
  <extLst>
    <ext xmlns:x14="http://schemas.microsoft.com/office/spreadsheetml/2009/9/main" uri="{CCE6A557-97BC-4b89-ADB6-D9C93CAAB3DF}">
      <x14:dataValidations xmlns:xm="http://schemas.microsoft.com/office/excel/2006/main" count="6">
        <x14:dataValidation type="list" allowBlank="1" showDropDown="1" showInputMessage="1" showErrorMessage="1" xr:uid="{00000000-0002-0000-0200-000001000000}">
          <x14:formula1>
            <xm:f>'Mano Obra'!$B:$B</xm:f>
          </x14:formula1>
          <xm:sqref>A42:B44 A94:B96 A145:B147 A196:B198 A247:B249 A298:B300 A349:B351 A400:B402 A451:B453 A502:B504 A4288:B4290 A4339:B4341 A4390:B4392 A554:B556 A605:B607 A656:B658 A707:B709 A758:B760 A809:B811 A4441:B4443 A4492:B4494 A4544:B4546 A5721:B5723 A5773:B5775 A5825:B5827 A5877:B5879 A5929:B5931 A5981:B5983 A6033:B6035 A6085:B6087 A8070:B8072 A8652:B8654 A8817:B8819 A8869:B8871 A8707:B8709 A861:B863 A1120:B1122 A912:B914 A963:B965 A1014:B1016 A1065:B1067 A1171:B1173 A1222:B1224 A1273:B1275 A1324:B1326 A1375:B1377 A1426:B1428 A1477:B1479 A1528:B1530 A1579:B1581 A1630:B1632 A1681:B1683 A1733:B1735 A1784:B1786 A4595:B4597 A4646:B4648 A4697:B4699 A6137:B6139 A6188:B6190 A6240:B6242 A6292:B6294 A6344:B6346 A8976:B8978 A9028:B9030 A9080:B9082 A9133:B9135 A9185:B9187 A9237:B9239 A1835:B1837 A1886:B1888 A1937:B1939 A1988:B1990 A2039:B2041 A2090:B2092 A2141:B2143 A2192:B2194 A2244:B2246 A8921:B8923 A8117:B8119 A8164:B8166 A2295:B2297 A2346:B2348 A2397:B2399 A2448:B2450 A4748:B4750 A4799:B4801 A4850:B4852 A6396:B6398 A6448:B6450 A6500:B6502 A8219:B8221 A8274:B8276 A8329:B8331 A2499:B2501 A2550:B2552 A4901:B4903 A4952:B4954 A6552:B6554 A6605:B6607 A5003:B5005 A5054:B5056 A2601:B2603 A5156:B5158 A5207:B5209 A5258:B5260 A2652:B2654 A2703:B2705 A2754:B2756 A2805:B2807 A2856:B2858 A2907:B2909 A2958:B2960 A3009:B3011 A3060:B3062 A3111:B3113 A3162:B3164 A3213:B3215 A3264:B3266 A3315:B3317 A5310:B5312 A5361:B5363 A6657:B6659 A6709:B6711 A3366:B3368 A3417:B3419 A3468:B3470 A8384:B8386 A3519:B3521 A3570:B3572 A5412:B5414 A5463:B5465 A5515:B5517 A7441:B7443 A7493:B7495 A6761:B6763 A6813:B6815 A6865:B6867 A6917:B6919 A6969:B6971 A7021:B7023 A7073:B7075 A7125:B7127 A7177:B7179 A7229:B7231 A7281:B7283 A7388:B7390 A9289:B9291 A3621:B3623 A3672:B3674 A3723:B3725 A3774:B3776 A8439:B8441 A8494:B8496 A8762:B8764 A5566:B5568 A3825:B3827 A3876:B3878 A5617:B5619 A7333:B7335 A3927:B3929 A9341:B9343 A9393:B9395 A9445:B9447 A9497:B9499 A3978:B3980 A4029:B4031 A4080:B4082 A4131:B4133 A4182:B4184 A4233:B4235 A5668:B5670 A7546:B7548 A7599:B7601 A7651:B7653 A7703:B7705 A7755:B7757 A7807:B7809 A7859:B7861 A7911:B7913 A7963:B7965 A8015:B8017 A9549:B9551 A8549:B8551 A8596:B8598</xm:sqref>
        </x14:dataValidation>
        <x14:dataValidation type="list" allowBlank="1" showDropDown="1" showInputMessage="1" showErrorMessage="1" xr:uid="{00000000-0002-0000-0200-000002000000}">
          <x14:formula1>
            <xm:f>'C:\Users\anavarro\Desktop\AGM Desarrollos\Construccion\Ucaps\Mompox\[PROPUESTA UCAPS MOMPOX-2.xlsm]Materiales '!#REF!</xm:f>
          </x14:formula1>
          <xm:sqref>A5084:B5097</xm:sqref>
        </x14:dataValidation>
        <x14:dataValidation type="list" allowBlank="1" showDropDown="1" showInputMessage="1" showErrorMessage="1" xr:uid="{00000000-0002-0000-0200-000003000000}">
          <x14:formula1>
            <xm:f>'C:\Users\anavarro\Desktop\AGM Desarrollos\Construccion\Ucaps\Mompox\[PROPUESTA UCAPS MOMPOX-2.xlsm]Mano Obra'!#REF!</xm:f>
          </x14:formula1>
          <xm:sqref>A5105:B5107</xm:sqref>
        </x14:dataValidation>
        <x14:dataValidation type="list" allowBlank="1" showDropDown="1" showInputMessage="1" showErrorMessage="1" xr:uid="{00000000-0002-0000-0200-000004000000}">
          <x14:formula1>
            <xm:f>'C:\Users\anavarro\Desktop\AGM Desarrollos\Construccion\Ucaps\Mompox\[PROPUESTA UCAPS MOMPOX-2.xlsm]Equip, Herr y Transp'!#REF!</xm:f>
          </x14:formula1>
          <xm:sqref>A5101:B5101 A5078:C5080</xm:sqref>
        </x14:dataValidation>
        <x14:dataValidation type="list" allowBlank="1" showDropDown="1" showInputMessage="1" showErrorMessage="1" xr:uid="{00000000-0002-0000-0200-000005000000}">
          <x14:formula1>
            <xm:f>'Materiales '!$C:$C</xm:f>
          </x14:formula1>
          <xm:sqref>A21:B34 A8525:B8541 A7525:B7538 A4110:B4123 A4059:B4072 A4008:B4021 A3957:B3970 A9476:B9489 A9424:B9437 A9372:B9385 A9320:B9333 A5596:B5609 A3855:B3868 A3804:B3817 A8470:B8486 A8415:B8431 A3600:B3613 A7260:B7273 A7208:B7221 A7156:B7169 A7104:B7117 A7052:B7065 A6792:B6805 A5494:B5507 A5442:B5455 A5391:B5404 A3549:B3562 A3498:B3511 A8360:B8376 A3447:B3460 A3243:B3256 A3192:B3205 A3141:B3154 A3090:B3103 A3039:B3052 A2988:B3001 A2937:B2950 A2886:B2899 A2835:B2848 A2784:B2797 A2733:B2746 A2682:B2695 A2631:B2644 A5186:B5199 A5135:B5148 A2580:B2593 A5033:B5046 A4982:B4995 A6584:B6597 A6531:B6544 A4880:B4893 A2529:B2542 A2478:B2491 A4829:B4842 A4778:B4791 A4727:B4740 A8148:B8156 A8101:B8109 A8900:B8913 A2223:B2236 A2171:B2184 A2120:B2133 A2018:B2031 A1967:B1980 A1916:B1929 A1865:B1878 A9164:B9177 A8955:B8968 A6323:B6336 A6167:B6180 A6116:B6129 A4625:B4638 A8683:B8699 A8848:B8861 A8796:B8809 A8628:B8644 A8046:B8062 A6064:B6077 A6012:B6025 A5960:B5973 A5908:B5921 A5856:B5869 A5752:B5765 A5700:B5713 A4523:B4536 A635:B648 A584:B597 A4369:B4382 A4318:B4331 A73:B86 A124:B137 A175:B188 A226:B239 A277:B290 A328:B341 A379:B392 A430:B443 A481:B494 A4267:B4280 A533:B546 A686:B699 A737:B750 A788:B801 A4420:B4433 A4471:B4484 A5804:B5817 A840:B853 A1099:B1112 A891:B904 A942:B955 A993:B1006 A1044:B1057 A1150:B1163 A1201:B1214 A1252:B1265 A1303:B1316 A1354:B1367 A1405:B1418 A1456:B1469 A1507:B1520 A1558:B1571 A1609:B1622 A1660:B1673 A1712:B1725 A1763:B1776 A4574:B4587 A4676:B4689 A6219:B6232 A6271:B6284 A9007:B9020 A9059:B9072 A9112:B9125 A9216:B9229 A1814:B1827 A2069:B2082 A2274:B2287 A2325:B2338 A2376:B2389 A2427:B2440 A6375:B6388 A6427:B6440 A6479:B6492 A8195:B8211 A8250:B8266 A8305:B8321 A4931:B4944 A5237:B5250 A3294:B3307 A5289:B5302 A5340:B5353 A6636:B6649 A6688:B6701 A3345:B3358 A3396:B3409 A7420:B7433 A7472:B7485 A6740:B6753 A6844:B6857 A6896:B6909 A6948:B6961 A7000:B7013 A7367:B7380 A9268:B9281 A3651:B3664 A3702:B3715 A3753:B3766 A8738:B8754 A5545:B5558 A7312:B7325 A3906:B3919 A4161:B4174 A4212:B4225 A5647:B5660 A7578:B7591 A7630:B7643 A7682:B7695 A7734:B7747 A7786:B7799 A7838:B7851 A7890:B7903 A7942:B7955 A7994:B8007 A9528:B9541 A8580:B8588</xm:sqref>
        </x14:dataValidation>
        <x14:dataValidation type="list" allowBlank="1" showDropDown="1" showInputMessage="1" showErrorMessage="1" xr:uid="{00000000-0002-0000-0200-000000000000}">
          <x14:formula1>
            <xm:f>'Equip, Herr y Transp'!$B:$B</xm:f>
          </x14:formula1>
          <xm:sqref>A38:B38 A8573:C8576 A8592:B8592 A8518:C8521 A8545:B8545 A9521:C9524 A9545:B9545 A7987:C7990 A8011:B8011 A7935:C7938 A7959:B7959 A7883:C7886 A7907:B7907 A7831:C7834 A7855:B7855 A7779:C7782 A7803:B7803 A7727:C7730 A7751:B7751 A7675:C7678 A7699:B7699 A7623:C7626 A7647:B7647 A7571:C7574 A7595:B7595 A7518:C7521 A7542:B7542 A5641:C5643 A5664:B5664 A4206:C4208 A4229:B4229 A4155:C4157 A4178:B4178 A4104:C4106 A4127:B4127 A4053:C4055 A4076:B4076 A4002:C4004 A4025:B4025 A3951:C3953 A3974:B3974 A9469:C9472 A9493:B9493 A9417:C9420 A9441:B9441 A9365:C9368 A9389:B9389 A9313:C9316 A9337:B9337 A3900:C3902 A3923:B3923 A7305:C7308 A7329:B7329 A5590:C5592 A5613:B5613 A3849:C3851 A3872:B3872 A3798:C3800 A3821:B3821 A5539:C5541 A5562:B5562 A8731:C8734 A8758:B8758 A8463:C8466 A8490:B8490 A8408:C8411 A8435:B8435 A3747:C3749 A3770:B3770 A3696:C3698 A3719:B3719 A3645:C3647 A3668:B3668 A3594:C3596 A3617:B3617 A9261:C9264 A9285:B9285 A7360:C7363 A7384:B7384 A7253:C7256 A7277:B7277 A7201:C7204 A7225:B7225 A7149:C7152 A7173:B7173 A7097:C7100 A7121:B7121 A7045:C7048 A7069:B7069 A6993:C6996 A7017:B7017 A6941:C6944 A6965:B6965 A6889:C6892 A6913:B6913 A6837:C6840 A6861:B6861 A6785:C6788 A6809:B6809 A6733:C6736 A6757:B6757 A7465:C7468 A7489:B7489 A7413:C7416 A7437:B7437 A5488:C5490 A5511:B5511 A5436:C5438 A5459:B5459 A5385:C5387 A5408:B5408 A3543:C3545 A3566:B3566 A3492:C3494 A3515:B3515 A8353:C8356 A8380:B8380 A3441:C3443 A3464:B3464 A3390:C3392 A3413:B3413 A3339:C3341 A3362:B3362 A6681:C6684 A6705:B6705 A6629:C6632 A6653:B6653 A5334:C5336 A5357:B5357 A5283:C5285 A5306:B5306 A3288:C3290 A3311:B3311 A3237:C3239 A3260:B3260 A3186:C3188 A3209:B3209 A3135:C3137 A3158:B3158 A3084:C3086 A3107:B3107 A3033:C3035 A3056:B3056 A2982:C2984 A3005:B3005 A2931:C2933 A2954:B2954 A2880:C2882 A2903:B2903 A2829:C2831 A2852:B2852 A2778:C2780 A2801:B2801 A2727:C2729 A2750:B2750 A2676:C2678 A2699:B2699 A2625:C2627 A2648:B2648 A5231:C5233 A5254:B5254 A5180:C5182 A5203:B5203 A5129:C5131 A5152:B5152 A2574:C2576 A2597:B2597 A5027:C5029 A5050:B5050 A4976:C4978 A4999:B4999 A6577:C6580 A6601:B6601 A6524:C6527 A6548:B6548 A4925:C4927 A4948:B4948 A4874:C4876 A4897:B4897 A2523:C2525 A2546:B2546 A2472:C2474 A2495:B2495 A8298:C8301 A8325:B8325 A8243:C8246 A8270:B8270 A8188:C8191 A8215:B8215 A6472:C6475 A6496:B6496 A6420:C6423 A6444:B6444 A6368:C6371 A6392:B6392 A4823:C4825 A4846:B4846 A4772:C4774 A4795:B4795 A4721:C4723 A4744:B4744 A2421:C2423 A2444:B2444 A2370:C2372 A2393:B2393 A2319:C2321 A2342:B2342 A2268:C2270 A2291:B2291 A8141:C8144 A8160:B8160 A8094:C8097 A8113:B8113 A8893:C8896 A8917:B8917 A2217:C2219 A2240:B2240 A2165:C2167 A2188:B2188 A2114:C2116 A2137:B2137 A2063:C2065 A2086:B2086 A2012:C2014 A2035:B2035 A1961:C1963 A1984:B1984 A1910:C1912 A1933:B1933 A1859:C1861 A1882:B1882 A1808:C1810 A1831:B1831 A9209:C9212 A9233:B9233 A9157:C9160 A9181:B9181 A9105:C9108 A9129:B9129 A9052:C9055 A9076:B9076 A9000:C9003 A9024:B9024 A8948:C8951 A8972:B8972 A6316:C6319 A6340:B6340 A6264:C6267 A6288:B6288 A6212:C6215 A6236:B6236 A6160:C6163 A6184:B6184 A6109:C6112 A6133:B6133 A4670:C4672 A4693:B4693 A4619:C4621 A4642:B4642 A4568:C4570 A4591:B4591 A1757:C1759 A1780:B1780 A1706:C1708 A1729:B1729 A1654:C1656 A1677:B1677 A1603:C1605 A1626:B1626 A1552:C1554 A1575:B1575 A1501:C1503 A1524:B1524 A1450:C1452 A1473:B1473 A1399:C1401 A1422:B1422 A1348:C1350 A1371:B1371 A1297:C1299 A1320:B1320 A1246:C1248 A1269:B1269 A1195:C1197 A1218:B1218 A1144:C1146 A1167:B1167 A1038:C1040 A1061:B1061 A987:C989 A1010:B1010 A936:C938 A959:B959 A885:C887 A908:B908 A1093:C1095 A1116:B1116 A834:C836 A857:B857 A8676:C8679 A8703:B8703 A8841:C8844 A8865:B8865 A8789:C8792 A8813:B8813 A8621:C8624 A8648:B8648 A8039:C8042 A8066:B8066 A6057:C6060 A6081:B6081 A6005:C6008 A6029:B6029 A5953:C5956 A5977:B5977 A5901:C5904 A5925:B5925 A5849:C5852 A5873:B5873 A5797:C5800 A5821:B5821 A5745:C5748 A5769:B5769 A5693:C5696 A5717:B5717 A4517:C4519 A4540:B4540 A4465:C4467 A4488:B4488 A4414:C4416 A4437:B4437 A782:C784 A805:B805 A731:C733 A754:B754 A680:C682 A703:B703 A629:C631 A652:B652 A578:C580 A601:B601 A527:C529 A550:B550 A4363:C4365 A4386:B4386 A4312:C4314 A4335:B4335 A4261:C4263 A4284:B4284 A475:C477 A498:B498 A424:C426 A447:B447 A373:C375 A396:B396 A322:C324 A345:B345 A271:C273 A294:B294 A220:C222 A243:B243 A169:C171 A192:B192 A118:C120 A141:B141 A67:C69 A90:B90 A15:C17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FF0000"/>
  </sheetPr>
  <dimension ref="B1:P396"/>
  <sheetViews>
    <sheetView showGridLines="0" zoomScale="80" zoomScaleNormal="80" workbookViewId="0">
      <pane ySplit="1" topLeftCell="A2" activePane="bottomLeft" state="frozen"/>
      <selection activeCell="A1696" sqref="A1696:G1696"/>
      <selection pane="bottomLeft" activeCell="P4" sqref="P4"/>
    </sheetView>
  </sheetViews>
  <sheetFormatPr baseColWidth="10" defaultColWidth="11.44140625" defaultRowHeight="14.4"/>
  <cols>
    <col min="1" max="2" width="11.44140625" style="113"/>
    <col min="3" max="3" width="72.88671875" style="277" customWidth="1"/>
    <col min="4" max="4" width="12" style="113" customWidth="1"/>
    <col min="5" max="5" width="12" style="597" customWidth="1"/>
    <col min="6" max="6" width="9.5546875" style="113" customWidth="1"/>
    <col min="7" max="7" width="17.6640625" style="600" customWidth="1"/>
    <col min="8" max="8" width="17.33203125" style="600" customWidth="1"/>
    <col min="9" max="9" width="11.44140625" style="113"/>
    <col min="10" max="10" width="16.5546875" style="600" customWidth="1"/>
    <col min="11" max="11" width="11.44140625" style="600"/>
    <col min="12" max="12" width="15.6640625" style="600" customWidth="1"/>
    <col min="13" max="13" width="18.5546875" style="113" customWidth="1"/>
    <col min="14" max="16384" width="11.44140625" style="113"/>
  </cols>
  <sheetData>
    <row r="1" spans="2:16">
      <c r="B1" s="116" t="s">
        <v>6</v>
      </c>
      <c r="C1" s="116" t="s">
        <v>7</v>
      </c>
      <c r="D1" s="8" t="s">
        <v>4595</v>
      </c>
      <c r="E1" s="594" t="s">
        <v>5013</v>
      </c>
      <c r="F1" s="116" t="s">
        <v>0</v>
      </c>
      <c r="G1" s="598" t="s">
        <v>2</v>
      </c>
      <c r="H1" s="598" t="s">
        <v>4198</v>
      </c>
      <c r="I1" s="116" t="s">
        <v>4199</v>
      </c>
      <c r="J1" s="598" t="s">
        <v>4202</v>
      </c>
      <c r="K1" s="598" t="s">
        <v>4200</v>
      </c>
      <c r="L1" s="598" t="s">
        <v>4201</v>
      </c>
      <c r="M1" s="116" t="s">
        <v>4231</v>
      </c>
      <c r="N1" s="116" t="s">
        <v>5010</v>
      </c>
      <c r="O1" s="116" t="s">
        <v>5011</v>
      </c>
      <c r="P1" s="116" t="s">
        <v>5012</v>
      </c>
    </row>
    <row r="2" spans="2:16">
      <c r="B2" s="215" t="s">
        <v>8</v>
      </c>
      <c r="C2" s="217" t="s">
        <v>8</v>
      </c>
      <c r="D2" s="114" t="s">
        <v>8</v>
      </c>
      <c r="E2" s="596"/>
      <c r="F2" s="114" t="s">
        <v>8</v>
      </c>
      <c r="G2" s="599">
        <v>0</v>
      </c>
    </row>
    <row r="3" spans="2:16" ht="15">
      <c r="B3" s="216">
        <v>1</v>
      </c>
      <c r="C3" s="354" t="s">
        <v>4406</v>
      </c>
      <c r="D3" s="355">
        <v>148</v>
      </c>
      <c r="E3" s="595">
        <v>4</v>
      </c>
      <c r="F3" s="1" t="s">
        <v>4127</v>
      </c>
      <c r="G3" s="601">
        <f t="shared" ref="G3:G85" si="0">L3</f>
        <v>2677.5</v>
      </c>
      <c r="H3" s="602">
        <v>2250</v>
      </c>
      <c r="I3" s="115">
        <v>1.19</v>
      </c>
      <c r="J3" s="608">
        <f>I3*H3</f>
        <v>2677.5</v>
      </c>
      <c r="K3" s="602">
        <v>1</v>
      </c>
      <c r="L3" s="602">
        <f t="shared" ref="L3:L82" si="1">K3*J3</f>
        <v>2677.5</v>
      </c>
      <c r="M3" s="113">
        <f ca="1">SUMIF(APU!A:B,'Materiales '!C5,APU!I:I)</f>
        <v>0</v>
      </c>
      <c r="N3" s="593" t="s">
        <v>5014</v>
      </c>
      <c r="O3" s="113" t="str">
        <f>"'"&amp;B3&amp;"', '"&amp;TRIM(UPPER(C3))&amp;"', '"&amp;D3&amp;"', '"&amp;E3&amp;"', '"&amp;G3&amp;"', '"&amp;H3&amp;"', '"&amp;SUBSTITUTE(I3,",",".")&amp;"', '"&amp;J3&amp;"', '"&amp;K3&amp;"', '"&amp;L3&amp;"');"</f>
        <v>'1', 'AISLADOR TIPO CARRETE (ANSI 53-2)', '148', '4', '2677,5', '2250', '1.19', '2677,5', '1', '2677,5');</v>
      </c>
      <c r="P3" s="113" t="str">
        <f>CONCATENATE(N3,O3)</f>
        <v>INSERT INTO materiales_2 (CODIGO, NOMBRE, COD_SIESA, ID_TIPO_UNIDAD, VALOR_UNITARIO, VALOR_COMPRA, IVA, VALOR_REAL, GANANCIA, VALOR_VENDIDO) VALUES ('1', 'AISLADOR TIPO CARRETE (ANSI 53-2)', '148', '4', '2677,5', '2250', '1.19', '2677,5', '1', '2677,5');</v>
      </c>
    </row>
    <row r="4" spans="2:16" ht="15">
      <c r="B4" s="216">
        <f>B3+1</f>
        <v>2</v>
      </c>
      <c r="C4" s="354" t="s">
        <v>4407</v>
      </c>
      <c r="D4" s="355">
        <v>151</v>
      </c>
      <c r="E4" s="595">
        <v>4</v>
      </c>
      <c r="F4" s="1" t="s">
        <v>4127</v>
      </c>
      <c r="G4" s="601">
        <f t="shared" si="0"/>
        <v>0</v>
      </c>
      <c r="H4" s="602">
        <v>0</v>
      </c>
      <c r="I4" s="115">
        <v>1.19</v>
      </c>
      <c r="J4" s="608">
        <f t="shared" ref="J4:J83" si="2">I4*H4</f>
        <v>0</v>
      </c>
      <c r="K4" s="602">
        <v>1</v>
      </c>
      <c r="L4" s="602">
        <f t="shared" si="1"/>
        <v>0</v>
      </c>
      <c r="N4" s="593" t="s">
        <v>5014</v>
      </c>
      <c r="O4" s="113" t="str">
        <f t="shared" ref="O4:O67" si="3">"'"&amp;B4&amp;"', '"&amp;TRIM(UPPER(C4))&amp;"', '"&amp;D4&amp;"', '"&amp;E4&amp;"', '"&amp;G4&amp;"', '"&amp;H4&amp;"', '"&amp;SUBSTITUTE(I4,",",".")&amp;"', '"&amp;J4&amp;"', '"&amp;K4&amp;"', '"&amp;L4&amp;"');"</f>
        <v>'2', 'AISLADOR LINE POST 23 KV', '151', '4', '0', '0', '1.19', '0', '1', '0');</v>
      </c>
      <c r="P4" s="113" t="str">
        <f t="shared" ref="P4:P67" si="4">CONCATENATE(N4,O4)</f>
        <v>INSERT INTO materiales_2 (CODIGO, NOMBRE, COD_SIESA, ID_TIPO_UNIDAD, VALOR_UNITARIO, VALOR_COMPRA, IVA, VALOR_REAL, GANANCIA, VALOR_VENDIDO) VALUES ('2', 'AISLADOR LINE POST 23 KV', '151', '4', '0', '0', '1.19', '0', '1', '0');</v>
      </c>
    </row>
    <row r="5" spans="2:16" ht="15">
      <c r="B5" s="216">
        <f t="shared" ref="B5:B87" si="5">B4+1</f>
        <v>3</v>
      </c>
      <c r="C5" s="354" t="s">
        <v>4408</v>
      </c>
      <c r="D5" s="355">
        <v>153</v>
      </c>
      <c r="E5" s="595">
        <v>4</v>
      </c>
      <c r="F5" s="1" t="s">
        <v>4127</v>
      </c>
      <c r="G5" s="601">
        <f t="shared" si="0"/>
        <v>53550</v>
      </c>
      <c r="H5" s="602">
        <v>45000</v>
      </c>
      <c r="I5" s="115">
        <v>1.19</v>
      </c>
      <c r="J5" s="608">
        <f t="shared" si="2"/>
        <v>53550</v>
      </c>
      <c r="K5" s="602">
        <v>1</v>
      </c>
      <c r="L5" s="602">
        <f t="shared" si="1"/>
        <v>53550</v>
      </c>
      <c r="N5" s="593" t="s">
        <v>5014</v>
      </c>
      <c r="O5" s="113" t="str">
        <f t="shared" si="3"/>
        <v>'3', 'AISLADOR SUSPENSIÓN POLIMERICO 15KV', '153', '4', '53550', '45000', '1.19', '53550', '1', '53550');</v>
      </c>
      <c r="P5" s="113" t="str">
        <f t="shared" si="4"/>
        <v>INSERT INTO materiales_2 (CODIGO, NOMBRE, COD_SIESA, ID_TIPO_UNIDAD, VALOR_UNITARIO, VALOR_COMPRA, IVA, VALOR_REAL, GANANCIA, VALOR_VENDIDO) VALUES ('3', 'AISLADOR SUSPENSIÓN POLIMERICO 15KV', '153', '4', '53550', '45000', '1.19', '53550', '1', '53550');</v>
      </c>
    </row>
    <row r="6" spans="2:16" ht="15">
      <c r="B6" s="216">
        <f t="shared" si="5"/>
        <v>4</v>
      </c>
      <c r="C6" s="354" t="s">
        <v>4409</v>
      </c>
      <c r="D6" s="355">
        <v>156</v>
      </c>
      <c r="E6" s="595">
        <v>4</v>
      </c>
      <c r="F6" s="1" t="s">
        <v>4127</v>
      </c>
      <c r="G6" s="601">
        <f t="shared" si="0"/>
        <v>7623.1399999999994</v>
      </c>
      <c r="H6" s="602">
        <v>6406</v>
      </c>
      <c r="I6" s="115">
        <v>1.19</v>
      </c>
      <c r="J6" s="608">
        <f t="shared" si="2"/>
        <v>7623.1399999999994</v>
      </c>
      <c r="K6" s="602">
        <v>1</v>
      </c>
      <c r="L6" s="602">
        <f t="shared" si="1"/>
        <v>7623.1399999999994</v>
      </c>
      <c r="M6" s="113">
        <f ca="1">SUMIF(APU!A:B,'Materiales '!C10,APU!I:I)</f>
        <v>0</v>
      </c>
      <c r="N6" s="593" t="s">
        <v>5014</v>
      </c>
      <c r="O6" s="113" t="str">
        <f t="shared" si="3"/>
        <v>'4', 'AISLADOR TENSOR 3/8', '156', '4', '7623,14', '6406', '1.19', '7623,14', '1', '7623,14');</v>
      </c>
      <c r="P6" s="113" t="str">
        <f t="shared" si="4"/>
        <v>INSERT INTO materiales_2 (CODIGO, NOMBRE, COD_SIESA, ID_TIPO_UNIDAD, VALOR_UNITARIO, VALOR_COMPRA, IVA, VALOR_REAL, GANANCIA, VALOR_VENDIDO) VALUES ('4', 'AISLADOR TENSOR 3/8', '156', '4', '7623,14', '6406', '1.19', '7623,14', '1', '7623,14');</v>
      </c>
    </row>
    <row r="7" spans="2:16" ht="15">
      <c r="B7" s="216">
        <f t="shared" si="5"/>
        <v>5</v>
      </c>
      <c r="C7" s="356" t="s">
        <v>4410</v>
      </c>
      <c r="D7" s="355">
        <v>10165</v>
      </c>
      <c r="E7" s="595">
        <v>4</v>
      </c>
      <c r="F7" s="1" t="s">
        <v>4127</v>
      </c>
      <c r="G7" s="601">
        <f t="shared" si="0"/>
        <v>0</v>
      </c>
      <c r="H7" s="602">
        <v>0</v>
      </c>
      <c r="I7" s="115">
        <v>1.19</v>
      </c>
      <c r="J7" s="608">
        <f t="shared" si="2"/>
        <v>0</v>
      </c>
      <c r="K7" s="602">
        <v>1</v>
      </c>
      <c r="L7" s="602">
        <f t="shared" si="1"/>
        <v>0</v>
      </c>
      <c r="M7" s="113">
        <f ca="1">SUMIF(APU!A:B,'Materiales '!C6,APU!I:I)</f>
        <v>0</v>
      </c>
      <c r="N7" s="593" t="s">
        <v>5014</v>
      </c>
      <c r="O7" s="113" t="str">
        <f t="shared" si="3"/>
        <v>'5', 'ALAMBRE ACERO GALVANIZADO 10 GRADO COMUN', '10165', '4', '0', '0', '1.19', '0', '1', '0');</v>
      </c>
      <c r="P7" s="113" t="str">
        <f t="shared" si="4"/>
        <v>INSERT INTO materiales_2 (CODIGO, NOMBRE, COD_SIESA, ID_TIPO_UNIDAD, VALOR_UNITARIO, VALOR_COMPRA, IVA, VALOR_REAL, GANANCIA, VALOR_VENDIDO) VALUES ('5', 'ALAMBRE ACERO GALVANIZADO 10 GRADO COMUN', '10165', '4', '0', '0', '1.19', '0', '1', '0');</v>
      </c>
    </row>
    <row r="8" spans="2:16" ht="15">
      <c r="B8" s="216">
        <f t="shared" si="5"/>
        <v>6</v>
      </c>
      <c r="C8" s="356" t="s">
        <v>4411</v>
      </c>
      <c r="D8" s="355">
        <v>176</v>
      </c>
      <c r="E8" s="595">
        <v>4</v>
      </c>
      <c r="F8" s="1" t="s">
        <v>4127</v>
      </c>
      <c r="G8" s="601">
        <f t="shared" si="0"/>
        <v>0</v>
      </c>
      <c r="H8" s="602">
        <v>0</v>
      </c>
      <c r="I8" s="115">
        <v>1.19</v>
      </c>
      <c r="J8" s="608">
        <f t="shared" si="2"/>
        <v>0</v>
      </c>
      <c r="K8" s="602">
        <v>1</v>
      </c>
      <c r="L8" s="602">
        <f t="shared" si="1"/>
        <v>0</v>
      </c>
      <c r="M8" s="113">
        <f ca="1">SUMIF(APU!A:B,'Materiales '!C8,APU!I:I)</f>
        <v>0</v>
      </c>
      <c r="N8" s="593" t="s">
        <v>5014</v>
      </c>
      <c r="O8" s="113" t="str">
        <f t="shared" si="3"/>
        <v>'6', 'ALAMBRE ALUMINIO AISLADO # 8', '176', '4', '0', '0', '1.19', '0', '1', '0');</v>
      </c>
      <c r="P8" s="113" t="str">
        <f t="shared" si="4"/>
        <v>INSERT INTO materiales_2 (CODIGO, NOMBRE, COD_SIESA, ID_TIPO_UNIDAD, VALOR_UNITARIO, VALOR_COMPRA, IVA, VALOR_REAL, GANANCIA, VALOR_VENDIDO) VALUES ('6', 'ALAMBRE ALUMINIO AISLADO # 8', '176', '4', '0', '0', '1.19', '0', '1', '0');</v>
      </c>
    </row>
    <row r="9" spans="2:16" ht="15">
      <c r="B9" s="216">
        <f t="shared" si="5"/>
        <v>7</v>
      </c>
      <c r="C9" s="356" t="s">
        <v>4412</v>
      </c>
      <c r="D9" s="355">
        <v>9614</v>
      </c>
      <c r="E9" s="595">
        <v>4</v>
      </c>
      <c r="F9" s="1" t="s">
        <v>4127</v>
      </c>
      <c r="G9" s="601">
        <f t="shared" si="0"/>
        <v>1904</v>
      </c>
      <c r="H9" s="602">
        <v>1600</v>
      </c>
      <c r="I9" s="115">
        <v>1.19</v>
      </c>
      <c r="J9" s="608">
        <f t="shared" si="2"/>
        <v>1904</v>
      </c>
      <c r="K9" s="602">
        <v>1</v>
      </c>
      <c r="L9" s="602">
        <f t="shared" si="1"/>
        <v>1904</v>
      </c>
      <c r="M9" s="113">
        <f ca="1">SUMIF(APU!A:B,'Materiales '!C9,APU!I:I)</f>
        <v>0</v>
      </c>
      <c r="N9" s="593" t="s">
        <v>5014</v>
      </c>
      <c r="O9" s="113" t="str">
        <f t="shared" si="3"/>
        <v>'7', 'ALAMBRE ALUMINIO AISLADO # 6', '9614', '4', '1904', '1600', '1.19', '1904', '1', '1904');</v>
      </c>
      <c r="P9" s="113" t="str">
        <f t="shared" si="4"/>
        <v>INSERT INTO materiales_2 (CODIGO, NOMBRE, COD_SIESA, ID_TIPO_UNIDAD, VALOR_UNITARIO, VALOR_COMPRA, IVA, VALOR_REAL, GANANCIA, VALOR_VENDIDO) VALUES ('7', 'ALAMBRE ALUMINIO AISLADO # 6', '9614', '4', '1904', '1600', '1.19', '1904', '1', '1904');</v>
      </c>
    </row>
    <row r="10" spans="2:16" ht="15">
      <c r="B10" s="216">
        <f t="shared" si="5"/>
        <v>8</v>
      </c>
      <c r="C10" s="356" t="s">
        <v>4413</v>
      </c>
      <c r="D10" s="355">
        <v>8809</v>
      </c>
      <c r="E10" s="595">
        <v>4</v>
      </c>
      <c r="F10" s="1" t="s">
        <v>4127</v>
      </c>
      <c r="G10" s="601">
        <f t="shared" si="0"/>
        <v>55.001799999999996</v>
      </c>
      <c r="H10" s="602">
        <v>46.22</v>
      </c>
      <c r="I10" s="115">
        <v>1.19</v>
      </c>
      <c r="J10" s="608">
        <f t="shared" si="2"/>
        <v>55.001799999999996</v>
      </c>
      <c r="K10" s="602">
        <v>1</v>
      </c>
      <c r="L10" s="602">
        <f t="shared" si="1"/>
        <v>55.001799999999996</v>
      </c>
      <c r="M10" s="113">
        <f ca="1">SUMIF(APU!A:B,'Materiales '!C7,APU!I:I)</f>
        <v>0</v>
      </c>
      <c r="N10" s="593" t="s">
        <v>5014</v>
      </c>
      <c r="O10" s="113" t="str">
        <f t="shared" si="3"/>
        <v>'8', 'AMARRA PLASTICA DE 100 MM', '8809', '4', '55,0018', '46,22', '1.19', '55,0018', '1', '55,0018');</v>
      </c>
      <c r="P10" s="113" t="str">
        <f t="shared" si="4"/>
        <v>INSERT INTO materiales_2 (CODIGO, NOMBRE, COD_SIESA, ID_TIPO_UNIDAD, VALOR_UNITARIO, VALOR_COMPRA, IVA, VALOR_REAL, GANANCIA, VALOR_VENDIDO) VALUES ('8', 'AMARRA PLASTICA DE 100 MM', '8809', '4', '55,0018', '46,22', '1.19', '55,0018', '1', '55,0018');</v>
      </c>
    </row>
    <row r="11" spans="2:16" ht="15">
      <c r="B11" s="216">
        <f t="shared" si="5"/>
        <v>9</v>
      </c>
      <c r="C11" s="356" t="s">
        <v>4414</v>
      </c>
      <c r="D11" s="355">
        <v>9647</v>
      </c>
      <c r="E11" s="595">
        <v>4</v>
      </c>
      <c r="F11" s="1" t="s">
        <v>4127</v>
      </c>
      <c r="G11" s="601">
        <f t="shared" si="0"/>
        <v>80.92</v>
      </c>
      <c r="H11" s="602">
        <v>68</v>
      </c>
      <c r="I11" s="115">
        <v>1.19</v>
      </c>
      <c r="J11" s="608">
        <f t="shared" si="2"/>
        <v>80.92</v>
      </c>
      <c r="K11" s="602">
        <v>1</v>
      </c>
      <c r="L11" s="602">
        <f t="shared" si="1"/>
        <v>80.92</v>
      </c>
      <c r="M11" s="113">
        <f ca="1">SUMIF(APU!A:B,'Materiales '!C11,APU!I:I)</f>
        <v>0</v>
      </c>
      <c r="N11" s="593" t="s">
        <v>5014</v>
      </c>
      <c r="O11" s="113" t="str">
        <f t="shared" si="3"/>
        <v>'9', 'AMARRA PLASTICA DE 200 MM', '9647', '4', '80,92', '68', '1.19', '80,92', '1', '80,92');</v>
      </c>
      <c r="P11" s="113" t="str">
        <f t="shared" si="4"/>
        <v>INSERT INTO materiales_2 (CODIGO, NOMBRE, COD_SIESA, ID_TIPO_UNIDAD, VALOR_UNITARIO, VALOR_COMPRA, IVA, VALOR_REAL, GANANCIA, VALOR_VENDIDO) VALUES ('9', 'AMARRA PLASTICA DE 200 MM', '9647', '4', '80,92', '68', '1.19', '80,92', '1', '80,92');</v>
      </c>
    </row>
    <row r="12" spans="2:16" ht="15">
      <c r="B12" s="216">
        <f t="shared" si="5"/>
        <v>10</v>
      </c>
      <c r="C12" s="356" t="s">
        <v>4415</v>
      </c>
      <c r="D12" s="355">
        <v>8808</v>
      </c>
      <c r="E12" s="595">
        <v>4</v>
      </c>
      <c r="F12" s="1" t="s">
        <v>4127</v>
      </c>
      <c r="G12" s="601">
        <f t="shared" si="0"/>
        <v>97.496700000000004</v>
      </c>
      <c r="H12" s="602">
        <v>81.93</v>
      </c>
      <c r="I12" s="115">
        <v>1.19</v>
      </c>
      <c r="J12" s="608">
        <f t="shared" si="2"/>
        <v>97.496700000000004</v>
      </c>
      <c r="K12" s="602">
        <v>1</v>
      </c>
      <c r="L12" s="602">
        <f t="shared" si="1"/>
        <v>97.496700000000004</v>
      </c>
      <c r="M12" s="113">
        <f ca="1">SUMIF(APU!A:B,'Materiales '!C12,APU!I:I)</f>
        <v>0</v>
      </c>
      <c r="N12" s="593" t="s">
        <v>5014</v>
      </c>
      <c r="O12" s="113" t="str">
        <f t="shared" si="3"/>
        <v>'10', 'AMARRA PLASTICA DE 300 MM', '8808', '4', '97,4967', '81,93', '1.19', '97,4967', '1', '97,4967');</v>
      </c>
      <c r="P12" s="113" t="str">
        <f t="shared" si="4"/>
        <v>INSERT INTO materiales_2 (CODIGO, NOMBRE, COD_SIESA, ID_TIPO_UNIDAD, VALOR_UNITARIO, VALOR_COMPRA, IVA, VALOR_REAL, GANANCIA, VALOR_VENDIDO) VALUES ('10', 'AMARRA PLASTICA DE 300 MM', '8808', '4', '97,4967', '81,93', '1.19', '97,4967', '1', '97,4967');</v>
      </c>
    </row>
    <row r="13" spans="2:16" ht="15">
      <c r="B13" s="216">
        <f t="shared" si="5"/>
        <v>11</v>
      </c>
      <c r="C13" s="356" t="s">
        <v>4416</v>
      </c>
      <c r="D13" s="355">
        <v>4279</v>
      </c>
      <c r="E13" s="595">
        <v>4</v>
      </c>
      <c r="F13" s="1" t="s">
        <v>4127</v>
      </c>
      <c r="G13" s="601">
        <f t="shared" si="0"/>
        <v>267.47629999999998</v>
      </c>
      <c r="H13" s="602">
        <v>224.77</v>
      </c>
      <c r="I13" s="115">
        <v>1.19</v>
      </c>
      <c r="J13" s="608">
        <f t="shared" si="2"/>
        <v>267.47629999999998</v>
      </c>
      <c r="K13" s="602">
        <v>1</v>
      </c>
      <c r="L13" s="602">
        <f t="shared" si="1"/>
        <v>267.47629999999998</v>
      </c>
      <c r="M13" s="113">
        <f ca="1">SUMIF(APU!A:B,'Materiales '!C13,APU!I:I)</f>
        <v>0</v>
      </c>
      <c r="N13" s="593" t="s">
        <v>5014</v>
      </c>
      <c r="O13" s="113" t="str">
        <f t="shared" si="3"/>
        <v>'11', 'ARANDELA PLANA REDONDA 1/2', '4279', '4', '267,4763', '224,77', '1.19', '267,4763', '1', '267,4763');</v>
      </c>
      <c r="P13" s="113" t="str">
        <f t="shared" si="4"/>
        <v>INSERT INTO materiales_2 (CODIGO, NOMBRE, COD_SIESA, ID_TIPO_UNIDAD, VALOR_UNITARIO, VALOR_COMPRA, IVA, VALOR_REAL, GANANCIA, VALOR_VENDIDO) VALUES ('11', 'ARANDELA PLANA REDONDA 1/2', '4279', '4', '267,4763', '224,77', '1.19', '267,4763', '1', '267,4763');</v>
      </c>
    </row>
    <row r="14" spans="2:16" ht="15">
      <c r="B14" s="216">
        <f t="shared" si="5"/>
        <v>12</v>
      </c>
      <c r="C14" s="356" t="s">
        <v>4417</v>
      </c>
      <c r="D14" s="355">
        <v>4280</v>
      </c>
      <c r="E14" s="595">
        <v>4</v>
      </c>
      <c r="F14" s="1" t="s">
        <v>4127</v>
      </c>
      <c r="G14" s="601">
        <f t="shared" si="0"/>
        <v>178.5</v>
      </c>
      <c r="H14" s="602">
        <v>150</v>
      </c>
      <c r="I14" s="115">
        <v>1.19</v>
      </c>
      <c r="J14" s="608">
        <f t="shared" si="2"/>
        <v>178.5</v>
      </c>
      <c r="K14" s="602">
        <v>1</v>
      </c>
      <c r="L14" s="602">
        <f t="shared" si="1"/>
        <v>178.5</v>
      </c>
      <c r="M14" s="113">
        <f ca="1">SUMIF(APU!A:B,'Materiales '!C14,APU!I:I)</f>
        <v>0</v>
      </c>
      <c r="N14" s="593" t="s">
        <v>5014</v>
      </c>
      <c r="O14" s="113" t="str">
        <f t="shared" si="3"/>
        <v>'12', 'ARANDELA PLANA REDONDA 1/4', '4280', '4', '178,5', '150', '1.19', '178,5', '1', '178,5');</v>
      </c>
      <c r="P14" s="113" t="str">
        <f t="shared" si="4"/>
        <v>INSERT INTO materiales_2 (CODIGO, NOMBRE, COD_SIESA, ID_TIPO_UNIDAD, VALOR_UNITARIO, VALOR_COMPRA, IVA, VALOR_REAL, GANANCIA, VALOR_VENDIDO) VALUES ('12', 'ARANDELA PLANA REDONDA 1/4', '4280', '4', '178,5', '150', '1.19', '178,5', '1', '178,5');</v>
      </c>
    </row>
    <row r="15" spans="2:16" ht="15">
      <c r="B15" s="216">
        <f t="shared" si="5"/>
        <v>13</v>
      </c>
      <c r="C15" s="356" t="s">
        <v>289</v>
      </c>
      <c r="D15" s="355">
        <v>4286</v>
      </c>
      <c r="E15" s="595">
        <v>4</v>
      </c>
      <c r="F15" s="1" t="s">
        <v>4127</v>
      </c>
      <c r="G15" s="601">
        <f t="shared" si="0"/>
        <v>282.7559</v>
      </c>
      <c r="H15" s="602">
        <v>237.61</v>
      </c>
      <c r="I15" s="115">
        <v>1.19</v>
      </c>
      <c r="J15" s="608">
        <f t="shared" si="2"/>
        <v>282.7559</v>
      </c>
      <c r="K15" s="602">
        <v>1</v>
      </c>
      <c r="L15" s="602">
        <f t="shared" si="1"/>
        <v>282.7559</v>
      </c>
      <c r="M15" s="113">
        <f ca="1">SUMIF(APU!A:B,'Materiales '!C15,APU!I:I)</f>
        <v>0</v>
      </c>
      <c r="N15" s="593" t="s">
        <v>5014</v>
      </c>
      <c r="O15" s="113" t="str">
        <f t="shared" si="3"/>
        <v>'13', 'ARANDELA PLANA REDONDA 5/8', '4286', '4', '282,7559', '237,61', '1.19', '282,7559', '1', '282,7559');</v>
      </c>
      <c r="P15" s="113" t="str">
        <f t="shared" si="4"/>
        <v>INSERT INTO materiales_2 (CODIGO, NOMBRE, COD_SIESA, ID_TIPO_UNIDAD, VALOR_UNITARIO, VALOR_COMPRA, IVA, VALOR_REAL, GANANCIA, VALOR_VENDIDO) VALUES ('13', 'ARANDELA PLANA REDONDA 5/8', '4286', '4', '282,7559', '237,61', '1.19', '282,7559', '1', '282,7559');</v>
      </c>
    </row>
    <row r="16" spans="2:16" ht="15">
      <c r="B16" s="216">
        <f t="shared" si="5"/>
        <v>14</v>
      </c>
      <c r="C16" s="356" t="s">
        <v>4418</v>
      </c>
      <c r="D16" s="355">
        <v>288</v>
      </c>
      <c r="E16" s="595">
        <v>4</v>
      </c>
      <c r="F16" s="1" t="s">
        <v>4127</v>
      </c>
      <c r="G16" s="601">
        <f t="shared" si="0"/>
        <v>952</v>
      </c>
      <c r="H16" s="602">
        <v>800</v>
      </c>
      <c r="I16" s="115">
        <v>1.19</v>
      </c>
      <c r="J16" s="608">
        <f t="shared" si="2"/>
        <v>952</v>
      </c>
      <c r="K16" s="602">
        <v>1</v>
      </c>
      <c r="L16" s="602">
        <f t="shared" si="1"/>
        <v>952</v>
      </c>
      <c r="M16" s="113">
        <f ca="1">SUMIF(APU!A:B,'Materiales '!C16,APU!I:I)</f>
        <v>0</v>
      </c>
      <c r="N16" s="593" t="s">
        <v>5014</v>
      </c>
      <c r="O16" s="113" t="str">
        <f t="shared" si="3"/>
        <v>'14', 'ARANDELA PRESION 1/2', '288', '4', '952', '800', '1.19', '952', '1', '952');</v>
      </c>
      <c r="P16" s="113" t="str">
        <f t="shared" si="4"/>
        <v>INSERT INTO materiales_2 (CODIGO, NOMBRE, COD_SIESA, ID_TIPO_UNIDAD, VALOR_UNITARIO, VALOR_COMPRA, IVA, VALOR_REAL, GANANCIA, VALOR_VENDIDO) VALUES ('14', 'ARANDELA PRESION 1/2', '288', '4', '952', '800', '1.19', '952', '1', '952');</v>
      </c>
    </row>
    <row r="17" spans="2:16" ht="15">
      <c r="B17" s="216">
        <f t="shared" si="5"/>
        <v>15</v>
      </c>
      <c r="C17" s="356" t="s">
        <v>4419</v>
      </c>
      <c r="D17" s="355">
        <v>4297</v>
      </c>
      <c r="E17" s="595">
        <v>4</v>
      </c>
      <c r="F17" s="1" t="s">
        <v>4127</v>
      </c>
      <c r="G17" s="601">
        <f t="shared" si="0"/>
        <v>328.97549999999995</v>
      </c>
      <c r="H17" s="602">
        <v>276.45</v>
      </c>
      <c r="I17" s="115">
        <v>1.19</v>
      </c>
      <c r="J17" s="608">
        <f t="shared" si="2"/>
        <v>328.97549999999995</v>
      </c>
      <c r="K17" s="602">
        <v>1</v>
      </c>
      <c r="L17" s="602">
        <f t="shared" si="1"/>
        <v>328.97549999999995</v>
      </c>
      <c r="M17" s="113">
        <f ca="1">SUMIF(APU!A:B,'Materiales '!C17,APU!I:I)</f>
        <v>0</v>
      </c>
      <c r="N17" s="593" t="s">
        <v>5014</v>
      </c>
      <c r="O17" s="113" t="str">
        <f t="shared" si="3"/>
        <v>'15', 'ARANDELA PRESION 5/8', '4297', '4', '328,9755', '276,45', '1.19', '328,9755', '1', '328,9755');</v>
      </c>
      <c r="P17" s="113" t="str">
        <f t="shared" si="4"/>
        <v>INSERT INTO materiales_2 (CODIGO, NOMBRE, COD_SIESA, ID_TIPO_UNIDAD, VALOR_UNITARIO, VALOR_COMPRA, IVA, VALOR_REAL, GANANCIA, VALOR_VENDIDO) VALUES ('15', 'ARANDELA PRESION 5/8', '4297', '4', '328,9755', '276,45', '1.19', '328,9755', '1', '328,9755');</v>
      </c>
    </row>
    <row r="18" spans="2:16" ht="15">
      <c r="B18" s="216">
        <f t="shared" si="5"/>
        <v>16</v>
      </c>
      <c r="C18" s="356" t="s">
        <v>4420</v>
      </c>
      <c r="D18" s="355">
        <v>272</v>
      </c>
      <c r="E18" s="595">
        <v>4</v>
      </c>
      <c r="F18" s="1" t="s">
        <v>4127</v>
      </c>
      <c r="G18" s="601">
        <f t="shared" si="0"/>
        <v>738.99</v>
      </c>
      <c r="H18" s="602">
        <v>621</v>
      </c>
      <c r="I18" s="115">
        <v>1.19</v>
      </c>
      <c r="J18" s="608">
        <f t="shared" si="2"/>
        <v>738.99</v>
      </c>
      <c r="K18" s="602">
        <v>1</v>
      </c>
      <c r="L18" s="602">
        <f t="shared" si="1"/>
        <v>738.99</v>
      </c>
      <c r="M18" s="113">
        <f ca="1">SUMIF(APU!A:B,'Materiales '!C18,APU!I:I)</f>
        <v>0</v>
      </c>
      <c r="N18" s="593" t="s">
        <v>5014</v>
      </c>
      <c r="O18" s="113" t="str">
        <f t="shared" si="3"/>
        <v>'16', 'ARANDELA CUADRADA DE 5/8 X 2 X 2', '272', '4', '738,99', '621', '1.19', '738,99', '1', '738,99');</v>
      </c>
      <c r="P18" s="113" t="str">
        <f t="shared" si="4"/>
        <v>INSERT INTO materiales_2 (CODIGO, NOMBRE, COD_SIESA, ID_TIPO_UNIDAD, VALOR_UNITARIO, VALOR_COMPRA, IVA, VALOR_REAL, GANANCIA, VALOR_VENDIDO) VALUES ('16', 'ARANDELA CUADRADA DE 5/8 X 2 X 2', '272', '4', '738,99', '621', '1.19', '738,99', '1', '738,99');</v>
      </c>
    </row>
    <row r="19" spans="2:16" ht="15">
      <c r="B19" s="216">
        <f t="shared" si="5"/>
        <v>17</v>
      </c>
      <c r="C19" s="356" t="s">
        <v>4421</v>
      </c>
      <c r="D19" s="355">
        <v>276</v>
      </c>
      <c r="E19" s="595">
        <v>4</v>
      </c>
      <c r="F19" s="1" t="s">
        <v>4127</v>
      </c>
      <c r="G19" s="601">
        <f t="shared" si="0"/>
        <v>4320.8899999999994</v>
      </c>
      <c r="H19" s="603">
        <v>3631</v>
      </c>
      <c r="I19" s="115">
        <v>1.19</v>
      </c>
      <c r="J19" s="608">
        <f t="shared" si="2"/>
        <v>4320.8899999999994</v>
      </c>
      <c r="K19" s="602">
        <v>1</v>
      </c>
      <c r="L19" s="602">
        <f t="shared" si="1"/>
        <v>4320.8899999999994</v>
      </c>
      <c r="M19" s="113">
        <f ca="1">SUMIF(APU!A:B,'Materiales '!C19,APU!I:I)</f>
        <v>0</v>
      </c>
      <c r="N19" s="593" t="s">
        <v>5014</v>
      </c>
      <c r="O19" s="113" t="str">
        <f t="shared" si="3"/>
        <v>'17', 'ARANDELA CUADRADA DE 5/8 X 4 X 4', '276', '4', '4320,89', '3631', '1.19', '4320,89', '1', '4320,89');</v>
      </c>
      <c r="P19" s="113" t="str">
        <f t="shared" si="4"/>
        <v>INSERT INTO materiales_2 (CODIGO, NOMBRE, COD_SIESA, ID_TIPO_UNIDAD, VALOR_UNITARIO, VALOR_COMPRA, IVA, VALOR_REAL, GANANCIA, VALOR_VENDIDO) VALUES ('17', 'ARANDELA CUADRADA DE 5/8 X 4 X 4', '276', '4', '4320,89', '3631', '1.19', '4320,89', '1', '4320,89');</v>
      </c>
    </row>
    <row r="20" spans="2:16" ht="15">
      <c r="B20" s="216">
        <f>B16+1</f>
        <v>15</v>
      </c>
      <c r="C20" s="356" t="s">
        <v>4802</v>
      </c>
      <c r="D20" s="355"/>
      <c r="E20" s="595">
        <v>4</v>
      </c>
      <c r="F20" s="1" t="s">
        <v>4127</v>
      </c>
      <c r="G20" s="601">
        <f t="shared" ref="G20" si="6">L20</f>
        <v>216937</v>
      </c>
      <c r="H20" s="602">
        <v>182300</v>
      </c>
      <c r="I20" s="115">
        <v>1.19</v>
      </c>
      <c r="J20" s="608">
        <f t="shared" si="2"/>
        <v>216937</v>
      </c>
      <c r="K20" s="602">
        <v>1</v>
      </c>
      <c r="L20" s="602">
        <f t="shared" si="1"/>
        <v>216937</v>
      </c>
      <c r="M20" s="113">
        <f ca="1">SUMIF(APU!A:B,'Materiales '!C20,APU!I:I)</f>
        <v>0</v>
      </c>
      <c r="N20" s="593" t="s">
        <v>5014</v>
      </c>
      <c r="O20" s="113" t="str">
        <f t="shared" si="3"/>
        <v>'15', 'BALA LED DE PISO 30W', '', '4', '216937', '182300', '1.19', '216937', '1', '216937');</v>
      </c>
      <c r="P20" s="113" t="str">
        <f t="shared" si="4"/>
        <v>INSERT INTO materiales_2 (CODIGO, NOMBRE, COD_SIESA, ID_TIPO_UNIDAD, VALOR_UNITARIO, VALOR_COMPRA, IVA, VALOR_REAL, GANANCIA, VALOR_VENDIDO) VALUES ('15', 'BALA LED DE PISO 30W', '', '4', '216937', '182300', '1.19', '216937', '1', '216937');</v>
      </c>
    </row>
    <row r="21" spans="2:16" ht="15">
      <c r="B21" s="216">
        <f>B17+1</f>
        <v>16</v>
      </c>
      <c r="C21" s="356" t="s">
        <v>4714</v>
      </c>
      <c r="D21" s="355"/>
      <c r="E21" s="595">
        <v>4</v>
      </c>
      <c r="F21" s="1" t="s">
        <v>4127</v>
      </c>
      <c r="G21" s="601">
        <f t="shared" si="0"/>
        <v>196588</v>
      </c>
      <c r="H21" s="602">
        <v>165200</v>
      </c>
      <c r="I21" s="115">
        <v>1.19</v>
      </c>
      <c r="J21" s="608">
        <f t="shared" ref="J21" si="7">I21*H21</f>
        <v>196588</v>
      </c>
      <c r="K21" s="602">
        <v>1</v>
      </c>
      <c r="L21" s="602">
        <f t="shared" ref="L21" si="8">K21*J21</f>
        <v>196588</v>
      </c>
      <c r="M21" s="113">
        <f ca="1">SUMIF(APU!A:B,'Materiales '!C21,APU!I:I)</f>
        <v>0</v>
      </c>
      <c r="N21" s="593" t="s">
        <v>5014</v>
      </c>
      <c r="O21" s="113" t="str">
        <f t="shared" si="3"/>
        <v>'16', 'BALA LED DE PISO 18W', '', '4', '196588', '165200', '1.19', '196588', '1', '196588');</v>
      </c>
      <c r="P21" s="113" t="str">
        <f t="shared" si="4"/>
        <v>INSERT INTO materiales_2 (CODIGO, NOMBRE, COD_SIESA, ID_TIPO_UNIDAD, VALOR_UNITARIO, VALOR_COMPRA, IVA, VALOR_REAL, GANANCIA, VALOR_VENDIDO) VALUES ('16', 'BALA LED DE PISO 18W', '', '4', '196588', '165200', '1.19', '196588', '1', '196588');</v>
      </c>
    </row>
    <row r="22" spans="2:16" ht="15">
      <c r="B22" s="216">
        <f>B18+1</f>
        <v>17</v>
      </c>
      <c r="C22" s="356" t="s">
        <v>4619</v>
      </c>
      <c r="D22" s="355">
        <v>6757</v>
      </c>
      <c r="E22" s="595">
        <v>4</v>
      </c>
      <c r="F22" s="1" t="s">
        <v>4127</v>
      </c>
      <c r="G22" s="601">
        <f t="shared" ref="G22" si="9">L22</f>
        <v>148750</v>
      </c>
      <c r="H22" s="602">
        <v>125000</v>
      </c>
      <c r="I22" s="115">
        <v>1.19</v>
      </c>
      <c r="J22" s="608">
        <f t="shared" si="2"/>
        <v>148750</v>
      </c>
      <c r="K22" s="602">
        <v>1</v>
      </c>
      <c r="L22" s="602">
        <f t="shared" si="1"/>
        <v>148750</v>
      </c>
      <c r="M22" s="113">
        <f ca="1">SUMIF(APU!A:B,'Materiales '!C22,APU!I:I)</f>
        <v>0</v>
      </c>
      <c r="N22" s="593" t="s">
        <v>5014</v>
      </c>
      <c r="O22" s="113" t="str">
        <f t="shared" si="3"/>
        <v>'17', 'BALA LED DE PISO 14W, 1020LM', '6757', '4', '148750', '125000', '1.19', '148750', '1', '148750');</v>
      </c>
      <c r="P22" s="113" t="str">
        <f t="shared" si="4"/>
        <v>INSERT INTO materiales_2 (CODIGO, NOMBRE, COD_SIESA, ID_TIPO_UNIDAD, VALOR_UNITARIO, VALOR_COMPRA, IVA, VALOR_REAL, GANANCIA, VALOR_VENDIDO) VALUES ('17', 'BALA LED DE PISO 14W, 1020LM', '6757', '4', '148750', '125000', '1.19', '148750', '1', '148750');</v>
      </c>
    </row>
    <row r="23" spans="2:16" ht="15">
      <c r="B23" s="216">
        <f>B19+1</f>
        <v>18</v>
      </c>
      <c r="C23" s="356" t="s">
        <v>4422</v>
      </c>
      <c r="D23" s="355">
        <v>372</v>
      </c>
      <c r="E23" s="595">
        <v>4</v>
      </c>
      <c r="F23" s="1" t="s">
        <v>4127</v>
      </c>
      <c r="G23" s="601">
        <f t="shared" si="0"/>
        <v>4879</v>
      </c>
      <c r="H23" s="602">
        <v>4100</v>
      </c>
      <c r="I23" s="115">
        <v>1.19</v>
      </c>
      <c r="J23" s="608">
        <f t="shared" si="2"/>
        <v>4879</v>
      </c>
      <c r="K23" s="602">
        <v>1</v>
      </c>
      <c r="L23" s="602">
        <f t="shared" si="1"/>
        <v>4879</v>
      </c>
      <c r="M23" s="113">
        <f ca="1">SUMIF(APU!A:B,'Materiales '!C23,APU!I:I)</f>
        <v>0</v>
      </c>
      <c r="N23" s="593" t="s">
        <v>5014</v>
      </c>
      <c r="O23" s="113" t="str">
        <f t="shared" si="3"/>
        <v>'18', 'BASE PARA FOTOCELDA CON SOPORTE EN L', '372', '4', '4879', '4100', '1.19', '4879', '1', '4879');</v>
      </c>
      <c r="P23" s="113" t="str">
        <f t="shared" si="4"/>
        <v>INSERT INTO materiales_2 (CODIGO, NOMBRE, COD_SIESA, ID_TIPO_UNIDAD, VALOR_UNITARIO, VALOR_COMPRA, IVA, VALOR_REAL, GANANCIA, VALOR_VENDIDO) VALUES ('18', 'BASE PARA FOTOCELDA CON SOPORTE EN L', '372', '4', '4879', '4100', '1.19', '4879', '1', '4879');</v>
      </c>
    </row>
    <row r="24" spans="2:16" ht="15">
      <c r="B24" s="216">
        <f t="shared" si="5"/>
        <v>19</v>
      </c>
      <c r="C24" s="356" t="s">
        <v>4423</v>
      </c>
      <c r="D24" s="355">
        <v>10267</v>
      </c>
      <c r="E24" s="595">
        <v>4</v>
      </c>
      <c r="F24" s="1" t="s">
        <v>4127</v>
      </c>
      <c r="G24" s="601">
        <f t="shared" si="0"/>
        <v>17850</v>
      </c>
      <c r="H24" s="602">
        <v>15000</v>
      </c>
      <c r="I24" s="115">
        <v>1.19</v>
      </c>
      <c r="J24" s="608">
        <f t="shared" si="2"/>
        <v>17850</v>
      </c>
      <c r="K24" s="602">
        <v>1</v>
      </c>
      <c r="L24" s="602">
        <f t="shared" si="1"/>
        <v>17850</v>
      </c>
      <c r="M24" s="113">
        <f ca="1">SUMIF(APU!A:B,'Materiales '!C24,APU!I:I)</f>
        <v>0</v>
      </c>
      <c r="N24" s="593" t="s">
        <v>5014</v>
      </c>
      <c r="O24" s="113" t="str">
        <f t="shared" si="3"/>
        <v>'19', 'BASE PARA CORTACIRCUITO EN L', '10267', '4', '17850', '15000', '1.19', '17850', '1', '17850');</v>
      </c>
      <c r="P24" s="113" t="str">
        <f t="shared" si="4"/>
        <v>INSERT INTO materiales_2 (CODIGO, NOMBRE, COD_SIESA, ID_TIPO_UNIDAD, VALOR_UNITARIO, VALOR_COMPRA, IVA, VALOR_REAL, GANANCIA, VALOR_VENDIDO) VALUES ('19', 'BASE PARA CORTACIRCUITO EN L', '10267', '4', '17850', '15000', '1.19', '17850', '1', '17850');</v>
      </c>
    </row>
    <row r="25" spans="2:16" ht="15">
      <c r="B25" s="216">
        <f t="shared" si="5"/>
        <v>20</v>
      </c>
      <c r="C25" s="356" t="s">
        <v>4424</v>
      </c>
      <c r="D25" s="355">
        <v>7173</v>
      </c>
      <c r="E25" s="595">
        <v>4</v>
      </c>
      <c r="F25" s="1" t="s">
        <v>4127</v>
      </c>
      <c r="G25" s="601">
        <f t="shared" si="0"/>
        <v>102340</v>
      </c>
      <c r="H25" s="602">
        <v>86000</v>
      </c>
      <c r="I25" s="115">
        <v>1.19</v>
      </c>
      <c r="J25" s="608">
        <f t="shared" si="2"/>
        <v>102340</v>
      </c>
      <c r="K25" s="602">
        <v>1</v>
      </c>
      <c r="L25" s="602">
        <f t="shared" si="1"/>
        <v>102340</v>
      </c>
      <c r="M25" s="113">
        <f ca="1">SUMIF(APU!A:B,'Materiales '!C25,APU!I:I)</f>
        <v>0</v>
      </c>
      <c r="N25" s="593" t="s">
        <v>5014</v>
      </c>
      <c r="O25" s="113" t="str">
        <f t="shared" si="3"/>
        <v>'20', 'BRAZO METALICO GALVANIZADO 1 1/2", ANGULO 52°/0°, 2 METROS, PARA SOPORTE CON COLLARIN.', '7173', '4', '102340', '86000', '1.19', '102340', '1', '102340');</v>
      </c>
      <c r="P25" s="113" t="str">
        <f t="shared" si="4"/>
        <v>INSERT INTO materiales_2 (CODIGO, NOMBRE, COD_SIESA, ID_TIPO_UNIDAD, VALOR_UNITARIO, VALOR_COMPRA, IVA, VALOR_REAL, GANANCIA, VALOR_VENDIDO) VALUES ('20', 'BRAZO METALICO GALVANIZADO 1 1/2", ANGULO 52°/0°, 2 METROS, PARA SOPORTE CON COLLARIN.', '7173', '4', '102340', '86000', '1.19', '102340', '1', '102340');</v>
      </c>
    </row>
    <row r="26" spans="2:16" ht="15">
      <c r="B26" s="216">
        <f t="shared" si="5"/>
        <v>21</v>
      </c>
      <c r="C26" s="356" t="s">
        <v>4425</v>
      </c>
      <c r="D26" s="355">
        <v>7172</v>
      </c>
      <c r="E26" s="595">
        <v>4</v>
      </c>
      <c r="F26" s="1" t="s">
        <v>4127</v>
      </c>
      <c r="G26" s="601">
        <f t="shared" si="0"/>
        <v>77350</v>
      </c>
      <c r="H26" s="602">
        <v>65000</v>
      </c>
      <c r="I26" s="115">
        <v>1.19</v>
      </c>
      <c r="J26" s="608">
        <f t="shared" si="2"/>
        <v>77350</v>
      </c>
      <c r="K26" s="602">
        <v>1</v>
      </c>
      <c r="L26" s="602">
        <f t="shared" si="1"/>
        <v>77350</v>
      </c>
      <c r="M26" s="113">
        <f ca="1">SUMIF(APU!A:B,'Materiales '!C26,APU!I:I)</f>
        <v>0</v>
      </c>
      <c r="N26" s="593" t="s">
        <v>5014</v>
      </c>
      <c r="O26" s="113" t="str">
        <f t="shared" si="3"/>
        <v>'21', 'BRAZO METALICO GALVANIZADO 1 1/2", ANGULO 52°/0°, 1.5 METROS, PARA SOPORTE CON COLLARIN.', '7172', '4', '77350', '65000', '1.19', '77350', '1', '77350');</v>
      </c>
      <c r="P26" s="113" t="str">
        <f t="shared" si="4"/>
        <v>INSERT INTO materiales_2 (CODIGO, NOMBRE, COD_SIESA, ID_TIPO_UNIDAD, VALOR_UNITARIO, VALOR_COMPRA, IVA, VALOR_REAL, GANANCIA, VALOR_VENDIDO) VALUES ('21', 'BRAZO METALICO GALVANIZADO 1 1/2", ANGULO 52°/0°, 1.5 METROS, PARA SOPORTE CON COLLARIN.', '7172', '4', '77350', '65000', '1.19', '77350', '1', '77350');</v>
      </c>
    </row>
    <row r="27" spans="2:16" ht="15">
      <c r="B27" s="216">
        <f t="shared" si="5"/>
        <v>22</v>
      </c>
      <c r="C27" s="356" t="s">
        <v>4426</v>
      </c>
      <c r="D27" s="355">
        <v>10168</v>
      </c>
      <c r="E27" s="595">
        <v>4</v>
      </c>
      <c r="F27" s="1" t="s">
        <v>4127</v>
      </c>
      <c r="G27" s="601">
        <f t="shared" si="0"/>
        <v>77350</v>
      </c>
      <c r="H27" s="602">
        <v>65000</v>
      </c>
      <c r="I27" s="115">
        <v>1.19</v>
      </c>
      <c r="J27" s="608">
        <f t="shared" si="2"/>
        <v>77350</v>
      </c>
      <c r="K27" s="602">
        <v>1</v>
      </c>
      <c r="L27" s="602">
        <f t="shared" si="1"/>
        <v>77350</v>
      </c>
      <c r="M27" s="113">
        <f ca="1">SUMIF(APU!A:B,'Materiales '!C27,APU!I:I)</f>
        <v>0</v>
      </c>
      <c r="N27" s="593" t="s">
        <v>5014</v>
      </c>
      <c r="O27" s="113" t="str">
        <f t="shared" si="3"/>
        <v>'22', 'BLOQUE ANCLAJE DE 400X300X100MM', '10168', '4', '77350', '65000', '1.19', '77350', '1', '77350');</v>
      </c>
      <c r="P27" s="113" t="str">
        <f t="shared" si="4"/>
        <v>INSERT INTO materiales_2 (CODIGO, NOMBRE, COD_SIESA, ID_TIPO_UNIDAD, VALOR_UNITARIO, VALOR_COMPRA, IVA, VALOR_REAL, GANANCIA, VALOR_VENDIDO) VALUES ('22', 'BLOQUE ANCLAJE DE 400X300X100MM', '10168', '4', '77350', '65000', '1.19', '77350', '1', '77350');</v>
      </c>
    </row>
    <row r="28" spans="2:16" ht="15">
      <c r="B28" s="216">
        <f t="shared" si="5"/>
        <v>23</v>
      </c>
      <c r="C28" s="354" t="s">
        <v>4427</v>
      </c>
      <c r="D28" s="355">
        <v>710</v>
      </c>
      <c r="E28" s="595">
        <v>2</v>
      </c>
      <c r="F28" s="1" t="s">
        <v>170</v>
      </c>
      <c r="G28" s="601">
        <f t="shared" si="0"/>
        <v>5372.8499999999995</v>
      </c>
      <c r="H28" s="602">
        <v>4515</v>
      </c>
      <c r="I28" s="115">
        <v>1.19</v>
      </c>
      <c r="J28" s="608">
        <f t="shared" si="2"/>
        <v>5372.8499999999995</v>
      </c>
      <c r="K28" s="602">
        <v>1</v>
      </c>
      <c r="L28" s="602">
        <f t="shared" si="1"/>
        <v>5372.8499999999995</v>
      </c>
      <c r="M28" s="113">
        <f ca="1">SUMIF(APU!A:B,'Materiales '!C28,APU!I:I)</f>
        <v>0</v>
      </c>
      <c r="N28" s="593" t="s">
        <v>5014</v>
      </c>
      <c r="O28" s="113" t="str">
        <f t="shared" si="3"/>
        <v>'23', 'CABLE DE ACERO GALVANIZADO 3/8" EXTRA ALTA RESISTENCIA', '710', '2', '5372,85', '4515', '1.19', '5372,85', '1', '5372,85');</v>
      </c>
      <c r="P28" s="113" t="str">
        <f t="shared" si="4"/>
        <v>INSERT INTO materiales_2 (CODIGO, NOMBRE, COD_SIESA, ID_TIPO_UNIDAD, VALOR_UNITARIO, VALOR_COMPRA, IVA, VALOR_REAL, GANANCIA, VALOR_VENDIDO) VALUES ('23', 'CABLE DE ACERO GALVANIZADO 3/8" EXTRA ALTA RESISTENCIA', '710', '2', '5372,85', '4515', '1.19', '5372,85', '1', '5372,85');</v>
      </c>
    </row>
    <row r="29" spans="2:16" ht="15">
      <c r="B29" s="216">
        <f t="shared" si="5"/>
        <v>24</v>
      </c>
      <c r="C29" s="354" t="s">
        <v>4428</v>
      </c>
      <c r="D29" s="355">
        <v>10169</v>
      </c>
      <c r="E29" s="595">
        <v>2</v>
      </c>
      <c r="F29" s="1" t="s">
        <v>170</v>
      </c>
      <c r="G29" s="601">
        <f t="shared" si="0"/>
        <v>1984.9199999999998</v>
      </c>
      <c r="H29" s="602">
        <v>1668</v>
      </c>
      <c r="I29" s="115">
        <v>1.19</v>
      </c>
      <c r="J29" s="608">
        <f t="shared" si="2"/>
        <v>1984.9199999999998</v>
      </c>
      <c r="K29" s="602">
        <v>1</v>
      </c>
      <c r="L29" s="602">
        <f t="shared" si="1"/>
        <v>1984.9199999999998</v>
      </c>
      <c r="M29" s="113">
        <f ca="1">SUMIF(APU!A:B,'Materiales '!C29,APU!I:I)</f>
        <v>0</v>
      </c>
      <c r="N29" s="593" t="s">
        <v>5014</v>
      </c>
      <c r="O29" s="113" t="str">
        <f t="shared" si="3"/>
        <v>'24', 'CABLE DE ACERO GALVANIZADO 1/4" EXTRA ALTA RESISTENCIA', '10169', '2', '1984,92', '1668', '1.19', '1984,92', '1', '1984,92');</v>
      </c>
      <c r="P29" s="113" t="str">
        <f t="shared" si="4"/>
        <v>INSERT INTO materiales_2 (CODIGO, NOMBRE, COD_SIESA, ID_TIPO_UNIDAD, VALOR_UNITARIO, VALOR_COMPRA, IVA, VALOR_REAL, GANANCIA, VALOR_VENDIDO) VALUES ('24', 'CABLE DE ACERO GALVANIZADO 1/4" EXTRA ALTA RESISTENCIA', '10169', '2', '1984,92', '1668', '1.19', '1984,92', '1', '1984,92');</v>
      </c>
    </row>
    <row r="30" spans="2:16" ht="15">
      <c r="B30" s="216">
        <f t="shared" si="5"/>
        <v>25</v>
      </c>
      <c r="C30" s="354" t="s">
        <v>4429</v>
      </c>
      <c r="D30" s="355">
        <v>6438</v>
      </c>
      <c r="E30" s="595">
        <v>2</v>
      </c>
      <c r="F30" s="1" t="s">
        <v>170</v>
      </c>
      <c r="G30" s="601">
        <f t="shared" si="0"/>
        <v>1487.5</v>
      </c>
      <c r="H30" s="602">
        <v>1250</v>
      </c>
      <c r="I30" s="115">
        <v>1.19</v>
      </c>
      <c r="J30" s="608">
        <f t="shared" si="2"/>
        <v>1487.5</v>
      </c>
      <c r="K30" s="602">
        <v>1</v>
      </c>
      <c r="L30" s="602">
        <f t="shared" si="1"/>
        <v>1487.5</v>
      </c>
      <c r="M30" s="113">
        <f ca="1">SUMIF(APU!A:B,'Materiales '!C30,APU!I:I)</f>
        <v>0</v>
      </c>
      <c r="N30" s="593" t="s">
        <v>5014</v>
      </c>
      <c r="O30" s="113" t="str">
        <f t="shared" si="3"/>
        <v>'25', 'CABLE ACSR 4 AWG', '6438', '2', '1487,5', '1250', '1.19', '1487,5', '1', '1487,5');</v>
      </c>
      <c r="P30" s="113" t="str">
        <f t="shared" si="4"/>
        <v>INSERT INTO materiales_2 (CODIGO, NOMBRE, COD_SIESA, ID_TIPO_UNIDAD, VALOR_UNITARIO, VALOR_COMPRA, IVA, VALOR_REAL, GANANCIA, VALOR_VENDIDO) VALUES ('25', 'CABLE ACSR 4 AWG', '6438', '2', '1487,5', '1250', '1.19', '1487,5', '1', '1487,5');</v>
      </c>
    </row>
    <row r="31" spans="2:16" ht="15">
      <c r="B31" s="216">
        <f t="shared" si="5"/>
        <v>26</v>
      </c>
      <c r="C31" s="354" t="s">
        <v>4430</v>
      </c>
      <c r="D31" s="355">
        <v>662</v>
      </c>
      <c r="E31" s="595">
        <v>2</v>
      </c>
      <c r="F31" s="1" t="s">
        <v>170</v>
      </c>
      <c r="G31" s="601">
        <f t="shared" si="0"/>
        <v>2285.9899999999998</v>
      </c>
      <c r="H31" s="602">
        <v>1921</v>
      </c>
      <c r="I31" s="115">
        <v>1.19</v>
      </c>
      <c r="J31" s="608">
        <f t="shared" si="2"/>
        <v>2285.9899999999998</v>
      </c>
      <c r="K31" s="602">
        <v>1</v>
      </c>
      <c r="L31" s="602">
        <f t="shared" si="1"/>
        <v>2285.9899999999998</v>
      </c>
      <c r="M31" s="113">
        <f ca="1">SUMIF(APU!A:B,'Materiales '!C31,APU!I:I)</f>
        <v>0</v>
      </c>
      <c r="N31" s="593" t="s">
        <v>5014</v>
      </c>
      <c r="O31" s="113" t="str">
        <f t="shared" si="3"/>
        <v>'26', 'CABLE ACSR 2 AWG', '662', '2', '2285,99', '1921', '1.19', '2285,99', '1', '2285,99');</v>
      </c>
      <c r="P31" s="113" t="str">
        <f t="shared" si="4"/>
        <v>INSERT INTO materiales_2 (CODIGO, NOMBRE, COD_SIESA, ID_TIPO_UNIDAD, VALOR_UNITARIO, VALOR_COMPRA, IVA, VALOR_REAL, GANANCIA, VALOR_VENDIDO) VALUES ('26', 'CABLE ACSR 2 AWG', '662', '2', '2285,99', '1921', '1.19', '2285,99', '1', '2285,99');</v>
      </c>
    </row>
    <row r="32" spans="2:16" ht="15">
      <c r="B32" s="216">
        <f t="shared" si="5"/>
        <v>27</v>
      </c>
      <c r="C32" s="354" t="s">
        <v>4431</v>
      </c>
      <c r="D32" s="355">
        <v>10543</v>
      </c>
      <c r="E32" s="595">
        <v>2</v>
      </c>
      <c r="F32" s="1" t="s">
        <v>170</v>
      </c>
      <c r="G32" s="601">
        <f t="shared" si="0"/>
        <v>3300.0722999999998</v>
      </c>
      <c r="H32" s="602">
        <v>2773.17</v>
      </c>
      <c r="I32" s="115">
        <v>1.19</v>
      </c>
      <c r="J32" s="608">
        <f t="shared" si="2"/>
        <v>3300.0722999999998</v>
      </c>
      <c r="K32" s="602">
        <v>1</v>
      </c>
      <c r="L32" s="602">
        <f t="shared" si="1"/>
        <v>3300.0722999999998</v>
      </c>
      <c r="M32" s="113">
        <f ca="1">SUMIF(APU!A:B,'Materiales '!C32,APU!I:I)</f>
        <v>0</v>
      </c>
      <c r="N32" s="593" t="s">
        <v>5014</v>
      </c>
      <c r="O32" s="113" t="str">
        <f t="shared" si="3"/>
        <v>'27', 'CABLE AAAC 1/0 AWG', '10543', '2', '3300,0723', '2773,17', '1.19', '3300,0723', '1', '3300,0723');</v>
      </c>
      <c r="P32" s="113" t="str">
        <f t="shared" si="4"/>
        <v>INSERT INTO materiales_2 (CODIGO, NOMBRE, COD_SIESA, ID_TIPO_UNIDAD, VALOR_UNITARIO, VALOR_COMPRA, IVA, VALOR_REAL, GANANCIA, VALOR_VENDIDO) VALUES ('27', 'CABLE AAAC 1/0 AWG', '10543', '2', '3300,0723', '2773,17', '1.19', '3300,0723', '1', '3300,0723');</v>
      </c>
    </row>
    <row r="33" spans="2:16" ht="15">
      <c r="B33" s="216">
        <f t="shared" si="5"/>
        <v>28</v>
      </c>
      <c r="C33" s="354" t="s">
        <v>4432</v>
      </c>
      <c r="D33" s="355">
        <v>709</v>
      </c>
      <c r="E33" s="595">
        <v>2</v>
      </c>
      <c r="F33" s="1" t="s">
        <v>170</v>
      </c>
      <c r="G33" s="601">
        <f t="shared" si="0"/>
        <v>12376</v>
      </c>
      <c r="H33" s="602">
        <v>10400</v>
      </c>
      <c r="I33" s="115">
        <v>1.19</v>
      </c>
      <c r="J33" s="608">
        <f t="shared" si="2"/>
        <v>12376</v>
      </c>
      <c r="K33" s="602">
        <v>1</v>
      </c>
      <c r="L33" s="602">
        <f t="shared" si="1"/>
        <v>12376</v>
      </c>
      <c r="M33" s="113">
        <f ca="1">SUMIF(APU!A:B,'Materiales '!C33,APU!I:I)</f>
        <v>0</v>
      </c>
      <c r="N33" s="593" t="s">
        <v>5014</v>
      </c>
      <c r="O33" s="113" t="str">
        <f t="shared" si="3"/>
        <v>'28', 'CABLE PODER MANGUERA LED', '709', '2', '12376', '10400', '1.19', '12376', '1', '12376');</v>
      </c>
      <c r="P33" s="113" t="str">
        <f t="shared" si="4"/>
        <v>INSERT INTO materiales_2 (CODIGO, NOMBRE, COD_SIESA, ID_TIPO_UNIDAD, VALOR_UNITARIO, VALOR_COMPRA, IVA, VALOR_REAL, GANANCIA, VALOR_VENDIDO) VALUES ('28', 'CABLE PODER MANGUERA LED', '709', '2', '12376', '10400', '1.19', '12376', '1', '12376');</v>
      </c>
    </row>
    <row r="34" spans="2:16" ht="15">
      <c r="B34" s="216">
        <f>B30+1</f>
        <v>26</v>
      </c>
      <c r="C34" s="354" t="s">
        <v>4795</v>
      </c>
      <c r="D34" s="355"/>
      <c r="E34" s="595">
        <v>2</v>
      </c>
      <c r="F34" s="1" t="s">
        <v>170</v>
      </c>
      <c r="G34" s="601">
        <f t="shared" ref="G34" si="10">L34</f>
        <v>3451</v>
      </c>
      <c r="H34" s="602">
        <v>2900</v>
      </c>
      <c r="I34" s="115">
        <v>1.19</v>
      </c>
      <c r="J34" s="608">
        <f t="shared" ref="J34" si="11">I34*H34</f>
        <v>3451</v>
      </c>
      <c r="K34" s="602">
        <v>1</v>
      </c>
      <c r="L34" s="602">
        <f t="shared" ref="L34" si="12">K34*J34</f>
        <v>3451</v>
      </c>
      <c r="M34" s="113">
        <f ca="1">SUMIF(APU!A:B,'Materiales '!C34,APU!I:I)</f>
        <v>0</v>
      </c>
      <c r="N34" s="593" t="s">
        <v>5014</v>
      </c>
      <c r="O34" s="113" t="str">
        <f t="shared" si="3"/>
        <v>'26', 'CABLE CU THHN-2 # 10 AWG', '', '2', '3451', '2900', '1.19', '3451', '1', '3451');</v>
      </c>
      <c r="P34" s="113" t="str">
        <f t="shared" si="4"/>
        <v>INSERT INTO materiales_2 (CODIGO, NOMBRE, COD_SIESA, ID_TIPO_UNIDAD, VALOR_UNITARIO, VALOR_COMPRA, IVA, VALOR_REAL, GANANCIA, VALOR_VENDIDO) VALUES ('26', 'CABLE CU THHN-2 # 10 AWG', '', '2', '3451', '2900', '1.19', '3451', '1', '3451');</v>
      </c>
    </row>
    <row r="35" spans="2:16" ht="15">
      <c r="B35" s="216">
        <f>B31+1</f>
        <v>27</v>
      </c>
      <c r="C35" s="354" t="s">
        <v>4638</v>
      </c>
      <c r="D35" s="355"/>
      <c r="E35" s="595">
        <v>2</v>
      </c>
      <c r="F35" s="1" t="s">
        <v>170</v>
      </c>
      <c r="G35" s="601">
        <f t="shared" si="0"/>
        <v>2560.88</v>
      </c>
      <c r="H35" s="602">
        <v>2152</v>
      </c>
      <c r="I35" s="115">
        <v>1.19</v>
      </c>
      <c r="J35" s="608">
        <f t="shared" si="2"/>
        <v>2560.88</v>
      </c>
      <c r="K35" s="602">
        <v>1</v>
      </c>
      <c r="L35" s="602">
        <f t="shared" si="1"/>
        <v>2560.88</v>
      </c>
      <c r="M35" s="113">
        <f ca="1">SUMIF(APU!A:B,'Materiales '!C35,APU!I:I)</f>
        <v>0</v>
      </c>
      <c r="N35" s="593" t="s">
        <v>5014</v>
      </c>
      <c r="O35" s="113" t="str">
        <f t="shared" si="3"/>
        <v>'27', 'CABLE CU THHN-2 # 12 AWG', '', '2', '2560,88', '2152', '1.19', '2560,88', '1', '2560,88');</v>
      </c>
      <c r="P35" s="113" t="str">
        <f t="shared" si="4"/>
        <v>INSERT INTO materiales_2 (CODIGO, NOMBRE, COD_SIESA, ID_TIPO_UNIDAD, VALOR_UNITARIO, VALOR_COMPRA, IVA, VALOR_REAL, GANANCIA, VALOR_VENDIDO) VALUES ('27', 'CABLE CU THHN-2 # 12 AWG', '', '2', '2560,88', '2152', '1.19', '2560,88', '1', '2560,88');</v>
      </c>
    </row>
    <row r="36" spans="2:16" ht="15">
      <c r="B36" s="216">
        <f>B32+1</f>
        <v>28</v>
      </c>
      <c r="C36" s="354" t="s">
        <v>4686</v>
      </c>
      <c r="D36" s="355"/>
      <c r="E36" s="595">
        <v>2</v>
      </c>
      <c r="F36" s="1" t="s">
        <v>170</v>
      </c>
      <c r="G36" s="601">
        <f t="shared" ref="G36:G39" si="13">L36</f>
        <v>1547</v>
      </c>
      <c r="H36" s="602">
        <v>1300</v>
      </c>
      <c r="I36" s="115">
        <v>1.19</v>
      </c>
      <c r="J36" s="608">
        <f t="shared" ref="J36:J39" si="14">I36*H36</f>
        <v>1547</v>
      </c>
      <c r="K36" s="602">
        <v>1</v>
      </c>
      <c r="L36" s="602">
        <f t="shared" ref="L36:L39" si="15">K36*J36</f>
        <v>1547</v>
      </c>
      <c r="M36" s="113">
        <f ca="1">SUMIF(APU!A:B,'Materiales '!C36,APU!I:I)</f>
        <v>0</v>
      </c>
      <c r="N36" s="593" t="s">
        <v>5014</v>
      </c>
      <c r="O36" s="113" t="str">
        <f t="shared" si="3"/>
        <v>'28', 'CABLE CU THHN-2 # 14 AWG', '', '2', '1547', '1300', '1.19', '1547', '1', '1547');</v>
      </c>
      <c r="P36" s="113" t="str">
        <f t="shared" si="4"/>
        <v>INSERT INTO materiales_2 (CODIGO, NOMBRE, COD_SIESA, ID_TIPO_UNIDAD, VALOR_UNITARIO, VALOR_COMPRA, IVA, VALOR_REAL, GANANCIA, VALOR_VENDIDO) VALUES ('28', 'CABLE CU THHN-2 # 14 AWG', '', '2', '1547', '1300', '1.19', '1547', '1', '1547');</v>
      </c>
    </row>
    <row r="37" spans="2:16" ht="15">
      <c r="B37" s="216">
        <f>B31+1</f>
        <v>27</v>
      </c>
      <c r="C37" s="354" t="s">
        <v>4997</v>
      </c>
      <c r="D37" s="355">
        <v>10264</v>
      </c>
      <c r="E37" s="595">
        <v>2</v>
      </c>
      <c r="F37" s="1" t="s">
        <v>170</v>
      </c>
      <c r="G37" s="601">
        <f t="shared" ref="G37:G38" si="16">L37</f>
        <v>15470</v>
      </c>
      <c r="H37" s="602">
        <v>13000</v>
      </c>
      <c r="I37" s="115">
        <v>1.19</v>
      </c>
      <c r="J37" s="608">
        <f t="shared" ref="J37:J38" si="17">I37*H37</f>
        <v>15470</v>
      </c>
      <c r="K37" s="602">
        <v>1</v>
      </c>
      <c r="L37" s="602">
        <f t="shared" ref="L37:L38" si="18">K37*J37</f>
        <v>15470</v>
      </c>
      <c r="M37" s="113">
        <f ca="1">SUMIF(APU!A:B,'Materiales '!C37,APU!I:I)</f>
        <v>0</v>
      </c>
      <c r="N37" s="593" t="s">
        <v>5014</v>
      </c>
      <c r="O37" s="113" t="str">
        <f t="shared" si="3"/>
        <v>'27', 'CABLE ALUMINIO THHW # 4/0 AWG S 8000', '10264', '2', '15470', '13000', '1.19', '15470', '1', '15470');</v>
      </c>
      <c r="P37" s="113" t="str">
        <f t="shared" si="4"/>
        <v>INSERT INTO materiales_2 (CODIGO, NOMBRE, COD_SIESA, ID_TIPO_UNIDAD, VALOR_UNITARIO, VALOR_COMPRA, IVA, VALOR_REAL, GANANCIA, VALOR_VENDIDO) VALUES ('27', 'CABLE ALUMINIO THHW # 4/0 AWG S 8000', '10264', '2', '15470', '13000', '1.19', '15470', '1', '15470');</v>
      </c>
    </row>
    <row r="38" spans="2:16" ht="15">
      <c r="B38" s="216">
        <f>B31+1</f>
        <v>27</v>
      </c>
      <c r="C38" s="354" t="s">
        <v>4998</v>
      </c>
      <c r="D38" s="355">
        <v>10264</v>
      </c>
      <c r="E38" s="595">
        <v>2</v>
      </c>
      <c r="F38" s="1" t="s">
        <v>170</v>
      </c>
      <c r="G38" s="601">
        <f t="shared" si="16"/>
        <v>10353</v>
      </c>
      <c r="H38" s="602">
        <v>8700</v>
      </c>
      <c r="I38" s="115">
        <v>1.19</v>
      </c>
      <c r="J38" s="608">
        <f t="shared" si="17"/>
        <v>10353</v>
      </c>
      <c r="K38" s="602">
        <v>1</v>
      </c>
      <c r="L38" s="602">
        <f t="shared" si="18"/>
        <v>10353</v>
      </c>
      <c r="M38" s="113">
        <f ca="1">SUMIF(APU!A:B,'Materiales '!C38,APU!I:I)</f>
        <v>0</v>
      </c>
      <c r="N38" s="593" t="s">
        <v>5014</v>
      </c>
      <c r="O38" s="113" t="str">
        <f t="shared" si="3"/>
        <v>'27', 'CABLE ALUMINIO THHW # 2/0 AWG S 8000', '10264', '2', '10353', '8700', '1.19', '10353', '1', '10353');</v>
      </c>
      <c r="P38" s="113" t="str">
        <f t="shared" si="4"/>
        <v>INSERT INTO materiales_2 (CODIGO, NOMBRE, COD_SIESA, ID_TIPO_UNIDAD, VALOR_UNITARIO, VALOR_COMPRA, IVA, VALOR_REAL, GANANCIA, VALOR_VENDIDO) VALUES ('27', 'CABLE ALUMINIO THHW # 2/0 AWG S 8000', '10264', '2', '10353', '8700', '1.19', '10353', '1', '10353');</v>
      </c>
    </row>
    <row r="39" spans="2:16" ht="15">
      <c r="B39" s="216">
        <f>B32+1</f>
        <v>28</v>
      </c>
      <c r="C39" s="354" t="s">
        <v>4794</v>
      </c>
      <c r="D39" s="355">
        <v>10264</v>
      </c>
      <c r="E39" s="595">
        <v>2</v>
      </c>
      <c r="F39" s="1" t="s">
        <v>170</v>
      </c>
      <c r="G39" s="601">
        <f t="shared" si="13"/>
        <v>8330</v>
      </c>
      <c r="H39" s="602">
        <v>7000</v>
      </c>
      <c r="I39" s="115">
        <v>1.19</v>
      </c>
      <c r="J39" s="608">
        <f t="shared" si="14"/>
        <v>8330</v>
      </c>
      <c r="K39" s="602">
        <v>1</v>
      </c>
      <c r="L39" s="602">
        <f t="shared" si="15"/>
        <v>8330</v>
      </c>
      <c r="M39" s="113">
        <f ca="1">SUMIF(APU!A:B,'Materiales '!C39,APU!I:I)</f>
        <v>0</v>
      </c>
      <c r="N39" s="593" t="s">
        <v>5014</v>
      </c>
      <c r="O39" s="113" t="str">
        <f t="shared" si="3"/>
        <v>'28', 'CABLE ALUMINIO THHW # 1/0 AWG S 8000', '10264', '2', '8330', '7000', '1.19', '8330', '1', '8330');</v>
      </c>
      <c r="P39" s="113" t="str">
        <f t="shared" si="4"/>
        <v>INSERT INTO materiales_2 (CODIGO, NOMBRE, COD_SIESA, ID_TIPO_UNIDAD, VALOR_UNITARIO, VALOR_COMPRA, IVA, VALOR_REAL, GANANCIA, VALOR_VENDIDO) VALUES ('28', 'CABLE ALUMINIO THHW # 1/0 AWG S 8000', '10264', '2', '8330', '7000', '1.19', '8330', '1', '8330');</v>
      </c>
    </row>
    <row r="40" spans="2:16" ht="15">
      <c r="B40" s="216">
        <f>B33+1</f>
        <v>29</v>
      </c>
      <c r="C40" s="354" t="s">
        <v>4433</v>
      </c>
      <c r="D40" s="355">
        <v>10264</v>
      </c>
      <c r="E40" s="595">
        <v>2</v>
      </c>
      <c r="F40" s="1" t="s">
        <v>170</v>
      </c>
      <c r="G40" s="601">
        <f t="shared" si="0"/>
        <v>2737</v>
      </c>
      <c r="H40" s="602">
        <v>2300</v>
      </c>
      <c r="I40" s="115">
        <v>1.19</v>
      </c>
      <c r="J40" s="608">
        <f t="shared" si="2"/>
        <v>2737</v>
      </c>
      <c r="K40" s="602">
        <v>1</v>
      </c>
      <c r="L40" s="602">
        <f t="shared" si="1"/>
        <v>2737</v>
      </c>
      <c r="M40" s="113">
        <f ca="1">SUMIF(APU!A:B,'Materiales '!C40,APU!I:I)</f>
        <v>0</v>
      </c>
      <c r="N40" s="593" t="s">
        <v>5014</v>
      </c>
      <c r="O40" s="113" t="str">
        <f t="shared" si="3"/>
        <v>'29', 'CABLE ALUMINIO THHW # 4 AWG S 8000', '10264', '2', '2737', '2300', '1.19', '2737', '1', '2737');</v>
      </c>
      <c r="P40" s="113" t="str">
        <f t="shared" si="4"/>
        <v>INSERT INTO materiales_2 (CODIGO, NOMBRE, COD_SIESA, ID_TIPO_UNIDAD, VALOR_UNITARIO, VALOR_COMPRA, IVA, VALOR_REAL, GANANCIA, VALOR_VENDIDO) VALUES ('29', 'CABLE ALUMINIO THHW # 4 AWG S 8000', '10264', '2', '2737', '2300', '1.19', '2737', '1', '2737');</v>
      </c>
    </row>
    <row r="41" spans="2:16" ht="15">
      <c r="B41" s="216">
        <f t="shared" si="5"/>
        <v>30</v>
      </c>
      <c r="C41" s="354" t="s">
        <v>4434</v>
      </c>
      <c r="D41" s="355">
        <v>9032</v>
      </c>
      <c r="E41" s="595">
        <v>2</v>
      </c>
      <c r="F41" s="1" t="s">
        <v>170</v>
      </c>
      <c r="G41" s="601">
        <f t="shared" si="0"/>
        <v>3689</v>
      </c>
      <c r="H41" s="602">
        <v>3100</v>
      </c>
      <c r="I41" s="115">
        <v>1.19</v>
      </c>
      <c r="J41" s="608">
        <f t="shared" si="2"/>
        <v>3689</v>
      </c>
      <c r="K41" s="602">
        <v>1</v>
      </c>
      <c r="L41" s="602">
        <f t="shared" si="1"/>
        <v>3689</v>
      </c>
      <c r="M41" s="113">
        <f ca="1">SUMIF(APU!A:B,'Materiales '!#REF!,APU!I:I)</f>
        <v>0</v>
      </c>
      <c r="N41" s="593" t="s">
        <v>5014</v>
      </c>
      <c r="O41" s="113" t="str">
        <f t="shared" si="3"/>
        <v>'30', 'CABLE ALUMINIO THHW # 2 AWG S 8000', '9032', '2', '3689', '3100', '1.19', '3689', '1', '3689');</v>
      </c>
      <c r="P41" s="113" t="str">
        <f t="shared" si="4"/>
        <v>INSERT INTO materiales_2 (CODIGO, NOMBRE, COD_SIESA, ID_TIPO_UNIDAD, VALOR_UNITARIO, VALOR_COMPRA, IVA, VALOR_REAL, GANANCIA, VALOR_VENDIDO) VALUES ('30', 'CABLE ALUMINIO THHW # 2 AWG S 8000', '9032', '2', '3689', '3100', '1.19', '3689', '1', '3689');</v>
      </c>
    </row>
    <row r="42" spans="2:16" ht="15">
      <c r="B42" s="216">
        <f t="shared" si="5"/>
        <v>31</v>
      </c>
      <c r="C42" s="354" t="s">
        <v>4435</v>
      </c>
      <c r="D42" s="355">
        <v>4341</v>
      </c>
      <c r="E42" s="595">
        <v>2</v>
      </c>
      <c r="F42" s="1" t="s">
        <v>170</v>
      </c>
      <c r="G42" s="601">
        <f t="shared" si="0"/>
        <v>2380</v>
      </c>
      <c r="H42" s="602">
        <v>2000</v>
      </c>
      <c r="I42" s="115">
        <v>1.19</v>
      </c>
      <c r="J42" s="608">
        <f t="shared" si="2"/>
        <v>2380</v>
      </c>
      <c r="K42" s="602">
        <v>1</v>
      </c>
      <c r="L42" s="602">
        <f t="shared" si="1"/>
        <v>2380</v>
      </c>
      <c r="M42" s="113">
        <f ca="1">SUMIF(APU!A:B,'Materiales '!C41,APU!I:I)</f>
        <v>0</v>
      </c>
      <c r="N42" s="593" t="s">
        <v>5014</v>
      </c>
      <c r="O42" s="113" t="str">
        <f t="shared" si="3"/>
        <v>'31', 'CABLE ALUMINIO THHW # 6 AWG S 8000', '4341', '2', '2380', '2000', '1.19', '2380', '1', '2380');</v>
      </c>
      <c r="P42" s="113" t="str">
        <f t="shared" si="4"/>
        <v>INSERT INTO materiales_2 (CODIGO, NOMBRE, COD_SIESA, ID_TIPO_UNIDAD, VALOR_UNITARIO, VALOR_COMPRA, IVA, VALOR_REAL, GANANCIA, VALOR_VENDIDO) VALUES ('31', 'CABLE ALUMINIO THHW # 6 AWG S 8000', '4341', '2', '2380', '2000', '1.19', '2380', '1', '2380');</v>
      </c>
    </row>
    <row r="43" spans="2:16" ht="15">
      <c r="B43" s="216">
        <f>B41+1</f>
        <v>31</v>
      </c>
      <c r="C43" s="354" t="s">
        <v>4727</v>
      </c>
      <c r="D43" s="355"/>
      <c r="E43" s="595">
        <v>2</v>
      </c>
      <c r="F43" s="1" t="s">
        <v>170</v>
      </c>
      <c r="G43" s="601">
        <f t="shared" ref="G43" si="19">L43</f>
        <v>34510</v>
      </c>
      <c r="H43" s="602">
        <v>29000</v>
      </c>
      <c r="I43" s="115">
        <v>1.19</v>
      </c>
      <c r="J43" s="608">
        <f t="shared" ref="J43" si="20">I43*H43</f>
        <v>34510</v>
      </c>
      <c r="K43" s="602">
        <v>1</v>
      </c>
      <c r="L43" s="602">
        <f t="shared" ref="L43" si="21">K43*J43</f>
        <v>34510</v>
      </c>
      <c r="M43" s="113">
        <f ca="1">SUMIF(APU!A:B,'Materiales '!C41,APU!I:I)</f>
        <v>0</v>
      </c>
      <c r="N43" s="593" t="s">
        <v>5014</v>
      </c>
      <c r="O43" s="113" t="str">
        <f t="shared" si="3"/>
        <v>'31', 'CABLE ENCAUCHETADO 3 X 6 AWG', '', '2', '34510', '29000', '1.19', '34510', '1', '34510');</v>
      </c>
      <c r="P43" s="113" t="str">
        <f t="shared" si="4"/>
        <v>INSERT INTO materiales_2 (CODIGO, NOMBRE, COD_SIESA, ID_TIPO_UNIDAD, VALOR_UNITARIO, VALOR_COMPRA, IVA, VALOR_REAL, GANANCIA, VALOR_VENDIDO) VALUES ('31', 'CABLE ENCAUCHETADO 3 X 6 AWG', '', '2', '34510', '29000', '1.19', '34510', '1', '34510');</v>
      </c>
    </row>
    <row r="44" spans="2:16" ht="15">
      <c r="B44" s="216">
        <f>B42+1</f>
        <v>32</v>
      </c>
      <c r="C44" s="354" t="s">
        <v>4436</v>
      </c>
      <c r="D44" s="355">
        <v>704</v>
      </c>
      <c r="E44" s="595">
        <v>2</v>
      </c>
      <c r="F44" s="1" t="s">
        <v>170</v>
      </c>
      <c r="G44" s="601">
        <f t="shared" si="0"/>
        <v>21420</v>
      </c>
      <c r="H44" s="602">
        <v>18000</v>
      </c>
      <c r="I44" s="115">
        <v>1.19</v>
      </c>
      <c r="J44" s="608">
        <f t="shared" si="2"/>
        <v>21420</v>
      </c>
      <c r="K44" s="602">
        <v>1</v>
      </c>
      <c r="L44" s="602">
        <f t="shared" si="1"/>
        <v>21420</v>
      </c>
      <c r="M44" s="113">
        <f ca="1">SUMIF(APU!A:B,'Materiales '!C42,APU!I:I)</f>
        <v>0</v>
      </c>
      <c r="N44" s="593" t="s">
        <v>5014</v>
      </c>
      <c r="O44" s="113" t="str">
        <f t="shared" si="3"/>
        <v>'32', 'CABLE ENCAUCHETADO 3 X 8 AWG', '704', '2', '21420', '18000', '1.19', '21420', '1', '21420');</v>
      </c>
      <c r="P44" s="113" t="str">
        <f t="shared" si="4"/>
        <v>INSERT INTO materiales_2 (CODIGO, NOMBRE, COD_SIESA, ID_TIPO_UNIDAD, VALOR_UNITARIO, VALOR_COMPRA, IVA, VALOR_REAL, GANANCIA, VALOR_VENDIDO) VALUES ('32', 'CABLE ENCAUCHETADO 3 X 8 AWG', '704', '2', '21420', '18000', '1.19', '21420', '1', '21420');</v>
      </c>
    </row>
    <row r="45" spans="2:16" ht="15">
      <c r="B45" s="216">
        <f t="shared" si="5"/>
        <v>33</v>
      </c>
      <c r="C45" s="354" t="s">
        <v>4437</v>
      </c>
      <c r="D45" s="355">
        <v>700</v>
      </c>
      <c r="E45" s="595">
        <v>2</v>
      </c>
      <c r="F45" s="1" t="s">
        <v>170</v>
      </c>
      <c r="G45" s="601">
        <f t="shared" si="0"/>
        <v>11400.199999999999</v>
      </c>
      <c r="H45" s="602">
        <v>9580</v>
      </c>
      <c r="I45" s="115">
        <v>1.19</v>
      </c>
      <c r="J45" s="608">
        <f t="shared" si="2"/>
        <v>11400.199999999999</v>
      </c>
      <c r="K45" s="602">
        <v>1</v>
      </c>
      <c r="L45" s="602">
        <f t="shared" si="1"/>
        <v>11400.199999999999</v>
      </c>
      <c r="M45" s="113">
        <f ca="1">SUMIF(APU!A:B,'Materiales '!C44,APU!I:I)</f>
        <v>0</v>
      </c>
      <c r="N45" s="593" t="s">
        <v>5014</v>
      </c>
      <c r="O45" s="113" t="str">
        <f t="shared" si="3"/>
        <v>'33', 'CABLE ENCAUCHETADO 3 X 10 AWG', '700', '2', '11400,2', '9580', '1.19', '11400,2', '1', '11400,2');</v>
      </c>
      <c r="P45" s="113" t="str">
        <f t="shared" si="4"/>
        <v>INSERT INTO materiales_2 (CODIGO, NOMBRE, COD_SIESA, ID_TIPO_UNIDAD, VALOR_UNITARIO, VALOR_COMPRA, IVA, VALOR_REAL, GANANCIA, VALOR_VENDIDO) VALUES ('33', 'CABLE ENCAUCHETADO 3 X 10 AWG', '700', '2', '11400,2', '9580', '1.19', '11400,2', '1', '11400,2');</v>
      </c>
    </row>
    <row r="46" spans="2:16" ht="15">
      <c r="B46" s="216">
        <f t="shared" si="5"/>
        <v>34</v>
      </c>
      <c r="C46" s="354" t="s">
        <v>4438</v>
      </c>
      <c r="D46" s="355">
        <v>701</v>
      </c>
      <c r="E46" s="595">
        <v>2</v>
      </c>
      <c r="F46" s="1" t="s">
        <v>170</v>
      </c>
      <c r="G46" s="601">
        <f t="shared" si="0"/>
        <v>7987.28</v>
      </c>
      <c r="H46" s="602">
        <v>6712</v>
      </c>
      <c r="I46" s="115">
        <v>1.19</v>
      </c>
      <c r="J46" s="608">
        <f t="shared" si="2"/>
        <v>7987.28</v>
      </c>
      <c r="K46" s="602">
        <v>1</v>
      </c>
      <c r="L46" s="602">
        <f t="shared" si="1"/>
        <v>7987.28</v>
      </c>
      <c r="M46" s="113">
        <f ca="1">SUMIF(APU!A:B,'Materiales '!C45,APU!I:I)</f>
        <v>0</v>
      </c>
      <c r="N46" s="593" t="s">
        <v>5014</v>
      </c>
      <c r="O46" s="113" t="str">
        <f t="shared" si="3"/>
        <v>'34', 'CABLE ENCAUCHETADO 3 X 12 AWG', '701', '2', '7987,28', '6712', '1.19', '7987,28', '1', '7987,28');</v>
      </c>
      <c r="P46" s="113" t="str">
        <f t="shared" si="4"/>
        <v>INSERT INTO materiales_2 (CODIGO, NOMBRE, COD_SIESA, ID_TIPO_UNIDAD, VALOR_UNITARIO, VALOR_COMPRA, IVA, VALOR_REAL, GANANCIA, VALOR_VENDIDO) VALUES ('34', 'CABLE ENCAUCHETADO 3 X 12 AWG', '701', '2', '7987,28', '6712', '1.19', '7987,28', '1', '7987,28');</v>
      </c>
    </row>
    <row r="47" spans="2:16" ht="15">
      <c r="B47" s="216">
        <f>B45+1</f>
        <v>34</v>
      </c>
      <c r="C47" s="354" t="s">
        <v>4439</v>
      </c>
      <c r="D47" s="355">
        <v>6734</v>
      </c>
      <c r="E47" s="595">
        <v>2</v>
      </c>
      <c r="F47" s="1" t="s">
        <v>170</v>
      </c>
      <c r="G47" s="601">
        <f t="shared" ref="G47:G48" si="22">L47</f>
        <v>5659.6399999999994</v>
      </c>
      <c r="H47" s="602">
        <v>4756</v>
      </c>
      <c r="I47" s="115">
        <v>1.19</v>
      </c>
      <c r="J47" s="608">
        <f t="shared" ref="J47:J48" si="23">I47*H47</f>
        <v>5659.6399999999994</v>
      </c>
      <c r="K47" s="602">
        <v>1</v>
      </c>
      <c r="L47" s="602">
        <f t="shared" ref="L47:L48" si="24">K47*J47</f>
        <v>5659.6399999999994</v>
      </c>
      <c r="M47" s="113">
        <f ca="1">SUMIF(APU!A:B,'Materiales '!C45,APU!I:I)</f>
        <v>0</v>
      </c>
      <c r="N47" s="593" t="s">
        <v>5014</v>
      </c>
      <c r="O47" s="113" t="str">
        <f t="shared" si="3"/>
        <v>'34', 'CABLE ENCAUCHETADO 3 X 14 AWG', '6734', '2', '5659,64', '4756', '1.19', '5659,64', '1', '5659,64');</v>
      </c>
      <c r="P47" s="113" t="str">
        <f t="shared" si="4"/>
        <v>INSERT INTO materiales_2 (CODIGO, NOMBRE, COD_SIESA, ID_TIPO_UNIDAD, VALOR_UNITARIO, VALOR_COMPRA, IVA, VALOR_REAL, GANANCIA, VALOR_VENDIDO) VALUES ('34', 'CABLE ENCAUCHETADO 3 X 14 AWG', '6734', '2', '5659,64', '4756', '1.19', '5659,64', '1', '5659,64');</v>
      </c>
    </row>
    <row r="48" spans="2:16" ht="15">
      <c r="B48" s="216">
        <f>B45+1</f>
        <v>34</v>
      </c>
      <c r="C48" s="354" t="s">
        <v>4798</v>
      </c>
      <c r="D48" s="355">
        <v>6734</v>
      </c>
      <c r="E48" s="595">
        <v>2</v>
      </c>
      <c r="F48" s="1" t="s">
        <v>170</v>
      </c>
      <c r="G48" s="601">
        <f t="shared" si="22"/>
        <v>3808</v>
      </c>
      <c r="H48" s="602">
        <v>3200</v>
      </c>
      <c r="I48" s="115">
        <v>1.19</v>
      </c>
      <c r="J48" s="608">
        <f t="shared" si="23"/>
        <v>3808</v>
      </c>
      <c r="K48" s="602">
        <v>1</v>
      </c>
      <c r="L48" s="602">
        <f t="shared" si="24"/>
        <v>3808</v>
      </c>
      <c r="M48" s="113">
        <f ca="1">SUMIF(APU!A:B,'Materiales '!C45,APU!I:I)</f>
        <v>0</v>
      </c>
      <c r="N48" s="593" t="s">
        <v>5014</v>
      </c>
      <c r="O48" s="113" t="str">
        <f t="shared" si="3"/>
        <v>'34', 'CABLE ENCAUCHETADO 2 X 14 AWG', '6734', '2', '3808', '3200', '1.19', '3808', '1', '3808');</v>
      </c>
      <c r="P48" s="113" t="str">
        <f t="shared" si="4"/>
        <v>INSERT INTO materiales_2 (CODIGO, NOMBRE, COD_SIESA, ID_TIPO_UNIDAD, VALOR_UNITARIO, VALOR_COMPRA, IVA, VALOR_REAL, GANANCIA, VALOR_VENDIDO) VALUES ('34', 'CABLE ENCAUCHETADO 2 X 14 AWG', '6734', '2', '3808', '3200', '1.19', '3808', '1', '3808');</v>
      </c>
    </row>
    <row r="49" spans="2:16" ht="15">
      <c r="B49" s="216">
        <f>B46+1</f>
        <v>35</v>
      </c>
      <c r="C49" s="354" t="s">
        <v>4827</v>
      </c>
      <c r="D49" s="355"/>
      <c r="E49" s="595">
        <v>2</v>
      </c>
      <c r="F49" s="1" t="s">
        <v>170</v>
      </c>
      <c r="G49" s="601">
        <f t="shared" si="0"/>
        <v>2896.46</v>
      </c>
      <c r="H49" s="602">
        <v>2434</v>
      </c>
      <c r="I49" s="115">
        <v>1.19</v>
      </c>
      <c r="J49" s="608">
        <f t="shared" si="2"/>
        <v>2896.46</v>
      </c>
      <c r="K49" s="602">
        <v>1</v>
      </c>
      <c r="L49" s="602">
        <f t="shared" si="1"/>
        <v>2896.46</v>
      </c>
      <c r="M49" s="113">
        <f ca="1">SUMIF(APU!A:B,'Materiales '!C46,APU!I:I)</f>
        <v>0</v>
      </c>
      <c r="N49" s="593" t="s">
        <v>5014</v>
      </c>
      <c r="O49" s="113" t="str">
        <f t="shared" si="3"/>
        <v>'35', 'CABLE ENCAUCHETADO 2 X 16 AWG', '', '2', '2896,46', '2434', '1.19', '2896,46', '1', '2896,46');</v>
      </c>
      <c r="P49" s="113" t="str">
        <f t="shared" si="4"/>
        <v>INSERT INTO materiales_2 (CODIGO, NOMBRE, COD_SIESA, ID_TIPO_UNIDAD, VALOR_UNITARIO, VALOR_COMPRA, IVA, VALOR_REAL, GANANCIA, VALOR_VENDIDO) VALUES ('35', 'CABLE ENCAUCHETADO 2 X 16 AWG', '', '2', '2896,46', '2434', '1.19', '2896,46', '1', '2896,46');</v>
      </c>
    </row>
    <row r="50" spans="2:16" ht="15">
      <c r="B50" s="216">
        <f>B46+1</f>
        <v>35</v>
      </c>
      <c r="C50" s="354" t="s">
        <v>4990</v>
      </c>
      <c r="D50" s="355">
        <v>9490</v>
      </c>
      <c r="E50" s="595">
        <v>2</v>
      </c>
      <c r="F50" s="1" t="s">
        <v>170</v>
      </c>
      <c r="G50" s="601">
        <f t="shared" ref="G50" si="25">L50</f>
        <v>42840</v>
      </c>
      <c r="H50" s="602">
        <v>36000</v>
      </c>
      <c r="I50" s="115">
        <v>1.19</v>
      </c>
      <c r="J50" s="608">
        <f t="shared" ref="J50" si="26">I50*H50</f>
        <v>42840</v>
      </c>
      <c r="K50" s="602">
        <v>1</v>
      </c>
      <c r="L50" s="602">
        <f t="shared" ref="L50" si="27">K50*J50</f>
        <v>42840</v>
      </c>
      <c r="M50" s="113">
        <f ca="1">SUMIF(APU!A:B,'Materiales '!C46,APU!I:I)</f>
        <v>0</v>
      </c>
      <c r="N50" s="593" t="s">
        <v>5014</v>
      </c>
      <c r="O50" s="113" t="str">
        <f t="shared" si="3"/>
        <v>'35', 'CABLE CUADRUPLEX 3 X 4/0 + 2 AWG AL AUTOSOPORTADO', '9490', '2', '42840', '36000', '1.19', '42840', '1', '42840');</v>
      </c>
      <c r="P50" s="113" t="str">
        <f t="shared" si="4"/>
        <v>INSERT INTO materiales_2 (CODIGO, NOMBRE, COD_SIESA, ID_TIPO_UNIDAD, VALOR_UNITARIO, VALOR_COMPRA, IVA, VALOR_REAL, GANANCIA, VALOR_VENDIDO) VALUES ('35', 'CABLE CUADRUPLEX 3 X 4/0 + 2 AWG AL AUTOSOPORTADO', '9490', '2', '42840', '36000', '1.19', '42840', '1', '42840');</v>
      </c>
    </row>
    <row r="51" spans="2:16" ht="15">
      <c r="B51" s="216">
        <f>B47+1</f>
        <v>35</v>
      </c>
      <c r="C51" s="354" t="s">
        <v>4991</v>
      </c>
      <c r="D51" s="355">
        <v>9490</v>
      </c>
      <c r="E51" s="595">
        <v>2</v>
      </c>
      <c r="F51" s="1" t="s">
        <v>170</v>
      </c>
      <c r="G51" s="601">
        <f t="shared" si="0"/>
        <v>33320</v>
      </c>
      <c r="H51" s="602">
        <v>28000</v>
      </c>
      <c r="I51" s="115">
        <v>1.19</v>
      </c>
      <c r="J51" s="608">
        <f t="shared" si="2"/>
        <v>33320</v>
      </c>
      <c r="K51" s="602">
        <v>1</v>
      </c>
      <c r="L51" s="602">
        <f t="shared" si="1"/>
        <v>33320</v>
      </c>
      <c r="M51" s="113">
        <f ca="1">SUMIF(APU!A:B,'Materiales '!C47,APU!I:I)</f>
        <v>0</v>
      </c>
      <c r="N51" s="593" t="s">
        <v>5014</v>
      </c>
      <c r="O51" s="113" t="str">
        <f t="shared" si="3"/>
        <v>'35', 'CABLE CUADRUPLEX 3 X 2/0 + 1/0 AWG AL AUTOSOPORTADO', '9490', '2', '33320', '28000', '1.19', '33320', '1', '33320');</v>
      </c>
      <c r="P51" s="113" t="str">
        <f t="shared" si="4"/>
        <v>INSERT INTO materiales_2 (CODIGO, NOMBRE, COD_SIESA, ID_TIPO_UNIDAD, VALOR_UNITARIO, VALOR_COMPRA, IVA, VALOR_REAL, GANANCIA, VALOR_VENDIDO) VALUES ('35', 'CABLE CUADRUPLEX 3 X 2/0 + 1/0 AWG AL AUTOSOPORTADO', '9490', '2', '33320', '28000', '1.19', '33320', '1', '33320');</v>
      </c>
    </row>
    <row r="52" spans="2:16" ht="15">
      <c r="B52" s="216">
        <f>B48+1</f>
        <v>35</v>
      </c>
      <c r="C52" s="354" t="s">
        <v>4989</v>
      </c>
      <c r="D52" s="355">
        <v>9490</v>
      </c>
      <c r="E52" s="595">
        <v>2</v>
      </c>
      <c r="F52" s="1" t="s">
        <v>170</v>
      </c>
      <c r="G52" s="601">
        <f t="shared" ref="G52" si="28">L52</f>
        <v>26180</v>
      </c>
      <c r="H52" s="602">
        <v>22000</v>
      </c>
      <c r="I52" s="115">
        <v>1.19</v>
      </c>
      <c r="J52" s="608">
        <f t="shared" ref="J52" si="29">I52*H52</f>
        <v>26180</v>
      </c>
      <c r="K52" s="602">
        <v>1</v>
      </c>
      <c r="L52" s="602">
        <f t="shared" ref="L52" si="30">K52*J52</f>
        <v>26180</v>
      </c>
      <c r="M52" s="113">
        <f ca="1">SUMIF(APU!A:B,'Materiales '!C48,APU!I:I)</f>
        <v>0</v>
      </c>
      <c r="N52" s="593" t="s">
        <v>5014</v>
      </c>
      <c r="O52" s="113" t="str">
        <f t="shared" si="3"/>
        <v>'35', 'CABLE CUADRUPLEX 3 X 1/0 + 2 AWG AL AUTOSOPORTADO', '9490', '2', '26180', '22000', '1.19', '26180', '1', '26180');</v>
      </c>
      <c r="P52" s="113" t="str">
        <f t="shared" si="4"/>
        <v>INSERT INTO materiales_2 (CODIGO, NOMBRE, COD_SIESA, ID_TIPO_UNIDAD, VALOR_UNITARIO, VALOR_COMPRA, IVA, VALOR_REAL, GANANCIA, VALOR_VENDIDO) VALUES ('35', 'CABLE CUADRUPLEX 3 X 1/0 + 2 AWG AL AUTOSOPORTADO', '9490', '2', '26180', '22000', '1.19', '26180', '1', '26180');</v>
      </c>
    </row>
    <row r="53" spans="2:16" ht="15">
      <c r="B53" s="216">
        <f>B49+1</f>
        <v>36</v>
      </c>
      <c r="C53" s="354" t="s">
        <v>4440</v>
      </c>
      <c r="D53" s="355">
        <v>9490</v>
      </c>
      <c r="E53" s="595">
        <v>2</v>
      </c>
      <c r="F53" s="1" t="s">
        <v>170</v>
      </c>
      <c r="G53" s="601">
        <f t="shared" si="0"/>
        <v>16660</v>
      </c>
      <c r="H53" s="602">
        <v>14000</v>
      </c>
      <c r="I53" s="115">
        <v>1.19</v>
      </c>
      <c r="J53" s="608">
        <f t="shared" si="2"/>
        <v>16660</v>
      </c>
      <c r="K53" s="602">
        <v>1</v>
      </c>
      <c r="L53" s="602">
        <f t="shared" si="1"/>
        <v>16660</v>
      </c>
      <c r="M53" s="113">
        <f ca="1">SUMIF(APU!A:B,'Materiales '!C49,APU!I:I)</f>
        <v>0</v>
      </c>
      <c r="N53" s="593" t="s">
        <v>5014</v>
      </c>
      <c r="O53" s="113" t="str">
        <f t="shared" si="3"/>
        <v>'36', 'CABLE CUADRUPLEX 3 X 2 + 2 AWG AL AUTOSOPORTADO', '9490', '2', '16660', '14000', '1.19', '16660', '1', '16660');</v>
      </c>
      <c r="P53" s="113" t="str">
        <f t="shared" si="4"/>
        <v>INSERT INTO materiales_2 (CODIGO, NOMBRE, COD_SIESA, ID_TIPO_UNIDAD, VALOR_UNITARIO, VALOR_COMPRA, IVA, VALOR_REAL, GANANCIA, VALOR_VENDIDO) VALUES ('36', 'CABLE CUADRUPLEX 3 X 2 + 2 AWG AL AUTOSOPORTADO', '9490', '2', '16660', '14000', '1.19', '16660', '1', '16660');</v>
      </c>
    </row>
    <row r="54" spans="2:16" ht="15">
      <c r="B54" s="216">
        <f t="shared" si="5"/>
        <v>37</v>
      </c>
      <c r="C54" s="354" t="s">
        <v>4441</v>
      </c>
      <c r="D54" s="355">
        <v>9613</v>
      </c>
      <c r="E54" s="595">
        <v>2</v>
      </c>
      <c r="F54" s="1" t="s">
        <v>170</v>
      </c>
      <c r="G54" s="601">
        <f t="shared" si="0"/>
        <v>11305</v>
      </c>
      <c r="H54" s="602">
        <v>9500</v>
      </c>
      <c r="I54" s="115">
        <v>1.19</v>
      </c>
      <c r="J54" s="608">
        <f t="shared" si="2"/>
        <v>11305</v>
      </c>
      <c r="K54" s="602">
        <v>1</v>
      </c>
      <c r="L54" s="602">
        <f t="shared" si="1"/>
        <v>11305</v>
      </c>
      <c r="M54" s="113">
        <f ca="1">SUMIF(APU!A:B,'Materiales '!C53,APU!I:I)</f>
        <v>0</v>
      </c>
      <c r="N54" s="593" t="s">
        <v>5014</v>
      </c>
      <c r="O54" s="113" t="str">
        <f t="shared" si="3"/>
        <v>'37', 'CABLE CUADRUPLEX 3 X 4 + 4 AWG AL AUTOSOPORTADO', '9613', '2', '11305', '9500', '1.19', '11305', '1', '11305');</v>
      </c>
      <c r="P54" s="113" t="str">
        <f t="shared" si="4"/>
        <v>INSERT INTO materiales_2 (CODIGO, NOMBRE, COD_SIESA, ID_TIPO_UNIDAD, VALOR_UNITARIO, VALOR_COMPRA, IVA, VALOR_REAL, GANANCIA, VALOR_VENDIDO) VALUES ('37', 'CABLE CUADRUPLEX 3 X 4 + 4 AWG AL AUTOSOPORTADO', '9613', '2', '11305', '9500', '1.19', '11305', '1', '11305');</v>
      </c>
    </row>
    <row r="55" spans="2:16" ht="15">
      <c r="B55" s="216">
        <f t="shared" si="5"/>
        <v>38</v>
      </c>
      <c r="C55" s="354" t="s">
        <v>4442</v>
      </c>
      <c r="D55" s="355">
        <v>667</v>
      </c>
      <c r="E55" s="595">
        <v>2</v>
      </c>
      <c r="F55" s="1" t="s">
        <v>170</v>
      </c>
      <c r="G55" s="601">
        <f t="shared" si="0"/>
        <v>15635.41</v>
      </c>
      <c r="H55" s="602">
        <v>13139</v>
      </c>
      <c r="I55" s="115">
        <v>1.19</v>
      </c>
      <c r="J55" s="608">
        <f t="shared" si="2"/>
        <v>15635.41</v>
      </c>
      <c r="K55" s="602">
        <v>1</v>
      </c>
      <c r="L55" s="602">
        <f t="shared" si="1"/>
        <v>15635.41</v>
      </c>
      <c r="M55" s="113">
        <f ca="1">SUMIF(APU!A:B,'Materiales '!C54,APU!I:I)</f>
        <v>0</v>
      </c>
      <c r="N55" s="593" t="s">
        <v>5014</v>
      </c>
      <c r="O55" s="113" t="str">
        <f t="shared" si="3"/>
        <v>'38', 'CABLE TRIPLEX 2 X 1/0 + 1/0 AWG AL AUTOSOPORTADO', '667', '2', '15635,41', '13139', '1.19', '15635,41', '1', '15635,41');</v>
      </c>
      <c r="P55" s="113" t="str">
        <f t="shared" si="4"/>
        <v>INSERT INTO materiales_2 (CODIGO, NOMBRE, COD_SIESA, ID_TIPO_UNIDAD, VALOR_UNITARIO, VALOR_COMPRA, IVA, VALOR_REAL, GANANCIA, VALOR_VENDIDO) VALUES ('38', 'CABLE TRIPLEX 2 X 1/0 + 1/0 AWG AL AUTOSOPORTADO', '667', '2', '15635,41', '13139', '1.19', '15635,41', '1', '15635,41');</v>
      </c>
    </row>
    <row r="56" spans="2:16" ht="15">
      <c r="B56" s="216">
        <f t="shared" si="5"/>
        <v>39</v>
      </c>
      <c r="C56" s="354" t="s">
        <v>4443</v>
      </c>
      <c r="D56" s="355">
        <v>719</v>
      </c>
      <c r="E56" s="595">
        <v>2</v>
      </c>
      <c r="F56" s="1" t="s">
        <v>170</v>
      </c>
      <c r="G56" s="601">
        <f t="shared" si="0"/>
        <v>10180.449999999999</v>
      </c>
      <c r="H56" s="602">
        <v>8555</v>
      </c>
      <c r="I56" s="115">
        <v>1.19</v>
      </c>
      <c r="J56" s="608">
        <f t="shared" si="2"/>
        <v>10180.449999999999</v>
      </c>
      <c r="K56" s="602">
        <v>1</v>
      </c>
      <c r="L56" s="602">
        <f t="shared" si="1"/>
        <v>10180.449999999999</v>
      </c>
      <c r="M56" s="113">
        <f ca="1">SUMIF(APU!A:B,'Materiales '!C61,APU!I:I)</f>
        <v>0</v>
      </c>
      <c r="N56" s="593" t="s">
        <v>5014</v>
      </c>
      <c r="O56" s="113" t="str">
        <f t="shared" si="3"/>
        <v>'39', 'CABLE TRIPLEX 2 X 2 + 2 AWG AL AUTOSOPORTADO', '719', '2', '10180,45', '8555', '1.19', '10180,45', '1', '10180,45');</v>
      </c>
      <c r="P56" s="113" t="str">
        <f t="shared" si="4"/>
        <v>INSERT INTO materiales_2 (CODIGO, NOMBRE, COD_SIESA, ID_TIPO_UNIDAD, VALOR_UNITARIO, VALOR_COMPRA, IVA, VALOR_REAL, GANANCIA, VALOR_VENDIDO) VALUES ('39', 'CABLE TRIPLEX 2 X 2 + 2 AWG AL AUTOSOPORTADO', '719', '2', '10180,45', '8555', '1.19', '10180,45', '1', '10180,45');</v>
      </c>
    </row>
    <row r="57" spans="2:16" ht="15">
      <c r="B57" s="216">
        <f t="shared" si="5"/>
        <v>40</v>
      </c>
      <c r="C57" s="354" t="s">
        <v>4444</v>
      </c>
      <c r="D57" s="355">
        <v>670</v>
      </c>
      <c r="E57" s="595">
        <v>2</v>
      </c>
      <c r="F57" s="1" t="s">
        <v>170</v>
      </c>
      <c r="G57" s="601">
        <f t="shared" si="0"/>
        <v>7854</v>
      </c>
      <c r="H57" s="602">
        <v>6600</v>
      </c>
      <c r="I57" s="115">
        <v>1.19</v>
      </c>
      <c r="J57" s="608">
        <f t="shared" si="2"/>
        <v>7854</v>
      </c>
      <c r="K57" s="602">
        <v>1</v>
      </c>
      <c r="L57" s="602">
        <f t="shared" si="1"/>
        <v>7854</v>
      </c>
      <c r="M57" s="113">
        <f ca="1">SUMIF(APU!A:B,'Materiales '!C55,APU!I:I)</f>
        <v>0</v>
      </c>
      <c r="N57" s="593" t="s">
        <v>5014</v>
      </c>
      <c r="O57" s="113" t="str">
        <f t="shared" si="3"/>
        <v>'40', 'CABLE TRIPLEX 2 X 4 + 4 AWG AL AUTOSOPORTADO', '670', '2', '7854', '6600', '1.19', '7854', '1', '7854');</v>
      </c>
      <c r="P57" s="113" t="str">
        <f t="shared" si="4"/>
        <v>INSERT INTO materiales_2 (CODIGO, NOMBRE, COD_SIESA, ID_TIPO_UNIDAD, VALOR_UNITARIO, VALOR_COMPRA, IVA, VALOR_REAL, GANANCIA, VALOR_VENDIDO) VALUES ('40', 'CABLE TRIPLEX 2 X 4 + 4 AWG AL AUTOSOPORTADO', '670', '2', '7854', '6600', '1.19', '7854', '1', '7854');</v>
      </c>
    </row>
    <row r="58" spans="2:16" ht="15">
      <c r="B58" s="216">
        <f>B56+1</f>
        <v>40</v>
      </c>
      <c r="C58" s="354" t="s">
        <v>4687</v>
      </c>
      <c r="D58" s="355"/>
      <c r="E58" s="595">
        <v>2</v>
      </c>
      <c r="F58" s="1" t="s">
        <v>170</v>
      </c>
      <c r="G58" s="601">
        <f t="shared" ref="G58" si="31">L58</f>
        <v>10115</v>
      </c>
      <c r="H58" s="602">
        <v>8500</v>
      </c>
      <c r="I58" s="115">
        <v>1.19</v>
      </c>
      <c r="J58" s="608">
        <f t="shared" ref="J58" si="32">I58*H58</f>
        <v>10115</v>
      </c>
      <c r="K58" s="602">
        <v>1</v>
      </c>
      <c r="L58" s="602">
        <f t="shared" ref="L58" si="33">K58*J58</f>
        <v>10115</v>
      </c>
      <c r="M58" s="113">
        <f ca="1">SUMIF(APU!A:B,'Materiales '!C55,APU!I:I)</f>
        <v>0</v>
      </c>
      <c r="N58" s="593" t="s">
        <v>5014</v>
      </c>
      <c r="O58" s="113" t="str">
        <f t="shared" si="3"/>
        <v>'40', 'CABLE CONCENTRICO ALUMINIO 8+8', '', '2', '10115', '8500', '1.19', '10115', '1', '10115');</v>
      </c>
      <c r="P58" s="113" t="str">
        <f t="shared" si="4"/>
        <v>INSERT INTO materiales_2 (CODIGO, NOMBRE, COD_SIESA, ID_TIPO_UNIDAD, VALOR_UNITARIO, VALOR_COMPRA, IVA, VALOR_REAL, GANANCIA, VALOR_VENDIDO) VALUES ('40', 'CABLE CONCENTRICO ALUMINIO 8+8', '', '2', '10115', '8500', '1.19', '10115', '1', '10115');</v>
      </c>
    </row>
    <row r="59" spans="2:16" ht="15">
      <c r="B59" s="216">
        <f>B57+1</f>
        <v>41</v>
      </c>
      <c r="C59" s="354" t="s">
        <v>4445</v>
      </c>
      <c r="D59" s="355">
        <v>7220</v>
      </c>
      <c r="E59" s="595">
        <v>2</v>
      </c>
      <c r="F59" s="1" t="s">
        <v>170</v>
      </c>
      <c r="G59" s="601">
        <f t="shared" si="0"/>
        <v>7437.5</v>
      </c>
      <c r="H59" s="602">
        <v>6250</v>
      </c>
      <c r="I59" s="115">
        <v>1.19</v>
      </c>
      <c r="J59" s="608">
        <f t="shared" si="2"/>
        <v>7437.5</v>
      </c>
      <c r="K59" s="602">
        <v>1</v>
      </c>
      <c r="L59" s="602">
        <f t="shared" si="1"/>
        <v>7437.5</v>
      </c>
      <c r="M59" s="113">
        <f ca="1">SUMIF(APU!A:B,'Materiales '!C56,APU!I:I)</f>
        <v>0</v>
      </c>
      <c r="N59" s="593" t="s">
        <v>5014</v>
      </c>
      <c r="O59" s="113" t="str">
        <f t="shared" si="3"/>
        <v>'41', 'CABLE #6 CU FORRADO AWG THHN/THWN-2, 90 C°, 600 V.', '7220', '2', '7437,5', '6250', '1.19', '7437,5', '1', '7437,5');</v>
      </c>
      <c r="P59" s="113" t="str">
        <f t="shared" si="4"/>
        <v>INSERT INTO materiales_2 (CODIGO, NOMBRE, COD_SIESA, ID_TIPO_UNIDAD, VALOR_UNITARIO, VALOR_COMPRA, IVA, VALOR_REAL, GANANCIA, VALOR_VENDIDO) VALUES ('41', 'CABLE #6 CU FORRADO AWG THHN/THWN-2, 90 C°, 600 V.', '7220', '2', '7437,5', '6250', '1.19', '7437,5', '1', '7437,5');</v>
      </c>
    </row>
    <row r="60" spans="2:16" ht="15">
      <c r="B60" s="216">
        <f>B58+1</f>
        <v>41</v>
      </c>
      <c r="C60" s="354" t="s">
        <v>4446</v>
      </c>
      <c r="D60" s="355">
        <v>687</v>
      </c>
      <c r="E60" s="595">
        <v>2</v>
      </c>
      <c r="F60" s="1" t="s">
        <v>170</v>
      </c>
      <c r="G60" s="601">
        <f t="shared" ref="G60" si="34">L60</f>
        <v>5207.4399999999996</v>
      </c>
      <c r="H60" s="602">
        <v>4376</v>
      </c>
      <c r="I60" s="115">
        <v>1.19</v>
      </c>
      <c r="J60" s="608">
        <f t="shared" ref="J60" si="35">I60*H60</f>
        <v>5207.4399999999996</v>
      </c>
      <c r="K60" s="602">
        <v>1</v>
      </c>
      <c r="L60" s="602">
        <f t="shared" ref="L60" si="36">K60*J60</f>
        <v>5207.4399999999996</v>
      </c>
      <c r="M60" s="113">
        <f ca="1">SUMIF(APU!A:B,'Materiales '!C56,APU!I:I)</f>
        <v>0</v>
      </c>
      <c r="N60" s="593" t="s">
        <v>5014</v>
      </c>
      <c r="O60" s="113" t="str">
        <f t="shared" si="3"/>
        <v>'41', 'CABLE #8 CU FORRADO AWG THHN/THWN-2, 90 C°, 600 V.', '687', '2', '5207,44', '4376', '1.19', '5207,44', '1', '5207,44');</v>
      </c>
      <c r="P60" s="113" t="str">
        <f t="shared" si="4"/>
        <v>INSERT INTO materiales_2 (CODIGO, NOMBRE, COD_SIESA, ID_TIPO_UNIDAD, VALOR_UNITARIO, VALOR_COMPRA, IVA, VALOR_REAL, GANANCIA, VALOR_VENDIDO) VALUES ('41', 'CABLE #8 CU FORRADO AWG THHN/THWN-2, 90 C°, 600 V.', '687', '2', '5207,44', '4376', '1.19', '5207,44', '1', '5207,44');</v>
      </c>
    </row>
    <row r="61" spans="2:16" ht="15">
      <c r="B61" s="216">
        <f>B59+1</f>
        <v>42</v>
      </c>
      <c r="C61" s="354" t="s">
        <v>4796</v>
      </c>
      <c r="D61" s="355"/>
      <c r="E61" s="595">
        <v>2</v>
      </c>
      <c r="F61" s="1" t="s">
        <v>170</v>
      </c>
      <c r="G61" s="601">
        <f t="shared" si="0"/>
        <v>20230</v>
      </c>
      <c r="H61" s="602">
        <v>17000</v>
      </c>
      <c r="I61" s="115">
        <v>1.19</v>
      </c>
      <c r="J61" s="608">
        <f t="shared" si="2"/>
        <v>20230</v>
      </c>
      <c r="K61" s="602">
        <v>1</v>
      </c>
      <c r="L61" s="602">
        <f t="shared" si="1"/>
        <v>20230</v>
      </c>
      <c r="M61" s="113">
        <f ca="1">SUMIF(APU!A:B,'Materiales '!C57,APU!I:I)</f>
        <v>0</v>
      </c>
      <c r="N61" s="593" t="s">
        <v>5014</v>
      </c>
      <c r="O61" s="113" t="str">
        <f t="shared" si="3"/>
        <v>'42', 'CABLE #2 CU FORRADO AWG THHN/THWN-2, 90 C°, 600 V.', '', '2', '20230', '17000', '1.19', '20230', '1', '20230');</v>
      </c>
      <c r="P61" s="113" t="str">
        <f t="shared" si="4"/>
        <v>INSERT INTO materiales_2 (CODIGO, NOMBRE, COD_SIESA, ID_TIPO_UNIDAD, VALOR_UNITARIO, VALOR_COMPRA, IVA, VALOR_REAL, GANANCIA, VALOR_VENDIDO) VALUES ('42', 'CABLE #2 CU FORRADO AWG THHN/THWN-2, 90 C°, 600 V.', '', '2', '20230', '17000', '1.19', '20230', '1', '20230');</v>
      </c>
    </row>
    <row r="62" spans="2:16" ht="15">
      <c r="B62" s="216">
        <f t="shared" si="5"/>
        <v>43</v>
      </c>
      <c r="C62" s="354" t="s">
        <v>4447</v>
      </c>
      <c r="D62" s="355">
        <v>5385</v>
      </c>
      <c r="E62" s="595">
        <v>2</v>
      </c>
      <c r="F62" s="1" t="s">
        <v>170</v>
      </c>
      <c r="G62" s="601">
        <f t="shared" si="0"/>
        <v>19488.629999999997</v>
      </c>
      <c r="H62" s="602">
        <v>16377</v>
      </c>
      <c r="I62" s="115">
        <v>1.19</v>
      </c>
      <c r="J62" s="608">
        <f t="shared" si="2"/>
        <v>19488.629999999997</v>
      </c>
      <c r="K62" s="602">
        <v>1</v>
      </c>
      <c r="L62" s="602">
        <f t="shared" si="1"/>
        <v>19488.629999999997</v>
      </c>
      <c r="M62" s="113">
        <f ca="1">SUMIF(APU!A:B,'Materiales '!C59,APU!I:I)</f>
        <v>0</v>
      </c>
      <c r="N62" s="593" t="s">
        <v>5014</v>
      </c>
      <c r="O62" s="113" t="str">
        <f t="shared" si="3"/>
        <v>'43', 'CABLE DE CU DESNUDO # 2', '5385', '2', '19488,63', '16377', '1.19', '19488,63', '1', '19488,63');</v>
      </c>
      <c r="P62" s="113" t="str">
        <f t="shared" si="4"/>
        <v>INSERT INTO materiales_2 (CODIGO, NOMBRE, COD_SIESA, ID_TIPO_UNIDAD, VALOR_UNITARIO, VALOR_COMPRA, IVA, VALOR_REAL, GANANCIA, VALOR_VENDIDO) VALUES ('43', 'CABLE DE CU DESNUDO # 2', '5385', '2', '19488,63', '16377', '1.19', '19488,63', '1', '19488,63');</v>
      </c>
    </row>
    <row r="63" spans="2:16" ht="15">
      <c r="B63" s="216">
        <f t="shared" si="5"/>
        <v>44</v>
      </c>
      <c r="C63" s="354" t="s">
        <v>4448</v>
      </c>
      <c r="D63" s="355">
        <v>7325</v>
      </c>
      <c r="E63" s="595">
        <v>2</v>
      </c>
      <c r="F63" s="1" t="s">
        <v>170</v>
      </c>
      <c r="G63" s="601">
        <f t="shared" si="0"/>
        <v>4641</v>
      </c>
      <c r="H63" s="602">
        <v>3900</v>
      </c>
      <c r="I63" s="115">
        <v>1.19</v>
      </c>
      <c r="J63" s="608">
        <f t="shared" si="2"/>
        <v>4641</v>
      </c>
      <c r="K63" s="602">
        <v>1</v>
      </c>
      <c r="L63" s="602">
        <f t="shared" si="1"/>
        <v>4641</v>
      </c>
      <c r="M63" s="113">
        <f ca="1">SUMIF(APU!A:B,'Materiales '!C62,APU!I:I)</f>
        <v>0</v>
      </c>
      <c r="N63" s="593" t="s">
        <v>5014</v>
      </c>
      <c r="O63" s="113" t="str">
        <f t="shared" si="3"/>
        <v>'44', 'CABLE DE CU DESNUDO # 8', '7325', '2', '4641', '3900', '1.19', '4641', '1', '4641');</v>
      </c>
      <c r="P63" s="113" t="str">
        <f t="shared" si="4"/>
        <v>INSERT INTO materiales_2 (CODIGO, NOMBRE, COD_SIESA, ID_TIPO_UNIDAD, VALOR_UNITARIO, VALOR_COMPRA, IVA, VALOR_REAL, GANANCIA, VALOR_VENDIDO) VALUES ('44', 'CABLE DE CU DESNUDO # 8', '7325', '2', '4641', '3900', '1.19', '4641', '1', '4641');</v>
      </c>
    </row>
    <row r="64" spans="2:16" ht="15">
      <c r="B64" s="216">
        <f>B62+1</f>
        <v>44</v>
      </c>
      <c r="C64" s="354" t="s">
        <v>4625</v>
      </c>
      <c r="D64" s="355"/>
      <c r="E64" s="595">
        <v>4</v>
      </c>
      <c r="F64" s="1" t="s">
        <v>4127</v>
      </c>
      <c r="G64" s="601">
        <f t="shared" ref="G64" si="37">L64</f>
        <v>11662</v>
      </c>
      <c r="H64" s="602">
        <v>9800</v>
      </c>
      <c r="I64" s="115">
        <v>1.19</v>
      </c>
      <c r="J64" s="608">
        <f t="shared" si="2"/>
        <v>11662</v>
      </c>
      <c r="K64" s="602">
        <v>1</v>
      </c>
      <c r="L64" s="602">
        <f t="shared" si="1"/>
        <v>11662</v>
      </c>
      <c r="M64" s="113">
        <f ca="1">SUMIF(APU!A:B,'Materiales '!C62,APU!I:I)</f>
        <v>0</v>
      </c>
      <c r="N64" s="593" t="s">
        <v>5014</v>
      </c>
      <c r="O64" s="113" t="str">
        <f t="shared" si="3"/>
        <v>'44', 'CAJA RADWELT OCTAGONAL - 3 SALIDAS 3/4', '', '4', '11662', '9800', '1.19', '11662', '1', '11662');</v>
      </c>
      <c r="P64" s="113" t="str">
        <f t="shared" si="4"/>
        <v>INSERT INTO materiales_2 (CODIGO, NOMBRE, COD_SIESA, ID_TIPO_UNIDAD, VALOR_UNITARIO, VALOR_COMPRA, IVA, VALOR_REAL, GANANCIA, VALOR_VENDIDO) VALUES ('44', 'CAJA RADWELT OCTAGONAL - 3 SALIDAS 3/4', '', '4', '11662', '9800', '1.19', '11662', '1', '11662');</v>
      </c>
    </row>
    <row r="65" spans="2:16" ht="15">
      <c r="B65" s="216">
        <f>B63+1</f>
        <v>45</v>
      </c>
      <c r="C65" s="354" t="s">
        <v>4449</v>
      </c>
      <c r="D65" s="355">
        <v>731</v>
      </c>
      <c r="E65" s="595">
        <v>4</v>
      </c>
      <c r="F65" s="1" t="s">
        <v>4127</v>
      </c>
      <c r="G65" s="601">
        <f t="shared" si="0"/>
        <v>10472</v>
      </c>
      <c r="H65" s="602">
        <v>8800</v>
      </c>
      <c r="I65" s="115">
        <v>1.19</v>
      </c>
      <c r="J65" s="608">
        <f t="shared" si="2"/>
        <v>10472</v>
      </c>
      <c r="K65" s="602">
        <v>1</v>
      </c>
      <c r="L65" s="602">
        <f t="shared" si="1"/>
        <v>10472</v>
      </c>
      <c r="M65" s="113">
        <f ca="1">SUMIF(APU!A:B,'Materiales '!C63,APU!I:I)</f>
        <v>0</v>
      </c>
      <c r="N65" s="593" t="s">
        <v>5014</v>
      </c>
      <c r="O65" s="113" t="str">
        <f t="shared" si="3"/>
        <v>'45', 'CAJA RADWELT 2X2 - 3 SALIDAS 3/4', '731', '4', '10472', '8800', '1.19', '10472', '1', '10472');</v>
      </c>
      <c r="P65" s="113" t="str">
        <f t="shared" si="4"/>
        <v>INSERT INTO materiales_2 (CODIGO, NOMBRE, COD_SIESA, ID_TIPO_UNIDAD, VALOR_UNITARIO, VALOR_COMPRA, IVA, VALOR_REAL, GANANCIA, VALOR_VENDIDO) VALUES ('45', 'CAJA RADWELT 2X2 - 3 SALIDAS 3/4', '731', '4', '10472', '8800', '1.19', '10472', '1', '10472');</v>
      </c>
    </row>
    <row r="66" spans="2:16" ht="20.25" customHeight="1">
      <c r="B66" s="216">
        <f t="shared" si="5"/>
        <v>46</v>
      </c>
      <c r="C66" s="354" t="s">
        <v>4450</v>
      </c>
      <c r="D66" s="355">
        <v>734</v>
      </c>
      <c r="E66" s="595">
        <v>4</v>
      </c>
      <c r="F66" s="1" t="s">
        <v>4127</v>
      </c>
      <c r="G66" s="601">
        <f t="shared" si="0"/>
        <v>15232</v>
      </c>
      <c r="H66" s="602">
        <v>12800</v>
      </c>
      <c r="I66" s="115">
        <v>1.19</v>
      </c>
      <c r="J66" s="608">
        <f t="shared" si="2"/>
        <v>15232</v>
      </c>
      <c r="K66" s="602">
        <v>1</v>
      </c>
      <c r="L66" s="602">
        <f t="shared" si="1"/>
        <v>15232</v>
      </c>
      <c r="M66" s="113">
        <f ca="1">SUMIF(APU!A:B,'Materiales '!C65,APU!I:I)</f>
        <v>0</v>
      </c>
      <c r="N66" s="593" t="s">
        <v>5014</v>
      </c>
      <c r="O66" s="113" t="str">
        <f t="shared" si="3"/>
        <v>'46', 'CAJA RADWELT 4X4 - 3 SALIDAS 3/4', '734', '4', '15232', '12800', '1.19', '15232', '1', '15232');</v>
      </c>
      <c r="P66" s="113" t="str">
        <f t="shared" si="4"/>
        <v>INSERT INTO materiales_2 (CODIGO, NOMBRE, COD_SIESA, ID_TIPO_UNIDAD, VALOR_UNITARIO, VALOR_COMPRA, IVA, VALOR_REAL, GANANCIA, VALOR_VENDIDO) VALUES ('46', 'CAJA RADWELT 4X4 - 3 SALIDAS 3/4', '734', '4', '15232', '12800', '1.19', '15232', '1', '15232');</v>
      </c>
    </row>
    <row r="67" spans="2:16" ht="15">
      <c r="B67" s="216">
        <f t="shared" si="5"/>
        <v>47</v>
      </c>
      <c r="C67" s="354" t="s">
        <v>4451</v>
      </c>
      <c r="D67" s="355">
        <v>6233</v>
      </c>
      <c r="E67" s="595">
        <v>4</v>
      </c>
      <c r="F67" s="1" t="s">
        <v>4127</v>
      </c>
      <c r="G67" s="601">
        <f t="shared" si="0"/>
        <v>96390</v>
      </c>
      <c r="H67" s="602">
        <v>81000</v>
      </c>
      <c r="I67" s="115">
        <v>1.19</v>
      </c>
      <c r="J67" s="608">
        <f t="shared" si="2"/>
        <v>96390</v>
      </c>
      <c r="K67" s="602">
        <v>1</v>
      </c>
      <c r="L67" s="602">
        <f t="shared" si="1"/>
        <v>96390</v>
      </c>
      <c r="M67" s="113">
        <f ca="1">SUMIF(APU!A:B,'Materiales '!C66,APU!I:I)</f>
        <v>0</v>
      </c>
      <c r="N67" s="593" t="s">
        <v>5014</v>
      </c>
      <c r="O67" s="113" t="str">
        <f t="shared" si="3"/>
        <v>'47', 'CAJA PREFABRICADA DE 30X30 CM', '6233', '4', '96390', '81000', '1.19', '96390', '1', '96390');</v>
      </c>
      <c r="P67" s="113" t="str">
        <f t="shared" si="4"/>
        <v>INSERT INTO materiales_2 (CODIGO, NOMBRE, COD_SIESA, ID_TIPO_UNIDAD, VALOR_UNITARIO, VALOR_COMPRA, IVA, VALOR_REAL, GANANCIA, VALOR_VENDIDO) VALUES ('47', 'CAJA PREFABRICADA DE 30X30 CM', '6233', '4', '96390', '81000', '1.19', '96390', '1', '96390');</v>
      </c>
    </row>
    <row r="68" spans="2:16" ht="15">
      <c r="B68" s="216">
        <f t="shared" si="5"/>
        <v>48</v>
      </c>
      <c r="C68" s="354" t="s">
        <v>4452</v>
      </c>
      <c r="D68" s="355">
        <v>10971</v>
      </c>
      <c r="E68" s="595">
        <v>4</v>
      </c>
      <c r="F68" s="1" t="s">
        <v>4127</v>
      </c>
      <c r="G68" s="601">
        <f t="shared" si="0"/>
        <v>158270</v>
      </c>
      <c r="H68" s="602">
        <v>133000</v>
      </c>
      <c r="I68" s="115">
        <v>1.19</v>
      </c>
      <c r="J68" s="608">
        <f t="shared" si="2"/>
        <v>158270</v>
      </c>
      <c r="K68" s="602">
        <v>1</v>
      </c>
      <c r="L68" s="602">
        <f t="shared" si="1"/>
        <v>158270</v>
      </c>
      <c r="M68" s="113">
        <f ca="1">SUMIF(APU!A:B,'Materiales '!C67,APU!I:I)</f>
        <v>0</v>
      </c>
      <c r="N68" s="593" t="s">
        <v>5014</v>
      </c>
      <c r="O68" s="113" t="str">
        <f t="shared" ref="O68:O131" si="38">"'"&amp;B68&amp;"', '"&amp;TRIM(UPPER(C68))&amp;"', '"&amp;D68&amp;"', '"&amp;E68&amp;"', '"&amp;G68&amp;"', '"&amp;H68&amp;"', '"&amp;SUBSTITUTE(I68,",",".")&amp;"', '"&amp;J68&amp;"', '"&amp;K68&amp;"', '"&amp;L68&amp;"');"</f>
        <v>'48', 'CAJA PREFABRICADA DE 40X40 CM', '10971', '4', '158270', '133000', '1.19', '158270', '1', '158270');</v>
      </c>
      <c r="P68" s="113" t="str">
        <f t="shared" ref="P68:P131" si="39">CONCATENATE(N68,O68)</f>
        <v>INSERT INTO materiales_2 (CODIGO, NOMBRE, COD_SIESA, ID_TIPO_UNIDAD, VALOR_UNITARIO, VALOR_COMPRA, IVA, VALOR_REAL, GANANCIA, VALOR_VENDIDO) VALUES ('48', 'CAJA PREFABRICADA DE 40X40 CM', '10971', '4', '158270', '133000', '1.19', '158270', '1', '158270');</v>
      </c>
    </row>
    <row r="69" spans="2:16" ht="15">
      <c r="B69" s="216">
        <f t="shared" si="5"/>
        <v>49</v>
      </c>
      <c r="C69" s="354" t="s">
        <v>4453</v>
      </c>
      <c r="D69" s="355">
        <v>808</v>
      </c>
      <c r="E69" s="595">
        <v>4</v>
      </c>
      <c r="F69" s="1" t="s">
        <v>4127</v>
      </c>
      <c r="G69" s="601">
        <f t="shared" si="0"/>
        <v>11155.06</v>
      </c>
      <c r="H69" s="602">
        <v>9374</v>
      </c>
      <c r="I69" s="115">
        <v>1.19</v>
      </c>
      <c r="J69" s="608">
        <f t="shared" si="2"/>
        <v>11155.06</v>
      </c>
      <c r="K69" s="602">
        <v>1</v>
      </c>
      <c r="L69" s="602">
        <f t="shared" si="1"/>
        <v>11155.06</v>
      </c>
      <c r="M69" s="113">
        <f ca="1">SUMIF(APU!A:B,'Materiales '!C68,APU!I:I)</f>
        <v>0</v>
      </c>
      <c r="N69" s="593" t="s">
        <v>5014</v>
      </c>
      <c r="O69" s="113" t="str">
        <f t="shared" si="38"/>
        <v>'49', 'CAPACETE GALVANIZADO DE 2"', '808', '4', '11155,06', '9374', '1.19', '11155,06', '1', '11155,06');</v>
      </c>
      <c r="P69" s="113" t="str">
        <f t="shared" si="39"/>
        <v>INSERT INTO materiales_2 (CODIGO, NOMBRE, COD_SIESA, ID_TIPO_UNIDAD, VALOR_UNITARIO, VALOR_COMPRA, IVA, VALOR_REAL, GANANCIA, VALOR_VENDIDO) VALUES ('49', 'CAPACETE GALVANIZADO DE 2"', '808', '4', '11155,06', '9374', '1.19', '11155,06', '1', '11155,06');</v>
      </c>
    </row>
    <row r="70" spans="2:16" ht="15">
      <c r="B70" s="216">
        <f t="shared" si="5"/>
        <v>50</v>
      </c>
      <c r="C70" s="354" t="s">
        <v>4454</v>
      </c>
      <c r="D70" s="355">
        <v>9994</v>
      </c>
      <c r="E70" s="595">
        <v>4</v>
      </c>
      <c r="F70" s="1" t="s">
        <v>4127</v>
      </c>
      <c r="G70" s="601">
        <f t="shared" si="0"/>
        <v>6240.36</v>
      </c>
      <c r="H70" s="602">
        <v>5244</v>
      </c>
      <c r="I70" s="115">
        <v>1.19</v>
      </c>
      <c r="J70" s="608">
        <f t="shared" si="2"/>
        <v>6240.36</v>
      </c>
      <c r="K70" s="602">
        <v>1</v>
      </c>
      <c r="L70" s="602">
        <f t="shared" si="1"/>
        <v>6240.36</v>
      </c>
      <c r="M70" s="113">
        <f ca="1">SUMIF(APU!A:B,'Materiales '!C69,APU!I:I)</f>
        <v>0</v>
      </c>
      <c r="N70" s="593" t="s">
        <v>5014</v>
      </c>
      <c r="O70" s="113" t="str">
        <f t="shared" si="38"/>
        <v>'50', 'CAPACETE GALVANIZADO DE 1 1/2"', '9994', '4', '6240,36', '5244', '1.19', '6240,36', '1', '6240,36');</v>
      </c>
      <c r="P70" s="113" t="str">
        <f t="shared" si="39"/>
        <v>INSERT INTO materiales_2 (CODIGO, NOMBRE, COD_SIESA, ID_TIPO_UNIDAD, VALOR_UNITARIO, VALOR_COMPRA, IVA, VALOR_REAL, GANANCIA, VALOR_VENDIDO) VALUES ('50', 'CAPACETE GALVANIZADO DE 1 1/2"', '9994', '4', '6240,36', '5244', '1.19', '6240,36', '1', '6240,36');</v>
      </c>
    </row>
    <row r="71" spans="2:16" ht="15">
      <c r="B71" s="216">
        <f t="shared" si="5"/>
        <v>51</v>
      </c>
      <c r="C71" s="354" t="s">
        <v>4455</v>
      </c>
      <c r="D71" s="355">
        <v>809</v>
      </c>
      <c r="E71" s="595">
        <v>4</v>
      </c>
      <c r="F71" s="1" t="s">
        <v>4127</v>
      </c>
      <c r="G71" s="601">
        <f t="shared" si="0"/>
        <v>2499</v>
      </c>
      <c r="H71" s="602">
        <v>2100</v>
      </c>
      <c r="I71" s="115">
        <v>1.19</v>
      </c>
      <c r="J71" s="608">
        <f t="shared" si="2"/>
        <v>2499</v>
      </c>
      <c r="K71" s="602">
        <v>1</v>
      </c>
      <c r="L71" s="602">
        <f t="shared" si="1"/>
        <v>2499</v>
      </c>
      <c r="M71" s="113">
        <f ca="1">SUMIF(APU!A:B,'Materiales '!C70,APU!I:I)</f>
        <v>0</v>
      </c>
      <c r="N71" s="593" t="s">
        <v>5014</v>
      </c>
      <c r="O71" s="113" t="str">
        <f t="shared" si="38"/>
        <v>'51', 'CAPACETE GALVANIZADO DE 1"', '809', '4', '2499', '2100', '1.19', '2499', '1', '2499');</v>
      </c>
      <c r="P71" s="113" t="str">
        <f t="shared" si="39"/>
        <v>INSERT INTO materiales_2 (CODIGO, NOMBRE, COD_SIESA, ID_TIPO_UNIDAD, VALOR_UNITARIO, VALOR_COMPRA, IVA, VALOR_REAL, GANANCIA, VALOR_VENDIDO) VALUES ('51', 'CAPACETE GALVANIZADO DE 1"', '809', '4', '2499', '2100', '1.19', '2499', '1', '2499');</v>
      </c>
    </row>
    <row r="72" spans="2:16" ht="15">
      <c r="B72" s="216">
        <f t="shared" si="5"/>
        <v>52</v>
      </c>
      <c r="C72" s="354" t="s">
        <v>4456</v>
      </c>
      <c r="D72" s="355">
        <v>807</v>
      </c>
      <c r="E72" s="595">
        <v>4</v>
      </c>
      <c r="F72" s="1" t="s">
        <v>4127</v>
      </c>
      <c r="G72" s="601">
        <f t="shared" si="0"/>
        <v>2462.1099999999997</v>
      </c>
      <c r="H72" s="602">
        <v>2069</v>
      </c>
      <c r="I72" s="115">
        <v>1.19</v>
      </c>
      <c r="J72" s="608">
        <f t="shared" si="2"/>
        <v>2462.1099999999997</v>
      </c>
      <c r="K72" s="602">
        <v>1</v>
      </c>
      <c r="L72" s="602">
        <f t="shared" si="1"/>
        <v>2462.1099999999997</v>
      </c>
      <c r="M72" s="113">
        <f ca="1">SUMIF(APU!A:B,'Materiales '!C71,APU!I:I)</f>
        <v>0</v>
      </c>
      <c r="N72" s="593" t="s">
        <v>5014</v>
      </c>
      <c r="O72" s="113" t="str">
        <f t="shared" si="38"/>
        <v>'52', 'CAPACETE GALVANIZADO DE 3/4"', '807', '4', '2462,11', '2069', '1.19', '2462,11', '1', '2462,11');</v>
      </c>
      <c r="P72" s="113" t="str">
        <f t="shared" si="39"/>
        <v>INSERT INTO materiales_2 (CODIGO, NOMBRE, COD_SIESA, ID_TIPO_UNIDAD, VALOR_UNITARIO, VALOR_COMPRA, IVA, VALOR_REAL, GANANCIA, VALOR_VENDIDO) VALUES ('52', 'CAPACETE GALVANIZADO DE 3/4"', '807', '4', '2462,11', '2069', '1.19', '2462,11', '1', '2462,11');</v>
      </c>
    </row>
    <row r="73" spans="2:16" ht="15">
      <c r="B73" s="216">
        <f>B71+1</f>
        <v>52</v>
      </c>
      <c r="C73" s="356" t="s">
        <v>4617</v>
      </c>
      <c r="D73" s="355"/>
      <c r="E73" s="595">
        <v>3</v>
      </c>
      <c r="F73" s="1" t="s">
        <v>1249</v>
      </c>
      <c r="G73" s="601">
        <f t="shared" ref="G73" si="40">L73</f>
        <v>115192</v>
      </c>
      <c r="H73" s="602">
        <f>(23000)+(9300*2)+(18400*3)</f>
        <v>96800</v>
      </c>
      <c r="I73" s="115">
        <v>1.19</v>
      </c>
      <c r="J73" s="608">
        <f t="shared" si="2"/>
        <v>115192</v>
      </c>
      <c r="K73" s="602">
        <v>1</v>
      </c>
      <c r="L73" s="602">
        <f t="shared" si="1"/>
        <v>115192</v>
      </c>
      <c r="M73" s="113">
        <f ca="1">SUMIF(APU!A:B,'Materiales '!C71,APU!I:I)</f>
        <v>0</v>
      </c>
      <c r="N73" s="593" t="s">
        <v>5014</v>
      </c>
      <c r="O73" s="113" t="str">
        <f t="shared" si="38"/>
        <v>'52', 'CIMENTACION CONCRETO 3000 PSI', '', '3', '115192', '96800', '1.19', '115192', '1', '115192');</v>
      </c>
      <c r="P73" s="113" t="str">
        <f t="shared" si="39"/>
        <v>INSERT INTO materiales_2 (CODIGO, NOMBRE, COD_SIESA, ID_TIPO_UNIDAD, VALOR_UNITARIO, VALOR_COMPRA, IVA, VALOR_REAL, GANANCIA, VALOR_VENDIDO) VALUES ('52', 'CIMENTACION CONCRETO 3000 PSI', '', '3', '115192', '96800', '1.19', '115192', '1', '115192');</v>
      </c>
    </row>
    <row r="74" spans="2:16" ht="15">
      <c r="B74" s="216">
        <f>B72+1</f>
        <v>53</v>
      </c>
      <c r="C74" s="356" t="s">
        <v>4457</v>
      </c>
      <c r="D74" s="355">
        <v>971</v>
      </c>
      <c r="E74" s="595">
        <v>3</v>
      </c>
      <c r="F74" s="1" t="s">
        <v>1249</v>
      </c>
      <c r="G74" s="601">
        <f t="shared" si="0"/>
        <v>38199</v>
      </c>
      <c r="H74" s="602">
        <v>32100</v>
      </c>
      <c r="I74" s="115">
        <v>1.19</v>
      </c>
      <c r="J74" s="608">
        <f t="shared" si="2"/>
        <v>38199</v>
      </c>
      <c r="K74" s="602">
        <v>1</v>
      </c>
      <c r="L74" s="602">
        <f t="shared" si="1"/>
        <v>38199</v>
      </c>
      <c r="M74" s="113">
        <f ca="1">SUMIF(APU!A:B,'Materiales '!C72,APU!I:I)</f>
        <v>0</v>
      </c>
      <c r="N74" s="593" t="s">
        <v>5014</v>
      </c>
      <c r="O74" s="113" t="str">
        <f t="shared" si="38"/>
        <v>'53', 'CINTA AISLANTE 23', '971', '3', '38199', '32100', '1.19', '38199', '1', '38199');</v>
      </c>
      <c r="P74" s="113" t="str">
        <f t="shared" si="39"/>
        <v>INSERT INTO materiales_2 (CODIGO, NOMBRE, COD_SIESA, ID_TIPO_UNIDAD, VALOR_UNITARIO, VALOR_COMPRA, IVA, VALOR_REAL, GANANCIA, VALOR_VENDIDO) VALUES ('53', 'CINTA AISLANTE 23', '971', '3', '38199', '32100', '1.19', '38199', '1', '38199');</v>
      </c>
    </row>
    <row r="75" spans="2:16" ht="15">
      <c r="B75" s="216">
        <f t="shared" si="5"/>
        <v>54</v>
      </c>
      <c r="C75" s="356" t="s">
        <v>4458</v>
      </c>
      <c r="D75" s="355">
        <v>968</v>
      </c>
      <c r="E75" s="595">
        <v>3</v>
      </c>
      <c r="F75" s="1" t="s">
        <v>1249</v>
      </c>
      <c r="G75" s="601">
        <f t="shared" si="0"/>
        <v>16660</v>
      </c>
      <c r="H75" s="602">
        <v>14000</v>
      </c>
      <c r="I75" s="115">
        <v>1.19</v>
      </c>
      <c r="J75" s="608">
        <f t="shared" si="2"/>
        <v>16660</v>
      </c>
      <c r="K75" s="602">
        <v>1</v>
      </c>
      <c r="L75" s="602">
        <f t="shared" si="1"/>
        <v>16660</v>
      </c>
      <c r="M75" s="113">
        <f ca="1">SUMIF(APU!A:B,'Materiales '!C74,APU!I:I)</f>
        <v>0</v>
      </c>
      <c r="N75" s="593" t="s">
        <v>5014</v>
      </c>
      <c r="O75" s="113" t="str">
        <f t="shared" si="38"/>
        <v>'54', 'CINTA AISLANTE SUPER 33', '968', '3', '16660', '14000', '1.19', '16660', '1', '16660');</v>
      </c>
      <c r="P75" s="113" t="str">
        <f t="shared" si="39"/>
        <v>INSERT INTO materiales_2 (CODIGO, NOMBRE, COD_SIESA, ID_TIPO_UNIDAD, VALOR_UNITARIO, VALOR_COMPRA, IVA, VALOR_REAL, GANANCIA, VALOR_VENDIDO) VALUES ('54', 'CINTA AISLANTE SUPER 33', '968', '3', '16660', '14000', '1.19', '16660', '1', '16660');</v>
      </c>
    </row>
    <row r="76" spans="2:16" ht="15">
      <c r="B76" s="216">
        <f t="shared" si="5"/>
        <v>55</v>
      </c>
      <c r="C76" s="356" t="s">
        <v>4459</v>
      </c>
      <c r="D76" s="355">
        <v>1007</v>
      </c>
      <c r="E76" s="595">
        <v>3</v>
      </c>
      <c r="F76" s="1" t="s">
        <v>1249</v>
      </c>
      <c r="G76" s="601">
        <f t="shared" si="0"/>
        <v>3267.145</v>
      </c>
      <c r="H76" s="602">
        <v>2745.5</v>
      </c>
      <c r="I76" s="115">
        <v>1.19</v>
      </c>
      <c r="J76" s="608">
        <f t="shared" si="2"/>
        <v>3267.145</v>
      </c>
      <c r="K76" s="602">
        <v>1</v>
      </c>
      <c r="L76" s="602">
        <f t="shared" si="1"/>
        <v>3267.145</v>
      </c>
      <c r="M76" s="113">
        <f ca="1">SUMIF(APU!A:B,'Materiales '!C75,APU!I:I)</f>
        <v>0</v>
      </c>
      <c r="N76" s="593" t="s">
        <v>5014</v>
      </c>
      <c r="O76" s="113" t="str">
        <f t="shared" si="38"/>
        <v>'55', 'CINTA AISLANTE TEMFLEX COLOR ROJO', '1007', '3', '3267,145', '2745,5', '1.19', '3267,145', '1', '3267,145');</v>
      </c>
      <c r="P76" s="113" t="str">
        <f t="shared" si="39"/>
        <v>INSERT INTO materiales_2 (CODIGO, NOMBRE, COD_SIESA, ID_TIPO_UNIDAD, VALOR_UNITARIO, VALOR_COMPRA, IVA, VALOR_REAL, GANANCIA, VALOR_VENDIDO) VALUES ('55', 'CINTA AISLANTE TEMFLEX COLOR ROJO', '1007', '3', '3267,145', '2745,5', '1.19', '3267,145', '1', '3267,145');</v>
      </c>
    </row>
    <row r="77" spans="2:16" ht="15">
      <c r="B77" s="216">
        <f t="shared" si="5"/>
        <v>56</v>
      </c>
      <c r="C77" s="356" t="s">
        <v>4460</v>
      </c>
      <c r="D77" s="355">
        <v>1004</v>
      </c>
      <c r="E77" s="595">
        <v>3</v>
      </c>
      <c r="F77" s="1" t="s">
        <v>1249</v>
      </c>
      <c r="G77" s="601">
        <f t="shared" si="0"/>
        <v>3267.145</v>
      </c>
      <c r="H77" s="602">
        <v>2745.5</v>
      </c>
      <c r="I77" s="115">
        <v>1.19</v>
      </c>
      <c r="J77" s="608">
        <f t="shared" si="2"/>
        <v>3267.145</v>
      </c>
      <c r="K77" s="602">
        <v>1</v>
      </c>
      <c r="L77" s="602">
        <f t="shared" si="1"/>
        <v>3267.145</v>
      </c>
      <c r="M77" s="113">
        <f ca="1">SUMIF(APU!A:B,'Materiales '!#REF!,APU!I:I)</f>
        <v>0</v>
      </c>
      <c r="N77" s="593" t="s">
        <v>5014</v>
      </c>
      <c r="O77" s="113" t="str">
        <f t="shared" si="38"/>
        <v>'56', 'CINTA AISLANTE TEMFLEX COLOR BLANCO', '1004', '3', '3267,145', '2745,5', '1.19', '3267,145', '1', '3267,145');</v>
      </c>
      <c r="P77" s="113" t="str">
        <f t="shared" si="39"/>
        <v>INSERT INTO materiales_2 (CODIGO, NOMBRE, COD_SIESA, ID_TIPO_UNIDAD, VALOR_UNITARIO, VALOR_COMPRA, IVA, VALOR_REAL, GANANCIA, VALOR_VENDIDO) VALUES ('56', 'CINTA AISLANTE TEMFLEX COLOR BLANCO', '1004', '3', '3267,145', '2745,5', '1.19', '3267,145', '1', '3267,145');</v>
      </c>
    </row>
    <row r="78" spans="2:16" ht="15">
      <c r="B78" s="216">
        <f t="shared" si="5"/>
        <v>57</v>
      </c>
      <c r="C78" s="356" t="s">
        <v>4461</v>
      </c>
      <c r="D78" s="355">
        <v>1008</v>
      </c>
      <c r="E78" s="595">
        <v>3</v>
      </c>
      <c r="F78" s="1" t="s">
        <v>1249</v>
      </c>
      <c r="G78" s="601">
        <f t="shared" si="0"/>
        <v>3266.5499999999997</v>
      </c>
      <c r="H78" s="602">
        <v>2745</v>
      </c>
      <c r="I78" s="115">
        <v>1.19</v>
      </c>
      <c r="J78" s="608">
        <f t="shared" si="2"/>
        <v>3266.5499999999997</v>
      </c>
      <c r="K78" s="602">
        <v>1</v>
      </c>
      <c r="L78" s="602">
        <f t="shared" si="1"/>
        <v>3266.5499999999997</v>
      </c>
      <c r="N78" s="593" t="s">
        <v>5014</v>
      </c>
      <c r="O78" s="113" t="str">
        <f t="shared" si="38"/>
        <v>'57', 'CINTA AISLANTE TEMFLEX COLOR VERDE', '1008', '3', '3266,55', '2745', '1.19', '3266,55', '1', '3266,55');</v>
      </c>
      <c r="P78" s="113" t="str">
        <f t="shared" si="39"/>
        <v>INSERT INTO materiales_2 (CODIGO, NOMBRE, COD_SIESA, ID_TIPO_UNIDAD, VALOR_UNITARIO, VALOR_COMPRA, IVA, VALOR_REAL, GANANCIA, VALOR_VENDIDO) VALUES ('57', 'CINTA AISLANTE TEMFLEX COLOR VERDE', '1008', '3', '3266,55', '2745', '1.19', '3266,55', '1', '3266,55');</v>
      </c>
    </row>
    <row r="79" spans="2:16" ht="15">
      <c r="B79" s="216">
        <f t="shared" si="5"/>
        <v>58</v>
      </c>
      <c r="C79" s="356" t="s">
        <v>4462</v>
      </c>
      <c r="D79" s="355">
        <v>998</v>
      </c>
      <c r="E79" s="595">
        <v>3</v>
      </c>
      <c r="F79" s="1" t="s">
        <v>1249</v>
      </c>
      <c r="G79" s="601">
        <f t="shared" si="0"/>
        <v>20230</v>
      </c>
      <c r="H79" s="602">
        <v>17000</v>
      </c>
      <c r="I79" s="115">
        <v>1.19</v>
      </c>
      <c r="J79" s="608">
        <f t="shared" si="2"/>
        <v>20230</v>
      </c>
      <c r="K79" s="602">
        <v>1</v>
      </c>
      <c r="L79" s="602">
        <f t="shared" si="1"/>
        <v>20230</v>
      </c>
      <c r="M79" s="113">
        <f ca="1">SUMIF(APU!A:B,'Materiales '!C81,APU!I:I)</f>
        <v>0</v>
      </c>
      <c r="N79" s="593" t="s">
        <v>5014</v>
      </c>
      <c r="O79" s="113" t="str">
        <f t="shared" si="38"/>
        <v>'58', 'CINTA SEÑALIZACION AMARILLO NEGRO PELIGRO', '998', '3', '20230', '17000', '1.19', '20230', '1', '20230');</v>
      </c>
      <c r="P79" s="113" t="str">
        <f t="shared" si="39"/>
        <v>INSERT INTO materiales_2 (CODIGO, NOMBRE, COD_SIESA, ID_TIPO_UNIDAD, VALOR_UNITARIO, VALOR_COMPRA, IVA, VALOR_REAL, GANANCIA, VALOR_VENDIDO) VALUES ('58', 'CINTA SEÑALIZACION AMARILLO NEGRO PELIGRO', '998', '3', '20230', '17000', '1.19', '20230', '1', '20230');</v>
      </c>
    </row>
    <row r="80" spans="2:16" ht="15">
      <c r="B80" s="216">
        <f t="shared" si="5"/>
        <v>59</v>
      </c>
      <c r="C80" s="354" t="s">
        <v>4463</v>
      </c>
      <c r="D80" s="355">
        <v>7324</v>
      </c>
      <c r="E80" s="595">
        <v>2</v>
      </c>
      <c r="F80" s="1" t="s">
        <v>170</v>
      </c>
      <c r="G80" s="601">
        <f t="shared" si="0"/>
        <v>1720.7756999999999</v>
      </c>
      <c r="H80" s="602">
        <v>1446.03</v>
      </c>
      <c r="I80" s="115">
        <v>1.19</v>
      </c>
      <c r="J80" s="608">
        <f t="shared" si="2"/>
        <v>1720.7756999999999</v>
      </c>
      <c r="K80" s="602">
        <v>1</v>
      </c>
      <c r="L80" s="602">
        <f t="shared" si="1"/>
        <v>1720.7756999999999</v>
      </c>
      <c r="M80" s="113">
        <f ca="1">SUMIF(APU!A:B,'Materiales '!C80,APU!I:I)</f>
        <v>0</v>
      </c>
      <c r="N80" s="593" t="s">
        <v>5014</v>
      </c>
      <c r="O80" s="113" t="str">
        <f t="shared" si="38"/>
        <v>'59', 'CINTA BANDIT 1/2" EN ACERO MARCA EAGLE O SIMILAR', '7324', '2', '1720,7757', '1446,03', '1.19', '1720,7757', '1', '1720,7757');</v>
      </c>
      <c r="P80" s="113" t="str">
        <f t="shared" si="39"/>
        <v>INSERT INTO materiales_2 (CODIGO, NOMBRE, COD_SIESA, ID_TIPO_UNIDAD, VALOR_UNITARIO, VALOR_COMPRA, IVA, VALOR_REAL, GANANCIA, VALOR_VENDIDO) VALUES ('59', 'CINTA BANDIT 1/2" EN ACERO MARCA EAGLE O SIMILAR', '7324', '2', '1720,7757', '1446,03', '1.19', '1720,7757', '1', '1720,7757');</v>
      </c>
    </row>
    <row r="81" spans="2:16" ht="15">
      <c r="B81" s="216">
        <f t="shared" si="5"/>
        <v>60</v>
      </c>
      <c r="C81" s="354" t="s">
        <v>4464</v>
      </c>
      <c r="D81" s="355">
        <v>973</v>
      </c>
      <c r="E81" s="595">
        <v>2</v>
      </c>
      <c r="F81" s="1" t="s">
        <v>170</v>
      </c>
      <c r="G81" s="601">
        <f t="shared" si="0"/>
        <v>2082.5</v>
      </c>
      <c r="H81" s="602">
        <v>1750</v>
      </c>
      <c r="I81" s="115">
        <v>1.19</v>
      </c>
      <c r="J81" s="608">
        <f t="shared" si="2"/>
        <v>2082.5</v>
      </c>
      <c r="K81" s="602">
        <v>1</v>
      </c>
      <c r="L81" s="602">
        <f t="shared" si="1"/>
        <v>2082.5</v>
      </c>
      <c r="M81" s="113">
        <f ca="1">SUMIF(APU!A:B,'Materiales '!C79,APU!I:I)</f>
        <v>0</v>
      </c>
      <c r="N81" s="593" t="s">
        <v>5014</v>
      </c>
      <c r="O81" s="113" t="str">
        <f t="shared" si="38"/>
        <v>'60', 'CINTA BANDIT 5/8" EN ACERO MARCA EAGLE O SIMILAR', '973', '2', '2082,5', '1750', '1.19', '2082,5', '1', '2082,5');</v>
      </c>
      <c r="P81" s="113" t="str">
        <f t="shared" si="39"/>
        <v>INSERT INTO materiales_2 (CODIGO, NOMBRE, COD_SIESA, ID_TIPO_UNIDAD, VALOR_UNITARIO, VALOR_COMPRA, IVA, VALOR_REAL, GANANCIA, VALOR_VENDIDO) VALUES ('60', 'CINTA BANDIT 5/8" EN ACERO MARCA EAGLE O SIMILAR', '973', '2', '2082,5', '1750', '1.19', '2082,5', '1', '2082,5');</v>
      </c>
    </row>
    <row r="82" spans="2:16" ht="15">
      <c r="B82" s="216">
        <f t="shared" si="5"/>
        <v>61</v>
      </c>
      <c r="C82" s="354" t="s">
        <v>4465</v>
      </c>
      <c r="D82" s="355">
        <v>972</v>
      </c>
      <c r="E82" s="595">
        <v>2</v>
      </c>
      <c r="F82" s="1" t="s">
        <v>170</v>
      </c>
      <c r="G82" s="601">
        <f t="shared" si="0"/>
        <v>3110.66</v>
      </c>
      <c r="H82" s="602">
        <v>2614</v>
      </c>
      <c r="I82" s="115">
        <v>1.19</v>
      </c>
      <c r="J82" s="608">
        <f t="shared" si="2"/>
        <v>3110.66</v>
      </c>
      <c r="K82" s="602">
        <v>1</v>
      </c>
      <c r="L82" s="602">
        <f t="shared" si="1"/>
        <v>3110.66</v>
      </c>
      <c r="M82" s="113">
        <f ca="1">SUMIF(APU!A:B,'Materiales '!C78,APU!I:I)</f>
        <v>0</v>
      </c>
      <c r="N82" s="593" t="s">
        <v>5014</v>
      </c>
      <c r="O82" s="113" t="str">
        <f t="shared" si="38"/>
        <v>'61', 'CINTA BANDIT 3/4" EN ACERO MARCA EAGLE O SIMILAR', '972', '2', '3110,66', '2614', '1.19', '3110,66', '1', '3110,66');</v>
      </c>
      <c r="P82" s="113" t="str">
        <f t="shared" si="39"/>
        <v>INSERT INTO materiales_2 (CODIGO, NOMBRE, COD_SIESA, ID_TIPO_UNIDAD, VALOR_UNITARIO, VALOR_COMPRA, IVA, VALOR_REAL, GANANCIA, VALOR_VENDIDO) VALUES ('61', 'CINTA BANDIT 3/4" EN ACERO MARCA EAGLE O SIMILAR', '972', '2', '3110,66', '2614', '1.19', '3110,66', '1', '3110,66');</v>
      </c>
    </row>
    <row r="83" spans="2:16" ht="15">
      <c r="B83" s="216">
        <f t="shared" si="5"/>
        <v>62</v>
      </c>
      <c r="C83" s="356" t="s">
        <v>4466</v>
      </c>
      <c r="D83" s="355">
        <v>5360</v>
      </c>
      <c r="E83" s="595">
        <v>4</v>
      </c>
      <c r="F83" s="1" t="s">
        <v>4127</v>
      </c>
      <c r="G83" s="601">
        <f t="shared" si="0"/>
        <v>14042</v>
      </c>
      <c r="H83" s="602">
        <v>11800</v>
      </c>
      <c r="I83" s="115">
        <v>1.19</v>
      </c>
      <c r="J83" s="608">
        <f t="shared" si="2"/>
        <v>14042</v>
      </c>
      <c r="K83" s="602">
        <v>1</v>
      </c>
      <c r="L83" s="602">
        <f t="shared" ref="L83:L149" si="41">K83*J83</f>
        <v>14042</v>
      </c>
      <c r="M83" s="113">
        <f ca="1">SUMIF(APU!A:B,'Materiales '!C76,APU!I:I)</f>
        <v>0</v>
      </c>
      <c r="N83" s="593" t="s">
        <v>5014</v>
      </c>
      <c r="O83" s="113" t="str">
        <f t="shared" si="38"/>
        <v>'62', 'COLLARIN DE 5" A 6" UNA SALIDA CON TORNILLOS 5/8 X 4"', '5360', '4', '14042', '11800', '1.19', '14042', '1', '14042');</v>
      </c>
      <c r="P83" s="113" t="str">
        <f t="shared" si="39"/>
        <v>INSERT INTO materiales_2 (CODIGO, NOMBRE, COD_SIESA, ID_TIPO_UNIDAD, VALOR_UNITARIO, VALOR_COMPRA, IVA, VALOR_REAL, GANANCIA, VALOR_VENDIDO) VALUES ('62', 'COLLARIN DE 5" A 6" UNA SALIDA CON TORNILLOS 5/8 X 4"', '5360', '4', '14042', '11800', '1.19', '14042', '1', '14042');</v>
      </c>
    </row>
    <row r="84" spans="2:16" ht="15">
      <c r="B84" s="216">
        <f t="shared" si="5"/>
        <v>63</v>
      </c>
      <c r="C84" s="356" t="s">
        <v>4467</v>
      </c>
      <c r="D84" s="355">
        <v>6740</v>
      </c>
      <c r="E84" s="595">
        <v>4</v>
      </c>
      <c r="F84" s="1" t="s">
        <v>4127</v>
      </c>
      <c r="G84" s="601">
        <f t="shared" si="0"/>
        <v>14339.5</v>
      </c>
      <c r="H84" s="602">
        <v>12050</v>
      </c>
      <c r="I84" s="115">
        <v>1.19</v>
      </c>
      <c r="J84" s="608">
        <f t="shared" ref="J84:J150" si="42">I84*H84</f>
        <v>14339.5</v>
      </c>
      <c r="K84" s="602">
        <v>1</v>
      </c>
      <c r="L84" s="602">
        <f t="shared" si="41"/>
        <v>14339.5</v>
      </c>
      <c r="M84" s="113">
        <f ca="1">SUMIF(APU!A:B,'Materiales '!C82,APU!I:I)</f>
        <v>0</v>
      </c>
      <c r="N84" s="593" t="s">
        <v>5014</v>
      </c>
      <c r="O84" s="113" t="str">
        <f t="shared" si="38"/>
        <v>'63', 'COLLARIN DE 5" A 6" DOS SALIDAS CON TORNILLOS 5/8 X 4"', '6740', '4', '14339,5', '12050', '1.19', '14339,5', '1', '14339,5');</v>
      </c>
      <c r="P84" s="113" t="str">
        <f t="shared" si="39"/>
        <v>INSERT INTO materiales_2 (CODIGO, NOMBRE, COD_SIESA, ID_TIPO_UNIDAD, VALOR_UNITARIO, VALOR_COMPRA, IVA, VALOR_REAL, GANANCIA, VALOR_VENDIDO) VALUES ('63', 'COLLARIN DE 5" A 6" DOS SALIDAS CON TORNILLOS 5/8 X 4"', '6740', '4', '14339,5', '12050', '1.19', '14339,5', '1', '14339,5');</v>
      </c>
    </row>
    <row r="85" spans="2:16" ht="15">
      <c r="B85" s="216">
        <f t="shared" si="5"/>
        <v>64</v>
      </c>
      <c r="C85" s="354" t="s">
        <v>4468</v>
      </c>
      <c r="D85" s="355">
        <v>9607</v>
      </c>
      <c r="E85" s="595">
        <v>4</v>
      </c>
      <c r="F85" s="1" t="s">
        <v>4127</v>
      </c>
      <c r="G85" s="601">
        <f t="shared" si="0"/>
        <v>15351</v>
      </c>
      <c r="H85" s="602">
        <v>12900</v>
      </c>
      <c r="I85" s="115">
        <v>1.19</v>
      </c>
      <c r="J85" s="608">
        <f t="shared" si="42"/>
        <v>15351</v>
      </c>
      <c r="K85" s="602">
        <v>1</v>
      </c>
      <c r="L85" s="602">
        <f t="shared" si="41"/>
        <v>15351</v>
      </c>
      <c r="M85" s="113">
        <f ca="1">SUMIF(APU!A:B,'Materiales '!C83,APU!I:I)</f>
        <v>0</v>
      </c>
      <c r="N85" s="593" t="s">
        <v>5014</v>
      </c>
      <c r="O85" s="113" t="str">
        <f t="shared" si="38"/>
        <v>'64', 'COLLARIN DE 6" A 7" UNA SALIDA CON TORNILLOS 5/8 X 4"', '9607', '4', '15351', '12900', '1.19', '15351', '1', '15351');</v>
      </c>
      <c r="P85" s="113" t="str">
        <f t="shared" si="39"/>
        <v>INSERT INTO materiales_2 (CODIGO, NOMBRE, COD_SIESA, ID_TIPO_UNIDAD, VALOR_UNITARIO, VALOR_COMPRA, IVA, VALOR_REAL, GANANCIA, VALOR_VENDIDO) VALUES ('64', 'COLLARIN DE 6" A 7" UNA SALIDA CON TORNILLOS 5/8 X 4"', '9607', '4', '15351', '12900', '1.19', '15351', '1', '15351');</v>
      </c>
    </row>
    <row r="86" spans="2:16" ht="15">
      <c r="B86" s="216">
        <f t="shared" si="5"/>
        <v>65</v>
      </c>
      <c r="C86" s="354" t="s">
        <v>4469</v>
      </c>
      <c r="D86" s="355">
        <v>9604</v>
      </c>
      <c r="E86" s="595">
        <v>4</v>
      </c>
      <c r="F86" s="1" t="s">
        <v>4127</v>
      </c>
      <c r="G86" s="601">
        <f t="shared" ref="G86:G196" si="43">L86</f>
        <v>15922.199999999999</v>
      </c>
      <c r="H86" s="602">
        <v>13380</v>
      </c>
      <c r="I86" s="115">
        <v>1.19</v>
      </c>
      <c r="J86" s="608">
        <f t="shared" si="42"/>
        <v>15922.199999999999</v>
      </c>
      <c r="K86" s="602">
        <v>1</v>
      </c>
      <c r="L86" s="602">
        <f t="shared" si="41"/>
        <v>15922.199999999999</v>
      </c>
      <c r="M86" s="113">
        <f ca="1">SUMIF(APU!A:B,'Materiales '!C84,APU!I:I)</f>
        <v>0</v>
      </c>
      <c r="N86" s="593" t="s">
        <v>5014</v>
      </c>
      <c r="O86" s="113" t="str">
        <f t="shared" si="38"/>
        <v>'65', 'COLLARIN DE 6" A 7" DOS SALIDAS CON TORNILLOS 5/8 X 4"', '9604', '4', '15922,2', '13380', '1.19', '15922,2', '1', '15922,2');</v>
      </c>
      <c r="P86" s="113" t="str">
        <f t="shared" si="39"/>
        <v>INSERT INTO materiales_2 (CODIGO, NOMBRE, COD_SIESA, ID_TIPO_UNIDAD, VALOR_UNITARIO, VALOR_COMPRA, IVA, VALOR_REAL, GANANCIA, VALOR_VENDIDO) VALUES ('65', 'COLLARIN DE 6" A 7" DOS SALIDAS CON TORNILLOS 5/8 X 4"', '9604', '4', '15922,2', '13380', '1.19', '15922,2', '1', '15922,2');</v>
      </c>
    </row>
    <row r="87" spans="2:16" ht="15">
      <c r="B87" s="216">
        <f t="shared" si="5"/>
        <v>66</v>
      </c>
      <c r="C87" s="354" t="s">
        <v>4470</v>
      </c>
      <c r="D87" s="355">
        <v>1124</v>
      </c>
      <c r="E87" s="595">
        <v>4</v>
      </c>
      <c r="F87" s="1" t="s">
        <v>4127</v>
      </c>
      <c r="G87" s="601">
        <f t="shared" si="43"/>
        <v>15940.05</v>
      </c>
      <c r="H87" s="602">
        <v>13395</v>
      </c>
      <c r="I87" s="115">
        <v>1.19</v>
      </c>
      <c r="J87" s="608">
        <f t="shared" si="42"/>
        <v>15940.05</v>
      </c>
      <c r="K87" s="602">
        <v>1</v>
      </c>
      <c r="L87" s="602">
        <f t="shared" si="41"/>
        <v>15940.05</v>
      </c>
      <c r="M87" s="113">
        <f ca="1">SUMIF(APU!A:B,'Materiales '!C85,APU!I:I)</f>
        <v>0</v>
      </c>
      <c r="N87" s="593" t="s">
        <v>5014</v>
      </c>
      <c r="O87" s="113" t="str">
        <f t="shared" si="38"/>
        <v>'66', 'COLLARIN DE 7" A 8" UNA SALIDA CON TORNILLOS 5/8 X 10"', '1124', '4', '15940,05', '13395', '1.19', '15940,05', '1', '15940,05');</v>
      </c>
      <c r="P87" s="113" t="str">
        <f t="shared" si="39"/>
        <v>INSERT INTO materiales_2 (CODIGO, NOMBRE, COD_SIESA, ID_TIPO_UNIDAD, VALOR_UNITARIO, VALOR_COMPRA, IVA, VALOR_REAL, GANANCIA, VALOR_VENDIDO) VALUES ('66', 'COLLARIN DE 7" A 8" UNA SALIDA CON TORNILLOS 5/8 X 10"', '1124', '4', '15940,05', '13395', '1.19', '15940,05', '1', '15940,05');</v>
      </c>
    </row>
    <row r="88" spans="2:16" ht="15">
      <c r="B88" s="216">
        <f t="shared" ref="B88:B197" si="44">B87+1</f>
        <v>67</v>
      </c>
      <c r="C88" s="354" t="s">
        <v>4471</v>
      </c>
      <c r="D88" s="355">
        <v>7446</v>
      </c>
      <c r="E88" s="595">
        <v>4</v>
      </c>
      <c r="F88" s="1" t="s">
        <v>4127</v>
      </c>
      <c r="G88" s="601">
        <f t="shared" si="43"/>
        <v>16065</v>
      </c>
      <c r="H88" s="602">
        <v>13500</v>
      </c>
      <c r="I88" s="115">
        <v>1.19</v>
      </c>
      <c r="J88" s="608">
        <f t="shared" si="42"/>
        <v>16065</v>
      </c>
      <c r="K88" s="602">
        <v>1</v>
      </c>
      <c r="L88" s="602">
        <f t="shared" si="41"/>
        <v>16065</v>
      </c>
      <c r="M88" s="113">
        <f ca="1">SUMIF(APU!A:B,'Materiales '!#REF!,APU!I:I)</f>
        <v>0</v>
      </c>
      <c r="N88" s="593" t="s">
        <v>5014</v>
      </c>
      <c r="O88" s="113" t="str">
        <f t="shared" si="38"/>
        <v>'67', 'COLLARIN DE 7" A 8" DOS SALIDAS CON TORNILLOS 5/8 X 10"', '7446', '4', '16065', '13500', '1.19', '16065', '1', '16065');</v>
      </c>
      <c r="P88" s="113" t="str">
        <f t="shared" si="39"/>
        <v>INSERT INTO materiales_2 (CODIGO, NOMBRE, COD_SIESA, ID_TIPO_UNIDAD, VALOR_UNITARIO, VALOR_COMPRA, IVA, VALOR_REAL, GANANCIA, VALOR_VENDIDO) VALUES ('67', 'COLLARIN DE 7" A 8" DOS SALIDAS CON TORNILLOS 5/8 X 10"', '7446', '4', '16065', '13500', '1.19', '16065', '1', '16065');</v>
      </c>
    </row>
    <row r="89" spans="2:16" ht="15">
      <c r="B89" s="216">
        <f t="shared" si="44"/>
        <v>68</v>
      </c>
      <c r="C89" s="354" t="s">
        <v>4472</v>
      </c>
      <c r="D89" s="355">
        <v>1125</v>
      </c>
      <c r="E89" s="595">
        <v>4</v>
      </c>
      <c r="F89" s="1" t="s">
        <v>4127</v>
      </c>
      <c r="G89" s="601">
        <f t="shared" si="43"/>
        <v>17731</v>
      </c>
      <c r="H89" s="602">
        <v>14900</v>
      </c>
      <c r="I89" s="115">
        <v>1.19</v>
      </c>
      <c r="J89" s="608">
        <f t="shared" si="42"/>
        <v>17731</v>
      </c>
      <c r="K89" s="602">
        <v>1</v>
      </c>
      <c r="L89" s="602">
        <f t="shared" si="41"/>
        <v>17731</v>
      </c>
      <c r="M89" s="113">
        <f ca="1">SUMIF(APU!A:B,'Materiales '!C86,APU!I:I)</f>
        <v>0</v>
      </c>
      <c r="N89" s="593" t="s">
        <v>5014</v>
      </c>
      <c r="O89" s="113" t="str">
        <f t="shared" si="38"/>
        <v>'68', 'COLLARIN DE 8" A 9" UNA SALIDA CON TORNILLOS 5/8 X 4"', '1125', '4', '17731', '14900', '1.19', '17731', '1', '17731');</v>
      </c>
      <c r="P89" s="113" t="str">
        <f t="shared" si="39"/>
        <v>INSERT INTO materiales_2 (CODIGO, NOMBRE, COD_SIESA, ID_TIPO_UNIDAD, VALOR_UNITARIO, VALOR_COMPRA, IVA, VALOR_REAL, GANANCIA, VALOR_VENDIDO) VALUES ('68', 'COLLARIN DE 8" A 9" UNA SALIDA CON TORNILLOS 5/8 X 4"', '1125', '4', '17731', '14900', '1.19', '17731', '1', '17731');</v>
      </c>
    </row>
    <row r="90" spans="2:16" ht="15">
      <c r="B90" s="216">
        <f t="shared" si="44"/>
        <v>69</v>
      </c>
      <c r="C90" s="354" t="s">
        <v>4473</v>
      </c>
      <c r="D90" s="355">
        <v>7447</v>
      </c>
      <c r="E90" s="595">
        <v>4</v>
      </c>
      <c r="F90" s="1" t="s">
        <v>4127</v>
      </c>
      <c r="G90" s="601">
        <f t="shared" si="43"/>
        <v>18088</v>
      </c>
      <c r="H90" s="602">
        <v>15200</v>
      </c>
      <c r="I90" s="115">
        <v>1.19</v>
      </c>
      <c r="J90" s="608">
        <f t="shared" si="42"/>
        <v>18088</v>
      </c>
      <c r="K90" s="602">
        <v>1</v>
      </c>
      <c r="L90" s="602">
        <f t="shared" si="41"/>
        <v>18088</v>
      </c>
      <c r="M90" s="113">
        <f ca="1">SUMIF(APU!A:B,'Materiales '!C87,APU!I:I)</f>
        <v>0</v>
      </c>
      <c r="N90" s="593" t="s">
        <v>5014</v>
      </c>
      <c r="O90" s="113" t="str">
        <f t="shared" si="38"/>
        <v>'69', 'COLLARIN DE 8" A 9" DOS SALIDAS CON TORNILLOS 5/8 X 4"', '7447', '4', '18088', '15200', '1.19', '18088', '1', '18088');</v>
      </c>
      <c r="P90" s="113" t="str">
        <f t="shared" si="39"/>
        <v>INSERT INTO materiales_2 (CODIGO, NOMBRE, COD_SIESA, ID_TIPO_UNIDAD, VALOR_UNITARIO, VALOR_COMPRA, IVA, VALOR_REAL, GANANCIA, VALOR_VENDIDO) VALUES ('69', 'COLLARIN DE 8" A 9" DOS SALIDAS CON TORNILLOS 5/8 X 4"', '7447', '4', '18088', '15200', '1.19', '18088', '1', '18088');</v>
      </c>
    </row>
    <row r="91" spans="2:16" ht="15">
      <c r="B91" s="216">
        <f t="shared" si="44"/>
        <v>70</v>
      </c>
      <c r="C91" s="354" t="s">
        <v>4474</v>
      </c>
      <c r="D91" s="355">
        <v>1134</v>
      </c>
      <c r="E91" s="595">
        <v>4</v>
      </c>
      <c r="F91" s="1" t="s">
        <v>4127</v>
      </c>
      <c r="G91" s="601">
        <f t="shared" si="43"/>
        <v>27608</v>
      </c>
      <c r="H91" s="602">
        <v>23200</v>
      </c>
      <c r="I91" s="115">
        <v>1.19</v>
      </c>
      <c r="J91" s="608">
        <f t="shared" si="42"/>
        <v>27608</v>
      </c>
      <c r="K91" s="602">
        <v>1</v>
      </c>
      <c r="L91" s="602">
        <f t="shared" si="41"/>
        <v>27608</v>
      </c>
      <c r="M91" s="113">
        <f ca="1">SUMIF(APU!A:B,'Materiales '!C89,APU!I:I)</f>
        <v>0</v>
      </c>
      <c r="N91" s="593" t="s">
        <v>5014</v>
      </c>
      <c r="O91" s="113" t="str">
        <f t="shared" si="38"/>
        <v>'70', 'COLLARIN PARA TRANSFORMADOR', '1134', '4', '27608', '23200', '1.19', '27608', '1', '27608');</v>
      </c>
      <c r="P91" s="113" t="str">
        <f t="shared" si="39"/>
        <v>INSERT INTO materiales_2 (CODIGO, NOMBRE, COD_SIESA, ID_TIPO_UNIDAD, VALOR_UNITARIO, VALOR_COMPRA, IVA, VALOR_REAL, GANANCIA, VALOR_VENDIDO) VALUES ('70', 'COLLARIN PARA TRANSFORMADOR', '1134', '4', '27608', '23200', '1.19', '27608', '1', '27608');</v>
      </c>
    </row>
    <row r="92" spans="2:16" ht="15">
      <c r="B92" s="216">
        <f t="shared" si="44"/>
        <v>71</v>
      </c>
      <c r="C92" s="354" t="s">
        <v>4475</v>
      </c>
      <c r="D92" s="355">
        <v>2902</v>
      </c>
      <c r="E92" s="595">
        <v>4</v>
      </c>
      <c r="F92" s="1" t="s">
        <v>4127</v>
      </c>
      <c r="G92" s="601">
        <f t="shared" si="43"/>
        <v>13328</v>
      </c>
      <c r="H92" s="602">
        <v>11200</v>
      </c>
      <c r="I92" s="115">
        <v>1.19</v>
      </c>
      <c r="J92" s="608">
        <f t="shared" si="42"/>
        <v>13328</v>
      </c>
      <c r="K92" s="602">
        <v>1</v>
      </c>
      <c r="L92" s="602">
        <f t="shared" si="41"/>
        <v>13328</v>
      </c>
      <c r="M92" s="113">
        <f ca="1">SUMIF(APU!A:B,'Materiales '!C88,APU!I:I)</f>
        <v>0</v>
      </c>
      <c r="N92" s="593" t="s">
        <v>5014</v>
      </c>
      <c r="O92" s="113" t="str">
        <f t="shared" si="38"/>
        <v>'71', 'PLATINA DE SUJECCION PARA RETENIDA', '2902', '4', '13328', '11200', '1.19', '13328', '1', '13328');</v>
      </c>
      <c r="P92" s="113" t="str">
        <f t="shared" si="39"/>
        <v>INSERT INTO materiales_2 (CODIGO, NOMBRE, COD_SIESA, ID_TIPO_UNIDAD, VALOR_UNITARIO, VALOR_COMPRA, IVA, VALOR_REAL, GANANCIA, VALOR_VENDIDO) VALUES ('71', 'PLATINA DE SUJECCION PARA RETENIDA', '2902', '4', '13328', '11200', '1.19', '13328', '1', '13328');</v>
      </c>
    </row>
    <row r="93" spans="2:16" ht="15">
      <c r="B93" s="216">
        <f t="shared" si="44"/>
        <v>72</v>
      </c>
      <c r="C93" s="354" t="s">
        <v>4476</v>
      </c>
      <c r="D93" s="355">
        <v>5633</v>
      </c>
      <c r="E93" s="595">
        <v>4</v>
      </c>
      <c r="F93" s="1" t="s">
        <v>4127</v>
      </c>
      <c r="G93" s="601">
        <f t="shared" si="43"/>
        <v>15351</v>
      </c>
      <c r="H93" s="602">
        <v>12900</v>
      </c>
      <c r="I93" s="115">
        <v>1.19</v>
      </c>
      <c r="J93" s="608">
        <f t="shared" si="42"/>
        <v>15351</v>
      </c>
      <c r="K93" s="602">
        <v>1</v>
      </c>
      <c r="L93" s="602">
        <f t="shared" si="41"/>
        <v>15351</v>
      </c>
      <c r="M93" s="113">
        <f ca="1">SUMIF(APU!A:B,'Materiales '!C90,APU!I:I)</f>
        <v>0</v>
      </c>
      <c r="N93" s="593" t="s">
        <v>5014</v>
      </c>
      <c r="O93" s="113" t="str">
        <f t="shared" si="38"/>
        <v>'72', 'COLLARIN ANTIESCALANTE', '5633', '4', '15351', '12900', '1.19', '15351', '1', '15351');</v>
      </c>
      <c r="P93" s="113" t="str">
        <f t="shared" si="39"/>
        <v>INSERT INTO materiales_2 (CODIGO, NOMBRE, COD_SIESA, ID_TIPO_UNIDAD, VALOR_UNITARIO, VALOR_COMPRA, IVA, VALOR_REAL, GANANCIA, VALOR_VENDIDO) VALUES ('72', 'COLLARIN ANTIESCALANTE', '5633', '4', '15351', '12900', '1.19', '15351', '1', '15351');</v>
      </c>
    </row>
    <row r="94" spans="2:16" ht="15">
      <c r="B94" s="216">
        <f t="shared" si="44"/>
        <v>73</v>
      </c>
      <c r="C94" s="354" t="s">
        <v>4477</v>
      </c>
      <c r="D94" s="355">
        <v>6742</v>
      </c>
      <c r="E94" s="595">
        <v>4</v>
      </c>
      <c r="F94" s="1" t="s">
        <v>4127</v>
      </c>
      <c r="G94" s="601">
        <f t="shared" si="43"/>
        <v>10353</v>
      </c>
      <c r="H94" s="602">
        <v>8700</v>
      </c>
      <c r="I94" s="115">
        <v>1.19</v>
      </c>
      <c r="J94" s="608">
        <f t="shared" si="42"/>
        <v>10353</v>
      </c>
      <c r="K94" s="602">
        <v>1</v>
      </c>
      <c r="L94" s="602">
        <f t="shared" si="41"/>
        <v>10353</v>
      </c>
      <c r="M94" s="113">
        <f ca="1">SUMIF(APU!A:B,'Materiales '!C91,APU!I:I)</f>
        <v>0</v>
      </c>
      <c r="N94" s="593" t="s">
        <v>5014</v>
      </c>
      <c r="O94" s="113" t="str">
        <f t="shared" si="38"/>
        <v>'73', 'CONECTOR DE PERFORACIÓN CP120', '6742', '4', '10353', '8700', '1.19', '10353', '1', '10353');</v>
      </c>
      <c r="P94" s="113" t="str">
        <f t="shared" si="39"/>
        <v>INSERT INTO materiales_2 (CODIGO, NOMBRE, COD_SIESA, ID_TIPO_UNIDAD, VALOR_UNITARIO, VALOR_COMPRA, IVA, VALOR_REAL, GANANCIA, VALOR_VENDIDO) VALUES ('73', 'CONECTOR DE PERFORACIÓN CP120', '6742', '4', '10353', '8700', '1.19', '10353', '1', '10353');</v>
      </c>
    </row>
    <row r="95" spans="2:16" ht="15">
      <c r="B95" s="216">
        <f t="shared" si="44"/>
        <v>74</v>
      </c>
      <c r="C95" s="354" t="s">
        <v>4478</v>
      </c>
      <c r="D95" s="355">
        <v>1193</v>
      </c>
      <c r="E95" s="595">
        <v>4</v>
      </c>
      <c r="F95" s="1" t="s">
        <v>4127</v>
      </c>
      <c r="G95" s="601">
        <f t="shared" si="43"/>
        <v>6699.7</v>
      </c>
      <c r="H95" s="602">
        <v>5630</v>
      </c>
      <c r="I95" s="115">
        <v>1.19</v>
      </c>
      <c r="J95" s="608">
        <f t="shared" si="42"/>
        <v>6699.7</v>
      </c>
      <c r="K95" s="602">
        <v>1</v>
      </c>
      <c r="L95" s="602">
        <f t="shared" si="41"/>
        <v>6699.7</v>
      </c>
      <c r="M95" s="113">
        <f ca="1">SUMIF(APU!A:B,'Materiales '!C94,APU!I:I)</f>
        <v>0</v>
      </c>
      <c r="N95" s="593" t="s">
        <v>5014</v>
      </c>
      <c r="O95" s="113" t="str">
        <f t="shared" si="38"/>
        <v>'74', 'CONECTOR DE PERFORACIÓN CP70', '1193', '4', '6699,7', '5630', '1.19', '6699,7', '1', '6699,7');</v>
      </c>
      <c r="P95" s="113" t="str">
        <f t="shared" si="39"/>
        <v>INSERT INTO materiales_2 (CODIGO, NOMBRE, COD_SIESA, ID_TIPO_UNIDAD, VALOR_UNITARIO, VALOR_COMPRA, IVA, VALOR_REAL, GANANCIA, VALOR_VENDIDO) VALUES ('74', 'CONECTOR DE PERFORACIÓN CP70', '1193', '4', '6699,7', '5630', '1.19', '6699,7', '1', '6699,7');</v>
      </c>
    </row>
    <row r="96" spans="2:16" ht="15">
      <c r="B96" s="216">
        <f t="shared" si="44"/>
        <v>75</v>
      </c>
      <c r="C96" s="354" t="s">
        <v>4479</v>
      </c>
      <c r="D96" s="355">
        <v>6555</v>
      </c>
      <c r="E96" s="595">
        <v>4</v>
      </c>
      <c r="F96" s="1" t="s">
        <v>4127</v>
      </c>
      <c r="G96" s="601">
        <f t="shared" si="43"/>
        <v>1547</v>
      </c>
      <c r="H96" s="602">
        <v>1300</v>
      </c>
      <c r="I96" s="115">
        <v>1.19</v>
      </c>
      <c r="J96" s="608">
        <f t="shared" si="42"/>
        <v>1547</v>
      </c>
      <c r="K96" s="602">
        <v>1</v>
      </c>
      <c r="L96" s="602">
        <f t="shared" si="41"/>
        <v>1547</v>
      </c>
      <c r="M96" s="113">
        <f ca="1">SUMIF(APU!A:B,'Materiales '!C92,APU!I:I)</f>
        <v>0</v>
      </c>
      <c r="N96" s="593" t="s">
        <v>5014</v>
      </c>
      <c r="O96" s="113" t="str">
        <f t="shared" si="38"/>
        <v>'75', 'CONECTOR PONCHABLE AP1', '6555', '4', '1547', '1300', '1.19', '1547', '1', '1547');</v>
      </c>
      <c r="P96" s="113" t="str">
        <f t="shared" si="39"/>
        <v>INSERT INTO materiales_2 (CODIGO, NOMBRE, COD_SIESA, ID_TIPO_UNIDAD, VALOR_UNITARIO, VALOR_COMPRA, IVA, VALOR_REAL, GANANCIA, VALOR_VENDIDO) VALUES ('75', 'CONECTOR PONCHABLE AP1', '6555', '4', '1547', '1300', '1.19', '1547', '1', '1547');</v>
      </c>
    </row>
    <row r="97" spans="2:16" ht="15">
      <c r="B97" s="216">
        <f t="shared" si="44"/>
        <v>76</v>
      </c>
      <c r="C97" s="354" t="s">
        <v>4480</v>
      </c>
      <c r="D97" s="355">
        <v>1209</v>
      </c>
      <c r="E97" s="595">
        <v>4</v>
      </c>
      <c r="F97" s="1" t="s">
        <v>4127</v>
      </c>
      <c r="G97" s="601">
        <f t="shared" si="43"/>
        <v>1904</v>
      </c>
      <c r="H97" s="602">
        <v>1600</v>
      </c>
      <c r="I97" s="115">
        <v>1.19</v>
      </c>
      <c r="J97" s="608">
        <f t="shared" si="42"/>
        <v>1904</v>
      </c>
      <c r="K97" s="602">
        <v>1</v>
      </c>
      <c r="L97" s="602">
        <f t="shared" si="41"/>
        <v>1904</v>
      </c>
      <c r="M97" s="113">
        <f ca="1">SUMIF(APU!A:B,'Materiales '!C93,APU!I:I)</f>
        <v>0</v>
      </c>
      <c r="N97" s="593" t="s">
        <v>5014</v>
      </c>
      <c r="O97" s="113" t="str">
        <f t="shared" si="38"/>
        <v>'76', 'CONECTOR PONCHABLE AP2', '1209', '4', '1904', '1600', '1.19', '1904', '1', '1904');</v>
      </c>
      <c r="P97" s="113" t="str">
        <f t="shared" si="39"/>
        <v>INSERT INTO materiales_2 (CODIGO, NOMBRE, COD_SIESA, ID_TIPO_UNIDAD, VALOR_UNITARIO, VALOR_COMPRA, IVA, VALOR_REAL, GANANCIA, VALOR_VENDIDO) VALUES ('76', 'CONECTOR PONCHABLE AP2', '1209', '4', '1904', '1600', '1.19', '1904', '1', '1904');</v>
      </c>
    </row>
    <row r="98" spans="2:16" ht="15">
      <c r="B98" s="216">
        <f t="shared" si="44"/>
        <v>77</v>
      </c>
      <c r="C98" s="356" t="s">
        <v>4481</v>
      </c>
      <c r="D98" s="355">
        <v>6735</v>
      </c>
      <c r="E98" s="595">
        <v>4</v>
      </c>
      <c r="F98" s="1" t="s">
        <v>4127</v>
      </c>
      <c r="G98" s="601">
        <f t="shared" si="43"/>
        <v>27009.43</v>
      </c>
      <c r="H98" s="602">
        <v>22697</v>
      </c>
      <c r="I98" s="115">
        <v>1.19</v>
      </c>
      <c r="J98" s="608">
        <f t="shared" si="42"/>
        <v>27009.43</v>
      </c>
      <c r="K98" s="602">
        <v>1</v>
      </c>
      <c r="L98" s="602">
        <f t="shared" si="41"/>
        <v>27009.43</v>
      </c>
      <c r="M98" s="113">
        <f ca="1">SUMIF(APU!A:B,'Materiales '!C95,APU!I:I)</f>
        <v>0</v>
      </c>
      <c r="N98" s="593" t="s">
        <v>5014</v>
      </c>
      <c r="O98" s="113" t="str">
        <f t="shared" si="38"/>
        <v>'77', 'CONECTOR PONCHABLE EN GEL 6-2/ 14-8', '6735', '4', '27009,43', '22697', '1.19', '27009,43', '1', '27009,43');</v>
      </c>
      <c r="P98" s="113" t="str">
        <f t="shared" si="39"/>
        <v>INSERT INTO materiales_2 (CODIGO, NOMBRE, COD_SIESA, ID_TIPO_UNIDAD, VALOR_UNITARIO, VALOR_COMPRA, IVA, VALOR_REAL, GANANCIA, VALOR_VENDIDO) VALUES ('77', 'CONECTOR PONCHABLE EN GEL 6-2/ 14-8', '6735', '4', '27009,43', '22697', '1.19', '27009,43', '1', '27009,43');</v>
      </c>
    </row>
    <row r="99" spans="2:16" ht="15">
      <c r="B99" s="216">
        <f t="shared" si="44"/>
        <v>78</v>
      </c>
      <c r="C99" s="356" t="s">
        <v>4482</v>
      </c>
      <c r="D99" s="355">
        <v>1221</v>
      </c>
      <c r="E99" s="595">
        <v>4</v>
      </c>
      <c r="F99" s="1" t="s">
        <v>4127</v>
      </c>
      <c r="G99" s="601">
        <f t="shared" si="43"/>
        <v>193.97</v>
      </c>
      <c r="H99" s="602">
        <v>163</v>
      </c>
      <c r="I99" s="115">
        <v>1.19</v>
      </c>
      <c r="J99" s="608">
        <f t="shared" si="42"/>
        <v>193.97</v>
      </c>
      <c r="K99" s="602">
        <v>1</v>
      </c>
      <c r="L99" s="602">
        <f t="shared" si="41"/>
        <v>193.97</v>
      </c>
      <c r="M99" s="113">
        <f ca="1">SUMIF(APU!A:B,'Materiales '!C96,APU!I:I)</f>
        <v>0</v>
      </c>
      <c r="N99" s="593" t="s">
        <v>5014</v>
      </c>
      <c r="O99" s="113" t="str">
        <f t="shared" si="38"/>
        <v>'78', 'CONECTOR RESORTE ROJO', '1221', '4', '193,97', '163', '1.19', '193,97', '1', '193,97');</v>
      </c>
      <c r="P99" s="113" t="str">
        <f t="shared" si="39"/>
        <v>INSERT INTO materiales_2 (CODIGO, NOMBRE, COD_SIESA, ID_TIPO_UNIDAD, VALOR_UNITARIO, VALOR_COMPRA, IVA, VALOR_REAL, GANANCIA, VALOR_VENDIDO) VALUES ('78', 'CONECTOR RESORTE ROJO', '1221', '4', '193,97', '163', '1.19', '193,97', '1', '193,97');</v>
      </c>
    </row>
    <row r="100" spans="2:16" ht="15">
      <c r="B100" s="216">
        <f t="shared" si="44"/>
        <v>79</v>
      </c>
      <c r="C100" s="356" t="s">
        <v>4483</v>
      </c>
      <c r="D100" s="355">
        <v>1203</v>
      </c>
      <c r="E100" s="595">
        <v>4</v>
      </c>
      <c r="F100" s="1" t="s">
        <v>4127</v>
      </c>
      <c r="G100" s="601">
        <f t="shared" si="43"/>
        <v>7984.9</v>
      </c>
      <c r="H100" s="602">
        <v>6710</v>
      </c>
      <c r="I100" s="115">
        <v>1.19</v>
      </c>
      <c r="J100" s="608">
        <f t="shared" si="42"/>
        <v>7984.9</v>
      </c>
      <c r="K100" s="602">
        <v>1</v>
      </c>
      <c r="L100" s="602">
        <f t="shared" si="41"/>
        <v>7984.9</v>
      </c>
      <c r="M100" s="113">
        <f ca="1">SUMIF(APU!A:B,'Materiales '!C97,APU!I:I)</f>
        <v>0</v>
      </c>
      <c r="N100" s="593" t="s">
        <v>5014</v>
      </c>
      <c r="O100" s="113" t="str">
        <f t="shared" si="38"/>
        <v>'79', 'CONECTOR RECTO CORAZA 1 1/2"', '1203', '4', '7984,9', '6710', '1.19', '7984,9', '1', '7984,9');</v>
      </c>
      <c r="P100" s="113" t="str">
        <f t="shared" si="39"/>
        <v>INSERT INTO materiales_2 (CODIGO, NOMBRE, COD_SIESA, ID_TIPO_UNIDAD, VALOR_UNITARIO, VALOR_COMPRA, IVA, VALOR_REAL, GANANCIA, VALOR_VENDIDO) VALUES ('79', 'CONECTOR RECTO CORAZA 1 1/2"', '1203', '4', '7984,9', '6710', '1.19', '7984,9', '1', '7984,9');</v>
      </c>
    </row>
    <row r="101" spans="2:16" ht="15">
      <c r="B101" s="216">
        <f t="shared" si="44"/>
        <v>80</v>
      </c>
      <c r="C101" s="356" t="s">
        <v>4484</v>
      </c>
      <c r="D101" s="355">
        <v>1202</v>
      </c>
      <c r="E101" s="595">
        <v>4</v>
      </c>
      <c r="F101" s="1" t="s">
        <v>4127</v>
      </c>
      <c r="G101" s="601">
        <f t="shared" si="43"/>
        <v>5414.5</v>
      </c>
      <c r="H101" s="602">
        <v>4550</v>
      </c>
      <c r="I101" s="115">
        <v>1.19</v>
      </c>
      <c r="J101" s="608">
        <f t="shared" si="42"/>
        <v>5414.5</v>
      </c>
      <c r="K101" s="602">
        <v>1</v>
      </c>
      <c r="L101" s="602">
        <f t="shared" si="41"/>
        <v>5414.5</v>
      </c>
      <c r="M101" s="113">
        <f ca="1">SUMIF(APU!A:B,'Materiales '!C98,APU!I:I)</f>
        <v>0</v>
      </c>
      <c r="N101" s="593" t="s">
        <v>5014</v>
      </c>
      <c r="O101" s="113" t="str">
        <f t="shared" si="38"/>
        <v>'80', 'CONECTOR RECTO CORAZA 1"', '1202', '4', '5414,5', '4550', '1.19', '5414,5', '1', '5414,5');</v>
      </c>
      <c r="P101" s="113" t="str">
        <f t="shared" si="39"/>
        <v>INSERT INTO materiales_2 (CODIGO, NOMBRE, COD_SIESA, ID_TIPO_UNIDAD, VALOR_UNITARIO, VALOR_COMPRA, IVA, VALOR_REAL, GANANCIA, VALOR_VENDIDO) VALUES ('80', 'CONECTOR RECTO CORAZA 1"', '1202', '4', '5414,5', '4550', '1.19', '5414,5', '1', '5414,5');</v>
      </c>
    </row>
    <row r="102" spans="2:16" ht="15">
      <c r="B102" s="216">
        <f t="shared" si="44"/>
        <v>81</v>
      </c>
      <c r="C102" s="356" t="s">
        <v>4485</v>
      </c>
      <c r="D102" s="355">
        <v>1249</v>
      </c>
      <c r="E102" s="595">
        <v>2</v>
      </c>
      <c r="F102" s="1" t="s">
        <v>170</v>
      </c>
      <c r="G102" s="601">
        <f t="shared" si="43"/>
        <v>11305</v>
      </c>
      <c r="H102" s="602">
        <v>9500</v>
      </c>
      <c r="I102" s="115">
        <v>1.19</v>
      </c>
      <c r="J102" s="608">
        <f t="shared" si="42"/>
        <v>11305</v>
      </c>
      <c r="K102" s="602">
        <v>1</v>
      </c>
      <c r="L102" s="602">
        <f t="shared" si="41"/>
        <v>11305</v>
      </c>
      <c r="M102" s="113">
        <f ca="1">SUMIF(APU!A:B,'Materiales '!C99,APU!I:I)</f>
        <v>0</v>
      </c>
      <c r="N102" s="593" t="s">
        <v>5014</v>
      </c>
      <c r="O102" s="113" t="str">
        <f t="shared" si="38"/>
        <v>'81', 'CORAZA LT 1 1/2"', '1249', '2', '11305', '9500', '1.19', '11305', '1', '11305');</v>
      </c>
      <c r="P102" s="113" t="str">
        <f t="shared" si="39"/>
        <v>INSERT INTO materiales_2 (CODIGO, NOMBRE, COD_SIESA, ID_TIPO_UNIDAD, VALOR_UNITARIO, VALOR_COMPRA, IVA, VALOR_REAL, GANANCIA, VALOR_VENDIDO) VALUES ('81', 'CORAZA LT 1 1/2"', '1249', '2', '11305', '9500', '1.19', '11305', '1', '11305');</v>
      </c>
    </row>
    <row r="103" spans="2:16" ht="15">
      <c r="B103" s="216">
        <f t="shared" si="44"/>
        <v>82</v>
      </c>
      <c r="C103" s="356" t="s">
        <v>4486</v>
      </c>
      <c r="D103" s="355">
        <v>1251</v>
      </c>
      <c r="E103" s="595">
        <v>2</v>
      </c>
      <c r="F103" s="1" t="s">
        <v>170</v>
      </c>
      <c r="G103" s="601">
        <f t="shared" si="43"/>
        <v>7021</v>
      </c>
      <c r="H103" s="602">
        <v>5900</v>
      </c>
      <c r="I103" s="115">
        <v>1.19</v>
      </c>
      <c r="J103" s="608">
        <f t="shared" si="42"/>
        <v>7021</v>
      </c>
      <c r="K103" s="602">
        <v>1</v>
      </c>
      <c r="L103" s="602">
        <f t="shared" si="41"/>
        <v>7021</v>
      </c>
      <c r="M103" s="113">
        <f ca="1">SUMIF(APU!A:B,'Materiales '!C100,APU!I:I)</f>
        <v>0</v>
      </c>
      <c r="N103" s="593" t="s">
        <v>5014</v>
      </c>
      <c r="O103" s="113" t="str">
        <f t="shared" si="38"/>
        <v>'82', 'CORAZA LT 1"', '1251', '2', '7021', '5900', '1.19', '7021', '1', '7021');</v>
      </c>
      <c r="P103" s="113" t="str">
        <f t="shared" si="39"/>
        <v>INSERT INTO materiales_2 (CODIGO, NOMBRE, COD_SIESA, ID_TIPO_UNIDAD, VALOR_UNITARIO, VALOR_COMPRA, IVA, VALOR_REAL, GANANCIA, VALOR_VENDIDO) VALUES ('82', 'CORAZA LT 1"', '1251', '2', '7021', '5900', '1.19', '7021', '1', '7021');</v>
      </c>
    </row>
    <row r="104" spans="2:16" ht="15">
      <c r="B104" s="216">
        <f t="shared" si="44"/>
        <v>83</v>
      </c>
      <c r="C104" s="356" t="s">
        <v>4487</v>
      </c>
      <c r="D104" s="355">
        <v>9282</v>
      </c>
      <c r="E104" s="595">
        <v>4</v>
      </c>
      <c r="F104" s="1" t="s">
        <v>4127</v>
      </c>
      <c r="G104" s="601">
        <f t="shared" si="43"/>
        <v>100257.5</v>
      </c>
      <c r="H104" s="602">
        <v>84250</v>
      </c>
      <c r="I104" s="115">
        <v>1.19</v>
      </c>
      <c r="J104" s="608">
        <f t="shared" si="42"/>
        <v>100257.5</v>
      </c>
      <c r="K104" s="602">
        <v>1</v>
      </c>
      <c r="L104" s="602">
        <f t="shared" si="41"/>
        <v>100257.5</v>
      </c>
      <c r="M104" s="113">
        <f ca="1">SUMIF(APU!A:B,'Materiales '!C101,APU!I:I)</f>
        <v>0</v>
      </c>
      <c r="N104" s="593" t="s">
        <v>5014</v>
      </c>
      <c r="O104" s="113" t="str">
        <f t="shared" si="38"/>
        <v>'83', 'CRUCETA METALICA AUTOSOPORTADA DE 1,5 M', '9282', '4', '100257,5', '84250', '1.19', '100257,5', '1', '100257,5');</v>
      </c>
      <c r="P104" s="113" t="str">
        <f t="shared" si="39"/>
        <v>INSERT INTO materiales_2 (CODIGO, NOMBRE, COD_SIESA, ID_TIPO_UNIDAD, VALOR_UNITARIO, VALOR_COMPRA, IVA, VALOR_REAL, GANANCIA, VALOR_VENDIDO) VALUES ('83', 'CRUCETA METALICA AUTOSOPORTADA DE 1,5 M', '9282', '4', '100257,5', '84250', '1.19', '100257,5', '1', '100257,5');</v>
      </c>
    </row>
    <row r="105" spans="2:16" ht="15">
      <c r="B105" s="216">
        <f t="shared" si="44"/>
        <v>84</v>
      </c>
      <c r="C105" s="356" t="s">
        <v>4488</v>
      </c>
      <c r="D105" s="355">
        <v>1288</v>
      </c>
      <c r="E105" s="595">
        <v>4</v>
      </c>
      <c r="F105" s="1" t="s">
        <v>4127</v>
      </c>
      <c r="G105" s="601">
        <f t="shared" si="43"/>
        <v>165000.04499999998</v>
      </c>
      <c r="H105" s="602">
        <v>138655.5</v>
      </c>
      <c r="I105" s="115">
        <v>1.19</v>
      </c>
      <c r="J105" s="608">
        <f t="shared" si="42"/>
        <v>165000.04499999998</v>
      </c>
      <c r="K105" s="602">
        <v>1</v>
      </c>
      <c r="L105" s="602">
        <f t="shared" si="41"/>
        <v>165000.04499999998</v>
      </c>
      <c r="M105" s="113">
        <f ca="1">SUMIF(APU!A:B,'Materiales '!C102,APU!I:I)</f>
        <v>0</v>
      </c>
      <c r="N105" s="593" t="s">
        <v>5014</v>
      </c>
      <c r="O105" s="113" t="str">
        <f t="shared" si="38"/>
        <v>'84', 'CRUCETA METALICA AUTOSOPORTADA DE 2,4 M', '1288', '4', '165000,045', '138655,5', '1.19', '165000,045', '1', '165000,045');</v>
      </c>
      <c r="P105" s="113" t="str">
        <f t="shared" si="39"/>
        <v>INSERT INTO materiales_2 (CODIGO, NOMBRE, COD_SIESA, ID_TIPO_UNIDAD, VALOR_UNITARIO, VALOR_COMPRA, IVA, VALOR_REAL, GANANCIA, VALOR_VENDIDO) VALUES ('84', 'CRUCETA METALICA AUTOSOPORTADA DE 2,4 M', '1288', '4', '165000,045', '138655,5', '1.19', '165000,045', '1', '165000,045');</v>
      </c>
    </row>
    <row r="106" spans="2:16" ht="15">
      <c r="B106" s="216">
        <f t="shared" si="44"/>
        <v>85</v>
      </c>
      <c r="C106" s="356" t="s">
        <v>4489</v>
      </c>
      <c r="D106" s="355">
        <v>1163</v>
      </c>
      <c r="E106" s="595">
        <v>4</v>
      </c>
      <c r="F106" s="1" t="s">
        <v>4127</v>
      </c>
      <c r="G106" s="601">
        <f t="shared" si="43"/>
        <v>22848</v>
      </c>
      <c r="H106" s="602">
        <v>19200</v>
      </c>
      <c r="I106" s="115">
        <v>1.19</v>
      </c>
      <c r="J106" s="608">
        <f t="shared" si="42"/>
        <v>22848</v>
      </c>
      <c r="K106" s="602">
        <v>1</v>
      </c>
      <c r="L106" s="602">
        <f t="shared" si="41"/>
        <v>22848</v>
      </c>
      <c r="M106" s="113">
        <f ca="1">SUMIF(APU!A:B,'Materiales '!C103,APU!I:I)</f>
        <v>0</v>
      </c>
      <c r="N106" s="593" t="s">
        <v>5014</v>
      </c>
      <c r="O106" s="113" t="str">
        <f t="shared" si="38"/>
        <v>'85', 'CONDULETA 1 1/2 LB', '1163', '4', '22848', '19200', '1.19', '22848', '1', '22848');</v>
      </c>
      <c r="P106" s="113" t="str">
        <f t="shared" si="39"/>
        <v>INSERT INTO materiales_2 (CODIGO, NOMBRE, COD_SIESA, ID_TIPO_UNIDAD, VALOR_UNITARIO, VALOR_COMPRA, IVA, VALOR_REAL, GANANCIA, VALOR_VENDIDO) VALUES ('85', 'CONDULETA 1 1/2 LB', '1163', '4', '22848', '19200', '1.19', '22848', '1', '22848');</v>
      </c>
    </row>
    <row r="107" spans="2:16" ht="15">
      <c r="B107" s="216">
        <f t="shared" si="44"/>
        <v>86</v>
      </c>
      <c r="C107" s="356" t="s">
        <v>4490</v>
      </c>
      <c r="D107" s="355">
        <v>1164</v>
      </c>
      <c r="E107" s="595">
        <v>4</v>
      </c>
      <c r="F107" s="1" t="s">
        <v>4127</v>
      </c>
      <c r="G107" s="601">
        <f t="shared" si="43"/>
        <v>22848</v>
      </c>
      <c r="H107" s="602">
        <v>19200</v>
      </c>
      <c r="I107" s="115">
        <v>1.19</v>
      </c>
      <c r="J107" s="608">
        <f t="shared" si="42"/>
        <v>22848</v>
      </c>
      <c r="K107" s="602">
        <v>1</v>
      </c>
      <c r="L107" s="602">
        <f t="shared" si="41"/>
        <v>22848</v>
      </c>
      <c r="M107" s="113">
        <f ca="1">SUMIF(APU!A:B,'Materiales '!C104,APU!I:I)</f>
        <v>0</v>
      </c>
      <c r="N107" s="593" t="s">
        <v>5014</v>
      </c>
      <c r="O107" s="113" t="str">
        <f t="shared" si="38"/>
        <v>'86', 'CONDULETA 1 1/2 LL', '1164', '4', '22848', '19200', '1.19', '22848', '1', '22848');</v>
      </c>
      <c r="P107" s="113" t="str">
        <f t="shared" si="39"/>
        <v>INSERT INTO materiales_2 (CODIGO, NOMBRE, COD_SIESA, ID_TIPO_UNIDAD, VALOR_UNITARIO, VALOR_COMPRA, IVA, VALOR_REAL, GANANCIA, VALOR_VENDIDO) VALUES ('86', 'CONDULETA 1 1/2 LL', '1164', '4', '22848', '19200', '1.19', '22848', '1', '22848');</v>
      </c>
    </row>
    <row r="108" spans="2:16" ht="15">
      <c r="B108" s="216">
        <f t="shared" si="44"/>
        <v>87</v>
      </c>
      <c r="C108" s="356" t="s">
        <v>4491</v>
      </c>
      <c r="D108" s="355">
        <v>5596</v>
      </c>
      <c r="E108" s="595">
        <v>4</v>
      </c>
      <c r="F108" s="1" t="s">
        <v>4127</v>
      </c>
      <c r="G108" s="601">
        <f t="shared" si="43"/>
        <v>22848</v>
      </c>
      <c r="H108" s="602">
        <v>19200</v>
      </c>
      <c r="I108" s="115">
        <v>1.19</v>
      </c>
      <c r="J108" s="608">
        <f t="shared" si="42"/>
        <v>22848</v>
      </c>
      <c r="K108" s="602">
        <v>1</v>
      </c>
      <c r="L108" s="602">
        <f t="shared" si="41"/>
        <v>22848</v>
      </c>
      <c r="M108" s="113">
        <f ca="1">SUMIF(APU!A:B,'Materiales '!C105,APU!I:I)</f>
        <v>0</v>
      </c>
      <c r="N108" s="593" t="s">
        <v>5014</v>
      </c>
      <c r="O108" s="113" t="str">
        <f t="shared" si="38"/>
        <v>'87', 'CONDULETA 1 1/2 C', '5596', '4', '22848', '19200', '1.19', '22848', '1', '22848');</v>
      </c>
      <c r="P108" s="113" t="str">
        <f t="shared" si="39"/>
        <v>INSERT INTO materiales_2 (CODIGO, NOMBRE, COD_SIESA, ID_TIPO_UNIDAD, VALOR_UNITARIO, VALOR_COMPRA, IVA, VALOR_REAL, GANANCIA, VALOR_VENDIDO) VALUES ('87', 'CONDULETA 1 1/2 C', '5596', '4', '22848', '19200', '1.19', '22848', '1', '22848');</v>
      </c>
    </row>
    <row r="109" spans="2:16" ht="15">
      <c r="B109" s="216">
        <f t="shared" si="44"/>
        <v>88</v>
      </c>
      <c r="C109" s="356" t="s">
        <v>4492</v>
      </c>
      <c r="D109" s="355">
        <v>5600</v>
      </c>
      <c r="E109" s="595">
        <v>4</v>
      </c>
      <c r="F109" s="1" t="s">
        <v>4127</v>
      </c>
      <c r="G109" s="601">
        <f t="shared" si="43"/>
        <v>22848</v>
      </c>
      <c r="H109" s="602">
        <v>19200</v>
      </c>
      <c r="I109" s="115">
        <v>1.19</v>
      </c>
      <c r="J109" s="608">
        <f t="shared" si="42"/>
        <v>22848</v>
      </c>
      <c r="K109" s="602">
        <v>1</v>
      </c>
      <c r="L109" s="602">
        <f t="shared" si="41"/>
        <v>22848</v>
      </c>
      <c r="M109" s="113">
        <f ca="1">SUMIF(APU!A:B,'Materiales '!C106,APU!I:I)</f>
        <v>0</v>
      </c>
      <c r="N109" s="593" t="s">
        <v>5014</v>
      </c>
      <c r="O109" s="113" t="str">
        <f t="shared" si="38"/>
        <v>'88', 'CONDULETA 1 1/2 LR', '5600', '4', '22848', '19200', '1.19', '22848', '1', '22848');</v>
      </c>
      <c r="P109" s="113" t="str">
        <f t="shared" si="39"/>
        <v>INSERT INTO materiales_2 (CODIGO, NOMBRE, COD_SIESA, ID_TIPO_UNIDAD, VALOR_UNITARIO, VALOR_COMPRA, IVA, VALOR_REAL, GANANCIA, VALOR_VENDIDO) VALUES ('88', 'CONDULETA 1 1/2 LR', '5600', '4', '22848', '19200', '1.19', '22848', '1', '22848');</v>
      </c>
    </row>
    <row r="110" spans="2:16" ht="15">
      <c r="B110" s="216">
        <f t="shared" si="44"/>
        <v>89</v>
      </c>
      <c r="C110" s="356" t="s">
        <v>4493</v>
      </c>
      <c r="D110" s="355">
        <v>1167</v>
      </c>
      <c r="E110" s="595">
        <v>4</v>
      </c>
      <c r="F110" s="1" t="s">
        <v>4127</v>
      </c>
      <c r="G110" s="601">
        <f t="shared" si="43"/>
        <v>21816.27</v>
      </c>
      <c r="H110" s="602">
        <v>18333</v>
      </c>
      <c r="I110" s="115">
        <v>1.19</v>
      </c>
      <c r="J110" s="608">
        <f t="shared" si="42"/>
        <v>21816.27</v>
      </c>
      <c r="K110" s="602">
        <v>1</v>
      </c>
      <c r="L110" s="602">
        <f t="shared" si="41"/>
        <v>21816.27</v>
      </c>
      <c r="M110" s="113">
        <f ca="1">SUMIF(APU!A:B,'Materiales '!C107,APU!I:I)</f>
        <v>0</v>
      </c>
      <c r="N110" s="593" t="s">
        <v>5014</v>
      </c>
      <c r="O110" s="113" t="str">
        <f t="shared" si="38"/>
        <v>'89', 'CONDULETA 1 LB', '1167', '4', '21816,27', '18333', '1.19', '21816,27', '1', '21816,27');</v>
      </c>
      <c r="P110" s="113" t="str">
        <f t="shared" si="39"/>
        <v>INSERT INTO materiales_2 (CODIGO, NOMBRE, COD_SIESA, ID_TIPO_UNIDAD, VALOR_UNITARIO, VALOR_COMPRA, IVA, VALOR_REAL, GANANCIA, VALOR_VENDIDO) VALUES ('89', 'CONDULETA 1 LB', '1167', '4', '21816,27', '18333', '1.19', '21816,27', '1', '21816,27');</v>
      </c>
    </row>
    <row r="111" spans="2:16" ht="15">
      <c r="B111" s="216">
        <f t="shared" si="44"/>
        <v>90</v>
      </c>
      <c r="C111" s="356" t="s">
        <v>4494</v>
      </c>
      <c r="D111" s="355">
        <v>10299</v>
      </c>
      <c r="E111" s="595">
        <v>4</v>
      </c>
      <c r="F111" s="1" t="s">
        <v>4127</v>
      </c>
      <c r="G111" s="601">
        <f t="shared" si="43"/>
        <v>21816.27</v>
      </c>
      <c r="H111" s="602">
        <v>18333</v>
      </c>
      <c r="I111" s="115">
        <v>1.19</v>
      </c>
      <c r="J111" s="608">
        <f t="shared" si="42"/>
        <v>21816.27</v>
      </c>
      <c r="K111" s="602">
        <v>1</v>
      </c>
      <c r="L111" s="602">
        <f t="shared" si="41"/>
        <v>21816.27</v>
      </c>
      <c r="M111" s="113">
        <f ca="1">SUMIF(APU!A:B,'Materiales '!C108,APU!I:I)</f>
        <v>0</v>
      </c>
      <c r="N111" s="593" t="s">
        <v>5014</v>
      </c>
      <c r="O111" s="113" t="str">
        <f t="shared" si="38"/>
        <v>'90', 'CONDULETA 1 T', '10299', '4', '21816,27', '18333', '1.19', '21816,27', '1', '21816,27');</v>
      </c>
      <c r="P111" s="113" t="str">
        <f t="shared" si="39"/>
        <v>INSERT INTO materiales_2 (CODIGO, NOMBRE, COD_SIESA, ID_TIPO_UNIDAD, VALOR_UNITARIO, VALOR_COMPRA, IVA, VALOR_REAL, GANANCIA, VALOR_VENDIDO) VALUES ('90', 'CONDULETA 1 T', '10299', '4', '21816,27', '18333', '1.19', '21816,27', '1', '21816,27');</v>
      </c>
    </row>
    <row r="112" spans="2:16" ht="15">
      <c r="B112" s="216">
        <f t="shared" si="44"/>
        <v>91</v>
      </c>
      <c r="C112" s="356" t="s">
        <v>4495</v>
      </c>
      <c r="D112" s="355">
        <v>4397</v>
      </c>
      <c r="E112" s="595">
        <v>4</v>
      </c>
      <c r="F112" s="1" t="s">
        <v>4127</v>
      </c>
      <c r="G112" s="601">
        <f t="shared" si="43"/>
        <v>21816.27</v>
      </c>
      <c r="H112" s="602">
        <v>18333</v>
      </c>
      <c r="I112" s="115">
        <v>1.19</v>
      </c>
      <c r="J112" s="608">
        <f t="shared" si="42"/>
        <v>21816.27</v>
      </c>
      <c r="K112" s="602">
        <v>1</v>
      </c>
      <c r="L112" s="602">
        <f t="shared" si="41"/>
        <v>21816.27</v>
      </c>
      <c r="M112" s="113">
        <f ca="1">SUMIF(APU!A:B,'Materiales '!C109,APU!I:I)</f>
        <v>0</v>
      </c>
      <c r="N112" s="593" t="s">
        <v>5014</v>
      </c>
      <c r="O112" s="113" t="str">
        <f t="shared" si="38"/>
        <v>'91', 'CONDULETA 1 LR', '4397', '4', '21816,27', '18333', '1.19', '21816,27', '1', '21816,27');</v>
      </c>
      <c r="P112" s="113" t="str">
        <f t="shared" si="39"/>
        <v>INSERT INTO materiales_2 (CODIGO, NOMBRE, COD_SIESA, ID_TIPO_UNIDAD, VALOR_UNITARIO, VALOR_COMPRA, IVA, VALOR_REAL, GANANCIA, VALOR_VENDIDO) VALUES ('91', 'CONDULETA 1 LR', '4397', '4', '21816,27', '18333', '1.19', '21816,27', '1', '21816,27');</v>
      </c>
    </row>
    <row r="113" spans="2:16" ht="15">
      <c r="B113" s="216">
        <f t="shared" si="44"/>
        <v>92</v>
      </c>
      <c r="C113" s="356" t="s">
        <v>4496</v>
      </c>
      <c r="D113" s="355">
        <v>1180</v>
      </c>
      <c r="E113" s="595">
        <v>4</v>
      </c>
      <c r="F113" s="1" t="s">
        <v>4127</v>
      </c>
      <c r="G113" s="601">
        <f t="shared" si="43"/>
        <v>17850</v>
      </c>
      <c r="H113" s="602">
        <v>15000</v>
      </c>
      <c r="I113" s="115">
        <v>1.19</v>
      </c>
      <c r="J113" s="608">
        <f t="shared" si="42"/>
        <v>17850</v>
      </c>
      <c r="K113" s="602">
        <v>1</v>
      </c>
      <c r="L113" s="602">
        <f t="shared" si="41"/>
        <v>17850</v>
      </c>
      <c r="M113" s="113">
        <f ca="1">SUMIF(APU!A:B,'Materiales '!C110,APU!I:I)</f>
        <v>0</v>
      </c>
      <c r="N113" s="593" t="s">
        <v>5014</v>
      </c>
      <c r="O113" s="113" t="str">
        <f t="shared" si="38"/>
        <v>'92', 'CONDULETA 3/4 LB', '1180', '4', '17850', '15000', '1.19', '17850', '1', '17850');</v>
      </c>
      <c r="P113" s="113" t="str">
        <f t="shared" si="39"/>
        <v>INSERT INTO materiales_2 (CODIGO, NOMBRE, COD_SIESA, ID_TIPO_UNIDAD, VALOR_UNITARIO, VALOR_COMPRA, IVA, VALOR_REAL, GANANCIA, VALOR_VENDIDO) VALUES ('92', 'CONDULETA 3/4 LB', '1180', '4', '17850', '15000', '1.19', '17850', '1', '17850');</v>
      </c>
    </row>
    <row r="114" spans="2:16" ht="15">
      <c r="B114" s="216">
        <f t="shared" si="44"/>
        <v>93</v>
      </c>
      <c r="C114" s="356" t="s">
        <v>4497</v>
      </c>
      <c r="D114" s="355">
        <v>1182</v>
      </c>
      <c r="E114" s="595">
        <v>4</v>
      </c>
      <c r="F114" s="1" t="s">
        <v>4127</v>
      </c>
      <c r="G114" s="601">
        <f t="shared" si="43"/>
        <v>17850</v>
      </c>
      <c r="H114" s="602">
        <v>15000</v>
      </c>
      <c r="I114" s="115">
        <v>1.19</v>
      </c>
      <c r="J114" s="608">
        <f t="shared" si="42"/>
        <v>17850</v>
      </c>
      <c r="K114" s="602">
        <v>1</v>
      </c>
      <c r="L114" s="602">
        <f t="shared" si="41"/>
        <v>17850</v>
      </c>
      <c r="M114" s="113">
        <f ca="1">SUMIF(APU!A:B,'Materiales '!C111,APU!I:I)</f>
        <v>0</v>
      </c>
      <c r="N114" s="593" t="s">
        <v>5014</v>
      </c>
      <c r="O114" s="113" t="str">
        <f t="shared" si="38"/>
        <v>'93', 'CONDULETA 3/4 T', '1182', '4', '17850', '15000', '1.19', '17850', '1', '17850');</v>
      </c>
      <c r="P114" s="113" t="str">
        <f t="shared" si="39"/>
        <v>INSERT INTO materiales_2 (CODIGO, NOMBRE, COD_SIESA, ID_TIPO_UNIDAD, VALOR_UNITARIO, VALOR_COMPRA, IVA, VALOR_REAL, GANANCIA, VALOR_VENDIDO) VALUES ('93', 'CONDULETA 3/4 T', '1182', '4', '17850', '15000', '1.19', '17850', '1', '17850');</v>
      </c>
    </row>
    <row r="115" spans="2:16" ht="15">
      <c r="B115" s="216">
        <f t="shared" si="44"/>
        <v>94</v>
      </c>
      <c r="C115" s="356" t="s">
        <v>4498</v>
      </c>
      <c r="D115" s="355">
        <v>1181</v>
      </c>
      <c r="E115" s="595">
        <v>4</v>
      </c>
      <c r="F115" s="1" t="s">
        <v>4127</v>
      </c>
      <c r="G115" s="601">
        <f t="shared" si="43"/>
        <v>17850</v>
      </c>
      <c r="H115" s="602">
        <v>15000</v>
      </c>
      <c r="I115" s="115">
        <v>1.19</v>
      </c>
      <c r="J115" s="608">
        <f t="shared" si="42"/>
        <v>17850</v>
      </c>
      <c r="K115" s="602">
        <v>1</v>
      </c>
      <c r="L115" s="602">
        <f t="shared" si="41"/>
        <v>17850</v>
      </c>
      <c r="M115" s="113">
        <f ca="1">SUMIF(APU!A:B,'Materiales '!C112,APU!I:I)</f>
        <v>0</v>
      </c>
      <c r="N115" s="593" t="s">
        <v>5014</v>
      </c>
      <c r="O115" s="113" t="str">
        <f t="shared" si="38"/>
        <v>'94', 'CONDULETA 3/4 LR', '1181', '4', '17850', '15000', '1.19', '17850', '1', '17850');</v>
      </c>
      <c r="P115" s="113" t="str">
        <f t="shared" si="39"/>
        <v>INSERT INTO materiales_2 (CODIGO, NOMBRE, COD_SIESA, ID_TIPO_UNIDAD, VALOR_UNITARIO, VALOR_COMPRA, IVA, VALOR_REAL, GANANCIA, VALOR_VENDIDO) VALUES ('94', 'CONDULETA 3/4 LR', '1181', '4', '17850', '15000', '1.19', '17850', '1', '17850');</v>
      </c>
    </row>
    <row r="116" spans="2:16" ht="15">
      <c r="B116" s="216">
        <f t="shared" si="44"/>
        <v>95</v>
      </c>
      <c r="C116" s="356" t="s">
        <v>4499</v>
      </c>
      <c r="D116" s="355">
        <v>1170</v>
      </c>
      <c r="E116" s="595">
        <v>4</v>
      </c>
      <c r="F116" s="1" t="s">
        <v>4127</v>
      </c>
      <c r="G116" s="601">
        <f t="shared" si="43"/>
        <v>6307</v>
      </c>
      <c r="H116" s="602">
        <v>5300</v>
      </c>
      <c r="I116" s="115">
        <v>1.19</v>
      </c>
      <c r="J116" s="608">
        <f t="shared" si="42"/>
        <v>6307</v>
      </c>
      <c r="K116" s="602">
        <v>1</v>
      </c>
      <c r="L116" s="602">
        <f t="shared" si="41"/>
        <v>6307</v>
      </c>
      <c r="M116" s="113">
        <f ca="1">SUMIF(APU!A:B,'Materiales '!C113,APU!I:I)</f>
        <v>0</v>
      </c>
      <c r="N116" s="593" t="s">
        <v>5014</v>
      </c>
      <c r="O116" s="113" t="str">
        <f t="shared" si="38"/>
        <v>'95', 'CONDULETA 1/2 LB', '1170', '4', '6307', '5300', '1.19', '6307', '1', '6307');</v>
      </c>
      <c r="P116" s="113" t="str">
        <f t="shared" si="39"/>
        <v>INSERT INTO materiales_2 (CODIGO, NOMBRE, COD_SIESA, ID_TIPO_UNIDAD, VALOR_UNITARIO, VALOR_COMPRA, IVA, VALOR_REAL, GANANCIA, VALOR_VENDIDO) VALUES ('95', 'CONDULETA 1/2 LB', '1170', '4', '6307', '5300', '1.19', '6307', '1', '6307');</v>
      </c>
    </row>
    <row r="117" spans="2:16" ht="15">
      <c r="B117" s="216">
        <f t="shared" si="44"/>
        <v>96</v>
      </c>
      <c r="C117" s="356" t="s">
        <v>4500</v>
      </c>
      <c r="D117" s="355">
        <v>1175</v>
      </c>
      <c r="E117" s="595">
        <v>4</v>
      </c>
      <c r="F117" s="1" t="s">
        <v>4127</v>
      </c>
      <c r="G117" s="601">
        <f t="shared" si="43"/>
        <v>6307</v>
      </c>
      <c r="H117" s="602">
        <v>5300</v>
      </c>
      <c r="I117" s="115">
        <v>1.19</v>
      </c>
      <c r="J117" s="608">
        <f t="shared" si="42"/>
        <v>6307</v>
      </c>
      <c r="K117" s="602">
        <v>1</v>
      </c>
      <c r="L117" s="602">
        <f t="shared" si="41"/>
        <v>6307</v>
      </c>
      <c r="M117" s="113">
        <f ca="1">SUMIF(APU!A:B,'Materiales '!C114,APU!I:I)</f>
        <v>0</v>
      </c>
      <c r="N117" s="593" t="s">
        <v>5014</v>
      </c>
      <c r="O117" s="113" t="str">
        <f t="shared" si="38"/>
        <v>'96', 'CONDULETA 1/2 T', '1175', '4', '6307', '5300', '1.19', '6307', '1', '6307');</v>
      </c>
      <c r="P117" s="113" t="str">
        <f t="shared" si="39"/>
        <v>INSERT INTO materiales_2 (CODIGO, NOMBRE, COD_SIESA, ID_TIPO_UNIDAD, VALOR_UNITARIO, VALOR_COMPRA, IVA, VALOR_REAL, GANANCIA, VALOR_VENDIDO) VALUES ('96', 'CONDULETA 1/2 T', '1175', '4', '6307', '5300', '1.19', '6307', '1', '6307');</v>
      </c>
    </row>
    <row r="118" spans="2:16" ht="15">
      <c r="B118" s="216">
        <f t="shared" si="44"/>
        <v>97</v>
      </c>
      <c r="C118" s="356" t="s">
        <v>4501</v>
      </c>
      <c r="D118" s="355">
        <v>1172</v>
      </c>
      <c r="E118" s="595">
        <v>4</v>
      </c>
      <c r="F118" s="1" t="s">
        <v>4127</v>
      </c>
      <c r="G118" s="601">
        <f t="shared" si="43"/>
        <v>6307</v>
      </c>
      <c r="H118" s="604">
        <v>5300</v>
      </c>
      <c r="I118" s="115">
        <v>1.19</v>
      </c>
      <c r="J118" s="608">
        <f t="shared" si="42"/>
        <v>6307</v>
      </c>
      <c r="K118" s="602">
        <v>1</v>
      </c>
      <c r="L118" s="602">
        <f t="shared" si="41"/>
        <v>6307</v>
      </c>
      <c r="M118" s="113">
        <f ca="1">SUMIF(APU!A:B,'Materiales '!C116,APU!I:I)</f>
        <v>0</v>
      </c>
      <c r="N118" s="593" t="s">
        <v>5014</v>
      </c>
      <c r="O118" s="113" t="str">
        <f t="shared" si="38"/>
        <v>'97', 'CONDULETA 1/2 LR', '1172', '4', '6307', '5300', '1.19', '6307', '1', '6307');</v>
      </c>
      <c r="P118" s="113" t="str">
        <f t="shared" si="39"/>
        <v>INSERT INTO materiales_2 (CODIGO, NOMBRE, COD_SIESA, ID_TIPO_UNIDAD, VALOR_UNITARIO, VALOR_COMPRA, IVA, VALOR_REAL, GANANCIA, VALOR_VENDIDO) VALUES ('97', 'CONDULETA 1/2 LR', '1172', '4', '6307', '5300', '1.19', '6307', '1', '6307');</v>
      </c>
    </row>
    <row r="119" spans="2:16" ht="15">
      <c r="B119" s="216">
        <f t="shared" si="44"/>
        <v>98</v>
      </c>
      <c r="C119" s="356" t="s">
        <v>4502</v>
      </c>
      <c r="D119" s="357">
        <v>1185</v>
      </c>
      <c r="E119" s="595">
        <v>4</v>
      </c>
      <c r="F119" s="1" t="s">
        <v>4127</v>
      </c>
      <c r="G119" s="601">
        <f t="shared" si="43"/>
        <v>17850</v>
      </c>
      <c r="H119" s="604">
        <v>15000</v>
      </c>
      <c r="I119" s="115">
        <v>1.19</v>
      </c>
      <c r="J119" s="608">
        <f t="shared" si="42"/>
        <v>17850</v>
      </c>
      <c r="K119" s="602">
        <v>1</v>
      </c>
      <c r="L119" s="602">
        <f t="shared" si="41"/>
        <v>17850</v>
      </c>
      <c r="M119" s="113">
        <f ca="1">SUMIF(APU!A:B,'Materiales '!C117,APU!I:I)</f>
        <v>0</v>
      </c>
      <c r="N119" s="593" t="s">
        <v>5014</v>
      </c>
      <c r="O119" s="113" t="str">
        <f t="shared" si="38"/>
        <v>'98', 'CONECTOR AMOVIBLE P 4/0 - 2 S 6-4/0', '1185', '4', '17850', '15000', '1.19', '17850', '1', '17850');</v>
      </c>
      <c r="P119" s="113" t="str">
        <f t="shared" si="39"/>
        <v>INSERT INTO materiales_2 (CODIGO, NOMBRE, COD_SIESA, ID_TIPO_UNIDAD, VALOR_UNITARIO, VALOR_COMPRA, IVA, VALOR_REAL, GANANCIA, VALOR_VENDIDO) VALUES ('98', 'CONECTOR AMOVIBLE P 4/0 - 2 S 6-4/0', '1185', '4', '17850', '15000', '1.19', '17850', '1', '17850');</v>
      </c>
    </row>
    <row r="120" spans="2:16" ht="15">
      <c r="B120" s="216">
        <f t="shared" si="44"/>
        <v>99</v>
      </c>
      <c r="C120" s="356" t="s">
        <v>4503</v>
      </c>
      <c r="D120" s="357">
        <v>1587</v>
      </c>
      <c r="E120" s="595">
        <v>4</v>
      </c>
      <c r="F120" s="1" t="s">
        <v>4127</v>
      </c>
      <c r="G120" s="601">
        <f t="shared" si="43"/>
        <v>15589</v>
      </c>
      <c r="H120" s="604">
        <v>13100</v>
      </c>
      <c r="I120" s="115">
        <v>1.19</v>
      </c>
      <c r="J120" s="608">
        <f t="shared" si="42"/>
        <v>15589</v>
      </c>
      <c r="K120" s="602">
        <v>1</v>
      </c>
      <c r="L120" s="602">
        <f t="shared" si="41"/>
        <v>15589</v>
      </c>
      <c r="M120" s="113">
        <f ca="1">SUMIF(APU!A:B,'Materiales '!C115,APU!I:I)</f>
        <v>0</v>
      </c>
      <c r="N120" s="593" t="s">
        <v>5014</v>
      </c>
      <c r="O120" s="113" t="str">
        <f t="shared" si="38"/>
        <v>'99', 'CONECTOR AMPAC CON ESTRIBO 1/0-2/0', '1587', '4', '15589', '13100', '1.19', '15589', '1', '15589');</v>
      </c>
      <c r="P120" s="113" t="str">
        <f t="shared" si="39"/>
        <v>INSERT INTO materiales_2 (CODIGO, NOMBRE, COD_SIESA, ID_TIPO_UNIDAD, VALOR_UNITARIO, VALOR_COMPRA, IVA, VALOR_REAL, GANANCIA, VALOR_VENDIDO) VALUES ('99', 'CONECTOR AMPAC CON ESTRIBO 1/0-2/0', '1587', '4', '15589', '13100', '1.19', '15589', '1', '15589');</v>
      </c>
    </row>
    <row r="121" spans="2:16" ht="15">
      <c r="B121" s="216">
        <f t="shared" si="44"/>
        <v>100</v>
      </c>
      <c r="C121" s="356" t="s">
        <v>4504</v>
      </c>
      <c r="D121" s="357">
        <v>8653</v>
      </c>
      <c r="E121" s="595">
        <v>4</v>
      </c>
      <c r="F121" s="1" t="s">
        <v>4127</v>
      </c>
      <c r="G121" s="601">
        <f t="shared" si="43"/>
        <v>4165</v>
      </c>
      <c r="H121" s="604">
        <v>3500</v>
      </c>
      <c r="I121" s="115">
        <v>1.19</v>
      </c>
      <c r="J121" s="608">
        <f t="shared" si="42"/>
        <v>4165</v>
      </c>
      <c r="K121" s="602">
        <v>1</v>
      </c>
      <c r="L121" s="602">
        <f t="shared" si="41"/>
        <v>4165</v>
      </c>
      <c r="M121" s="113">
        <f ca="1">SUMIF(APU!A:B,'Materiales '!C118,APU!I:I)</f>
        <v>0</v>
      </c>
      <c r="N121" s="593" t="s">
        <v>5014</v>
      </c>
      <c r="O121" s="113" t="str">
        <f t="shared" si="38"/>
        <v>'100', 'CONECTOR VARILLA / CABLE COBRE', '8653', '4', '4165', '3500', '1.19', '4165', '1', '4165');</v>
      </c>
      <c r="P121" s="113" t="str">
        <f t="shared" si="39"/>
        <v>INSERT INTO materiales_2 (CODIGO, NOMBRE, COD_SIESA, ID_TIPO_UNIDAD, VALOR_UNITARIO, VALOR_COMPRA, IVA, VALOR_REAL, GANANCIA, VALOR_VENDIDO) VALUES ('100', 'CONECTOR VARILLA / CABLE COBRE', '8653', '4', '4165', '3500', '1.19', '4165', '1', '4165');</v>
      </c>
    </row>
    <row r="122" spans="2:16" ht="15">
      <c r="B122" s="216">
        <f>B119+1</f>
        <v>99</v>
      </c>
      <c r="C122" s="356" t="s">
        <v>4700</v>
      </c>
      <c r="D122" s="357"/>
      <c r="E122" s="595">
        <v>4</v>
      </c>
      <c r="F122" s="1" t="s">
        <v>4127</v>
      </c>
      <c r="G122" s="601">
        <f t="shared" si="43"/>
        <v>773.5</v>
      </c>
      <c r="H122" s="602">
        <v>650</v>
      </c>
      <c r="I122" s="115">
        <v>1.19</v>
      </c>
      <c r="J122" s="608">
        <f t="shared" si="42"/>
        <v>773.5</v>
      </c>
      <c r="K122" s="602">
        <v>1</v>
      </c>
      <c r="L122" s="602">
        <f t="shared" si="41"/>
        <v>773.5</v>
      </c>
      <c r="M122" s="113">
        <f ca="1">SUMIF(APU!A:B,'Materiales '!C117,APU!I:I)</f>
        <v>0</v>
      </c>
      <c r="N122" s="593" t="s">
        <v>5014</v>
      </c>
      <c r="O122" s="113" t="str">
        <f t="shared" si="38"/>
        <v>'99', 'CONECTOR EMT 1/2"', '', '4', '773,5', '650', '1.19', '773,5', '1', '773,5');</v>
      </c>
      <c r="P122" s="113" t="str">
        <f t="shared" si="39"/>
        <v>INSERT INTO materiales_2 (CODIGO, NOMBRE, COD_SIESA, ID_TIPO_UNIDAD, VALOR_UNITARIO, VALOR_COMPRA, IVA, VALOR_REAL, GANANCIA, VALOR_VENDIDO) VALUES ('99', 'CONECTOR EMT 1/2"', '', '4', '773,5', '650', '1.19', '773,5', '1', '773,5');</v>
      </c>
    </row>
    <row r="123" spans="2:16" ht="15">
      <c r="B123" s="216">
        <f>B120+1</f>
        <v>100</v>
      </c>
      <c r="C123" s="356" t="s">
        <v>4697</v>
      </c>
      <c r="D123" s="357"/>
      <c r="E123" s="595">
        <v>4</v>
      </c>
      <c r="F123" s="1" t="s">
        <v>4127</v>
      </c>
      <c r="G123" s="601">
        <f t="shared" ref="G123" si="45">L123</f>
        <v>1963.5</v>
      </c>
      <c r="H123" s="602">
        <v>1650</v>
      </c>
      <c r="I123" s="115">
        <v>1.19</v>
      </c>
      <c r="J123" s="608">
        <f t="shared" ref="J123" si="46">I123*H123</f>
        <v>1963.5</v>
      </c>
      <c r="K123" s="602">
        <v>1</v>
      </c>
      <c r="L123" s="602">
        <f t="shared" ref="L123" si="47">K123*J123</f>
        <v>1963.5</v>
      </c>
      <c r="M123" s="113">
        <f ca="1">SUMIF(APU!A:B,'Materiales '!C118,APU!I:I)</f>
        <v>0</v>
      </c>
      <c r="N123" s="593" t="s">
        <v>5014</v>
      </c>
      <c r="O123" s="113" t="str">
        <f t="shared" si="38"/>
        <v>'100', 'CONECTOR EMT 1"', '', '4', '1963,5', '1650', '1.19', '1963,5', '1', '1963,5');</v>
      </c>
      <c r="P123" s="113" t="str">
        <f t="shared" si="39"/>
        <v>INSERT INTO materiales_2 (CODIGO, NOMBRE, COD_SIESA, ID_TIPO_UNIDAD, VALOR_UNITARIO, VALOR_COMPRA, IVA, VALOR_REAL, GANANCIA, VALOR_VENDIDO) VALUES ('100', 'CONECTOR EMT 1"', '', '4', '1963,5', '1650', '1.19', '1963,5', '1', '1963,5');</v>
      </c>
    </row>
    <row r="124" spans="2:16" ht="15">
      <c r="B124" s="216">
        <f>B121+1</f>
        <v>101</v>
      </c>
      <c r="C124" s="356" t="s">
        <v>4505</v>
      </c>
      <c r="D124" s="357">
        <v>8213</v>
      </c>
      <c r="E124" s="595">
        <v>4</v>
      </c>
      <c r="F124" s="1" t="s">
        <v>4127</v>
      </c>
      <c r="G124" s="601">
        <f t="shared" si="43"/>
        <v>0</v>
      </c>
      <c r="H124" s="602">
        <v>0</v>
      </c>
      <c r="I124" s="115">
        <v>1.19</v>
      </c>
      <c r="J124" s="608">
        <f t="shared" si="42"/>
        <v>0</v>
      </c>
      <c r="K124" s="602">
        <v>1</v>
      </c>
      <c r="L124" s="602">
        <f t="shared" si="41"/>
        <v>0</v>
      </c>
      <c r="M124" s="113">
        <f ca="1">SUMIF(APU!A:B,'Materiales '!C119,APU!I:I)</f>
        <v>0</v>
      </c>
      <c r="N124" s="593" t="s">
        <v>5014</v>
      </c>
      <c r="O124" s="113" t="str">
        <f t="shared" si="38"/>
        <v>'101', 'CONECTOR PVC 2"', '8213', '4', '0', '0', '1.19', '0', '1', '0');</v>
      </c>
      <c r="P124" s="113" t="str">
        <f t="shared" si="39"/>
        <v>INSERT INTO materiales_2 (CODIGO, NOMBRE, COD_SIESA, ID_TIPO_UNIDAD, VALOR_UNITARIO, VALOR_COMPRA, IVA, VALOR_REAL, GANANCIA, VALOR_VENDIDO) VALUES ('101', 'CONECTOR PVC 2"', '8213', '4', '0', '0', '1.19', '0', '1', '0');</v>
      </c>
    </row>
    <row r="125" spans="2:16" ht="15">
      <c r="B125" s="216">
        <f t="shared" si="44"/>
        <v>102</v>
      </c>
      <c r="C125" s="356" t="s">
        <v>4506</v>
      </c>
      <c r="D125" s="357">
        <v>7205</v>
      </c>
      <c r="E125" s="595">
        <v>4</v>
      </c>
      <c r="F125" s="1" t="s">
        <v>4127</v>
      </c>
      <c r="G125" s="601">
        <f t="shared" si="43"/>
        <v>0</v>
      </c>
      <c r="H125" s="602">
        <v>0</v>
      </c>
      <c r="I125" s="115">
        <v>1.19</v>
      </c>
      <c r="J125" s="608">
        <f t="shared" si="42"/>
        <v>0</v>
      </c>
      <c r="K125" s="602">
        <v>1</v>
      </c>
      <c r="L125" s="602">
        <f t="shared" si="41"/>
        <v>0</v>
      </c>
      <c r="M125" s="113">
        <f ca="1">SUMIF(APU!A:B,'Materiales '!C120,APU!I:I)</f>
        <v>0</v>
      </c>
      <c r="N125" s="593" t="s">
        <v>5014</v>
      </c>
      <c r="O125" s="113" t="str">
        <f t="shared" si="38"/>
        <v>'102', 'CONECTOR PVC 1 1/2"', '7205', '4', '0', '0', '1.19', '0', '1', '0');</v>
      </c>
      <c r="P125" s="113" t="str">
        <f t="shared" si="39"/>
        <v>INSERT INTO materiales_2 (CODIGO, NOMBRE, COD_SIESA, ID_TIPO_UNIDAD, VALOR_UNITARIO, VALOR_COMPRA, IVA, VALOR_REAL, GANANCIA, VALOR_VENDIDO) VALUES ('102', 'CONECTOR PVC 1 1/2"', '7205', '4', '0', '0', '1.19', '0', '1', '0');</v>
      </c>
    </row>
    <row r="126" spans="2:16" ht="15">
      <c r="B126" s="216">
        <f t="shared" si="44"/>
        <v>103</v>
      </c>
      <c r="C126" s="356" t="s">
        <v>4507</v>
      </c>
      <c r="D126" s="357">
        <v>7207</v>
      </c>
      <c r="E126" s="595">
        <v>4</v>
      </c>
      <c r="F126" s="1" t="s">
        <v>4127</v>
      </c>
      <c r="G126" s="601">
        <f t="shared" si="43"/>
        <v>978.18</v>
      </c>
      <c r="H126" s="602">
        <v>822</v>
      </c>
      <c r="I126" s="115">
        <v>1.19</v>
      </c>
      <c r="J126" s="608">
        <f t="shared" si="42"/>
        <v>978.18</v>
      </c>
      <c r="K126" s="602">
        <v>1</v>
      </c>
      <c r="L126" s="602">
        <f t="shared" si="41"/>
        <v>978.18</v>
      </c>
      <c r="M126" s="113">
        <f ca="1">SUMIF(APU!A:B,'Materiales '!C121,APU!I:I)</f>
        <v>0</v>
      </c>
      <c r="N126" s="593" t="s">
        <v>5014</v>
      </c>
      <c r="O126" s="113" t="str">
        <f t="shared" si="38"/>
        <v>'103', 'CONECTOR PVC 1"', '7207', '4', '978,18', '822', '1.19', '978,18', '1', '978,18');</v>
      </c>
      <c r="P126" s="113" t="str">
        <f t="shared" si="39"/>
        <v>INSERT INTO materiales_2 (CODIGO, NOMBRE, COD_SIESA, ID_TIPO_UNIDAD, VALOR_UNITARIO, VALOR_COMPRA, IVA, VALOR_REAL, GANANCIA, VALOR_VENDIDO) VALUES ('103', 'CONECTOR PVC 1"', '7207', '4', '978,18', '822', '1.19', '978,18', '1', '978,18');</v>
      </c>
    </row>
    <row r="127" spans="2:16" ht="15">
      <c r="B127" s="216">
        <f t="shared" si="44"/>
        <v>104</v>
      </c>
      <c r="C127" s="356" t="s">
        <v>4508</v>
      </c>
      <c r="D127" s="357">
        <v>7203</v>
      </c>
      <c r="E127" s="595">
        <v>4</v>
      </c>
      <c r="F127" s="1" t="s">
        <v>4127</v>
      </c>
      <c r="G127" s="601">
        <f t="shared" si="43"/>
        <v>0</v>
      </c>
      <c r="H127" s="602">
        <v>0</v>
      </c>
      <c r="I127" s="115">
        <v>1.19</v>
      </c>
      <c r="J127" s="608">
        <f t="shared" si="42"/>
        <v>0</v>
      </c>
      <c r="K127" s="602">
        <v>1</v>
      </c>
      <c r="L127" s="602">
        <f t="shared" si="41"/>
        <v>0</v>
      </c>
      <c r="M127" s="113">
        <f ca="1">SUMIF(APU!A:B,'Materiales '!C129,APU!I:I)</f>
        <v>0</v>
      </c>
      <c r="N127" s="593" t="s">
        <v>5014</v>
      </c>
      <c r="O127" s="113" t="str">
        <f t="shared" si="38"/>
        <v>'104', 'CONECTOR PVC 3/4"', '7203', '4', '0', '0', '1.19', '0', '1', '0');</v>
      </c>
      <c r="P127" s="113" t="str">
        <f t="shared" si="39"/>
        <v>INSERT INTO materiales_2 (CODIGO, NOMBRE, COD_SIESA, ID_TIPO_UNIDAD, VALOR_UNITARIO, VALOR_COMPRA, IVA, VALOR_REAL, GANANCIA, VALOR_VENDIDO) VALUES ('104', 'CONECTOR PVC 3/4"', '7203', '4', '0', '0', '1.19', '0', '1', '0');</v>
      </c>
    </row>
    <row r="128" spans="2:16" ht="15">
      <c r="B128" s="216">
        <f t="shared" si="44"/>
        <v>105</v>
      </c>
      <c r="C128" s="356" t="s">
        <v>4509</v>
      </c>
      <c r="D128" s="357">
        <v>9617</v>
      </c>
      <c r="E128" s="595">
        <v>4</v>
      </c>
      <c r="F128" s="1" t="s">
        <v>4127</v>
      </c>
      <c r="G128" s="601">
        <f t="shared" si="43"/>
        <v>1071</v>
      </c>
      <c r="H128" s="602">
        <v>900</v>
      </c>
      <c r="I128" s="115">
        <v>1.19</v>
      </c>
      <c r="J128" s="608">
        <f t="shared" si="42"/>
        <v>1071</v>
      </c>
      <c r="K128" s="602">
        <v>1</v>
      </c>
      <c r="L128" s="602">
        <f t="shared" si="41"/>
        <v>1071</v>
      </c>
      <c r="M128" s="113">
        <f ca="1">SUMIF(APU!A:B,'Materiales '!C128,APU!I:I)</f>
        <v>0</v>
      </c>
      <c r="N128" s="593" t="s">
        <v>5014</v>
      </c>
      <c r="O128" s="113" t="str">
        <f t="shared" si="38"/>
        <v>'105', 'CONECTOR TIPO H', '9617', '4', '1071', '900', '1.19', '1071', '1', '1071');</v>
      </c>
      <c r="P128" s="113" t="str">
        <f t="shared" si="39"/>
        <v>INSERT INTO materiales_2 (CODIGO, NOMBRE, COD_SIESA, ID_TIPO_UNIDAD, VALOR_UNITARIO, VALOR_COMPRA, IVA, VALOR_REAL, GANANCIA, VALOR_VENDIDO) VALUES ('105', 'CONECTOR TIPO H', '9617', '4', '1071', '900', '1.19', '1071', '1', '1071');</v>
      </c>
    </row>
    <row r="129" spans="2:16" ht="15">
      <c r="B129" s="216">
        <f t="shared" si="44"/>
        <v>106</v>
      </c>
      <c r="C129" s="356" t="s">
        <v>4510</v>
      </c>
      <c r="D129" s="357">
        <v>1194</v>
      </c>
      <c r="E129" s="595">
        <v>4</v>
      </c>
      <c r="F129" s="1" t="s">
        <v>4127</v>
      </c>
      <c r="G129" s="601">
        <f t="shared" si="43"/>
        <v>7735</v>
      </c>
      <c r="H129" s="602">
        <v>6500</v>
      </c>
      <c r="I129" s="115">
        <v>1.19</v>
      </c>
      <c r="J129" s="608">
        <f t="shared" si="42"/>
        <v>7735</v>
      </c>
      <c r="K129" s="602">
        <v>1</v>
      </c>
      <c r="L129" s="602">
        <f t="shared" si="41"/>
        <v>7735</v>
      </c>
      <c r="M129" s="113">
        <f ca="1">SUMIF(APU!A:B,'Materiales '!C127,APU!I:I)</f>
        <v>0</v>
      </c>
      <c r="N129" s="593" t="s">
        <v>5014</v>
      </c>
      <c r="O129" s="113" t="str">
        <f t="shared" si="38"/>
        <v>'106', 'CONECTOR COMPRESION COBRE 2-2', '1194', '4', '7735', '6500', '1.19', '7735', '1', '7735');</v>
      </c>
      <c r="P129" s="113" t="str">
        <f t="shared" si="39"/>
        <v>INSERT INTO materiales_2 (CODIGO, NOMBRE, COD_SIESA, ID_TIPO_UNIDAD, VALOR_UNITARIO, VALOR_COMPRA, IVA, VALOR_REAL, GANANCIA, VALOR_VENDIDO) VALUES ('106', 'CONECTOR COMPRESION COBRE 2-2', '1194', '4', '7735', '6500', '1.19', '7735', '1', '7735');</v>
      </c>
    </row>
    <row r="130" spans="2:16" ht="15">
      <c r="B130" s="216">
        <f t="shared" si="44"/>
        <v>107</v>
      </c>
      <c r="C130" s="356" t="s">
        <v>4511</v>
      </c>
      <c r="D130" s="357">
        <v>1268</v>
      </c>
      <c r="E130" s="595">
        <v>4</v>
      </c>
      <c r="F130" s="1" t="s">
        <v>4127</v>
      </c>
      <c r="G130" s="601">
        <f t="shared" si="43"/>
        <v>357000</v>
      </c>
      <c r="H130" s="602">
        <v>300000</v>
      </c>
      <c r="I130" s="115">
        <v>1.19</v>
      </c>
      <c r="J130" s="608">
        <f t="shared" si="42"/>
        <v>357000</v>
      </c>
      <c r="K130" s="602">
        <v>1</v>
      </c>
      <c r="L130" s="602">
        <f t="shared" si="41"/>
        <v>357000</v>
      </c>
      <c r="M130" s="113">
        <f ca="1">SUMIF(APU!A:B,'Materiales '!C126,APU!I:I)</f>
        <v>0</v>
      </c>
      <c r="N130" s="593" t="s">
        <v>5014</v>
      </c>
      <c r="O130" s="113" t="str">
        <f t="shared" si="38"/>
        <v>'107', 'CORTACIRCUITO COMPLETO 15KVA 200A', '1268', '4', '357000', '300000', '1.19', '357000', '1', '357000');</v>
      </c>
      <c r="P130" s="113" t="str">
        <f t="shared" si="39"/>
        <v>INSERT INTO materiales_2 (CODIGO, NOMBRE, COD_SIESA, ID_TIPO_UNIDAD, VALOR_UNITARIO, VALOR_COMPRA, IVA, VALOR_REAL, GANANCIA, VALOR_VENDIDO) VALUES ('107', 'CORTACIRCUITO COMPLETO 15KVA 200A', '1268', '4', '357000', '300000', '1.19', '357000', '1', '357000');</v>
      </c>
    </row>
    <row r="131" spans="2:16" ht="15">
      <c r="B131" s="216">
        <f t="shared" si="44"/>
        <v>108</v>
      </c>
      <c r="C131" s="356" t="s">
        <v>4512</v>
      </c>
      <c r="D131" s="357">
        <v>6733</v>
      </c>
      <c r="E131" s="595">
        <v>4</v>
      </c>
      <c r="F131" s="1" t="s">
        <v>4127</v>
      </c>
      <c r="G131" s="601">
        <f t="shared" si="43"/>
        <v>8330</v>
      </c>
      <c r="H131" s="602">
        <v>7000</v>
      </c>
      <c r="I131" s="115">
        <v>1.19</v>
      </c>
      <c r="J131" s="608">
        <f t="shared" si="42"/>
        <v>8330</v>
      </c>
      <c r="K131" s="602">
        <v>1</v>
      </c>
      <c r="L131" s="602">
        <f t="shared" si="41"/>
        <v>8330</v>
      </c>
      <c r="M131" s="113">
        <f ca="1">SUMIF(APU!A:B,'Materiales '!C133,APU!I:I)</f>
        <v>0</v>
      </c>
      <c r="N131" s="593" t="s">
        <v>5014</v>
      </c>
      <c r="O131" s="113" t="str">
        <f t="shared" si="38"/>
        <v>'108', 'CONTRAPESO TIPO TUERCA DE OJO', '6733', '4', '8330', '7000', '1.19', '8330', '1', '8330');</v>
      </c>
      <c r="P131" s="113" t="str">
        <f t="shared" si="39"/>
        <v>INSERT INTO materiales_2 (CODIGO, NOMBRE, COD_SIESA, ID_TIPO_UNIDAD, VALOR_UNITARIO, VALOR_COMPRA, IVA, VALOR_REAL, GANANCIA, VALOR_VENDIDO) VALUES ('108', 'CONTRAPESO TIPO TUERCA DE OJO', '6733', '4', '8330', '7000', '1.19', '8330', '1', '8330');</v>
      </c>
    </row>
    <row r="132" spans="2:16" ht="15">
      <c r="B132" s="216">
        <f t="shared" si="44"/>
        <v>109</v>
      </c>
      <c r="C132" s="354" t="s">
        <v>4513</v>
      </c>
      <c r="D132" s="357">
        <v>1316</v>
      </c>
      <c r="E132" s="595">
        <v>4</v>
      </c>
      <c r="F132" s="1" t="s">
        <v>4127</v>
      </c>
      <c r="G132" s="601">
        <f t="shared" si="43"/>
        <v>14494.199999999999</v>
      </c>
      <c r="H132" s="602">
        <v>12180</v>
      </c>
      <c r="I132" s="115">
        <v>1.19</v>
      </c>
      <c r="J132" s="608">
        <f t="shared" si="42"/>
        <v>14494.199999999999</v>
      </c>
      <c r="K132" s="602">
        <v>1</v>
      </c>
      <c r="L132" s="602">
        <f t="shared" si="41"/>
        <v>14494.199999999999</v>
      </c>
      <c r="M132" s="113">
        <f ca="1">SUMIF(APU!A:B,'Materiales '!C125,APU!I:I)</f>
        <v>0</v>
      </c>
      <c r="N132" s="593" t="s">
        <v>5014</v>
      </c>
      <c r="O132" s="113" t="str">
        <f t="shared" ref="O132:O195" si="48">"'"&amp;B132&amp;"', '"&amp;TRIM(UPPER(C132))&amp;"', '"&amp;D132&amp;"', '"&amp;E132&amp;"', '"&amp;G132&amp;"', '"&amp;H132&amp;"', '"&amp;SUBSTITUTE(I132,",",".")&amp;"', '"&amp;J132&amp;"', '"&amp;K132&amp;"', '"&amp;L132&amp;"');"</f>
        <v>'109', 'CURVA PVC PESADA DE 2"', '1316', '4', '14494,2', '12180', '1.19', '14494,2', '1', '14494,2');</v>
      </c>
      <c r="P132" s="113" t="str">
        <f t="shared" ref="P132:P195" si="49">CONCATENATE(N132,O132)</f>
        <v>INSERT INTO materiales_2 (CODIGO, NOMBRE, COD_SIESA, ID_TIPO_UNIDAD, VALOR_UNITARIO, VALOR_COMPRA, IVA, VALOR_REAL, GANANCIA, VALOR_VENDIDO) VALUES ('109', 'CURVA PVC PESADA DE 2"', '1316', '4', '14494,2', '12180', '1.19', '14494,2', '1', '14494,2');</v>
      </c>
    </row>
    <row r="133" spans="2:16" ht="15">
      <c r="B133" s="216">
        <f t="shared" si="44"/>
        <v>110</v>
      </c>
      <c r="C133" s="354" t="s">
        <v>4514</v>
      </c>
      <c r="D133" s="357">
        <v>1312</v>
      </c>
      <c r="E133" s="595">
        <v>4</v>
      </c>
      <c r="F133" s="1" t="s">
        <v>4127</v>
      </c>
      <c r="G133" s="601">
        <f t="shared" si="43"/>
        <v>7848.0499999999993</v>
      </c>
      <c r="H133" s="602">
        <v>6595</v>
      </c>
      <c r="I133" s="115">
        <v>1.19</v>
      </c>
      <c r="J133" s="608">
        <f t="shared" si="42"/>
        <v>7848.0499999999993</v>
      </c>
      <c r="K133" s="602">
        <v>1</v>
      </c>
      <c r="L133" s="602">
        <f t="shared" si="41"/>
        <v>7848.0499999999993</v>
      </c>
      <c r="M133" s="113">
        <f ca="1">SUMIF(APU!A:B,'Materiales '!C132,APU!I:I)</f>
        <v>0</v>
      </c>
      <c r="N133" s="593" t="s">
        <v>5014</v>
      </c>
      <c r="O133" s="113" t="str">
        <f t="shared" si="48"/>
        <v>'110', 'CURVA PVC PESADA DE 1 1/2"', '1312', '4', '7848,05', '6595', '1.19', '7848,05', '1', '7848,05');</v>
      </c>
      <c r="P133" s="113" t="str">
        <f t="shared" si="49"/>
        <v>INSERT INTO materiales_2 (CODIGO, NOMBRE, COD_SIESA, ID_TIPO_UNIDAD, VALOR_UNITARIO, VALOR_COMPRA, IVA, VALOR_REAL, GANANCIA, VALOR_VENDIDO) VALUES ('110', 'CURVA PVC PESADA DE 1 1/2"', '1312', '4', '7848,05', '6595', '1.19', '7848,05', '1', '7848,05');</v>
      </c>
    </row>
    <row r="134" spans="2:16" ht="15">
      <c r="B134" s="216">
        <f t="shared" si="44"/>
        <v>111</v>
      </c>
      <c r="C134" s="354" t="s">
        <v>4515</v>
      </c>
      <c r="D134" s="357">
        <v>1314</v>
      </c>
      <c r="E134" s="595">
        <v>4</v>
      </c>
      <c r="F134" s="1" t="s">
        <v>4127</v>
      </c>
      <c r="G134" s="601">
        <f t="shared" si="43"/>
        <v>3080.91</v>
      </c>
      <c r="H134" s="602">
        <v>2589</v>
      </c>
      <c r="I134" s="115">
        <v>1.19</v>
      </c>
      <c r="J134" s="608">
        <f t="shared" si="42"/>
        <v>3080.91</v>
      </c>
      <c r="K134" s="602">
        <v>1</v>
      </c>
      <c r="L134" s="602">
        <f t="shared" si="41"/>
        <v>3080.91</v>
      </c>
      <c r="M134" s="113">
        <f ca="1">SUMIF(APU!A:B,'Materiales '!C131,APU!I:I)</f>
        <v>0</v>
      </c>
      <c r="N134" s="593" t="s">
        <v>5014</v>
      </c>
      <c r="O134" s="113" t="str">
        <f t="shared" si="48"/>
        <v>'111', 'CURVA PVC PESADA DE 1"', '1314', '4', '3080,91', '2589', '1.19', '3080,91', '1', '3080,91');</v>
      </c>
      <c r="P134" s="113" t="str">
        <f t="shared" si="49"/>
        <v>INSERT INTO materiales_2 (CODIGO, NOMBRE, COD_SIESA, ID_TIPO_UNIDAD, VALOR_UNITARIO, VALOR_COMPRA, IVA, VALOR_REAL, GANANCIA, VALOR_VENDIDO) VALUES ('111', 'CURVA PVC PESADA DE 1"', '1314', '4', '3080,91', '2589', '1.19', '3080,91', '1', '3080,91');</v>
      </c>
    </row>
    <row r="135" spans="2:16" ht="15">
      <c r="B135" s="216">
        <f t="shared" si="44"/>
        <v>112</v>
      </c>
      <c r="C135" s="354" t="s">
        <v>4516</v>
      </c>
      <c r="D135" s="357">
        <v>1318</v>
      </c>
      <c r="E135" s="595">
        <v>4</v>
      </c>
      <c r="F135" s="1" t="s">
        <v>4127</v>
      </c>
      <c r="G135" s="601">
        <f t="shared" si="43"/>
        <v>1142.3999999999999</v>
      </c>
      <c r="H135" s="602">
        <v>960</v>
      </c>
      <c r="I135" s="115">
        <v>1.19</v>
      </c>
      <c r="J135" s="608">
        <f t="shared" si="42"/>
        <v>1142.3999999999999</v>
      </c>
      <c r="K135" s="602">
        <v>1</v>
      </c>
      <c r="L135" s="602">
        <f t="shared" si="41"/>
        <v>1142.3999999999999</v>
      </c>
      <c r="M135" s="113">
        <f ca="1">SUMIF(APU!A:B,'Materiales '!C130,APU!I:I)</f>
        <v>0</v>
      </c>
      <c r="N135" s="593" t="s">
        <v>5014</v>
      </c>
      <c r="O135" s="113" t="str">
        <f t="shared" si="48"/>
        <v>'112', 'CURVA PVC PESADA DE 3/4"', '1318', '4', '1142,4', '960', '1.19', '1142,4', '1', '1142,4');</v>
      </c>
      <c r="P135" s="113" t="str">
        <f t="shared" si="49"/>
        <v>INSERT INTO materiales_2 (CODIGO, NOMBRE, COD_SIESA, ID_TIPO_UNIDAD, VALOR_UNITARIO, VALOR_COMPRA, IVA, VALOR_REAL, GANANCIA, VALOR_VENDIDO) VALUES ('112', 'CURVA PVC PESADA DE 3/4"', '1318', '4', '1142,4', '960', '1.19', '1142,4', '1', '1142,4');</v>
      </c>
    </row>
    <row r="136" spans="2:16" ht="15">
      <c r="B136" s="216">
        <f t="shared" si="44"/>
        <v>113</v>
      </c>
      <c r="C136" s="354" t="s">
        <v>4517</v>
      </c>
      <c r="D136" s="357">
        <v>9487</v>
      </c>
      <c r="E136" s="595">
        <v>4</v>
      </c>
      <c r="F136" s="1" t="s">
        <v>4127</v>
      </c>
      <c r="G136" s="601">
        <f t="shared" si="43"/>
        <v>123462.5</v>
      </c>
      <c r="H136" s="602">
        <v>103750</v>
      </c>
      <c r="I136" s="115">
        <v>1.19</v>
      </c>
      <c r="J136" s="608">
        <f t="shared" si="42"/>
        <v>123462.5</v>
      </c>
      <c r="K136" s="602">
        <v>1</v>
      </c>
      <c r="L136" s="602">
        <f t="shared" si="41"/>
        <v>123462.5</v>
      </c>
      <c r="M136" s="113">
        <f ca="1">SUMIF(APU!A:B,'Materiales '!C124,APU!I:I)</f>
        <v>0</v>
      </c>
      <c r="N136" s="593" t="s">
        <v>5014</v>
      </c>
      <c r="O136" s="113" t="str">
        <f t="shared" si="48"/>
        <v>'113', 'DESCARGADORES DE SOBRETENSION DE 15KV', '9487', '4', '123462,5', '103750', '1.19', '123462,5', '1', '123462,5');</v>
      </c>
      <c r="P136" s="113" t="str">
        <f t="shared" si="49"/>
        <v>INSERT INTO materiales_2 (CODIGO, NOMBRE, COD_SIESA, ID_TIPO_UNIDAD, VALOR_UNITARIO, VALOR_COMPRA, IVA, VALOR_REAL, GANANCIA, VALOR_VENDIDO) VALUES ('113', 'DESCARGADORES DE SOBRETENSION DE 15KV', '9487', '4', '123462,5', '103750', '1.19', '123462,5', '1', '123462,5');</v>
      </c>
    </row>
    <row r="137" spans="2:16" ht="15">
      <c r="B137" s="216">
        <f t="shared" si="44"/>
        <v>114</v>
      </c>
      <c r="C137" s="354" t="s">
        <v>4518</v>
      </c>
      <c r="D137" s="357">
        <v>1549</v>
      </c>
      <c r="E137" s="595">
        <v>4</v>
      </c>
      <c r="F137" s="1" t="s">
        <v>4127</v>
      </c>
      <c r="G137" s="601">
        <f t="shared" si="43"/>
        <v>9520</v>
      </c>
      <c r="H137" s="602">
        <v>8000</v>
      </c>
      <c r="I137" s="115">
        <v>1.19</v>
      </c>
      <c r="J137" s="608">
        <f t="shared" si="42"/>
        <v>9520</v>
      </c>
      <c r="K137" s="602">
        <v>1</v>
      </c>
      <c r="L137" s="602">
        <f t="shared" si="41"/>
        <v>9520</v>
      </c>
      <c r="N137" s="593" t="s">
        <v>5014</v>
      </c>
      <c r="O137" s="113" t="str">
        <f t="shared" si="48"/>
        <v>'114', 'ESPARRAGO DE 5/8 X 12"', '1549', '4', '9520', '8000', '1.19', '9520', '1', '9520');</v>
      </c>
      <c r="P137" s="113" t="str">
        <f t="shared" si="49"/>
        <v>INSERT INTO materiales_2 (CODIGO, NOMBRE, COD_SIESA, ID_TIPO_UNIDAD, VALOR_UNITARIO, VALOR_COMPRA, IVA, VALOR_REAL, GANANCIA, VALOR_VENDIDO) VALUES ('114', 'ESPARRAGO DE 5/8 X 12"', '1549', '4', '9520', '8000', '1.19', '9520', '1', '9520');</v>
      </c>
    </row>
    <row r="138" spans="2:16" ht="15">
      <c r="B138" s="216">
        <f t="shared" si="44"/>
        <v>115</v>
      </c>
      <c r="C138" s="354" t="s">
        <v>4519</v>
      </c>
      <c r="D138" s="357">
        <v>1550</v>
      </c>
      <c r="E138" s="595">
        <v>4</v>
      </c>
      <c r="F138" s="1" t="s">
        <v>4127</v>
      </c>
      <c r="G138" s="601">
        <f t="shared" si="43"/>
        <v>0</v>
      </c>
      <c r="H138" s="602">
        <v>0</v>
      </c>
      <c r="I138" s="115">
        <v>1.19</v>
      </c>
      <c r="J138" s="608">
        <f t="shared" si="42"/>
        <v>0</v>
      </c>
      <c r="K138" s="602">
        <v>1</v>
      </c>
      <c r="L138" s="602">
        <f t="shared" si="41"/>
        <v>0</v>
      </c>
      <c r="N138" s="593" t="s">
        <v>5014</v>
      </c>
      <c r="O138" s="113" t="str">
        <f t="shared" si="48"/>
        <v>'115', 'ESPARRAGO DE 5/8 X 18"', '1550', '4', '0', '0', '1.19', '0', '1', '0');</v>
      </c>
      <c r="P138" s="113" t="str">
        <f t="shared" si="49"/>
        <v>INSERT INTO materiales_2 (CODIGO, NOMBRE, COD_SIESA, ID_TIPO_UNIDAD, VALOR_UNITARIO, VALOR_COMPRA, IVA, VALOR_REAL, GANANCIA, VALOR_VENDIDO) VALUES ('115', 'ESPARRAGO DE 5/8 X 18"', '1550', '4', '0', '0', '1.19', '0', '1', '0');</v>
      </c>
    </row>
    <row r="139" spans="2:16" ht="15">
      <c r="B139" s="216">
        <f t="shared" si="44"/>
        <v>116</v>
      </c>
      <c r="C139" s="354" t="s">
        <v>4520</v>
      </c>
      <c r="D139" s="239">
        <v>10970</v>
      </c>
      <c r="E139" s="595">
        <v>4</v>
      </c>
      <c r="F139" s="1" t="s">
        <v>4127</v>
      </c>
      <c r="G139" s="601">
        <f t="shared" si="43"/>
        <v>0</v>
      </c>
      <c r="H139" s="602">
        <v>0</v>
      </c>
      <c r="I139" s="115">
        <v>1.19</v>
      </c>
      <c r="J139" s="608">
        <f t="shared" si="42"/>
        <v>0</v>
      </c>
      <c r="K139" s="602">
        <v>1</v>
      </c>
      <c r="L139" s="602">
        <f t="shared" si="41"/>
        <v>0</v>
      </c>
      <c r="N139" s="593" t="s">
        <v>5014</v>
      </c>
      <c r="O139" s="113" t="str">
        <f t="shared" si="48"/>
        <v>'116', 'ESCUADRA 90 GRADOS RECTA EN ACERO O NIQUEL DE 50X50 MM', '10970', '4', '0', '0', '1.19', '0', '1', '0');</v>
      </c>
      <c r="P139" s="113" t="str">
        <f t="shared" si="49"/>
        <v>INSERT INTO materiales_2 (CODIGO, NOMBRE, COD_SIESA, ID_TIPO_UNIDAD, VALOR_UNITARIO, VALOR_COMPRA, IVA, VALOR_REAL, GANANCIA, VALOR_VENDIDO) VALUES ('116', 'ESCUADRA 90 GRADOS RECTA EN ACERO O NIQUEL DE 50X50 MM', '10970', '4', '0', '0', '1.19', '0', '1', '0');</v>
      </c>
    </row>
    <row r="140" spans="2:16" ht="15">
      <c r="B140" s="216">
        <f t="shared" si="44"/>
        <v>117</v>
      </c>
      <c r="C140" s="356" t="s">
        <v>4203</v>
      </c>
      <c r="D140" s="357">
        <v>1700</v>
      </c>
      <c r="E140" s="595">
        <v>4</v>
      </c>
      <c r="F140" s="1" t="s">
        <v>4127</v>
      </c>
      <c r="G140" s="601">
        <f t="shared" si="43"/>
        <v>19040</v>
      </c>
      <c r="H140" s="602">
        <v>16000</v>
      </c>
      <c r="I140" s="115">
        <v>1.19</v>
      </c>
      <c r="J140" s="608">
        <f t="shared" si="42"/>
        <v>19040</v>
      </c>
      <c r="K140" s="602">
        <v>1</v>
      </c>
      <c r="L140" s="602">
        <f t="shared" si="41"/>
        <v>19040</v>
      </c>
      <c r="N140" s="593" t="s">
        <v>5014</v>
      </c>
      <c r="O140" s="113" t="str">
        <f t="shared" si="48"/>
        <v>'117', 'FOTOCELDA', '1700', '4', '19040', '16000', '1.19', '19040', '1', '19040');</v>
      </c>
      <c r="P140" s="113" t="str">
        <f t="shared" si="49"/>
        <v>INSERT INTO materiales_2 (CODIGO, NOMBRE, COD_SIESA, ID_TIPO_UNIDAD, VALOR_UNITARIO, VALOR_COMPRA, IVA, VALOR_REAL, GANANCIA, VALOR_VENDIDO) VALUES ('117', 'FOTOCELDA', '1700', '4', '19040', '16000', '1.19', '19040', '1', '19040');</v>
      </c>
    </row>
    <row r="141" spans="2:16" ht="15">
      <c r="B141" s="216">
        <f t="shared" si="44"/>
        <v>118</v>
      </c>
      <c r="C141" s="358" t="s">
        <v>4521</v>
      </c>
      <c r="D141" s="357">
        <v>1716</v>
      </c>
      <c r="E141" s="595">
        <v>4</v>
      </c>
      <c r="F141" s="1" t="s">
        <v>4127</v>
      </c>
      <c r="G141" s="601">
        <f t="shared" si="43"/>
        <v>12138</v>
      </c>
      <c r="H141" s="602">
        <v>10200</v>
      </c>
      <c r="I141" s="115">
        <v>1.19</v>
      </c>
      <c r="J141" s="608">
        <f t="shared" si="42"/>
        <v>12138</v>
      </c>
      <c r="K141" s="602">
        <v>1</v>
      </c>
      <c r="L141" s="602">
        <f t="shared" si="41"/>
        <v>12138</v>
      </c>
      <c r="N141" s="593" t="s">
        <v>5014</v>
      </c>
      <c r="O141" s="113" t="str">
        <f t="shared" si="48"/>
        <v>'118', 'FUSIBLE DE EXPULSIÓN 0.4 (SR) TIPO D', '1716', '4', '12138', '10200', '1.19', '12138', '1', '12138');</v>
      </c>
      <c r="P141" s="113" t="str">
        <f t="shared" si="49"/>
        <v>INSERT INTO materiales_2 (CODIGO, NOMBRE, COD_SIESA, ID_TIPO_UNIDAD, VALOR_UNITARIO, VALOR_COMPRA, IVA, VALOR_REAL, GANANCIA, VALOR_VENDIDO) VALUES ('118', 'FUSIBLE DE EXPULSIÓN 0.4 (SR) TIPO D', '1716', '4', '12138', '10200', '1.19', '12138', '1', '12138');</v>
      </c>
    </row>
    <row r="142" spans="2:16" ht="15">
      <c r="B142" s="216">
        <f>B140+1</f>
        <v>118</v>
      </c>
      <c r="C142" s="356" t="s">
        <v>4522</v>
      </c>
      <c r="D142" s="357">
        <v>1714</v>
      </c>
      <c r="E142" s="595">
        <v>4</v>
      </c>
      <c r="F142" s="1" t="s">
        <v>4127</v>
      </c>
      <c r="G142" s="601">
        <f t="shared" ref="G142" si="50">L142</f>
        <v>13090</v>
      </c>
      <c r="H142" s="602">
        <v>11000</v>
      </c>
      <c r="I142" s="115">
        <v>1.19</v>
      </c>
      <c r="J142" s="608">
        <f t="shared" ref="J142" si="51">I142*H142</f>
        <v>13090</v>
      </c>
      <c r="K142" s="602">
        <v>1</v>
      </c>
      <c r="L142" s="602">
        <f t="shared" ref="L142" si="52">K142*J142</f>
        <v>13090</v>
      </c>
      <c r="N142" s="593" t="s">
        <v>5014</v>
      </c>
      <c r="O142" s="113" t="str">
        <f t="shared" si="48"/>
        <v>'118', 'FUSIBLE DE EXPULSIÓN 2 (VS)', '1714', '4', '13090', '11000', '1.19', '13090', '1', '13090');</v>
      </c>
      <c r="P142" s="113" t="str">
        <f t="shared" si="49"/>
        <v>INSERT INTO materiales_2 (CODIGO, NOMBRE, COD_SIESA, ID_TIPO_UNIDAD, VALOR_UNITARIO, VALOR_COMPRA, IVA, VALOR_REAL, GANANCIA, VALOR_VENDIDO) VALUES ('118', 'FUSIBLE DE EXPULSIÓN 2 (VS)', '1714', '4', '13090', '11000', '1.19', '13090', '1', '13090');</v>
      </c>
    </row>
    <row r="143" spans="2:16" ht="15">
      <c r="B143" s="216">
        <f>B141+1</f>
        <v>119</v>
      </c>
      <c r="C143" s="356" t="s">
        <v>4811</v>
      </c>
      <c r="D143" s="357">
        <v>1714</v>
      </c>
      <c r="E143" s="595">
        <v>4</v>
      </c>
      <c r="F143" s="1" t="s">
        <v>4127</v>
      </c>
      <c r="G143" s="601">
        <f t="shared" si="43"/>
        <v>17850</v>
      </c>
      <c r="H143" s="602">
        <v>15000</v>
      </c>
      <c r="I143" s="115">
        <v>1.19</v>
      </c>
      <c r="J143" s="608">
        <f t="shared" si="42"/>
        <v>17850</v>
      </c>
      <c r="K143" s="602">
        <v>1</v>
      </c>
      <c r="L143" s="602">
        <f t="shared" si="41"/>
        <v>17850</v>
      </c>
      <c r="N143" s="593" t="s">
        <v>5014</v>
      </c>
      <c r="O143" s="113" t="str">
        <f t="shared" si="48"/>
        <v>'119', 'FUSIBLE DE EXPULSIÓN 8 (VS)', '1714', '4', '17850', '15000', '1.19', '17850', '1', '17850');</v>
      </c>
      <c r="P143" s="113" t="str">
        <f t="shared" si="49"/>
        <v>INSERT INTO materiales_2 (CODIGO, NOMBRE, COD_SIESA, ID_TIPO_UNIDAD, VALOR_UNITARIO, VALOR_COMPRA, IVA, VALOR_REAL, GANANCIA, VALOR_VENDIDO) VALUES ('119', 'FUSIBLE DE EXPULSIÓN 8 (VS)', '1714', '4', '17850', '15000', '1.19', '17850', '1', '17850');</v>
      </c>
    </row>
    <row r="144" spans="2:16" ht="15">
      <c r="B144" s="216">
        <f t="shared" si="44"/>
        <v>120</v>
      </c>
      <c r="C144" s="356" t="s">
        <v>4523</v>
      </c>
      <c r="D144" s="357">
        <v>1798</v>
      </c>
      <c r="E144" s="595">
        <v>4</v>
      </c>
      <c r="F144" s="1" t="s">
        <v>4127</v>
      </c>
      <c r="G144" s="601">
        <f t="shared" si="43"/>
        <v>36890</v>
      </c>
      <c r="H144" s="602">
        <v>31000</v>
      </c>
      <c r="I144" s="115">
        <v>1.19</v>
      </c>
      <c r="J144" s="608">
        <f t="shared" si="42"/>
        <v>36890</v>
      </c>
      <c r="K144" s="602">
        <v>1</v>
      </c>
      <c r="L144" s="602">
        <f t="shared" si="41"/>
        <v>36890</v>
      </c>
      <c r="M144" s="113">
        <f ca="1">SUMIF(APU!A:B,'Materiales '!C134,APU!I:I)</f>
        <v>0</v>
      </c>
      <c r="N144" s="593" t="s">
        <v>5014</v>
      </c>
      <c r="O144" s="113" t="str">
        <f t="shared" si="48"/>
        <v>'120', 'GRAPA TIPO PISTOLA 1/0', '1798', '4', '36890', '31000', '1.19', '36890', '1', '36890');</v>
      </c>
      <c r="P144" s="113" t="str">
        <f t="shared" si="49"/>
        <v>INSERT INTO materiales_2 (CODIGO, NOMBRE, COD_SIESA, ID_TIPO_UNIDAD, VALOR_UNITARIO, VALOR_COMPRA, IVA, VALOR_REAL, GANANCIA, VALOR_VENDIDO) VALUES ('120', 'GRAPA TIPO PISTOLA 1/0', '1798', '4', '36890', '31000', '1.19', '36890', '1', '36890');</v>
      </c>
    </row>
    <row r="145" spans="2:16" ht="15">
      <c r="B145" s="216">
        <f t="shared" si="44"/>
        <v>121</v>
      </c>
      <c r="C145" s="356" t="s">
        <v>4524</v>
      </c>
      <c r="D145" s="357">
        <v>11148</v>
      </c>
      <c r="E145" s="595">
        <v>4</v>
      </c>
      <c r="F145" s="1" t="s">
        <v>4127</v>
      </c>
      <c r="G145" s="601">
        <f t="shared" si="43"/>
        <v>10472</v>
      </c>
      <c r="H145" s="602">
        <v>8800</v>
      </c>
      <c r="I145" s="115">
        <v>1.19</v>
      </c>
      <c r="J145" s="608">
        <f t="shared" si="42"/>
        <v>10472</v>
      </c>
      <c r="K145" s="602">
        <v>1</v>
      </c>
      <c r="L145" s="602">
        <f t="shared" si="41"/>
        <v>10472</v>
      </c>
      <c r="M145" s="113">
        <f ca="1">SUMIF(APU!A:B,'Materiales '!C135,APU!I:I)</f>
        <v>0</v>
      </c>
      <c r="N145" s="593" t="s">
        <v>5014</v>
      </c>
      <c r="O145" s="113" t="str">
        <f t="shared" si="48"/>
        <v>'121', 'GRAPA TRES PERNOS 1 1/2 X 3/8', '11148', '4', '10472', '8800', '1.19', '10472', '1', '10472');</v>
      </c>
      <c r="P145" s="113" t="str">
        <f t="shared" si="49"/>
        <v>INSERT INTO materiales_2 (CODIGO, NOMBRE, COD_SIESA, ID_TIPO_UNIDAD, VALOR_UNITARIO, VALOR_COMPRA, IVA, VALOR_REAL, GANANCIA, VALOR_VENDIDO) VALUES ('121', 'GRAPA TRES PERNOS 1 1/2 X 3/8', '11148', '4', '10472', '8800', '1.19', '10472', '1', '10472');</v>
      </c>
    </row>
    <row r="146" spans="2:16" ht="15">
      <c r="B146" s="216">
        <f t="shared" si="44"/>
        <v>122</v>
      </c>
      <c r="C146" s="356" t="s">
        <v>4525</v>
      </c>
      <c r="D146" s="357">
        <v>1811</v>
      </c>
      <c r="E146" s="595">
        <v>4</v>
      </c>
      <c r="F146" s="1" t="s">
        <v>4127</v>
      </c>
      <c r="G146" s="601">
        <f t="shared" si="43"/>
        <v>12999.9527</v>
      </c>
      <c r="H146" s="602">
        <v>10924.33</v>
      </c>
      <c r="I146" s="115">
        <v>1.19</v>
      </c>
      <c r="J146" s="608">
        <f t="shared" si="42"/>
        <v>12999.9527</v>
      </c>
      <c r="K146" s="602">
        <v>1</v>
      </c>
      <c r="L146" s="602">
        <f t="shared" si="41"/>
        <v>12999.9527</v>
      </c>
      <c r="M146" s="113">
        <f ca="1">SUMIF(APU!A:B,'Materiales '!C136,APU!I:I)</f>
        <v>0</v>
      </c>
      <c r="N146" s="593" t="s">
        <v>5014</v>
      </c>
      <c r="O146" s="113" t="str">
        <f t="shared" si="48"/>
        <v>'122', 'GRILLETE LARGO RECTO 5/8', '1811', '4', '12999,9527', '10924,33', '1.19', '12999,9527', '1', '12999,9527');</v>
      </c>
      <c r="P146" s="113" t="str">
        <f t="shared" si="49"/>
        <v>INSERT INTO materiales_2 (CODIGO, NOMBRE, COD_SIESA, ID_TIPO_UNIDAD, VALOR_UNITARIO, VALOR_COMPRA, IVA, VALOR_REAL, GANANCIA, VALOR_VENDIDO) VALUES ('122', 'GRILLETE LARGO RECTO 5/8', '1811', '4', '12999,9527', '10924,33', '1.19', '12999,9527', '1', '12999,9527');</v>
      </c>
    </row>
    <row r="147" spans="2:16" ht="15">
      <c r="B147" s="216">
        <f t="shared" si="44"/>
        <v>123</v>
      </c>
      <c r="C147" s="356" t="s">
        <v>4526</v>
      </c>
      <c r="D147" s="357">
        <v>1837</v>
      </c>
      <c r="E147" s="595">
        <v>4</v>
      </c>
      <c r="F147" s="1" t="s">
        <v>4127</v>
      </c>
      <c r="G147" s="601">
        <f t="shared" si="43"/>
        <v>1323.28</v>
      </c>
      <c r="H147" s="602">
        <v>1112</v>
      </c>
      <c r="I147" s="115">
        <v>1.19</v>
      </c>
      <c r="J147" s="608">
        <f t="shared" si="42"/>
        <v>1323.28</v>
      </c>
      <c r="K147" s="602">
        <v>1</v>
      </c>
      <c r="L147" s="602">
        <f t="shared" si="41"/>
        <v>1323.28</v>
      </c>
      <c r="M147" s="113">
        <f ca="1">SUMIF(APU!A:B,'Materiales '!C203,APU!I:I)</f>
        <v>0</v>
      </c>
      <c r="N147" s="593" t="s">
        <v>5014</v>
      </c>
      <c r="O147" s="113" t="str">
        <f t="shared" si="48"/>
        <v>'123', 'GUARDACABO 5/8', '1837', '4', '1323,28', '1112', '1.19', '1323,28', '1', '1323,28');</v>
      </c>
      <c r="P147" s="113" t="str">
        <f t="shared" si="49"/>
        <v>INSERT INTO materiales_2 (CODIGO, NOMBRE, COD_SIESA, ID_TIPO_UNIDAD, VALOR_UNITARIO, VALOR_COMPRA, IVA, VALOR_REAL, GANANCIA, VALOR_VENDIDO) VALUES ('123', 'GUARDACABO 5/8', '1837', '4', '1323,28', '1112', '1.19', '1323,28', '1', '1323,28');</v>
      </c>
    </row>
    <row r="148" spans="2:16" ht="15">
      <c r="B148" s="216">
        <f t="shared" si="44"/>
        <v>124</v>
      </c>
      <c r="C148" s="354" t="s">
        <v>4527</v>
      </c>
      <c r="D148" s="357">
        <v>1852</v>
      </c>
      <c r="E148" s="595">
        <v>4</v>
      </c>
      <c r="F148" s="1" t="s">
        <v>4127</v>
      </c>
      <c r="G148" s="601">
        <f t="shared" si="43"/>
        <v>642.6</v>
      </c>
      <c r="H148" s="602">
        <v>540</v>
      </c>
      <c r="I148" s="115">
        <v>1.19</v>
      </c>
      <c r="J148" s="608">
        <f t="shared" si="42"/>
        <v>642.6</v>
      </c>
      <c r="K148" s="602">
        <v>1</v>
      </c>
      <c r="L148" s="602">
        <f t="shared" si="41"/>
        <v>642.6</v>
      </c>
      <c r="M148" s="113">
        <f ca="1">SUMIF(APU!A:B,'Materiales '!C200,APU!I:I)</f>
        <v>0</v>
      </c>
      <c r="N148" s="593" t="s">
        <v>5014</v>
      </c>
      <c r="O148" s="113" t="str">
        <f t="shared" si="48"/>
        <v>'124', 'HEBILLA BANDIT 5/8"', '1852', '4', '642,6', '540', '1.19', '642,6', '1', '642,6');</v>
      </c>
      <c r="P148" s="113" t="str">
        <f t="shared" si="49"/>
        <v>INSERT INTO materiales_2 (CODIGO, NOMBRE, COD_SIESA, ID_TIPO_UNIDAD, VALOR_UNITARIO, VALOR_COMPRA, IVA, VALOR_REAL, GANANCIA, VALOR_VENDIDO) VALUES ('124', 'HEBILLA BANDIT 5/8"', '1852', '4', '642,6', '540', '1.19', '642,6', '1', '642,6');</v>
      </c>
    </row>
    <row r="149" spans="2:16" ht="15">
      <c r="B149" s="216">
        <f t="shared" si="44"/>
        <v>125</v>
      </c>
      <c r="C149" s="354" t="s">
        <v>4528</v>
      </c>
      <c r="D149" s="357">
        <v>6124</v>
      </c>
      <c r="E149" s="595">
        <v>4</v>
      </c>
      <c r="F149" s="1" t="s">
        <v>4127</v>
      </c>
      <c r="G149" s="601">
        <f t="shared" si="43"/>
        <v>421.26</v>
      </c>
      <c r="H149" s="602">
        <v>354</v>
      </c>
      <c r="I149" s="115">
        <v>1.19</v>
      </c>
      <c r="J149" s="608">
        <f t="shared" si="42"/>
        <v>421.26</v>
      </c>
      <c r="K149" s="602">
        <v>1</v>
      </c>
      <c r="L149" s="602">
        <f t="shared" si="41"/>
        <v>421.26</v>
      </c>
      <c r="M149" s="113">
        <f ca="1">SUMIF(APU!A:B,'Materiales '!C199,APU!I:I)</f>
        <v>0</v>
      </c>
      <c r="N149" s="593" t="s">
        <v>5014</v>
      </c>
      <c r="O149" s="113" t="str">
        <f t="shared" si="48"/>
        <v>'125', 'HEBILLA BANDIT 1/2"', '6124', '4', '421,26', '354', '1.19', '421,26', '1', '421,26');</v>
      </c>
      <c r="P149" s="113" t="str">
        <f t="shared" si="49"/>
        <v>INSERT INTO materiales_2 (CODIGO, NOMBRE, COD_SIESA, ID_TIPO_UNIDAD, VALOR_UNITARIO, VALOR_COMPRA, IVA, VALOR_REAL, GANANCIA, VALOR_VENDIDO) VALUES ('125', 'HEBILLA BANDIT 1/2"', '6124', '4', '421,26', '354', '1.19', '421,26', '1', '421,26');</v>
      </c>
    </row>
    <row r="150" spans="2:16" ht="15">
      <c r="B150" s="216">
        <f t="shared" si="44"/>
        <v>126</v>
      </c>
      <c r="C150" s="354" t="s">
        <v>4529</v>
      </c>
      <c r="D150" s="357">
        <v>1851</v>
      </c>
      <c r="E150" s="595">
        <v>4</v>
      </c>
      <c r="F150" s="1" t="s">
        <v>4127</v>
      </c>
      <c r="G150" s="601">
        <f t="shared" si="43"/>
        <v>571.19999999999993</v>
      </c>
      <c r="H150" s="602">
        <v>480</v>
      </c>
      <c r="I150" s="115">
        <v>1.19</v>
      </c>
      <c r="J150" s="608">
        <f t="shared" si="42"/>
        <v>571.19999999999993</v>
      </c>
      <c r="K150" s="602">
        <v>1</v>
      </c>
      <c r="L150" s="602">
        <f t="shared" ref="L150:L304" si="53">K150*J150</f>
        <v>571.19999999999993</v>
      </c>
      <c r="M150" s="113">
        <f ca="1">SUMIF(APU!A:B,'Materiales '!C204,APU!I:I)</f>
        <v>0</v>
      </c>
      <c r="N150" s="593" t="s">
        <v>5014</v>
      </c>
      <c r="O150" s="113" t="str">
        <f t="shared" si="48"/>
        <v>'126', 'HEBILLA BANDIT 3/4"', '1851', '4', '571,2', '480', '1.19', '571,2', '1', '571,2');</v>
      </c>
      <c r="P150" s="113" t="str">
        <f t="shared" si="49"/>
        <v>INSERT INTO materiales_2 (CODIGO, NOMBRE, COD_SIESA, ID_TIPO_UNIDAD, VALOR_UNITARIO, VALOR_COMPRA, IVA, VALOR_REAL, GANANCIA, VALOR_VENDIDO) VALUES ('126', 'HEBILLA BANDIT 3/4"', '1851', '4', '571,2', '480', '1.19', '571,2', '1', '571,2');</v>
      </c>
    </row>
    <row r="151" spans="2:16" ht="15">
      <c r="B151" s="216">
        <f t="shared" si="44"/>
        <v>127</v>
      </c>
      <c r="C151" s="354" t="s">
        <v>4530</v>
      </c>
      <c r="D151" s="357">
        <v>1965</v>
      </c>
      <c r="E151" s="595">
        <v>4</v>
      </c>
      <c r="F151" s="1" t="s">
        <v>4127</v>
      </c>
      <c r="G151" s="601">
        <f t="shared" si="43"/>
        <v>181475</v>
      </c>
      <c r="H151" s="602">
        <v>152500</v>
      </c>
      <c r="I151" s="115">
        <v>1.19</v>
      </c>
      <c r="J151" s="608">
        <f t="shared" ref="J151:J306" si="54">I151*H151</f>
        <v>181475</v>
      </c>
      <c r="K151" s="602">
        <v>1</v>
      </c>
      <c r="L151" s="602">
        <f t="shared" si="53"/>
        <v>181475</v>
      </c>
      <c r="M151" s="113">
        <f ca="1">SUMIF(APU!A:B,'Materiales '!C205,APU!I:I)</f>
        <v>0</v>
      </c>
      <c r="N151" s="593" t="s">
        <v>5014</v>
      </c>
      <c r="O151" s="113" t="str">
        <f t="shared" si="48"/>
        <v>'127', 'KIT STAVOL PARA SPT', '1965', '4', '181475', '152500', '1.19', '181475', '1', '181475');</v>
      </c>
      <c r="P151" s="113" t="str">
        <f t="shared" si="49"/>
        <v>INSERT INTO materiales_2 (CODIGO, NOMBRE, COD_SIESA, ID_TIPO_UNIDAD, VALOR_UNITARIO, VALOR_COMPRA, IVA, VALOR_REAL, GANANCIA, VALOR_VENDIDO) VALUES ('127', 'KIT STAVOL PARA SPT', '1965', '4', '181475', '152500', '1.19', '181475', '1', '181475');</v>
      </c>
    </row>
    <row r="152" spans="2:16" ht="15">
      <c r="B152" s="216">
        <f>B132+1</f>
        <v>110</v>
      </c>
      <c r="C152" s="366" t="s">
        <v>4658</v>
      </c>
      <c r="D152" s="239"/>
      <c r="E152" s="595">
        <v>4</v>
      </c>
      <c r="F152" s="1" t="s">
        <v>4127</v>
      </c>
      <c r="G152" s="601">
        <f t="shared" si="43"/>
        <v>309740.62470513064</v>
      </c>
      <c r="H152" s="602">
        <v>260286.23924800893</v>
      </c>
      <c r="I152" s="115">
        <v>1.19</v>
      </c>
      <c r="J152" s="608">
        <f t="shared" si="54"/>
        <v>309740.62470513064</v>
      </c>
      <c r="K152" s="602">
        <v>1</v>
      </c>
      <c r="L152" s="602">
        <f t="shared" si="53"/>
        <v>309740.62470513064</v>
      </c>
      <c r="M152" s="113">
        <f ca="1">SUMIF(APU!A:B,'Materiales '!C160,APU!I:I)</f>
        <v>0</v>
      </c>
      <c r="N152" s="593" t="s">
        <v>5014</v>
      </c>
      <c r="O152" s="113" t="str">
        <f t="shared" si="48"/>
        <v>'110', 'REFLECTOR METAL HALIDE 100W', '', '4', '309740,624705131', '260286,239248009', '1.19', '309740,624705131', '1', '309740,624705131');</v>
      </c>
      <c r="P152" s="113" t="str">
        <f t="shared" si="49"/>
        <v>INSERT INTO materiales_2 (CODIGO, NOMBRE, COD_SIESA, ID_TIPO_UNIDAD, VALOR_UNITARIO, VALOR_COMPRA, IVA, VALOR_REAL, GANANCIA, VALOR_VENDIDO) VALUES ('110', 'REFLECTOR METAL HALIDE 100W', '', '4', '309740,624705131', '260286,239248009', '1.19', '309740,624705131', '1', '309740,624705131');</v>
      </c>
    </row>
    <row r="153" spans="2:16" ht="15">
      <c r="B153" s="216">
        <f>B133+1</f>
        <v>111</v>
      </c>
      <c r="C153" s="366" t="s">
        <v>4659</v>
      </c>
      <c r="D153" s="239"/>
      <c r="E153" s="595">
        <v>4</v>
      </c>
      <c r="F153" s="1" t="s">
        <v>4127</v>
      </c>
      <c r="G153" s="601">
        <f t="shared" si="43"/>
        <v>390470.89391019131</v>
      </c>
      <c r="H153" s="602">
        <v>328126.80160520278</v>
      </c>
      <c r="I153" s="115">
        <v>1.19</v>
      </c>
      <c r="J153" s="608">
        <f t="shared" si="54"/>
        <v>390470.89391019131</v>
      </c>
      <c r="K153" s="602">
        <v>1</v>
      </c>
      <c r="L153" s="602">
        <f t="shared" si="53"/>
        <v>390470.89391019131</v>
      </c>
      <c r="M153" s="113">
        <f ca="1">SUMIF(APU!A:B,'Materiales '!C161,APU!I:I)</f>
        <v>0</v>
      </c>
      <c r="N153" s="593" t="s">
        <v>5014</v>
      </c>
      <c r="O153" s="113" t="str">
        <f t="shared" si="48"/>
        <v>'111', 'REFLECTOR METAL HALIDE 150W', '', '4', '390470,893910191', '328126,801605203', '1.19', '390470,893910191', '1', '390470,893910191');</v>
      </c>
      <c r="P153" s="113" t="str">
        <f t="shared" si="49"/>
        <v>INSERT INTO materiales_2 (CODIGO, NOMBRE, COD_SIESA, ID_TIPO_UNIDAD, VALOR_UNITARIO, VALOR_COMPRA, IVA, VALOR_REAL, GANANCIA, VALOR_VENDIDO) VALUES ('111', 'REFLECTOR METAL HALIDE 150W', '', '4', '390470,893910191', '328126,801605203', '1.19', '390470,893910191', '1', '390470,893910191');</v>
      </c>
    </row>
    <row r="154" spans="2:16" ht="15">
      <c r="B154" s="216">
        <f>B134+1</f>
        <v>112</v>
      </c>
      <c r="C154" s="366" t="s">
        <v>4660</v>
      </c>
      <c r="D154" s="239"/>
      <c r="E154" s="595">
        <v>4</v>
      </c>
      <c r="F154" s="1" t="s">
        <v>4127</v>
      </c>
      <c r="G154" s="601">
        <f t="shared" ref="G154:G155" si="55">L154</f>
        <v>851786.71793910919</v>
      </c>
      <c r="H154" s="602">
        <v>715787.15793202457</v>
      </c>
      <c r="I154" s="115">
        <v>1.19</v>
      </c>
      <c r="J154" s="608">
        <f t="shared" ref="J154:J155" si="56">I154*H154</f>
        <v>851786.71793910919</v>
      </c>
      <c r="K154" s="602">
        <v>1</v>
      </c>
      <c r="L154" s="602">
        <f t="shared" ref="L154:L155" si="57">K154*J154</f>
        <v>851786.71793910919</v>
      </c>
      <c r="M154" s="113">
        <f ca="1">SUMIF(APU!A:B,'Materiales '!C162,APU!I:I)</f>
        <v>0</v>
      </c>
      <c r="N154" s="593" t="s">
        <v>5014</v>
      </c>
      <c r="O154" s="113" t="str">
        <f t="shared" si="48"/>
        <v>'112', 'REFLECTOR METAL HALIDE 250W', '', '4', '851786,717939109', '715787,157932025', '1.19', '851786,717939109', '1', '851786,717939109');</v>
      </c>
      <c r="P154" s="113" t="str">
        <f t="shared" si="49"/>
        <v>INSERT INTO materiales_2 (CODIGO, NOMBRE, COD_SIESA, ID_TIPO_UNIDAD, VALOR_UNITARIO, VALOR_COMPRA, IVA, VALOR_REAL, GANANCIA, VALOR_VENDIDO) VALUES ('112', 'REFLECTOR METAL HALIDE 250W', '', '4', '851786,717939109', '715787,157932025', '1.19', '851786,717939109', '1', '851786,717939109');</v>
      </c>
    </row>
    <row r="155" spans="2:16" ht="15">
      <c r="B155" s="216">
        <f>B135+1</f>
        <v>113</v>
      </c>
      <c r="C155" s="366" t="s">
        <v>4661</v>
      </c>
      <c r="D155" s="239"/>
      <c r="E155" s="595">
        <v>4</v>
      </c>
      <c r="F155" s="1" t="s">
        <v>4127</v>
      </c>
      <c r="G155" s="601">
        <f t="shared" si="55"/>
        <v>823613.50154305762</v>
      </c>
      <c r="H155" s="602">
        <v>692112.18617063668</v>
      </c>
      <c r="I155" s="115">
        <v>1.19</v>
      </c>
      <c r="J155" s="608">
        <f t="shared" si="56"/>
        <v>823613.50154305762</v>
      </c>
      <c r="K155" s="602">
        <v>1</v>
      </c>
      <c r="L155" s="602">
        <f t="shared" si="57"/>
        <v>823613.50154305762</v>
      </c>
      <c r="M155" s="113">
        <f ca="1">SUMIF(APU!A:B,'Materiales '!C163,APU!I:I)</f>
        <v>0</v>
      </c>
      <c r="N155" s="593" t="s">
        <v>5014</v>
      </c>
      <c r="O155" s="113" t="str">
        <f t="shared" si="48"/>
        <v>'113', 'REFLECTOR METAL HALIDE 400W', '', '4', '823613,501543058', '692112,186170637', '1.19', '823613,501543058', '1', '823613,501543058');</v>
      </c>
      <c r="P155" s="113" t="str">
        <f t="shared" si="49"/>
        <v>INSERT INTO materiales_2 (CODIGO, NOMBRE, COD_SIESA, ID_TIPO_UNIDAD, VALOR_UNITARIO, VALOR_COMPRA, IVA, VALOR_REAL, GANANCIA, VALOR_VENDIDO) VALUES ('113', 'REFLECTOR METAL HALIDE 400W', '', '4', '823613,501543058', '692112,186170637', '1.19', '823613,501543058', '1', '823613,501543058');</v>
      </c>
    </row>
    <row r="156" spans="2:16" ht="15">
      <c r="B156" s="216">
        <f>B136+1</f>
        <v>114</v>
      </c>
      <c r="C156" s="366" t="s">
        <v>4662</v>
      </c>
      <c r="D156" s="239"/>
      <c r="E156" s="595">
        <v>4</v>
      </c>
      <c r="F156" s="1" t="s">
        <v>4127</v>
      </c>
      <c r="G156" s="601">
        <f t="shared" si="43"/>
        <v>1713458.7749645528</v>
      </c>
      <c r="H156" s="602">
        <v>1439881.3234996244</v>
      </c>
      <c r="I156" s="115">
        <v>1.19</v>
      </c>
      <c r="J156" s="608">
        <f t="shared" si="54"/>
        <v>1713458.7749645528</v>
      </c>
      <c r="K156" s="602">
        <v>1</v>
      </c>
      <c r="L156" s="602">
        <f t="shared" si="53"/>
        <v>1713458.7749645528</v>
      </c>
      <c r="M156" s="113">
        <f ca="1">SUMIF(APU!A:B,'Materiales '!C164,APU!I:I)</f>
        <v>0</v>
      </c>
      <c r="N156" s="593" t="s">
        <v>5014</v>
      </c>
      <c r="O156" s="113" t="str">
        <f t="shared" si="48"/>
        <v>'114', 'REFLECTOR METAL HALIDE 1000W', '', '4', '1713458,77496455', '1439881,32349962', '1.19', '1713458,77496455', '1', '1713458,77496455');</v>
      </c>
      <c r="P156" s="113" t="str">
        <f t="shared" si="49"/>
        <v>INSERT INTO materiales_2 (CODIGO, NOMBRE, COD_SIESA, ID_TIPO_UNIDAD, VALOR_UNITARIO, VALOR_COMPRA, IVA, VALOR_REAL, GANANCIA, VALOR_VENDIDO) VALUES ('114', 'REFLECTOR METAL HALIDE 1000W', '', '4', '1713458,77496455', '1439881,32349962', '1.19', '1713458,77496455', '1', '1713458,77496455');</v>
      </c>
    </row>
    <row r="157" spans="2:16" ht="15">
      <c r="B157" s="216">
        <f t="shared" ref="B157:B162" si="58">B136+1</f>
        <v>114</v>
      </c>
      <c r="C157" s="366" t="s">
        <v>4783</v>
      </c>
      <c r="D157" s="239"/>
      <c r="E157" s="595">
        <v>4</v>
      </c>
      <c r="F157" s="1" t="s">
        <v>4127</v>
      </c>
      <c r="G157" s="601">
        <f t="shared" ref="G157" si="59">L157</f>
        <v>345986.86802168842</v>
      </c>
      <c r="H157" s="602">
        <f>'Luminarias '!P26</f>
        <v>290745.26724511635</v>
      </c>
      <c r="I157" s="115">
        <v>1.19</v>
      </c>
      <c r="J157" s="608">
        <f t="shared" ref="J157" si="60">I157*H157</f>
        <v>345986.86802168842</v>
      </c>
      <c r="K157" s="602">
        <v>1</v>
      </c>
      <c r="L157" s="602">
        <f t="shared" ref="L157" si="61">K157*J157</f>
        <v>345986.86802168842</v>
      </c>
      <c r="M157" s="113">
        <f ca="1">SUMIF(APU!A:B,'Materiales '!C164,APU!I:I)</f>
        <v>0</v>
      </c>
      <c r="N157" s="593" t="s">
        <v>5014</v>
      </c>
      <c r="O157" s="113" t="str">
        <f t="shared" si="48"/>
        <v>'114', 'LUMINARIA SODIO 50W', '', '4', '345986,868021688', '290745,267245116', '1.19', '345986,868021688', '1', '345986,868021688');</v>
      </c>
      <c r="P157" s="113" t="str">
        <f t="shared" si="49"/>
        <v>INSERT INTO materiales_2 (CODIGO, NOMBRE, COD_SIESA, ID_TIPO_UNIDAD, VALOR_UNITARIO, VALOR_COMPRA, IVA, VALOR_REAL, GANANCIA, VALOR_VENDIDO) VALUES ('114', 'LUMINARIA SODIO 50W', '', '4', '345986,868021688', '290745,267245116', '1.19', '345986,868021688', '1', '345986,868021688');</v>
      </c>
    </row>
    <row r="158" spans="2:16" ht="15">
      <c r="B158" s="216">
        <f t="shared" si="58"/>
        <v>115</v>
      </c>
      <c r="C158" s="366" t="s">
        <v>4663</v>
      </c>
      <c r="D158" s="239"/>
      <c r="E158" s="595">
        <v>4</v>
      </c>
      <c r="F158" s="1" t="s">
        <v>4127</v>
      </c>
      <c r="G158" s="601">
        <f t="shared" si="43"/>
        <v>488665.2621677753</v>
      </c>
      <c r="H158" s="602">
        <v>410643.07745191205</v>
      </c>
      <c r="I158" s="115">
        <v>1.19</v>
      </c>
      <c r="J158" s="608">
        <f t="shared" si="54"/>
        <v>488665.2621677753</v>
      </c>
      <c r="K158" s="602">
        <v>1</v>
      </c>
      <c r="L158" s="602">
        <f t="shared" si="53"/>
        <v>488665.2621677753</v>
      </c>
      <c r="M158" s="113">
        <f ca="1">SUMIF(APU!A:B,'Materiales '!C165,APU!I:I)</f>
        <v>0</v>
      </c>
      <c r="N158" s="593" t="s">
        <v>5014</v>
      </c>
      <c r="O158" s="113" t="str">
        <f t="shared" si="48"/>
        <v>'115', 'LUMINARIA SODIO 70W', '', '4', '488665,262167775', '410643,077451912', '1.19', '488665,262167775', '1', '488665,262167775');</v>
      </c>
      <c r="P158" s="113" t="str">
        <f t="shared" si="49"/>
        <v>INSERT INTO materiales_2 (CODIGO, NOMBRE, COD_SIESA, ID_TIPO_UNIDAD, VALOR_UNITARIO, VALOR_COMPRA, IVA, VALOR_REAL, GANANCIA, VALOR_VENDIDO) VALUES ('115', 'LUMINARIA SODIO 70W', '', '4', '488665,262167775', '410643,077451912', '1.19', '488665,262167775', '1', '488665,262167775');</v>
      </c>
    </row>
    <row r="159" spans="2:16" ht="15">
      <c r="B159" s="216">
        <f t="shared" si="58"/>
        <v>116</v>
      </c>
      <c r="C159" s="366" t="s">
        <v>4664</v>
      </c>
      <c r="D159" s="239"/>
      <c r="E159" s="595">
        <v>4</v>
      </c>
      <c r="F159" s="1" t="s">
        <v>4127</v>
      </c>
      <c r="G159" s="601">
        <f t="shared" ref="G159:G160" si="62">L159</f>
        <v>520627.85854692169</v>
      </c>
      <c r="H159" s="602">
        <v>437502.40214027034</v>
      </c>
      <c r="I159" s="115">
        <v>1.19</v>
      </c>
      <c r="J159" s="608">
        <f t="shared" ref="J159:J160" si="63">I159*H159</f>
        <v>520627.85854692169</v>
      </c>
      <c r="K159" s="602">
        <v>1</v>
      </c>
      <c r="L159" s="602">
        <f t="shared" ref="L159:L160" si="64">K159*J159</f>
        <v>520627.85854692169</v>
      </c>
      <c r="M159" s="113">
        <f ca="1">SUMIF(APU!A:B,'Materiales '!C166,APU!I:I)</f>
        <v>0</v>
      </c>
      <c r="N159" s="593" t="s">
        <v>5014</v>
      </c>
      <c r="O159" s="113" t="str">
        <f t="shared" si="48"/>
        <v>'116', 'LUMINARIA SODIO 150W', '', '4', '520627,858546922', '437502,40214027', '1.19', '520627,858546922', '1', '520627,858546922');</v>
      </c>
      <c r="P159" s="113" t="str">
        <f t="shared" si="49"/>
        <v>INSERT INTO materiales_2 (CODIGO, NOMBRE, COD_SIESA, ID_TIPO_UNIDAD, VALOR_UNITARIO, VALOR_COMPRA, IVA, VALOR_REAL, GANANCIA, VALOR_VENDIDO) VALUES ('116', 'LUMINARIA SODIO 150W', '', '4', '520627,858546922', '437502,40214027', '1.19', '520627,858546922', '1', '520627,858546922');</v>
      </c>
    </row>
    <row r="160" spans="2:16" ht="15">
      <c r="B160" s="216">
        <f t="shared" si="58"/>
        <v>117</v>
      </c>
      <c r="C160" s="366" t="s">
        <v>4665</v>
      </c>
      <c r="D160" s="239"/>
      <c r="E160" s="595">
        <v>4</v>
      </c>
      <c r="F160" s="1" t="s">
        <v>4127</v>
      </c>
      <c r="G160" s="601">
        <f t="shared" si="62"/>
        <v>593120.34518003743</v>
      </c>
      <c r="H160" s="602">
        <v>498420.45813448523</v>
      </c>
      <c r="I160" s="115">
        <v>1.19</v>
      </c>
      <c r="J160" s="608">
        <f t="shared" si="63"/>
        <v>593120.34518003743</v>
      </c>
      <c r="K160" s="602">
        <v>1</v>
      </c>
      <c r="L160" s="602">
        <f t="shared" si="64"/>
        <v>593120.34518003743</v>
      </c>
      <c r="M160" s="113">
        <f ca="1">SUMIF(APU!A:B,'Materiales '!C167,APU!I:I)</f>
        <v>0</v>
      </c>
      <c r="N160" s="593" t="s">
        <v>5014</v>
      </c>
      <c r="O160" s="113" t="str">
        <f t="shared" si="48"/>
        <v>'117', 'LUMINARIA SODIO 250W', '', '4', '593120,345180037', '498420,458134485', '1.19', '593120,345180037', '1', '593120,345180037');</v>
      </c>
      <c r="P160" s="113" t="str">
        <f t="shared" si="49"/>
        <v>INSERT INTO materiales_2 (CODIGO, NOMBRE, COD_SIESA, ID_TIPO_UNIDAD, VALOR_UNITARIO, VALOR_COMPRA, IVA, VALOR_REAL, GANANCIA, VALOR_VENDIDO) VALUES ('117', 'LUMINARIA SODIO 250W', '', '4', '593120,345180037', '498420,458134485', '1.19', '593120,345180037', '1', '593120,345180037');</v>
      </c>
    </row>
    <row r="161" spans="2:16" ht="15">
      <c r="B161" s="216">
        <f t="shared" si="58"/>
        <v>118</v>
      </c>
      <c r="C161" s="366" t="s">
        <v>4666</v>
      </c>
      <c r="D161" s="239"/>
      <c r="E161" s="595">
        <v>4</v>
      </c>
      <c r="F161" s="1" t="s">
        <v>4127</v>
      </c>
      <c r="G161" s="601">
        <f t="shared" si="43"/>
        <v>662317.71878437512</v>
      </c>
      <c r="H161" s="602">
        <v>556569.51158350857</v>
      </c>
      <c r="I161" s="115">
        <v>1.19</v>
      </c>
      <c r="J161" s="608">
        <f t="shared" si="54"/>
        <v>662317.71878437512</v>
      </c>
      <c r="K161" s="602">
        <v>1</v>
      </c>
      <c r="L161" s="602">
        <f t="shared" si="53"/>
        <v>662317.71878437512</v>
      </c>
      <c r="M161" s="113">
        <f ca="1">SUMIF(APU!A:B,'Materiales '!C168,APU!I:I)</f>
        <v>0</v>
      </c>
      <c r="N161" s="593" t="s">
        <v>5014</v>
      </c>
      <c r="O161" s="113" t="str">
        <f t="shared" si="48"/>
        <v>'118', 'LUMINARIA SODIO 400W', '', '4', '662317,718784375', '556569,511583509', '1.19', '662317,718784375', '1', '662317,718784375');</v>
      </c>
      <c r="P161" s="113" t="str">
        <f t="shared" si="49"/>
        <v>INSERT INTO materiales_2 (CODIGO, NOMBRE, COD_SIESA, ID_TIPO_UNIDAD, VALOR_UNITARIO, VALOR_COMPRA, IVA, VALOR_REAL, GANANCIA, VALOR_VENDIDO) VALUES ('118', 'LUMINARIA SODIO 400W', '', '4', '662317,718784375', '556569,511583509', '1.19', '662317,718784375', '1', '662317,718784375');</v>
      </c>
    </row>
    <row r="162" spans="2:16" ht="15">
      <c r="B162" s="216">
        <f t="shared" si="58"/>
        <v>119</v>
      </c>
      <c r="C162" s="366" t="s">
        <v>4667</v>
      </c>
      <c r="D162" s="239"/>
      <c r="E162" s="595">
        <v>4</v>
      </c>
      <c r="F162" s="1" t="s">
        <v>4127</v>
      </c>
      <c r="G162" s="601">
        <f t="shared" si="43"/>
        <v>1003361.9172628967</v>
      </c>
      <c r="H162" s="602">
        <v>843161.27501083759</v>
      </c>
      <c r="I162" s="115">
        <v>1.19</v>
      </c>
      <c r="J162" s="608">
        <f t="shared" si="54"/>
        <v>1003361.9172628967</v>
      </c>
      <c r="K162" s="602">
        <v>1</v>
      </c>
      <c r="L162" s="602">
        <f t="shared" si="53"/>
        <v>1003361.9172628967</v>
      </c>
      <c r="M162" s="113">
        <f ca="1">SUMIF(APU!A:B,'Materiales '!C172,APU!I:I)</f>
        <v>0</v>
      </c>
      <c r="N162" s="593" t="s">
        <v>5014</v>
      </c>
      <c r="O162" s="113" t="str">
        <f t="shared" si="48"/>
        <v>'119', 'FAROL CON LUMINARIA SODIO 70W', '', '4', '1003361,9172629', '843161,275010838', '1.19', '1003361,9172629', '1', '1003361,9172629');</v>
      </c>
      <c r="P162" s="113" t="str">
        <f t="shared" si="49"/>
        <v>INSERT INTO materiales_2 (CODIGO, NOMBRE, COD_SIESA, ID_TIPO_UNIDAD, VALOR_UNITARIO, VALOR_COMPRA, IVA, VALOR_REAL, GANANCIA, VALOR_VENDIDO) VALUES ('119', 'FAROL CON LUMINARIA SODIO 70W', '', '4', '1003361,9172629', '843161,275010838', '1.19', '1003361,9172629', '1', '1003361,9172629');</v>
      </c>
    </row>
    <row r="163" spans="2:16" ht="15">
      <c r="B163" s="216">
        <f t="shared" ref="B163:B168" si="65">B143+1</f>
        <v>120</v>
      </c>
      <c r="C163" s="366" t="s">
        <v>4668</v>
      </c>
      <c r="D163" s="239"/>
      <c r="E163" s="595">
        <v>4</v>
      </c>
      <c r="F163" s="1" t="s">
        <v>4127</v>
      </c>
      <c r="G163" s="601">
        <f t="shared" ref="G163:G164" si="66">L163</f>
        <v>1070911.7343528452</v>
      </c>
      <c r="H163" s="602">
        <v>899925.82718726492</v>
      </c>
      <c r="I163" s="115">
        <v>1.19</v>
      </c>
      <c r="J163" s="608">
        <f t="shared" ref="J163:J164" si="67">I163*H163</f>
        <v>1070911.7343528452</v>
      </c>
      <c r="K163" s="602">
        <v>1</v>
      </c>
      <c r="L163" s="602">
        <f t="shared" ref="L163:L164" si="68">K163*J163</f>
        <v>1070911.7343528452</v>
      </c>
      <c r="M163" s="113">
        <f ca="1">SUMIF(APU!A:B,'Materiales '!C195,APU!I:I)</f>
        <v>0</v>
      </c>
      <c r="N163" s="593" t="s">
        <v>5014</v>
      </c>
      <c r="O163" s="113" t="str">
        <f t="shared" si="48"/>
        <v>'120', 'FAROL CON LUMINARIA SODIO 150W', '', '4', '1070911,73435285', '899925,827187265', '1.19', '1070911,73435285', '1', '1070911,73435285');</v>
      </c>
      <c r="P163" s="113" t="str">
        <f t="shared" si="49"/>
        <v>INSERT INTO materiales_2 (CODIGO, NOMBRE, COD_SIESA, ID_TIPO_UNIDAD, VALOR_UNITARIO, VALOR_COMPRA, IVA, VALOR_REAL, GANANCIA, VALOR_VENDIDO) VALUES ('120', 'FAROL CON LUMINARIA SODIO 150W', '', '4', '1070911,73435285', '899925,827187265', '1.19', '1070911,73435285', '1', '1070911,73435285');</v>
      </c>
    </row>
    <row r="164" spans="2:16" ht="15">
      <c r="B164" s="216">
        <f t="shared" si="65"/>
        <v>121</v>
      </c>
      <c r="C164" s="366" t="s">
        <v>4669</v>
      </c>
      <c r="D164" s="239"/>
      <c r="E164" s="595">
        <v>4</v>
      </c>
      <c r="F164" s="1" t="s">
        <v>4127</v>
      </c>
      <c r="G164" s="601">
        <f t="shared" si="66"/>
        <v>985238.79560461803</v>
      </c>
      <c r="H164" s="602">
        <v>827931.76101228409</v>
      </c>
      <c r="I164" s="115">
        <v>1.19</v>
      </c>
      <c r="J164" s="608">
        <f t="shared" si="67"/>
        <v>985238.79560461803</v>
      </c>
      <c r="K164" s="602">
        <v>1</v>
      </c>
      <c r="L164" s="602">
        <f t="shared" si="68"/>
        <v>985238.79560461803</v>
      </c>
      <c r="M164" s="113">
        <f ca="1">SUMIF(APU!A:B,'Materiales '!C196,APU!I:I)</f>
        <v>0</v>
      </c>
      <c r="N164" s="593" t="s">
        <v>5014</v>
      </c>
      <c r="O164" s="113" t="str">
        <f t="shared" si="48"/>
        <v>'121', 'FAROL CON LUMINARIA INCANDESCENTE 100W', '', '4', '985238,795604618', '827931,761012284', '1.19', '985238,795604618', '1', '985238,795604618');</v>
      </c>
      <c r="P164" s="113" t="str">
        <f t="shared" si="49"/>
        <v>INSERT INTO materiales_2 (CODIGO, NOMBRE, COD_SIESA, ID_TIPO_UNIDAD, VALOR_UNITARIO, VALOR_COMPRA, IVA, VALOR_REAL, GANANCIA, VALOR_VENDIDO) VALUES ('121', 'FAROL CON LUMINARIA INCANDESCENTE 100W', '', '4', '985238,795604618', '827931,761012284', '1.19', '985238,795604618', '1', '985238,795604618');</v>
      </c>
    </row>
    <row r="165" spans="2:16" ht="15">
      <c r="B165" s="216">
        <f t="shared" si="65"/>
        <v>122</v>
      </c>
      <c r="C165" s="366" t="s">
        <v>4670</v>
      </c>
      <c r="D165" s="239"/>
      <c r="E165" s="595">
        <v>4</v>
      </c>
      <c r="F165" s="1" t="s">
        <v>4127</v>
      </c>
      <c r="G165" s="601">
        <f t="shared" si="43"/>
        <v>311388.18121951964</v>
      </c>
      <c r="H165" s="602">
        <v>261670.74052060477</v>
      </c>
      <c r="I165" s="115">
        <v>1.19</v>
      </c>
      <c r="J165" s="608">
        <f t="shared" si="54"/>
        <v>311388.18121951964</v>
      </c>
      <c r="K165" s="602">
        <v>1</v>
      </c>
      <c r="L165" s="602">
        <f t="shared" si="53"/>
        <v>311388.18121951964</v>
      </c>
      <c r="M165" s="113">
        <f ca="1">SUMIF(APU!A:B,'Materiales '!C197,APU!I:I)</f>
        <v>0</v>
      </c>
      <c r="N165" s="593" t="s">
        <v>5014</v>
      </c>
      <c r="O165" s="113" t="str">
        <f t="shared" si="48"/>
        <v>'122', 'LUMINARIA CON BOMBILLO INCANDESCENTE 100W', '', '4', '311388,18121952', '261670,740520605', '1.19', '311388,18121952', '1', '311388,18121952');</v>
      </c>
      <c r="P165" s="113" t="str">
        <f t="shared" si="49"/>
        <v>INSERT INTO materiales_2 (CODIGO, NOMBRE, COD_SIESA, ID_TIPO_UNIDAD, VALOR_UNITARIO, VALOR_COMPRA, IVA, VALOR_REAL, GANANCIA, VALOR_VENDIDO) VALUES ('122', 'LUMINARIA CON BOMBILLO INCANDESCENTE 100W', '', '4', '311388,18121952', '261670,740520605', '1.19', '311388,18121952', '1', '311388,18121952');</v>
      </c>
    </row>
    <row r="166" spans="2:16" ht="15">
      <c r="B166" s="216">
        <f t="shared" si="65"/>
        <v>123</v>
      </c>
      <c r="C166" s="366" t="s">
        <v>4671</v>
      </c>
      <c r="D166" s="239"/>
      <c r="E166" s="595">
        <v>4</v>
      </c>
      <c r="F166" s="1" t="s">
        <v>4127</v>
      </c>
      <c r="G166" s="601">
        <f t="shared" si="43"/>
        <v>411889.12859724817</v>
      </c>
      <c r="H166" s="602">
        <v>346125.31814894808</v>
      </c>
      <c r="I166" s="115">
        <v>1.19</v>
      </c>
      <c r="J166" s="608">
        <f t="shared" si="54"/>
        <v>411889.12859724817</v>
      </c>
      <c r="K166" s="602">
        <v>1</v>
      </c>
      <c r="L166" s="602">
        <f t="shared" si="53"/>
        <v>411889.12859724817</v>
      </c>
      <c r="M166" s="113">
        <f ca="1">SUMIF(APU!A:B,'Materiales '!C199,APU!I:I)</f>
        <v>0</v>
      </c>
      <c r="N166" s="593" t="s">
        <v>5014</v>
      </c>
      <c r="O166" s="113" t="str">
        <f t="shared" si="48"/>
        <v>'123', 'LUMINARIA MERCURIO 100W', '', '4', '411889,128597248', '346125,318148948', '1.19', '411889,128597248', '1', '411889,128597248');</v>
      </c>
      <c r="P166" s="113" t="str">
        <f t="shared" si="49"/>
        <v>INSERT INTO materiales_2 (CODIGO, NOMBRE, COD_SIESA, ID_TIPO_UNIDAD, VALOR_UNITARIO, VALOR_COMPRA, IVA, VALOR_REAL, GANANCIA, VALOR_VENDIDO) VALUES ('123', 'LUMINARIA MERCURIO 100W', '', '4', '411889,128597248', '346125,318148948', '1.19', '411889,128597248', '1', '411889,128597248');</v>
      </c>
    </row>
    <row r="167" spans="2:16" ht="15">
      <c r="B167" s="216">
        <f t="shared" si="65"/>
        <v>124</v>
      </c>
      <c r="C167" s="366" t="s">
        <v>4672</v>
      </c>
      <c r="D167" s="239"/>
      <c r="E167" s="595">
        <v>4</v>
      </c>
      <c r="F167" s="1" t="s">
        <v>4127</v>
      </c>
      <c r="G167" s="601">
        <f t="shared" ref="G167:G171" si="69">L167</f>
        <v>436931.98761596082</v>
      </c>
      <c r="H167" s="602">
        <v>367169.73749240406</v>
      </c>
      <c r="I167" s="115">
        <v>1.19</v>
      </c>
      <c r="J167" s="608">
        <f t="shared" ref="J167:J171" si="70">I167*H167</f>
        <v>436931.98761596082</v>
      </c>
      <c r="K167" s="602">
        <v>1</v>
      </c>
      <c r="L167" s="602">
        <f t="shared" ref="L167:L171" si="71">K167*J167</f>
        <v>436931.98761596082</v>
      </c>
      <c r="M167" s="113">
        <f ca="1">SUMIF(APU!A:B,'Materiales '!C200,APU!I:I)</f>
        <v>0</v>
      </c>
      <c r="N167" s="593" t="s">
        <v>5014</v>
      </c>
      <c r="O167" s="113" t="str">
        <f t="shared" si="48"/>
        <v>'124', 'LUMINARIA MIXTA 160W', '', '4', '436931,987615961', '367169,737492404', '1.19', '436931,987615961', '1', '436931,987615961');</v>
      </c>
      <c r="P167" s="113" t="str">
        <f t="shared" si="49"/>
        <v>INSERT INTO materiales_2 (CODIGO, NOMBRE, COD_SIESA, ID_TIPO_UNIDAD, VALOR_UNITARIO, VALOR_COMPRA, IVA, VALOR_REAL, GANANCIA, VALOR_VENDIDO) VALUES ('124', 'LUMINARIA MIXTA 160W', '', '4', '436931,987615961', '367169,737492404', '1.19', '436931,987615961', '1', '436931,987615961');</v>
      </c>
    </row>
    <row r="168" spans="2:16" ht="15">
      <c r="B168" s="216">
        <f t="shared" si="65"/>
        <v>125</v>
      </c>
      <c r="C168" s="366" t="s">
        <v>4673</v>
      </c>
      <c r="D168" s="239"/>
      <c r="E168" s="595">
        <v>4</v>
      </c>
      <c r="F168" s="1" t="s">
        <v>4127</v>
      </c>
      <c r="G168" s="601">
        <f t="shared" si="69"/>
        <v>522275.41506131086</v>
      </c>
      <c r="H168" s="602">
        <v>438886.90341286629</v>
      </c>
      <c r="I168" s="115">
        <v>1.19</v>
      </c>
      <c r="J168" s="608">
        <f t="shared" si="70"/>
        <v>522275.41506131086</v>
      </c>
      <c r="K168" s="602">
        <v>1</v>
      </c>
      <c r="L168" s="602">
        <f t="shared" si="71"/>
        <v>522275.41506131086</v>
      </c>
      <c r="M168" s="113">
        <f ca="1">SUMIF(APU!A:B,'Materiales '!C203,APU!I:I)</f>
        <v>0</v>
      </c>
      <c r="N168" s="593" t="s">
        <v>5014</v>
      </c>
      <c r="O168" s="113" t="str">
        <f t="shared" si="48"/>
        <v>'125', 'FAROL CON LUMINARIA FLUORESCENTE 32W', '', '4', '522275,415061311', '438886,903412866', '1.19', '522275,415061311', '1', '522275,415061311');</v>
      </c>
      <c r="P168" s="113" t="str">
        <f t="shared" si="49"/>
        <v>INSERT INTO materiales_2 (CODIGO, NOMBRE, COD_SIESA, ID_TIPO_UNIDAD, VALOR_UNITARIO, VALOR_COMPRA, IVA, VALOR_REAL, GANANCIA, VALOR_VENDIDO) VALUES ('125', 'FAROL CON LUMINARIA FLUORESCENTE 32W', '', '4', '522275,415061311', '438886,903412866', '1.19', '522275,415061311', '1', '522275,415061311');</v>
      </c>
    </row>
    <row r="169" spans="2:16" ht="15">
      <c r="B169" s="216">
        <f>B146+1</f>
        <v>123</v>
      </c>
      <c r="C169" s="366" t="s">
        <v>4711</v>
      </c>
      <c r="D169" s="239"/>
      <c r="E169" s="595">
        <v>4</v>
      </c>
      <c r="F169" s="1" t="s">
        <v>4127</v>
      </c>
      <c r="G169" s="601">
        <f t="shared" ref="G169" si="72">L169</f>
        <v>228480</v>
      </c>
      <c r="H169" s="602">
        <v>192000</v>
      </c>
      <c r="I169" s="115">
        <v>1.19</v>
      </c>
      <c r="J169" s="608">
        <f t="shared" ref="J169" si="73">I169*H169</f>
        <v>228480</v>
      </c>
      <c r="K169" s="602">
        <v>1</v>
      </c>
      <c r="L169" s="602">
        <f t="shared" ref="L169" si="74">K169*J169</f>
        <v>228480</v>
      </c>
      <c r="M169" s="113">
        <f ca="1">SUMIF(APU!A:B,'Materiales '!C199,APU!I:I)</f>
        <v>0</v>
      </c>
      <c r="N169" s="593" t="s">
        <v>5014</v>
      </c>
      <c r="O169" s="113" t="str">
        <f t="shared" si="48"/>
        <v>'123', 'LUMINARIA CON BOMBILLO LED 20W', '', '4', '228480', '192000', '1.19', '228480', '1', '228480');</v>
      </c>
      <c r="P169" s="113" t="str">
        <f t="shared" si="49"/>
        <v>INSERT INTO materiales_2 (CODIGO, NOMBRE, COD_SIESA, ID_TIPO_UNIDAD, VALOR_UNITARIO, VALOR_COMPRA, IVA, VALOR_REAL, GANANCIA, VALOR_VENDIDO) VALUES ('123', 'LUMINARIA CON BOMBILLO LED 20W', '', '4', '228480', '192000', '1.19', '228480', '1', '228480');</v>
      </c>
    </row>
    <row r="170" spans="2:16" ht="15">
      <c r="B170" s="216">
        <f>B147+1</f>
        <v>124</v>
      </c>
      <c r="C170" s="366" t="s">
        <v>4674</v>
      </c>
      <c r="D170" s="239"/>
      <c r="E170" s="595">
        <v>4</v>
      </c>
      <c r="F170" s="1" t="s">
        <v>4127</v>
      </c>
      <c r="G170" s="601">
        <f t="shared" si="69"/>
        <v>222749.64074539187</v>
      </c>
      <c r="H170" s="602">
        <v>187184.57205495116</v>
      </c>
      <c r="I170" s="115">
        <v>1.19</v>
      </c>
      <c r="J170" s="608">
        <f t="shared" si="70"/>
        <v>222749.64074539187</v>
      </c>
      <c r="K170" s="602">
        <v>1</v>
      </c>
      <c r="L170" s="602">
        <f t="shared" si="71"/>
        <v>222749.64074539187</v>
      </c>
      <c r="M170" s="113">
        <f ca="1">SUMIF(APU!A:B,'Materiales '!C200,APU!I:I)</f>
        <v>0</v>
      </c>
      <c r="N170" s="593" t="s">
        <v>5014</v>
      </c>
      <c r="O170" s="113" t="str">
        <f t="shared" si="48"/>
        <v>'124', 'LUMINARIA CON BOMBILLO FLUORESCENTE 32W', '', '4', '222749,640745392', '187184,572054951', '1.19', '222749,640745392', '1', '222749,640745392');</v>
      </c>
      <c r="P170" s="113" t="str">
        <f t="shared" si="49"/>
        <v>INSERT INTO materiales_2 (CODIGO, NOMBRE, COD_SIESA, ID_TIPO_UNIDAD, VALOR_UNITARIO, VALOR_COMPRA, IVA, VALOR_REAL, GANANCIA, VALOR_VENDIDO) VALUES ('124', 'LUMINARIA CON BOMBILLO FLUORESCENTE 32W', '', '4', '222749,640745392', '187184,572054951', '1.19', '222749,640745392', '1', '222749,640745392');</v>
      </c>
    </row>
    <row r="171" spans="2:16" ht="15">
      <c r="B171" s="216">
        <f>B148+1</f>
        <v>125</v>
      </c>
      <c r="C171" s="366" t="s">
        <v>4675</v>
      </c>
      <c r="D171" s="239"/>
      <c r="E171" s="595">
        <v>4</v>
      </c>
      <c r="F171" s="1" t="s">
        <v>4127</v>
      </c>
      <c r="G171" s="601">
        <f t="shared" si="69"/>
        <v>257348.32754756068</v>
      </c>
      <c r="H171" s="602">
        <v>216259.09877946277</v>
      </c>
      <c r="I171" s="115">
        <v>1.19</v>
      </c>
      <c r="J171" s="608">
        <f t="shared" si="70"/>
        <v>257348.32754756068</v>
      </c>
      <c r="K171" s="602">
        <v>1</v>
      </c>
      <c r="L171" s="602">
        <f t="shared" si="71"/>
        <v>257348.32754756068</v>
      </c>
      <c r="M171" s="113">
        <f ca="1">SUMIF(APU!A:B,'Materiales '!C203,APU!I:I)</f>
        <v>0</v>
      </c>
      <c r="N171" s="593" t="s">
        <v>5014</v>
      </c>
      <c r="O171" s="113" t="str">
        <f t="shared" si="48"/>
        <v>'125', 'LUMINARIA CON BOMBILLO FLUORESCENTE 45W', '', '4', '257348,327547561', '216259,098779463', '1.19', '257348,327547561', '1', '257348,327547561');</v>
      </c>
      <c r="P171" s="113" t="str">
        <f t="shared" si="49"/>
        <v>INSERT INTO materiales_2 (CODIGO, NOMBRE, COD_SIESA, ID_TIPO_UNIDAD, VALOR_UNITARIO, VALOR_COMPRA, IVA, VALOR_REAL, GANANCIA, VALOR_VENDIDO) VALUES ('125', 'LUMINARIA CON BOMBILLO FLUORESCENTE 45W', '', '4', '257348,327547561', '216259,098779463', '1.19', '257348,327547561', '1', '257348,327547561');</v>
      </c>
    </row>
    <row r="172" spans="2:16" ht="15">
      <c r="B172" s="216">
        <f>B149+1</f>
        <v>126</v>
      </c>
      <c r="C172" s="366" t="s">
        <v>4676</v>
      </c>
      <c r="D172" s="239"/>
      <c r="E172" s="595">
        <v>4</v>
      </c>
      <c r="F172" s="1" t="s">
        <v>4127</v>
      </c>
      <c r="G172" s="601">
        <f t="shared" si="43"/>
        <v>278272.29528030095</v>
      </c>
      <c r="H172" s="602">
        <v>233842.26494142937</v>
      </c>
      <c r="I172" s="115">
        <v>1.19</v>
      </c>
      <c r="J172" s="608">
        <f t="shared" si="54"/>
        <v>278272.29528030095</v>
      </c>
      <c r="K172" s="602">
        <v>1</v>
      </c>
      <c r="L172" s="602">
        <f t="shared" si="53"/>
        <v>278272.29528030095</v>
      </c>
      <c r="M172" s="113">
        <f ca="1">SUMIF(APU!A:B,'Materiales '!C204,APU!I:I)</f>
        <v>0</v>
      </c>
      <c r="N172" s="593" t="s">
        <v>5014</v>
      </c>
      <c r="O172" s="113" t="str">
        <f t="shared" si="48"/>
        <v>'126', 'LUMINARIA CON BOMBILLO FLUORESCENTE 80W', '', '4', '278272,295280301', '233842,264941429', '1.19', '278272,295280301', '1', '278272,295280301');</v>
      </c>
      <c r="P172" s="113" t="str">
        <f t="shared" si="49"/>
        <v>INSERT INTO materiales_2 (CODIGO, NOMBRE, COD_SIESA, ID_TIPO_UNIDAD, VALOR_UNITARIO, VALOR_COMPRA, IVA, VALOR_REAL, GANANCIA, VALOR_VENDIDO) VALUES ('126', 'LUMINARIA CON BOMBILLO FLUORESCENTE 80W', '', '4', '278272,295280301', '233842,264941429', '1.19', '278272,295280301', '1', '278272,295280301');</v>
      </c>
    </row>
    <row r="173" spans="2:16" ht="15">
      <c r="B173" s="216">
        <f>B144+1</f>
        <v>121</v>
      </c>
      <c r="C173" s="354" t="s">
        <v>4820</v>
      </c>
      <c r="D173" s="239"/>
      <c r="E173" s="595">
        <v>4</v>
      </c>
      <c r="F173" s="1" t="s">
        <v>4127</v>
      </c>
      <c r="G173" s="601">
        <f t="shared" ref="G173" si="75">L173</f>
        <v>309740.62470513064</v>
      </c>
      <c r="H173" s="602">
        <f>'Luminarias '!P3</f>
        <v>260286.23924800893</v>
      </c>
      <c r="I173" s="115">
        <v>1.19</v>
      </c>
      <c r="J173" s="608">
        <f t="shared" ref="J173" si="76">I173*H173</f>
        <v>309740.62470513064</v>
      </c>
      <c r="K173" s="602">
        <v>1</v>
      </c>
      <c r="L173" s="602">
        <f t="shared" ref="L173" si="77">K173*J173</f>
        <v>309740.62470513064</v>
      </c>
      <c r="M173" s="113">
        <f ca="1">SUMIF(APU!A:B,'Materiales '!C199,APU!I:I)</f>
        <v>0</v>
      </c>
      <c r="N173" s="593" t="s">
        <v>5014</v>
      </c>
      <c r="O173" s="113" t="str">
        <f t="shared" si="48"/>
        <v>'121', 'LUMINARIA METAL HALIDE 100W', '', '4', '309740,624705131', '260286,239248009', '1.19', '309740,624705131', '1', '309740,624705131');</v>
      </c>
      <c r="P173" s="113" t="str">
        <f t="shared" si="49"/>
        <v>INSERT INTO materiales_2 (CODIGO, NOMBRE, COD_SIESA, ID_TIPO_UNIDAD, VALOR_UNITARIO, VALOR_COMPRA, IVA, VALOR_REAL, GANANCIA, VALOR_VENDIDO) VALUES ('121', 'LUMINARIA METAL HALIDE 100W', '', '4', '309740,624705131', '260286,239248009', '1.19', '309740,624705131', '1', '309740,624705131');</v>
      </c>
    </row>
    <row r="174" spans="2:16" ht="15">
      <c r="B174" s="216">
        <f>B145+1</f>
        <v>122</v>
      </c>
      <c r="C174" s="354" t="s">
        <v>4719</v>
      </c>
      <c r="D174" s="239"/>
      <c r="E174" s="595">
        <v>4</v>
      </c>
      <c r="F174" s="1" t="s">
        <v>4127</v>
      </c>
      <c r="G174" s="601">
        <f t="shared" si="43"/>
        <v>278272.29528030095</v>
      </c>
      <c r="H174" s="602">
        <f>'Luminarias '!P21</f>
        <v>233842.26494142937</v>
      </c>
      <c r="I174" s="115">
        <v>1.19</v>
      </c>
      <c r="J174" s="608">
        <f t="shared" si="54"/>
        <v>278272.29528030095</v>
      </c>
      <c r="K174" s="602">
        <v>1</v>
      </c>
      <c r="L174" s="602">
        <f t="shared" si="53"/>
        <v>278272.29528030095</v>
      </c>
      <c r="M174" s="113">
        <f ca="1">SUMIF(APU!A:B,'Materiales '!C200,APU!I:I)</f>
        <v>0</v>
      </c>
      <c r="N174" s="593" t="s">
        <v>5014</v>
      </c>
      <c r="O174" s="113" t="str">
        <f t="shared" si="48"/>
        <v>'122', 'LUMINARIA METAL HALIDE 70W', '', '4', '278272,295280301', '233842,264941429', '1.19', '278272,295280301', '1', '278272,295280301');</v>
      </c>
      <c r="P174" s="113" t="str">
        <f t="shared" si="49"/>
        <v>INSERT INTO materiales_2 (CODIGO, NOMBRE, COD_SIESA, ID_TIPO_UNIDAD, VALOR_UNITARIO, VALOR_COMPRA, IVA, VALOR_REAL, GANANCIA, VALOR_VENDIDO) VALUES ('122', 'LUMINARIA METAL HALIDE 70W', '', '4', '278272,295280301', '233842,264941429', '1.19', '278272,295280301', '1', '278272,295280301');</v>
      </c>
    </row>
    <row r="175" spans="2:16" ht="15">
      <c r="B175" s="216">
        <f>B145+1</f>
        <v>122</v>
      </c>
      <c r="C175" s="366" t="s">
        <v>4785</v>
      </c>
      <c r="D175" s="239"/>
      <c r="E175" s="595">
        <v>4</v>
      </c>
      <c r="F175" s="1" t="s">
        <v>4127</v>
      </c>
      <c r="G175" s="601">
        <f t="shared" si="43"/>
        <v>345986.86802168842</v>
      </c>
      <c r="H175" s="602">
        <f>'Luminarias '!P26</f>
        <v>290745.26724511635</v>
      </c>
      <c r="I175" s="115">
        <v>1.19</v>
      </c>
      <c r="J175" s="608">
        <f t="shared" si="54"/>
        <v>345986.86802168842</v>
      </c>
      <c r="K175" s="602">
        <v>1</v>
      </c>
      <c r="L175" s="602">
        <f t="shared" si="53"/>
        <v>345986.86802168842</v>
      </c>
      <c r="M175" s="113">
        <f ca="1">SUMIF(APU!A:B,'Materiales '!C200,APU!I:I)</f>
        <v>0</v>
      </c>
      <c r="N175" s="593" t="s">
        <v>5014</v>
      </c>
      <c r="O175" s="113" t="str">
        <f t="shared" si="48"/>
        <v>'122', 'LUMINARIA MH 250W', '', '4', '345986,868021688', '290745,267245116', '1.19', '345986,868021688', '1', '345986,868021688');</v>
      </c>
      <c r="P175" s="113" t="str">
        <f t="shared" si="49"/>
        <v>INSERT INTO materiales_2 (CODIGO, NOMBRE, COD_SIESA, ID_TIPO_UNIDAD, VALOR_UNITARIO, VALOR_COMPRA, IVA, VALOR_REAL, GANANCIA, VALOR_VENDIDO) VALUES ('122', 'LUMINARIA MH 250W', '', '4', '345986,868021688', '290745,267245116', '1.19', '345986,868021688', '1', '345986,868021688');</v>
      </c>
    </row>
    <row r="176" spans="2:16" ht="15">
      <c r="B176" s="216">
        <f>B146+1</f>
        <v>123</v>
      </c>
      <c r="C176" s="366" t="s">
        <v>4806</v>
      </c>
      <c r="D176" s="239"/>
      <c r="E176" s="595">
        <v>4</v>
      </c>
      <c r="F176" s="1" t="s">
        <v>4127</v>
      </c>
      <c r="G176" s="601">
        <f t="shared" ref="G176:G177" si="78">L176</f>
        <v>387940</v>
      </c>
      <c r="H176" s="602">
        <v>326000</v>
      </c>
      <c r="I176" s="115">
        <v>1.19</v>
      </c>
      <c r="J176" s="608">
        <f t="shared" ref="J176:J177" si="79">I176*H176</f>
        <v>387940</v>
      </c>
      <c r="K176" s="602">
        <v>1</v>
      </c>
      <c r="L176" s="602">
        <f t="shared" ref="L176:L177" si="80">K176*J176</f>
        <v>387940</v>
      </c>
      <c r="M176" s="113">
        <f ca="1">SUMIF(APU!A:B,'Materiales '!C201,APU!I:I)</f>
        <v>0</v>
      </c>
      <c r="N176" s="593" t="s">
        <v>5014</v>
      </c>
      <c r="O176" s="113" t="str">
        <f t="shared" si="48"/>
        <v>'123', 'LUMINARIA MH 400W', '', '4', '387940', '326000', '1.19', '387940', '1', '387940');</v>
      </c>
      <c r="P176" s="113" t="str">
        <f t="shared" si="49"/>
        <v>INSERT INTO materiales_2 (CODIGO, NOMBRE, COD_SIESA, ID_TIPO_UNIDAD, VALOR_UNITARIO, VALOR_COMPRA, IVA, VALOR_REAL, GANANCIA, VALOR_VENDIDO) VALUES ('123', 'LUMINARIA MH 400W', '', '4', '387940', '326000', '1.19', '387940', '1', '387940');</v>
      </c>
    </row>
    <row r="177" spans="2:16" ht="15">
      <c r="B177" s="216">
        <f>B146+1</f>
        <v>123</v>
      </c>
      <c r="C177" s="354" t="s">
        <v>4817</v>
      </c>
      <c r="D177" s="239"/>
      <c r="E177" s="595">
        <v>4</v>
      </c>
      <c r="F177" s="1" t="s">
        <v>4127</v>
      </c>
      <c r="G177" s="601">
        <f t="shared" si="78"/>
        <v>276789.4944173508</v>
      </c>
      <c r="H177" s="602">
        <f>'Luminarias '!P28</f>
        <v>232596.21379609313</v>
      </c>
      <c r="I177" s="115">
        <v>1.19</v>
      </c>
      <c r="J177" s="608">
        <f t="shared" si="79"/>
        <v>276789.4944173508</v>
      </c>
      <c r="K177" s="602">
        <v>1</v>
      </c>
      <c r="L177" s="602">
        <f t="shared" si="80"/>
        <v>276789.4944173508</v>
      </c>
      <c r="M177" s="113">
        <f ca="1">SUMIF(APU!A:B,'Materiales '!C201,APU!I:I)</f>
        <v>0</v>
      </c>
      <c r="N177" s="593" t="s">
        <v>5014</v>
      </c>
      <c r="O177" s="113" t="str">
        <f t="shared" si="48"/>
        <v>'123', 'REFLECTOR SODIO 70W', '', '4', '276789,494417351', '232596,213796093', '1.19', '276789,494417351', '1', '276789,494417351');</v>
      </c>
      <c r="P177" s="113" t="str">
        <f t="shared" si="49"/>
        <v>INSERT INTO materiales_2 (CODIGO, NOMBRE, COD_SIESA, ID_TIPO_UNIDAD, VALOR_UNITARIO, VALOR_COMPRA, IVA, VALOR_REAL, GANANCIA, VALOR_VENDIDO) VALUES ('123', 'REFLECTOR SODIO 70W', '', '4', '276789,494417351', '232596,213796093', '1.19', '276789,494417351', '1', '276789,494417351');</v>
      </c>
    </row>
    <row r="178" spans="2:16" ht="15">
      <c r="B178" s="216">
        <f>B147+1</f>
        <v>124</v>
      </c>
      <c r="C178" s="354" t="s">
        <v>4720</v>
      </c>
      <c r="D178" s="239"/>
      <c r="E178" s="595">
        <v>4</v>
      </c>
      <c r="F178" s="1" t="s">
        <v>4127</v>
      </c>
      <c r="G178" s="601">
        <f t="shared" si="43"/>
        <v>599710.57123759354</v>
      </c>
      <c r="H178" s="602">
        <f>'Luminarias '!P23</f>
        <v>503958.46322486852</v>
      </c>
      <c r="I178" s="115">
        <v>1.19</v>
      </c>
      <c r="J178" s="608">
        <f t="shared" si="54"/>
        <v>599710.57123759354</v>
      </c>
      <c r="K178" s="602">
        <v>1</v>
      </c>
      <c r="L178" s="602">
        <f t="shared" si="53"/>
        <v>599710.57123759354</v>
      </c>
      <c r="M178" s="113">
        <f ca="1">SUMIF(APU!A:B,'Materiales '!C202,APU!I:I)</f>
        <v>0</v>
      </c>
      <c r="N178" s="593" t="s">
        <v>5014</v>
      </c>
      <c r="O178" s="113" t="str">
        <f t="shared" si="48"/>
        <v>'124', 'REFLECTOR SODIO 150W', '', '4', '599710,571237594', '503958,463224869', '1.19', '599710,571237594', '1', '599710,571237594');</v>
      </c>
      <c r="P178" s="113" t="str">
        <f t="shared" si="49"/>
        <v>INSERT INTO materiales_2 (CODIGO, NOMBRE, COD_SIESA, ID_TIPO_UNIDAD, VALOR_UNITARIO, VALOR_COMPRA, IVA, VALOR_REAL, GANANCIA, VALOR_VENDIDO) VALUES ('124', 'REFLECTOR SODIO 150W', '', '4', '599710,571237594', '503958,463224869', '1.19', '599710,571237594', '1', '599710,571237594');</v>
      </c>
    </row>
    <row r="179" spans="2:16" ht="15">
      <c r="B179" s="216">
        <f>B147+1</f>
        <v>124</v>
      </c>
      <c r="C179" s="366" t="s">
        <v>4776</v>
      </c>
      <c r="D179" s="239"/>
      <c r="E179" s="595">
        <v>4</v>
      </c>
      <c r="F179" s="1" t="s">
        <v>4127</v>
      </c>
      <c r="G179" s="601">
        <f t="shared" si="43"/>
        <v>649137.26666926325</v>
      </c>
      <c r="H179" s="602">
        <f>'Luminarias '!P25</f>
        <v>545493.50140274223</v>
      </c>
      <c r="I179" s="115">
        <v>1.19</v>
      </c>
      <c r="J179" s="608">
        <f t="shared" si="54"/>
        <v>649137.26666926325</v>
      </c>
      <c r="K179" s="602">
        <v>1</v>
      </c>
      <c r="L179" s="602">
        <f t="shared" si="53"/>
        <v>649137.26666926325</v>
      </c>
      <c r="M179" s="113">
        <f ca="1">SUMIF(APU!A:B,'Materiales '!C202,APU!I:I)</f>
        <v>0</v>
      </c>
      <c r="N179" s="593" t="s">
        <v>5014</v>
      </c>
      <c r="O179" s="113" t="str">
        <f t="shared" si="48"/>
        <v>'124', 'REFLECTOR SODIO 200W', '', '4', '649137,266669263', '545493,501402742', '1.19', '649137,266669263', '1', '649137,266669263');</v>
      </c>
      <c r="P179" s="113" t="str">
        <f t="shared" si="49"/>
        <v>INSERT INTO materiales_2 (CODIGO, NOMBRE, COD_SIESA, ID_TIPO_UNIDAD, VALOR_UNITARIO, VALOR_COMPRA, IVA, VALOR_REAL, GANANCIA, VALOR_VENDIDO) VALUES ('124', 'REFLECTOR SODIO 200W', '', '4', '649137,266669263', '545493,501402742', '1.19', '649137,266669263', '1', '649137,266669263');</v>
      </c>
    </row>
    <row r="180" spans="2:16" ht="15">
      <c r="B180" s="216">
        <f>B148+1</f>
        <v>125</v>
      </c>
      <c r="C180" s="366" t="s">
        <v>4721</v>
      </c>
      <c r="D180" s="239"/>
      <c r="E180" s="595">
        <v>4</v>
      </c>
      <c r="F180" s="1" t="s">
        <v>4127</v>
      </c>
      <c r="G180" s="601">
        <f t="shared" ref="G180:G188" si="81">L180</f>
        <v>682088.39695704321</v>
      </c>
      <c r="H180" s="602">
        <f>'Luminarias '!P24</f>
        <v>573183.52685465815</v>
      </c>
      <c r="I180" s="115">
        <v>1.19</v>
      </c>
      <c r="J180" s="608">
        <f t="shared" ref="J180:J188" si="82">I180*H180</f>
        <v>682088.39695704321</v>
      </c>
      <c r="K180" s="602">
        <v>1</v>
      </c>
      <c r="L180" s="602">
        <f t="shared" ref="L180:L188" si="83">K180*J180</f>
        <v>682088.39695704321</v>
      </c>
      <c r="M180" s="113">
        <f ca="1">SUMIF(APU!A:B,'Materiales '!C203,APU!I:I)</f>
        <v>0</v>
      </c>
      <c r="N180" s="593" t="s">
        <v>5014</v>
      </c>
      <c r="O180" s="113" t="str">
        <f t="shared" si="48"/>
        <v>'125', 'REFLECTOR SODIO 400W', '', '4', '682088,396957043', '573183,526854658', '1.19', '682088,396957043', '1', '682088,396957043');</v>
      </c>
      <c r="P180" s="113" t="str">
        <f t="shared" si="49"/>
        <v>INSERT INTO materiales_2 (CODIGO, NOMBRE, COD_SIESA, ID_TIPO_UNIDAD, VALOR_UNITARIO, VALOR_COMPRA, IVA, VALOR_REAL, GANANCIA, VALOR_VENDIDO) VALUES ('125', 'REFLECTOR SODIO 400W', '', '4', '682088,396957043', '573183,526854658', '1.19', '682088,396957043', '1', '682088,396957043');</v>
      </c>
    </row>
    <row r="181" spans="2:16" ht="15">
      <c r="B181" s="216">
        <f>B140+1</f>
        <v>118</v>
      </c>
      <c r="C181" s="370" t="s">
        <v>4751</v>
      </c>
      <c r="D181" s="239"/>
      <c r="E181" s="595">
        <v>4</v>
      </c>
      <c r="F181" s="1" t="s">
        <v>4127</v>
      </c>
      <c r="G181" s="601">
        <f t="shared" ref="G181:G185" si="84">L181</f>
        <v>59500</v>
      </c>
      <c r="H181" s="602">
        <v>50000</v>
      </c>
      <c r="I181" s="115">
        <v>1.19</v>
      </c>
      <c r="J181" s="608">
        <f t="shared" ref="J181:J184" si="85">I181*H181</f>
        <v>59500</v>
      </c>
      <c r="K181" s="602">
        <v>1</v>
      </c>
      <c r="L181" s="602">
        <f t="shared" ref="L181:L184" si="86">K181*J181</f>
        <v>59500</v>
      </c>
      <c r="M181" s="113">
        <f ca="1">SUMIF(APU!A:B,'Materiales '!C195,APU!I:I)</f>
        <v>0</v>
      </c>
      <c r="N181" s="593" t="s">
        <v>5014</v>
      </c>
      <c r="O181" s="113" t="str">
        <f t="shared" si="48"/>
        <v>'118', 'REFLECTOR LED 20W', '', '4', '59500', '50000', '1.19', '59500', '1', '59500');</v>
      </c>
      <c r="P181" s="113" t="str">
        <f t="shared" si="49"/>
        <v>INSERT INTO materiales_2 (CODIGO, NOMBRE, COD_SIESA, ID_TIPO_UNIDAD, VALOR_UNITARIO, VALOR_COMPRA, IVA, VALOR_REAL, GANANCIA, VALOR_VENDIDO) VALUES ('118', 'REFLECTOR LED 20W', '', '4', '59500', '50000', '1.19', '59500', '1', '59500');</v>
      </c>
    </row>
    <row r="182" spans="2:16" ht="15">
      <c r="B182" s="216">
        <f>B138+1</f>
        <v>116</v>
      </c>
      <c r="C182" s="370" t="s">
        <v>4752</v>
      </c>
      <c r="D182" s="239"/>
      <c r="E182" s="595">
        <v>4</v>
      </c>
      <c r="F182" s="1" t="s">
        <v>4127</v>
      </c>
      <c r="G182" s="601">
        <f t="shared" si="84"/>
        <v>918709.75</v>
      </c>
      <c r="H182" s="602">
        <v>772025</v>
      </c>
      <c r="I182" s="115">
        <v>1.19</v>
      </c>
      <c r="J182" s="608">
        <f t="shared" si="85"/>
        <v>918709.75</v>
      </c>
      <c r="K182" s="602">
        <v>1</v>
      </c>
      <c r="L182" s="602">
        <f t="shared" si="86"/>
        <v>918709.75</v>
      </c>
      <c r="M182" s="113">
        <f ca="1">SUMIF(APU!A:B,'Materiales '!C193,APU!I:I)</f>
        <v>0</v>
      </c>
      <c r="N182" s="593" t="s">
        <v>5014</v>
      </c>
      <c r="O182" s="113" t="str">
        <f t="shared" si="48"/>
        <v>'116', 'REFLECTOR LED 160W ONOFF', '', '4', '918709,75', '772025', '1.19', '918709,75', '1', '918709,75');</v>
      </c>
      <c r="P182" s="113" t="str">
        <f t="shared" si="49"/>
        <v>INSERT INTO materiales_2 (CODIGO, NOMBRE, COD_SIESA, ID_TIPO_UNIDAD, VALOR_UNITARIO, VALOR_COMPRA, IVA, VALOR_REAL, GANANCIA, VALOR_VENDIDO) VALUES ('116', 'REFLECTOR LED 160W ONOFF', '', '4', '918709,75', '772025', '1.19', '918709,75', '1', '918709,75');</v>
      </c>
    </row>
    <row r="183" spans="2:16" ht="15">
      <c r="B183" s="216">
        <f>B139+1</f>
        <v>117</v>
      </c>
      <c r="C183" s="370" t="s">
        <v>4753</v>
      </c>
      <c r="D183" s="239"/>
      <c r="E183" s="595">
        <v>4</v>
      </c>
      <c r="F183" s="1" t="s">
        <v>4127</v>
      </c>
      <c r="G183" s="601">
        <f t="shared" si="84"/>
        <v>321300</v>
      </c>
      <c r="H183" s="602">
        <v>270000</v>
      </c>
      <c r="I183" s="115">
        <v>1.19</v>
      </c>
      <c r="J183" s="608">
        <f t="shared" si="85"/>
        <v>321300</v>
      </c>
      <c r="K183" s="602">
        <v>1</v>
      </c>
      <c r="L183" s="602">
        <f t="shared" si="86"/>
        <v>321300</v>
      </c>
      <c r="M183" s="113">
        <f ca="1">SUMIF(APU!A:B,'Materiales '!C194,APU!I:I)</f>
        <v>0</v>
      </c>
      <c r="N183" s="593" t="s">
        <v>5014</v>
      </c>
      <c r="O183" s="113" t="str">
        <f t="shared" si="48"/>
        <v>'117', 'LUMINARIA LED 30W MONOFF', '', '4', '321300', '270000', '1.19', '321300', '1', '321300');</v>
      </c>
      <c r="P183" s="113" t="str">
        <f t="shared" si="49"/>
        <v>INSERT INTO materiales_2 (CODIGO, NOMBRE, COD_SIESA, ID_TIPO_UNIDAD, VALOR_UNITARIO, VALOR_COMPRA, IVA, VALOR_REAL, GANANCIA, VALOR_VENDIDO) VALUES ('117', 'LUMINARIA LED 30W MONOFF', '', '4', '321300', '270000', '1.19', '321300', '1', '321300');</v>
      </c>
    </row>
    <row r="184" spans="2:16" ht="15">
      <c r="B184" s="216">
        <f>B140+1</f>
        <v>118</v>
      </c>
      <c r="C184" s="370" t="s">
        <v>4754</v>
      </c>
      <c r="D184" s="239"/>
      <c r="E184" s="595">
        <v>4</v>
      </c>
      <c r="F184" s="1" t="s">
        <v>4127</v>
      </c>
      <c r="G184" s="601">
        <f t="shared" si="84"/>
        <v>33320</v>
      </c>
      <c r="H184" s="602">
        <v>28000</v>
      </c>
      <c r="I184" s="115">
        <v>1.19</v>
      </c>
      <c r="J184" s="608">
        <f t="shared" si="85"/>
        <v>33320</v>
      </c>
      <c r="K184" s="602">
        <v>1</v>
      </c>
      <c r="L184" s="602">
        <f t="shared" si="86"/>
        <v>33320</v>
      </c>
      <c r="M184" s="113">
        <f ca="1">SUMIF(APU!A:B,'Materiales '!C195,APU!I:I)</f>
        <v>0</v>
      </c>
      <c r="N184" s="593" t="s">
        <v>5014</v>
      </c>
      <c r="O184" s="113" t="str">
        <f t="shared" si="48"/>
        <v>'118', 'LUMINARIA LED 45W MONOFF', '', '4', '33320', '28000', '1.19', '33320', '1', '33320');</v>
      </c>
      <c r="P184" s="113" t="str">
        <f t="shared" si="49"/>
        <v>INSERT INTO materiales_2 (CODIGO, NOMBRE, COD_SIESA, ID_TIPO_UNIDAD, VALOR_UNITARIO, VALOR_COMPRA, IVA, VALOR_REAL, GANANCIA, VALOR_VENDIDO) VALUES ('118', 'LUMINARIA LED 45W MONOFF', '', '4', '33320', '28000', '1.19', '33320', '1', '33320');</v>
      </c>
    </row>
    <row r="185" spans="2:16" ht="15">
      <c r="B185" s="216">
        <f>B145+1</f>
        <v>122</v>
      </c>
      <c r="C185" s="370" t="s">
        <v>4774</v>
      </c>
      <c r="D185" s="239"/>
      <c r="E185" s="595">
        <v>4</v>
      </c>
      <c r="F185" s="1" t="s">
        <v>4127</v>
      </c>
      <c r="G185" s="601">
        <f t="shared" si="84"/>
        <v>101150</v>
      </c>
      <c r="H185" s="602">
        <v>85000</v>
      </c>
      <c r="I185" s="115">
        <v>1.19</v>
      </c>
      <c r="J185" s="608">
        <f t="shared" ref="J185" si="87">I185*H185</f>
        <v>101150</v>
      </c>
      <c r="K185" s="602">
        <v>1</v>
      </c>
      <c r="L185" s="602">
        <f t="shared" ref="L185" si="88">K185*J185</f>
        <v>101150</v>
      </c>
      <c r="M185" s="113">
        <f ca="1">SUMIF(APU!A:B,'Materiales '!C196,APU!I:I)</f>
        <v>0</v>
      </c>
      <c r="N185" s="593" t="s">
        <v>5014</v>
      </c>
      <c r="O185" s="113" t="str">
        <f t="shared" si="48"/>
        <v>'122', 'LUMINARIA FLUORESCENTE DE 100W', '', '4', '101150', '85000', '1.19', '101150', '1', '101150');</v>
      </c>
      <c r="P185" s="113" t="str">
        <f t="shared" si="49"/>
        <v>INSERT INTO materiales_2 (CODIGO, NOMBRE, COD_SIESA, ID_TIPO_UNIDAD, VALOR_UNITARIO, VALOR_COMPRA, IVA, VALOR_REAL, GANANCIA, VALOR_VENDIDO) VALUES ('122', 'LUMINARIA FLUORESCENTE DE 100W', '', '4', '101150', '85000', '1.19', '101150', '1', '101150');</v>
      </c>
    </row>
    <row r="186" spans="2:16" ht="15">
      <c r="B186" s="216">
        <f>B143+1</f>
        <v>120</v>
      </c>
      <c r="C186" s="370" t="s">
        <v>4756</v>
      </c>
      <c r="D186" s="239"/>
      <c r="E186" s="595">
        <v>4</v>
      </c>
      <c r="F186" s="1" t="s">
        <v>4127</v>
      </c>
      <c r="G186" s="601">
        <f t="shared" si="81"/>
        <v>619990</v>
      </c>
      <c r="H186" s="602">
        <v>521000</v>
      </c>
      <c r="I186" s="115">
        <v>1.19</v>
      </c>
      <c r="J186" s="608">
        <f t="shared" si="82"/>
        <v>619990</v>
      </c>
      <c r="K186" s="602">
        <v>1</v>
      </c>
      <c r="L186" s="602">
        <f t="shared" si="83"/>
        <v>619990</v>
      </c>
      <c r="M186" s="113">
        <f ca="1">SUMIF(APU!A:B,'Materiales '!C197,APU!I:I)</f>
        <v>0</v>
      </c>
      <c r="N186" s="593" t="s">
        <v>5014</v>
      </c>
      <c r="O186" s="113" t="str">
        <f t="shared" si="48"/>
        <v>'120', 'LUMINARIA LED 80W MONOFF', '', '4', '619990', '521000', '1.19', '619990', '1', '619990');</v>
      </c>
      <c r="P186" s="113" t="str">
        <f t="shared" si="49"/>
        <v>INSERT INTO materiales_2 (CODIGO, NOMBRE, COD_SIESA, ID_TIPO_UNIDAD, VALOR_UNITARIO, VALOR_COMPRA, IVA, VALOR_REAL, GANANCIA, VALOR_VENDIDO) VALUES ('120', 'LUMINARIA LED 80W MONOFF', '', '4', '619990', '521000', '1.19', '619990', '1', '619990');</v>
      </c>
    </row>
    <row r="187" spans="2:16" ht="15">
      <c r="B187" s="216">
        <f>B144+1</f>
        <v>121</v>
      </c>
      <c r="C187" s="370" t="s">
        <v>4757</v>
      </c>
      <c r="D187" s="239"/>
      <c r="E187" s="595">
        <v>4</v>
      </c>
      <c r="F187" s="1" t="s">
        <v>4127</v>
      </c>
      <c r="G187" s="601">
        <f t="shared" si="81"/>
        <v>665091</v>
      </c>
      <c r="H187" s="602">
        <v>558900</v>
      </c>
      <c r="I187" s="115">
        <v>1.19</v>
      </c>
      <c r="J187" s="608">
        <f t="shared" si="82"/>
        <v>665091</v>
      </c>
      <c r="K187" s="602">
        <v>1</v>
      </c>
      <c r="L187" s="602">
        <f t="shared" si="83"/>
        <v>665091</v>
      </c>
      <c r="M187" s="113">
        <f ca="1">SUMIF(APU!A:B,'Materiales '!C199,APU!I:I)</f>
        <v>0</v>
      </c>
      <c r="N187" s="593" t="s">
        <v>5014</v>
      </c>
      <c r="O187" s="113" t="str">
        <f t="shared" si="48"/>
        <v>'121', 'LUMINARIA LED 90W', '', '4', '665091', '558900', '1.19', '665091', '1', '665091');</v>
      </c>
      <c r="P187" s="113" t="str">
        <f t="shared" si="49"/>
        <v>INSERT INTO materiales_2 (CODIGO, NOMBRE, COD_SIESA, ID_TIPO_UNIDAD, VALOR_UNITARIO, VALOR_COMPRA, IVA, VALOR_REAL, GANANCIA, VALOR_VENDIDO) VALUES ('121', 'LUMINARIA LED 90W', '', '4', '665091', '558900', '1.19', '665091', '1', '665091');</v>
      </c>
    </row>
    <row r="188" spans="2:16" ht="15">
      <c r="B188" s="216">
        <f>B145+1</f>
        <v>122</v>
      </c>
      <c r="C188" s="370" t="s">
        <v>4758</v>
      </c>
      <c r="D188" s="239"/>
      <c r="E188" s="595">
        <v>4</v>
      </c>
      <c r="F188" s="1" t="s">
        <v>4127</v>
      </c>
      <c r="G188" s="601">
        <f t="shared" si="81"/>
        <v>665091</v>
      </c>
      <c r="H188" s="602">
        <v>558900</v>
      </c>
      <c r="I188" s="115">
        <v>1.19</v>
      </c>
      <c r="J188" s="608">
        <f t="shared" si="82"/>
        <v>665091</v>
      </c>
      <c r="K188" s="602">
        <v>1</v>
      </c>
      <c r="L188" s="602">
        <f t="shared" si="83"/>
        <v>665091</v>
      </c>
      <c r="M188" s="113">
        <f ca="1">SUMIF(APU!A:B,'Materiales '!C200,APU!I:I)</f>
        <v>0</v>
      </c>
      <c r="N188" s="593" t="s">
        <v>5014</v>
      </c>
      <c r="O188" s="113" t="str">
        <f t="shared" si="48"/>
        <v>'122', 'LUMINARIA LED 100W MONOFF', '', '4', '665091', '558900', '1.19', '665091', '1', '665091');</v>
      </c>
      <c r="P188" s="113" t="str">
        <f t="shared" si="49"/>
        <v>INSERT INTO materiales_2 (CODIGO, NOMBRE, COD_SIESA, ID_TIPO_UNIDAD, VALOR_UNITARIO, VALOR_COMPRA, IVA, VALOR_REAL, GANANCIA, VALOR_VENDIDO) VALUES ('122', 'LUMINARIA LED 100W MONOFF', '', '4', '665091', '558900', '1.19', '665091', '1', '665091');</v>
      </c>
    </row>
    <row r="189" spans="2:16" ht="15">
      <c r="B189" s="216">
        <f>B149+1</f>
        <v>126</v>
      </c>
      <c r="C189" s="370" t="s">
        <v>4759</v>
      </c>
      <c r="D189" s="239"/>
      <c r="E189" s="595">
        <v>4</v>
      </c>
      <c r="F189" s="1" t="s">
        <v>4127</v>
      </c>
      <c r="G189" s="601">
        <f t="shared" si="43"/>
        <v>679966</v>
      </c>
      <c r="H189" s="602">
        <v>571400</v>
      </c>
      <c r="I189" s="115">
        <v>1.19</v>
      </c>
      <c r="J189" s="608">
        <f t="shared" si="54"/>
        <v>679966</v>
      </c>
      <c r="K189" s="602">
        <v>1</v>
      </c>
      <c r="L189" s="602">
        <f t="shared" si="53"/>
        <v>679966</v>
      </c>
      <c r="M189" s="113">
        <f ca="1">SUMIF(APU!A:B,'Materiales '!C204,APU!I:I)</f>
        <v>0</v>
      </c>
      <c r="N189" s="593" t="s">
        <v>5014</v>
      </c>
      <c r="O189" s="113" t="str">
        <f t="shared" si="48"/>
        <v>'126', 'LUMINARIA LED 120W MONOFF', '', '4', '679966', '571400', '1.19', '679966', '1', '679966');</v>
      </c>
      <c r="P189" s="113" t="str">
        <f t="shared" si="49"/>
        <v>INSERT INTO materiales_2 (CODIGO, NOMBRE, COD_SIESA, ID_TIPO_UNIDAD, VALOR_UNITARIO, VALOR_COMPRA, IVA, VALOR_REAL, GANANCIA, VALOR_VENDIDO) VALUES ('126', 'LUMINARIA LED 120W MONOFF', '', '4', '679966', '571400', '1.19', '679966', '1', '679966');</v>
      </c>
    </row>
    <row r="190" spans="2:16" ht="15">
      <c r="B190" s="216">
        <f>B147+1</f>
        <v>124</v>
      </c>
      <c r="C190" s="370" t="s">
        <v>4760</v>
      </c>
      <c r="D190" s="239"/>
      <c r="E190" s="595">
        <v>4</v>
      </c>
      <c r="F190" s="1" t="s">
        <v>4127</v>
      </c>
      <c r="G190" s="601">
        <f t="shared" si="43"/>
        <v>556762.20599999989</v>
      </c>
      <c r="H190" s="602">
        <f>81.51*4100*1.4</f>
        <v>467867.39999999997</v>
      </c>
      <c r="I190" s="115">
        <v>1.19</v>
      </c>
      <c r="J190" s="608">
        <f t="shared" si="54"/>
        <v>556762.20599999989</v>
      </c>
      <c r="K190" s="602">
        <v>1</v>
      </c>
      <c r="L190" s="602">
        <f t="shared" si="53"/>
        <v>556762.20599999989</v>
      </c>
      <c r="M190" s="113">
        <f ca="1">SUMIF(APU!A:B,'Materiales '!C202,APU!I:I)</f>
        <v>0</v>
      </c>
      <c r="N190" s="593" t="s">
        <v>5014</v>
      </c>
      <c r="O190" s="113" t="str">
        <f t="shared" si="48"/>
        <v>'124', 'LUMINARIA LED 27.8W AGM', '', '4', '556762,206', '467867,4', '1.19', '556762,206', '1', '556762,206');</v>
      </c>
      <c r="P190" s="113" t="str">
        <f t="shared" si="49"/>
        <v>INSERT INTO materiales_2 (CODIGO, NOMBRE, COD_SIESA, ID_TIPO_UNIDAD, VALOR_UNITARIO, VALOR_COMPRA, IVA, VALOR_REAL, GANANCIA, VALOR_VENDIDO) VALUES ('124', 'LUMINARIA LED 27.8W AGM', '', '4', '556762,206', '467867,4', '1.19', '556762,206', '1', '556762,206');</v>
      </c>
    </row>
    <row r="191" spans="2:16" ht="15">
      <c r="B191" s="216">
        <f t="shared" ref="B191:B196" si="89">B146+1</f>
        <v>123</v>
      </c>
      <c r="C191" s="370" t="s">
        <v>4826</v>
      </c>
      <c r="D191" s="239"/>
      <c r="E191" s="595">
        <v>4</v>
      </c>
      <c r="F191" s="1" t="s">
        <v>4127</v>
      </c>
      <c r="G191" s="601">
        <f t="shared" ref="G191" si="90">L191</f>
        <v>566939.79999999993</v>
      </c>
      <c r="H191" s="602">
        <f>83*4100*1.4</f>
        <v>476419.99999999994</v>
      </c>
      <c r="I191" s="115">
        <v>1.19</v>
      </c>
      <c r="J191" s="608">
        <f t="shared" ref="J191" si="91">I191*H191</f>
        <v>566939.79999999993</v>
      </c>
      <c r="K191" s="602">
        <v>1</v>
      </c>
      <c r="L191" s="602">
        <f t="shared" ref="L191" si="92">K191*J191</f>
        <v>566939.79999999993</v>
      </c>
      <c r="M191" s="113">
        <f ca="1">SUMIF(APU!A:B,'Materiales '!C201,APU!I:I)</f>
        <v>0</v>
      </c>
      <c r="N191" s="593" t="s">
        <v>5014</v>
      </c>
      <c r="O191" s="113" t="str">
        <f t="shared" si="48"/>
        <v>'123', 'LUMINARIA LED 37W AGM', '', '4', '566939,8', '476420', '1.19', '566939,8', '1', '566939,8');</v>
      </c>
      <c r="P191" s="113" t="str">
        <f t="shared" si="49"/>
        <v>INSERT INTO materiales_2 (CODIGO, NOMBRE, COD_SIESA, ID_TIPO_UNIDAD, VALOR_UNITARIO, VALOR_COMPRA, IVA, VALOR_REAL, GANANCIA, VALOR_VENDIDO) VALUES ('123', 'LUMINARIA LED 37W AGM', '', '4', '566939,8', '476420', '1.19', '566939,8', '1', '566939,8');</v>
      </c>
    </row>
    <row r="192" spans="2:16" ht="15">
      <c r="B192" s="216">
        <f t="shared" si="89"/>
        <v>124</v>
      </c>
      <c r="C192" s="370" t="s">
        <v>4977</v>
      </c>
      <c r="D192" s="239"/>
      <c r="E192" s="595">
        <v>4</v>
      </c>
      <c r="F192" s="1" t="s">
        <v>4127</v>
      </c>
      <c r="G192" s="601">
        <f t="shared" si="43"/>
        <v>651882</v>
      </c>
      <c r="H192" s="602">
        <f>83*4400*1.5</f>
        <v>547800</v>
      </c>
      <c r="I192" s="115">
        <v>1.19</v>
      </c>
      <c r="J192" s="608">
        <f t="shared" si="54"/>
        <v>651882</v>
      </c>
      <c r="K192" s="602">
        <v>1</v>
      </c>
      <c r="L192" s="602">
        <f t="shared" si="53"/>
        <v>651882</v>
      </c>
      <c r="M192" s="113">
        <f ca="1">SUMIF(APU!A:B,'Materiales '!C202,APU!I:I)</f>
        <v>0</v>
      </c>
      <c r="N192" s="593" t="s">
        <v>5014</v>
      </c>
      <c r="O192" s="113" t="str">
        <f t="shared" si="48"/>
        <v>'124', 'LUMINARIA LED 46.3W AGM', '', '4', '651882', '547800', '1.19', '651882', '1', '651882');</v>
      </c>
      <c r="P192" s="113" t="str">
        <f t="shared" si="49"/>
        <v>INSERT INTO materiales_2 (CODIGO, NOMBRE, COD_SIESA, ID_TIPO_UNIDAD, VALOR_UNITARIO, VALOR_COMPRA, IVA, VALOR_REAL, GANANCIA, VALOR_VENDIDO) VALUES ('124', 'LUMINARIA LED 46.3W AGM', '', '4', '651882', '547800', '1.19', '651882', '1', '651882');</v>
      </c>
    </row>
    <row r="193" spans="2:16" ht="15">
      <c r="B193" s="216">
        <f t="shared" si="89"/>
        <v>125</v>
      </c>
      <c r="C193" s="370" t="s">
        <v>4761</v>
      </c>
      <c r="D193" s="239"/>
      <c r="E193" s="595">
        <v>4</v>
      </c>
      <c r="F193" s="1" t="s">
        <v>4127</v>
      </c>
      <c r="G193" s="601">
        <f t="shared" ref="G193" si="93">L193</f>
        <v>696388</v>
      </c>
      <c r="H193" s="602">
        <f>95*4400*1.4</f>
        <v>585200</v>
      </c>
      <c r="I193" s="115">
        <v>1.19</v>
      </c>
      <c r="J193" s="608">
        <f t="shared" ref="J193" si="94">I193*H193</f>
        <v>696388</v>
      </c>
      <c r="K193" s="602">
        <v>1</v>
      </c>
      <c r="L193" s="602">
        <f t="shared" ref="L193" si="95">K193*J193</f>
        <v>696388</v>
      </c>
      <c r="M193" s="113">
        <f ca="1">SUMIF(APU!A:B,'Materiales '!C203,APU!I:I)</f>
        <v>0</v>
      </c>
      <c r="N193" s="593" t="s">
        <v>5014</v>
      </c>
      <c r="O193" s="113" t="str">
        <f t="shared" si="48"/>
        <v>'125', 'LUMINARIA LED 60.2W AGM', '', '4', '696388', '585200', '1.19', '696388', '1', '696388');</v>
      </c>
      <c r="P193" s="113" t="str">
        <f t="shared" si="49"/>
        <v>INSERT INTO materiales_2 (CODIGO, NOMBRE, COD_SIESA, ID_TIPO_UNIDAD, VALOR_UNITARIO, VALOR_COMPRA, IVA, VALOR_REAL, GANANCIA, VALOR_VENDIDO) VALUES ('125', 'LUMINARIA LED 60.2W AGM', '', '4', '696388', '585200', '1.19', '696388', '1', '696388');</v>
      </c>
    </row>
    <row r="194" spans="2:16" ht="15">
      <c r="B194" s="216">
        <f t="shared" si="89"/>
        <v>126</v>
      </c>
      <c r="C194" s="370" t="s">
        <v>4762</v>
      </c>
      <c r="D194" s="239"/>
      <c r="E194" s="595">
        <v>4</v>
      </c>
      <c r="F194" s="1" t="s">
        <v>4127</v>
      </c>
      <c r="G194" s="601">
        <f t="shared" si="43"/>
        <v>806344</v>
      </c>
      <c r="H194" s="602">
        <f>110*4400*1.4</f>
        <v>677600</v>
      </c>
      <c r="I194" s="115">
        <v>1.19</v>
      </c>
      <c r="J194" s="608">
        <f t="shared" si="54"/>
        <v>806344</v>
      </c>
      <c r="K194" s="602">
        <v>1</v>
      </c>
      <c r="L194" s="602">
        <f t="shared" si="53"/>
        <v>806344</v>
      </c>
      <c r="M194" s="113">
        <f ca="1">SUMIF(APU!A:B,'Materiales '!C204,APU!I:I)</f>
        <v>0</v>
      </c>
      <c r="N194" s="593" t="s">
        <v>5014</v>
      </c>
      <c r="O194" s="113" t="str">
        <f t="shared" si="48"/>
        <v>'126', 'LUMINARIA LED 74.1W AGM', '', '4', '806344', '677600', '1.19', '806344', '1', '806344');</v>
      </c>
      <c r="P194" s="113" t="str">
        <f t="shared" si="49"/>
        <v>INSERT INTO materiales_2 (CODIGO, NOMBRE, COD_SIESA, ID_TIPO_UNIDAD, VALOR_UNITARIO, VALOR_COMPRA, IVA, VALOR_REAL, GANANCIA, VALOR_VENDIDO) VALUES ('126', 'LUMINARIA LED 74.1W AGM', '', '4', '806344', '677600', '1.19', '806344', '1', '806344');</v>
      </c>
    </row>
    <row r="195" spans="2:16" ht="15">
      <c r="B195" s="216">
        <f t="shared" si="89"/>
        <v>127</v>
      </c>
      <c r="C195" s="370" t="s">
        <v>4763</v>
      </c>
      <c r="D195" s="239"/>
      <c r="E195" s="595">
        <v>4</v>
      </c>
      <c r="F195" s="1" t="s">
        <v>4127</v>
      </c>
      <c r="G195" s="601">
        <f t="shared" ref="G195" si="96">L195</f>
        <v>903483.46199999982</v>
      </c>
      <c r="H195" s="602">
        <f>132.27*4100*1.4</f>
        <v>759229.79999999993</v>
      </c>
      <c r="I195" s="115">
        <v>1.19</v>
      </c>
      <c r="J195" s="608">
        <f t="shared" ref="J195" si="97">I195*H195</f>
        <v>903483.46199999982</v>
      </c>
      <c r="K195" s="602">
        <v>1</v>
      </c>
      <c r="L195" s="602">
        <f t="shared" ref="L195" si="98">K195*J195</f>
        <v>903483.46199999982</v>
      </c>
      <c r="M195" s="113">
        <f ca="1">SUMIF(APU!A:B,'Materiales '!C205,APU!I:I)</f>
        <v>0</v>
      </c>
      <c r="N195" s="593" t="s">
        <v>5014</v>
      </c>
      <c r="O195" s="113" t="str">
        <f t="shared" si="48"/>
        <v>'127', 'LUMINARIA LED 92.6W AGM', '', '4', '903483,462', '759229,8', '1.19', '903483,462', '1', '903483,462');</v>
      </c>
      <c r="P195" s="113" t="str">
        <f t="shared" si="49"/>
        <v>INSERT INTO materiales_2 (CODIGO, NOMBRE, COD_SIESA, ID_TIPO_UNIDAD, VALOR_UNITARIO, VALOR_COMPRA, IVA, VALOR_REAL, GANANCIA, VALOR_VENDIDO) VALUES ('127', 'LUMINARIA LED 92.6W AGM', '', '4', '903483,462', '759229,8', '1.19', '903483,462', '1', '903483,462');</v>
      </c>
    </row>
    <row r="196" spans="2:16" ht="15">
      <c r="B196" s="216">
        <f t="shared" si="89"/>
        <v>128</v>
      </c>
      <c r="C196" s="354" t="s">
        <v>4596</v>
      </c>
      <c r="D196" s="239">
        <v>4966</v>
      </c>
      <c r="E196" s="595">
        <v>4</v>
      </c>
      <c r="F196" s="1" t="s">
        <v>4127</v>
      </c>
      <c r="G196" s="601">
        <f t="shared" si="43"/>
        <v>1797405.75</v>
      </c>
      <c r="H196" s="602">
        <v>1510425</v>
      </c>
      <c r="I196" s="115">
        <v>1.19</v>
      </c>
      <c r="J196" s="608">
        <f t="shared" si="54"/>
        <v>1797405.75</v>
      </c>
      <c r="K196" s="602">
        <v>1</v>
      </c>
      <c r="L196" s="602">
        <f t="shared" si="53"/>
        <v>1797405.75</v>
      </c>
      <c r="M196" s="113">
        <f ca="1">SUMIF(APU!A:B,'Materiales '!C206,APU!I:I)</f>
        <v>0</v>
      </c>
      <c r="N196" s="593" t="s">
        <v>5014</v>
      </c>
      <c r="O196" s="113" t="str">
        <f t="shared" ref="O196:O259" si="99">"'"&amp;B196&amp;"', '"&amp;TRIM(UPPER(C196))&amp;"', '"&amp;D196&amp;"', '"&amp;E196&amp;"', '"&amp;G196&amp;"', '"&amp;H196&amp;"', '"&amp;SUBSTITUTE(I196,",",".")&amp;"', '"&amp;J196&amp;"', '"&amp;K196&amp;"', '"&amp;L196&amp;"');"</f>
        <v>'128', 'LUMINARIA LED 150W KINGSUN', '4966', '4', '1797405,75', '1510425', '1.19', '1797405,75', '1', '1797405,75');</v>
      </c>
      <c r="P196" s="113" t="str">
        <f t="shared" ref="P196:P259" si="100">CONCATENATE(N196,O196)</f>
        <v>INSERT INTO materiales_2 (CODIGO, NOMBRE, COD_SIESA, ID_TIPO_UNIDAD, VALOR_UNITARIO, VALOR_COMPRA, IVA, VALOR_REAL, GANANCIA, VALOR_VENDIDO) VALUES ('128', 'LUMINARIA LED 150W KINGSUN', '4966', '4', '1797405,75', '1510425', '1.19', '1797405,75', '1', '1797405,75');</v>
      </c>
    </row>
    <row r="197" spans="2:16" ht="15">
      <c r="B197" s="216">
        <f t="shared" si="44"/>
        <v>129</v>
      </c>
      <c r="C197" s="354" t="s">
        <v>4975</v>
      </c>
      <c r="D197" s="239">
        <v>9508</v>
      </c>
      <c r="E197" s="595">
        <v>4</v>
      </c>
      <c r="F197" s="1" t="s">
        <v>4127</v>
      </c>
      <c r="G197" s="601">
        <f t="shared" ref="G197:G315" si="101">L197</f>
        <v>942480</v>
      </c>
      <c r="H197" s="602">
        <f>120*4400*1.5</f>
        <v>792000</v>
      </c>
      <c r="I197" s="115">
        <v>1.19</v>
      </c>
      <c r="J197" s="608">
        <f t="shared" si="54"/>
        <v>942480</v>
      </c>
      <c r="K197" s="602">
        <v>1</v>
      </c>
      <c r="L197" s="602">
        <f t="shared" si="53"/>
        <v>942480</v>
      </c>
      <c r="M197" s="113">
        <f ca="1">SUMIF(APU!A:B,'Materiales '!C151,APU!I:I)</f>
        <v>0</v>
      </c>
      <c r="N197" s="593" t="s">
        <v>5014</v>
      </c>
      <c r="O197" s="113" t="str">
        <f t="shared" si="99"/>
        <v>'129', 'LUMINARIA LED 106,5W SED', '9508', '4', '942480', '792000', '1.19', '942480', '1', '942480');</v>
      </c>
      <c r="P197" s="113" t="str">
        <f t="shared" si="100"/>
        <v>INSERT INTO materiales_2 (CODIGO, NOMBRE, COD_SIESA, ID_TIPO_UNIDAD, VALOR_UNITARIO, VALOR_COMPRA, IVA, VALOR_REAL, GANANCIA, VALOR_VENDIDO) VALUES ('129', 'LUMINARIA LED 106,5W SED', '9508', '4', '942480', '792000', '1.19', '942480', '1', '942480');</v>
      </c>
    </row>
    <row r="198" spans="2:16" ht="15">
      <c r="B198" s="216">
        <f>B196+1</f>
        <v>129</v>
      </c>
      <c r="C198" s="354" t="s">
        <v>4976</v>
      </c>
      <c r="D198" s="239">
        <v>9509</v>
      </c>
      <c r="E198" s="595">
        <v>4</v>
      </c>
      <c r="F198" s="1" t="s">
        <v>4127</v>
      </c>
      <c r="G198" s="601">
        <f t="shared" ref="G198" si="102">L198</f>
        <v>1021020</v>
      </c>
      <c r="H198" s="602">
        <f>130*4400*1.5</f>
        <v>858000</v>
      </c>
      <c r="I198" s="115">
        <v>1.19</v>
      </c>
      <c r="J198" s="608">
        <f t="shared" ref="J198" si="103">I198*H198</f>
        <v>1021020</v>
      </c>
      <c r="K198" s="602">
        <v>1</v>
      </c>
      <c r="L198" s="602">
        <f t="shared" ref="L198" si="104">K198*J198</f>
        <v>1021020</v>
      </c>
      <c r="M198" s="113">
        <f ca="1">SUMIF(APU!A:B,'Materiales '!C195,APU!I:I)</f>
        <v>0</v>
      </c>
      <c r="N198" s="593" t="s">
        <v>5014</v>
      </c>
      <c r="O198" s="113" t="str">
        <f t="shared" si="99"/>
        <v>'129', 'LUMINARIA LED 120,4W SED', '9509', '4', '1021020', '858000', '1.19', '1021020', '1', '1021020');</v>
      </c>
      <c r="P198" s="113" t="str">
        <f t="shared" si="100"/>
        <v>INSERT INTO materiales_2 (CODIGO, NOMBRE, COD_SIESA, ID_TIPO_UNIDAD, VALOR_UNITARIO, VALOR_COMPRA, IVA, VALOR_REAL, GANANCIA, VALOR_VENDIDO) VALUES ('129', 'LUMINARIA LED 120,4W SED', '9509', '4', '1021020', '858000', '1.19', '1021020', '1', '1021020');</v>
      </c>
    </row>
    <row r="199" spans="2:16" ht="15">
      <c r="B199" s="216">
        <f>B197+1</f>
        <v>130</v>
      </c>
      <c r="C199" s="354" t="s">
        <v>4974</v>
      </c>
      <c r="D199" s="239">
        <v>9509</v>
      </c>
      <c r="E199" s="595">
        <v>4</v>
      </c>
      <c r="F199" s="1" t="s">
        <v>4127</v>
      </c>
      <c r="G199" s="601">
        <f t="shared" si="101"/>
        <v>1178100</v>
      </c>
      <c r="H199" s="602">
        <f>150*4400*1.5</f>
        <v>990000</v>
      </c>
      <c r="I199" s="115">
        <v>1.19</v>
      </c>
      <c r="J199" s="608">
        <f t="shared" si="54"/>
        <v>1178100</v>
      </c>
      <c r="K199" s="602">
        <v>1</v>
      </c>
      <c r="L199" s="602">
        <f t="shared" si="53"/>
        <v>1178100</v>
      </c>
      <c r="M199" s="113">
        <f ca="1">SUMIF(APU!A:B,'Materiales '!C196,APU!I:I)</f>
        <v>0</v>
      </c>
      <c r="N199" s="593" t="s">
        <v>5014</v>
      </c>
      <c r="O199" s="113" t="str">
        <f t="shared" si="99"/>
        <v>'130', 'LUMINARIA LED 150W SED', '9509', '4', '1178100', '990000', '1.19', '1178100', '1', '1178100');</v>
      </c>
      <c r="P199" s="113" t="str">
        <f t="shared" si="100"/>
        <v>INSERT INTO materiales_2 (CODIGO, NOMBRE, COD_SIESA, ID_TIPO_UNIDAD, VALOR_UNITARIO, VALOR_COMPRA, IVA, VALOR_REAL, GANANCIA, VALOR_VENDIDO) VALUES ('130', 'LUMINARIA LED 150W SED', '9509', '4', '1178100', '990000', '1.19', '1178100', '1', '1178100');</v>
      </c>
    </row>
    <row r="200" spans="2:16" ht="15">
      <c r="B200" s="216">
        <f t="shared" ref="B200:B316" si="105">B199+1</f>
        <v>131</v>
      </c>
      <c r="C200" s="354" t="s">
        <v>4597</v>
      </c>
      <c r="D200" s="239">
        <v>5404</v>
      </c>
      <c r="E200" s="595">
        <v>4</v>
      </c>
      <c r="F200" s="1" t="s">
        <v>4127</v>
      </c>
      <c r="G200" s="601">
        <f t="shared" si="101"/>
        <v>1366120</v>
      </c>
      <c r="H200" s="602">
        <f>280*4100</f>
        <v>1148000</v>
      </c>
      <c r="I200" s="115">
        <v>1.19</v>
      </c>
      <c r="J200" s="608">
        <f t="shared" si="54"/>
        <v>1366120</v>
      </c>
      <c r="K200" s="602">
        <v>1</v>
      </c>
      <c r="L200" s="602">
        <f t="shared" si="53"/>
        <v>1366120</v>
      </c>
      <c r="M200" s="113">
        <f ca="1">SUMIF(APU!A:B,'Materiales '!C150,APU!I:I)</f>
        <v>0</v>
      </c>
      <c r="N200" s="593" t="s">
        <v>5014</v>
      </c>
      <c r="O200" s="113" t="str">
        <f t="shared" si="99"/>
        <v>'131', 'LUMINARIA LED 110W KINGSUN', '5404', '4', '1366120', '1148000', '1.19', '1366120', '1', '1366120');</v>
      </c>
      <c r="P200" s="113" t="str">
        <f t="shared" si="100"/>
        <v>INSERT INTO materiales_2 (CODIGO, NOMBRE, COD_SIESA, ID_TIPO_UNIDAD, VALOR_UNITARIO, VALOR_COMPRA, IVA, VALOR_REAL, GANANCIA, VALOR_VENDIDO) VALUES ('131', 'LUMINARIA LED 110W KINGSUN', '5404', '4', '1366120', '1148000', '1.19', '1366120', '1', '1366120');</v>
      </c>
    </row>
    <row r="201" spans="2:16" ht="15">
      <c r="B201" s="216">
        <f>B197+1</f>
        <v>130</v>
      </c>
      <c r="C201" s="356" t="s">
        <v>4712</v>
      </c>
      <c r="D201" s="357"/>
      <c r="E201" s="595">
        <v>4</v>
      </c>
      <c r="F201" s="1" t="s">
        <v>4127</v>
      </c>
      <c r="G201" s="601">
        <f t="shared" si="101"/>
        <v>321300</v>
      </c>
      <c r="H201" s="602">
        <v>270000</v>
      </c>
      <c r="I201" s="115">
        <v>1.19</v>
      </c>
      <c r="J201" s="608">
        <f t="shared" si="54"/>
        <v>321300</v>
      </c>
      <c r="K201" s="602">
        <v>1</v>
      </c>
      <c r="L201" s="602">
        <f t="shared" si="53"/>
        <v>321300</v>
      </c>
      <c r="M201" s="113">
        <f ca="1">SUMIF(APU!A:B,'Materiales '!C144,APU!I:I)</f>
        <v>0</v>
      </c>
      <c r="N201" s="593" t="s">
        <v>5014</v>
      </c>
      <c r="O201" s="113" t="str">
        <f t="shared" si="99"/>
        <v>'130', 'LUMINARIA LED 30W SYLVANIA', '', '4', '321300', '270000', '1.19', '321300', '1', '321300');</v>
      </c>
      <c r="P201" s="113" t="str">
        <f t="shared" si="100"/>
        <v>INSERT INTO materiales_2 (CODIGO, NOMBRE, COD_SIESA, ID_TIPO_UNIDAD, VALOR_UNITARIO, VALOR_COMPRA, IVA, VALOR_REAL, GANANCIA, VALOR_VENDIDO) VALUES ('130', 'LUMINARIA LED 30W SYLVANIA', '', '4', '321300', '270000', '1.19', '321300', '1', '321300');</v>
      </c>
    </row>
    <row r="202" spans="2:16" ht="15">
      <c r="B202" s="216">
        <f>B199+1</f>
        <v>131</v>
      </c>
      <c r="C202" s="356" t="s">
        <v>4713</v>
      </c>
      <c r="D202" s="357"/>
      <c r="E202" s="595">
        <v>4</v>
      </c>
      <c r="F202" s="1" t="s">
        <v>4127</v>
      </c>
      <c r="G202" s="601">
        <f t="shared" ref="G202" si="106">L202</f>
        <v>368900</v>
      </c>
      <c r="H202" s="602">
        <v>310000</v>
      </c>
      <c r="I202" s="115">
        <v>1.19</v>
      </c>
      <c r="J202" s="608">
        <f t="shared" ref="J202" si="107">I202*H202</f>
        <v>368900</v>
      </c>
      <c r="K202" s="602">
        <v>1</v>
      </c>
      <c r="L202" s="602">
        <f t="shared" ref="L202" si="108">K202*J202</f>
        <v>368900</v>
      </c>
      <c r="M202" s="113">
        <f ca="1">SUMIF(APU!A:B,'Materiales '!C145,APU!I:I)</f>
        <v>0</v>
      </c>
      <c r="N202" s="593" t="s">
        <v>5014</v>
      </c>
      <c r="O202" s="113" t="str">
        <f t="shared" si="99"/>
        <v>'131', 'LUMINARIA LED 60W SYLVANIA', '', '4', '368900', '310000', '1.19', '368900', '1', '368900');</v>
      </c>
      <c r="P202" s="113" t="str">
        <f t="shared" si="100"/>
        <v>INSERT INTO materiales_2 (CODIGO, NOMBRE, COD_SIESA, ID_TIPO_UNIDAD, VALOR_UNITARIO, VALOR_COMPRA, IVA, VALOR_REAL, GANANCIA, VALOR_VENDIDO) VALUES ('131', 'LUMINARIA LED 60W SYLVANIA', '', '4', '368900', '310000', '1.19', '368900', '1', '368900');</v>
      </c>
    </row>
    <row r="203" spans="2:16" ht="15">
      <c r="B203" s="216">
        <f>B200+1</f>
        <v>132</v>
      </c>
      <c r="C203" s="356" t="s">
        <v>4598</v>
      </c>
      <c r="D203" s="357">
        <v>4962</v>
      </c>
      <c r="E203" s="595">
        <v>4</v>
      </c>
      <c r="F203" s="1" t="s">
        <v>4127</v>
      </c>
      <c r="G203" s="601">
        <f t="shared" si="101"/>
        <v>927010</v>
      </c>
      <c r="H203" s="602">
        <f>190*4100</f>
        <v>779000</v>
      </c>
      <c r="I203" s="115">
        <v>1.19</v>
      </c>
      <c r="J203" s="608">
        <f t="shared" si="54"/>
        <v>927010</v>
      </c>
      <c r="K203" s="602">
        <v>1</v>
      </c>
      <c r="L203" s="602">
        <f t="shared" si="53"/>
        <v>927010</v>
      </c>
      <c r="M203" s="113">
        <f ca="1">SUMIF(APU!A:B,'Materiales '!C146,APU!I:I)</f>
        <v>0</v>
      </c>
      <c r="N203" s="593" t="s">
        <v>5014</v>
      </c>
      <c r="O203" s="113" t="str">
        <f t="shared" si="99"/>
        <v>'132', 'LUMINARIA LED 35W KINGSUN', '4962', '4', '927010', '779000', '1.19', '927010', '1', '927010');</v>
      </c>
      <c r="P203" s="113" t="str">
        <f t="shared" si="100"/>
        <v>INSERT INTO materiales_2 (CODIGO, NOMBRE, COD_SIESA, ID_TIPO_UNIDAD, VALOR_UNITARIO, VALOR_COMPRA, IVA, VALOR_REAL, GANANCIA, VALOR_VENDIDO) VALUES ('132', 'LUMINARIA LED 35W KINGSUN', '4962', '4', '927010', '779000', '1.19', '927010', '1', '927010');</v>
      </c>
    </row>
    <row r="204" spans="2:16" ht="15">
      <c r="B204" s="216">
        <f t="shared" si="105"/>
        <v>133</v>
      </c>
      <c r="C204" s="356" t="s">
        <v>4599</v>
      </c>
      <c r="D204" s="357">
        <v>5402</v>
      </c>
      <c r="E204" s="595">
        <v>4</v>
      </c>
      <c r="F204" s="1" t="s">
        <v>4127</v>
      </c>
      <c r="G204" s="601">
        <f t="shared" si="101"/>
        <v>951405</v>
      </c>
      <c r="H204" s="602">
        <f>195*4100</f>
        <v>799500</v>
      </c>
      <c r="I204" s="115">
        <v>1.19</v>
      </c>
      <c r="J204" s="608">
        <f t="shared" si="54"/>
        <v>951405</v>
      </c>
      <c r="K204" s="602">
        <v>1</v>
      </c>
      <c r="L204" s="602">
        <f t="shared" si="53"/>
        <v>951405</v>
      </c>
      <c r="M204" s="113">
        <f ca="1">SUMIF(APU!A:B,'Materiales '!C149,APU!I:I)</f>
        <v>0</v>
      </c>
      <c r="N204" s="593" t="s">
        <v>5014</v>
      </c>
      <c r="O204" s="113" t="str">
        <f t="shared" si="99"/>
        <v>'133', 'LUMINARIA LED 52W KINGSUN', '5402', '4', '951405', '799500', '1.19', '951405', '1', '951405');</v>
      </c>
      <c r="P204" s="113" t="str">
        <f t="shared" si="100"/>
        <v>INSERT INTO materiales_2 (CODIGO, NOMBRE, COD_SIESA, ID_TIPO_UNIDAD, VALOR_UNITARIO, VALOR_COMPRA, IVA, VALOR_REAL, GANANCIA, VALOR_VENDIDO) VALUES ('133', 'LUMINARIA LED 52W KINGSUN', '5402', '4', '951405', '799500', '1.19', '951405', '1', '951405');</v>
      </c>
    </row>
    <row r="205" spans="2:16" ht="15">
      <c r="B205" s="216">
        <f t="shared" si="105"/>
        <v>134</v>
      </c>
      <c r="C205" s="356" t="s">
        <v>4600</v>
      </c>
      <c r="D205" s="357">
        <v>4964</v>
      </c>
      <c r="E205" s="595">
        <v>4</v>
      </c>
      <c r="F205" s="1" t="s">
        <v>4127</v>
      </c>
      <c r="G205" s="601">
        <f t="shared" si="101"/>
        <v>975800</v>
      </c>
      <c r="H205" s="602">
        <f>200*4100</f>
        <v>820000</v>
      </c>
      <c r="I205" s="115">
        <v>1.19</v>
      </c>
      <c r="J205" s="608">
        <f t="shared" si="54"/>
        <v>975800</v>
      </c>
      <c r="K205" s="602">
        <v>1</v>
      </c>
      <c r="L205" s="602">
        <f t="shared" si="53"/>
        <v>975800</v>
      </c>
      <c r="M205" s="113">
        <f ca="1">SUMIF(APU!A:B,'Materiales '!C148,APU!I:I)</f>
        <v>0</v>
      </c>
      <c r="N205" s="593" t="s">
        <v>5014</v>
      </c>
      <c r="O205" s="113" t="str">
        <f t="shared" si="99"/>
        <v>'134', 'LUMINARIA LED 75W KINGSUN', '4964', '4', '975800', '820000', '1.19', '975800', '1', '975800');</v>
      </c>
      <c r="P205" s="113" t="str">
        <f t="shared" si="100"/>
        <v>INSERT INTO materiales_2 (CODIGO, NOMBRE, COD_SIESA, ID_TIPO_UNIDAD, VALOR_UNITARIO, VALOR_COMPRA, IVA, VALOR_REAL, GANANCIA, VALOR_VENDIDO) VALUES ('134', 'LUMINARIA LED 75W KINGSUN', '4964', '4', '975800', '820000', '1.19', '975800', '1', '975800');</v>
      </c>
    </row>
    <row r="206" spans="2:16" ht="15">
      <c r="B206" s="216">
        <f t="shared" si="105"/>
        <v>135</v>
      </c>
      <c r="C206" s="356" t="s">
        <v>4531</v>
      </c>
      <c r="D206" s="357">
        <v>5399</v>
      </c>
      <c r="E206" s="595">
        <v>4</v>
      </c>
      <c r="F206" s="1" t="s">
        <v>4127</v>
      </c>
      <c r="G206" s="601">
        <f t="shared" si="101"/>
        <v>2341920</v>
      </c>
      <c r="H206" s="602">
        <f>480*4100</f>
        <v>1968000</v>
      </c>
      <c r="I206" s="115">
        <v>1.19</v>
      </c>
      <c r="J206" s="608">
        <f t="shared" si="54"/>
        <v>2341920</v>
      </c>
      <c r="K206" s="602">
        <v>1</v>
      </c>
      <c r="L206" s="602">
        <f t="shared" si="53"/>
        <v>2341920</v>
      </c>
      <c r="M206" s="113">
        <f ca="1">SUMIF(APU!A:B,'Materiales '!C145,APU!I:I)</f>
        <v>0</v>
      </c>
      <c r="N206" s="593" t="s">
        <v>5014</v>
      </c>
      <c r="O206" s="113" t="str">
        <f t="shared" si="99"/>
        <v>'135', 'LUMINARIA FAROL LED 31W', '5399', '4', '2341920', '1968000', '1.19', '2341920', '1', '2341920');</v>
      </c>
      <c r="P206" s="113" t="str">
        <f t="shared" si="100"/>
        <v>INSERT INTO materiales_2 (CODIGO, NOMBRE, COD_SIESA, ID_TIPO_UNIDAD, VALOR_UNITARIO, VALOR_COMPRA, IVA, VALOR_REAL, GANANCIA, VALOR_VENDIDO) VALUES ('135', 'LUMINARIA FAROL LED 31W', '5399', '4', '2341920', '1968000', '1.19', '2341920', '1', '2341920');</v>
      </c>
    </row>
    <row r="207" spans="2:16" ht="15">
      <c r="B207" s="216">
        <f>B205+1</f>
        <v>135</v>
      </c>
      <c r="C207" s="356" t="s">
        <v>4532</v>
      </c>
      <c r="D207" s="357">
        <v>5400</v>
      </c>
      <c r="E207" s="595">
        <v>4</v>
      </c>
      <c r="F207" s="1" t="s">
        <v>4127</v>
      </c>
      <c r="G207" s="601">
        <f t="shared" ref="G207" si="109">L207</f>
        <v>2439500</v>
      </c>
      <c r="H207" s="602">
        <f>500*4100</f>
        <v>2050000</v>
      </c>
      <c r="I207" s="115">
        <v>1.19</v>
      </c>
      <c r="J207" s="608">
        <f t="shared" ref="J207" si="110">I207*H207</f>
        <v>2439500</v>
      </c>
      <c r="K207" s="602">
        <v>1</v>
      </c>
      <c r="L207" s="602">
        <f t="shared" ref="L207" si="111">K207*J207</f>
        <v>2439500</v>
      </c>
      <c r="M207" s="113">
        <f ca="1">SUMIF(APU!A:B,'Materiales '!C146,APU!I:I)</f>
        <v>0</v>
      </c>
      <c r="N207" s="593" t="s">
        <v>5014</v>
      </c>
      <c r="O207" s="113" t="str">
        <f t="shared" si="99"/>
        <v>'135', 'LUMINARIA FAROL LED 62W', '5400', '4', '2439500', '2050000', '1.19', '2439500', '1', '2439500');</v>
      </c>
      <c r="P207" s="113" t="str">
        <f t="shared" si="100"/>
        <v>INSERT INTO materiales_2 (CODIGO, NOMBRE, COD_SIESA, ID_TIPO_UNIDAD, VALOR_UNITARIO, VALOR_COMPRA, IVA, VALOR_REAL, GANANCIA, VALOR_VENDIDO) VALUES ('135', 'LUMINARIA FAROL LED 62W', '5400', '4', '2439500', '2050000', '1.19', '2439500', '1', '2439500');</v>
      </c>
    </row>
    <row r="208" spans="2:16" ht="15">
      <c r="B208" s="216">
        <f>B206+1</f>
        <v>136</v>
      </c>
      <c r="C208" s="356" t="s">
        <v>4767</v>
      </c>
      <c r="D208" s="357">
        <v>5400</v>
      </c>
      <c r="E208" s="595">
        <v>4</v>
      </c>
      <c r="F208" s="1" t="s">
        <v>4127</v>
      </c>
      <c r="G208" s="601">
        <f t="shared" si="101"/>
        <v>2683450</v>
      </c>
      <c r="H208" s="602">
        <f>550*4100</f>
        <v>2255000</v>
      </c>
      <c r="I208" s="115">
        <v>1.19</v>
      </c>
      <c r="J208" s="608">
        <f t="shared" si="54"/>
        <v>2683450</v>
      </c>
      <c r="K208" s="602">
        <v>1</v>
      </c>
      <c r="L208" s="602">
        <f t="shared" si="53"/>
        <v>2683450</v>
      </c>
      <c r="M208" s="113">
        <f ca="1">SUMIF(APU!A:B,'Materiales '!C147,APU!I:I)</f>
        <v>0</v>
      </c>
      <c r="N208" s="593" t="s">
        <v>5014</v>
      </c>
      <c r="O208" s="113" t="str">
        <f t="shared" si="99"/>
        <v>'136', 'LUMINARIA FAROL LED 80W MUNICIPIO', '5400', '4', '2683450', '2255000', '1.19', '2683450', '1', '2683450');</v>
      </c>
      <c r="P208" s="113" t="str">
        <f t="shared" si="100"/>
        <v>INSERT INTO materiales_2 (CODIGO, NOMBRE, COD_SIESA, ID_TIPO_UNIDAD, VALOR_UNITARIO, VALOR_COMPRA, IVA, VALOR_REAL, GANANCIA, VALOR_VENDIDO) VALUES ('136', 'LUMINARIA FAROL LED 80W MUNICIPIO', '5400', '4', '2683450', '2255000', '1.19', '2683450', '1', '2683450');</v>
      </c>
    </row>
    <row r="209" spans="2:16" ht="15">
      <c r="B209" s="216">
        <f t="shared" si="105"/>
        <v>137</v>
      </c>
      <c r="C209" s="356" t="s">
        <v>4533</v>
      </c>
      <c r="D209" s="357">
        <v>983</v>
      </c>
      <c r="E209" s="595">
        <v>2</v>
      </c>
      <c r="F209" s="1" t="s">
        <v>170</v>
      </c>
      <c r="G209" s="601">
        <f t="shared" si="101"/>
        <v>8854.7899999999991</v>
      </c>
      <c r="H209" s="602">
        <v>7441</v>
      </c>
      <c r="I209" s="115">
        <v>1.19</v>
      </c>
      <c r="J209" s="608">
        <f t="shared" si="54"/>
        <v>8854.7899999999991</v>
      </c>
      <c r="K209" s="602">
        <v>1</v>
      </c>
      <c r="L209" s="602">
        <f t="shared" si="53"/>
        <v>8854.7899999999991</v>
      </c>
      <c r="M209" s="113">
        <f ca="1">SUMIF(APU!A:B,'Materiales '!C197,APU!I:I)</f>
        <v>0</v>
      </c>
      <c r="N209" s="593" t="s">
        <v>5014</v>
      </c>
      <c r="O209" s="113" t="str">
        <f t="shared" si="99"/>
        <v>'137', 'CINTA LED DE 3,6W X 1M - 240V', '983', '2', '8854,79', '7441', '1.19', '8854,79', '1', '8854,79');</v>
      </c>
      <c r="P209" s="113" t="str">
        <f t="shared" si="100"/>
        <v>INSERT INTO materiales_2 (CODIGO, NOMBRE, COD_SIESA, ID_TIPO_UNIDAD, VALOR_UNITARIO, VALOR_COMPRA, IVA, VALOR_REAL, GANANCIA, VALOR_VENDIDO) VALUES ('137', 'CINTA LED DE 3,6W X 1M - 240V', '983', '2', '8854,79', '7441', '1.19', '8854,79', '1', '8854,79');</v>
      </c>
    </row>
    <row r="210" spans="2:16" ht="15">
      <c r="B210" s="216">
        <f>B208+1</f>
        <v>137</v>
      </c>
      <c r="C210" s="356" t="s">
        <v>5009</v>
      </c>
      <c r="D210" s="357">
        <v>8991</v>
      </c>
      <c r="E210" s="595">
        <v>4</v>
      </c>
      <c r="F210" s="1" t="s">
        <v>4127</v>
      </c>
      <c r="G210" s="601">
        <f t="shared" ref="G210" si="112">L210</f>
        <v>220150</v>
      </c>
      <c r="H210" s="602">
        <v>185000</v>
      </c>
      <c r="I210" s="115">
        <v>1.19</v>
      </c>
      <c r="J210" s="608">
        <f t="shared" ref="J210" si="113">I210*H210</f>
        <v>220150</v>
      </c>
      <c r="K210" s="602">
        <v>1</v>
      </c>
      <c r="L210" s="602">
        <f t="shared" ref="L210" si="114">K210*J210</f>
        <v>220150</v>
      </c>
      <c r="M210" s="113">
        <f ca="1">SUMIF(APU!A:B,'Materiales '!C143,APU!I:I)</f>
        <v>0</v>
      </c>
      <c r="N210" s="593" t="s">
        <v>5014</v>
      </c>
      <c r="O210" s="113" t="str">
        <f t="shared" si="99"/>
        <v>'137', 'MEDIDOR MONOFASICO 240/120', '8991', '4', '220150', '185000', '1.19', '220150', '1', '220150');</v>
      </c>
      <c r="P210" s="113" t="str">
        <f t="shared" si="100"/>
        <v>INSERT INTO materiales_2 (CODIGO, NOMBRE, COD_SIESA, ID_TIPO_UNIDAD, VALOR_UNITARIO, VALOR_COMPRA, IVA, VALOR_REAL, GANANCIA, VALOR_VENDIDO) VALUES ('137', 'MEDIDOR MONOFASICO 240/120', '8991', '4', '220150', '185000', '1.19', '220150', '1', '220150');</v>
      </c>
    </row>
    <row r="211" spans="2:16" ht="15">
      <c r="B211" s="216">
        <f>B209+1</f>
        <v>138</v>
      </c>
      <c r="C211" s="356" t="s">
        <v>4534</v>
      </c>
      <c r="D211" s="357">
        <v>8991</v>
      </c>
      <c r="E211" s="595">
        <v>4</v>
      </c>
      <c r="F211" s="1" t="s">
        <v>4127</v>
      </c>
      <c r="G211" s="601">
        <f t="shared" si="101"/>
        <v>773799.88</v>
      </c>
      <c r="H211" s="602">
        <v>650252</v>
      </c>
      <c r="I211" s="115">
        <v>1.19</v>
      </c>
      <c r="J211" s="608">
        <f t="shared" si="54"/>
        <v>773799.88</v>
      </c>
      <c r="K211" s="602">
        <v>1</v>
      </c>
      <c r="L211" s="602">
        <f t="shared" si="53"/>
        <v>773799.88</v>
      </c>
      <c r="M211" s="113">
        <f ca="1">SUMIF(APU!A:B,'Materiales '!C144,APU!I:I)</f>
        <v>0</v>
      </c>
      <c r="N211" s="593" t="s">
        <v>5014</v>
      </c>
      <c r="O211" s="113" t="str">
        <f t="shared" si="99"/>
        <v>'138', 'MEDIDOR MONOFASICO 480/240', '8991', '4', '773799,88', '650252', '1.19', '773799,88', '1', '773799,88');</v>
      </c>
      <c r="P211" s="113" t="str">
        <f t="shared" si="100"/>
        <v>INSERT INTO materiales_2 (CODIGO, NOMBRE, COD_SIESA, ID_TIPO_UNIDAD, VALOR_UNITARIO, VALOR_COMPRA, IVA, VALOR_REAL, GANANCIA, VALOR_VENDIDO) VALUES ('138', 'MEDIDOR MONOFASICO 480/240', '8991', '4', '773799,88', '650252', '1.19', '773799,88', '1', '773799,88');</v>
      </c>
    </row>
    <row r="212" spans="2:16" ht="15">
      <c r="B212" s="216">
        <f t="shared" si="105"/>
        <v>139</v>
      </c>
      <c r="C212" s="356" t="s">
        <v>4535</v>
      </c>
      <c r="D212" s="357">
        <v>2513</v>
      </c>
      <c r="E212" s="595">
        <v>4</v>
      </c>
      <c r="F212" s="1" t="s">
        <v>4127</v>
      </c>
      <c r="G212" s="601">
        <f t="shared" si="101"/>
        <v>963900</v>
      </c>
      <c r="H212" s="602">
        <v>810000</v>
      </c>
      <c r="I212" s="115">
        <v>1.19</v>
      </c>
      <c r="J212" s="608">
        <f t="shared" si="54"/>
        <v>963900</v>
      </c>
      <c r="K212" s="602">
        <v>1</v>
      </c>
      <c r="L212" s="602">
        <f t="shared" si="53"/>
        <v>963900</v>
      </c>
      <c r="M212" s="113">
        <f ca="1">SUMIF(APU!A:B,'Materiales '!C208,APU!I:I)</f>
        <v>0</v>
      </c>
      <c r="N212" s="593" t="s">
        <v>5014</v>
      </c>
      <c r="O212" s="113" t="str">
        <f t="shared" si="99"/>
        <v>'139', 'MEDIDOR TRIFASICO 480/240', '2513', '4', '963900', '810000', '1.19', '963900', '1', '963900');</v>
      </c>
      <c r="P212" s="113" t="str">
        <f t="shared" si="100"/>
        <v>INSERT INTO materiales_2 (CODIGO, NOMBRE, COD_SIESA, ID_TIPO_UNIDAD, VALOR_UNITARIO, VALOR_COMPRA, IVA, VALOR_REAL, GANANCIA, VALOR_VENDIDO) VALUES ('139', 'MEDIDOR TRIFASICO 480/240', '2513', '4', '963900', '810000', '1.19', '963900', '1', '963900');</v>
      </c>
    </row>
    <row r="213" spans="2:16" ht="15">
      <c r="B213" s="216">
        <f t="shared" si="105"/>
        <v>140</v>
      </c>
      <c r="C213" s="354" t="s">
        <v>4536</v>
      </c>
      <c r="D213" s="357">
        <v>490</v>
      </c>
      <c r="E213" s="595">
        <v>4</v>
      </c>
      <c r="F213" s="1" t="s">
        <v>4127</v>
      </c>
      <c r="G213" s="601">
        <f t="shared" si="101"/>
        <v>26299</v>
      </c>
      <c r="H213" s="602">
        <v>22100</v>
      </c>
      <c r="I213" s="115">
        <v>1.19</v>
      </c>
      <c r="J213" s="608">
        <f t="shared" si="54"/>
        <v>26299</v>
      </c>
      <c r="K213" s="602">
        <v>1</v>
      </c>
      <c r="L213" s="602">
        <f t="shared" si="53"/>
        <v>26299</v>
      </c>
      <c r="M213" s="113">
        <f ca="1">SUMIF(APU!A:B,'Materiales '!C220,APU!I:I)</f>
        <v>0</v>
      </c>
      <c r="N213" s="593" t="s">
        <v>5014</v>
      </c>
      <c r="O213" s="113" t="str">
        <f t="shared" si="99"/>
        <v>'140', 'BREAKER 2 POLO 15 AMPERIOS RIEL', '490', '4', '26299', '22100', '1.19', '26299', '1', '26299');</v>
      </c>
      <c r="P213" s="113" t="str">
        <f t="shared" si="100"/>
        <v>INSERT INTO materiales_2 (CODIGO, NOMBRE, COD_SIESA, ID_TIPO_UNIDAD, VALOR_UNITARIO, VALOR_COMPRA, IVA, VALOR_REAL, GANANCIA, VALOR_VENDIDO) VALUES ('140', 'BREAKER 2 POLO 15 AMPERIOS RIEL', '490', '4', '26299', '22100', '1.19', '26299', '1', '26299');</v>
      </c>
    </row>
    <row r="214" spans="2:16" ht="15">
      <c r="B214" s="216">
        <f t="shared" si="105"/>
        <v>141</v>
      </c>
      <c r="C214" s="354" t="s">
        <v>4537</v>
      </c>
      <c r="D214" s="357">
        <v>491</v>
      </c>
      <c r="E214" s="595">
        <v>4</v>
      </c>
      <c r="F214" s="1" t="s">
        <v>4127</v>
      </c>
      <c r="G214" s="601">
        <f t="shared" si="101"/>
        <v>26299</v>
      </c>
      <c r="H214" s="602">
        <v>22100</v>
      </c>
      <c r="I214" s="115">
        <v>1.19</v>
      </c>
      <c r="J214" s="608">
        <f t="shared" si="54"/>
        <v>26299</v>
      </c>
      <c r="K214" s="602">
        <v>1</v>
      </c>
      <c r="L214" s="602">
        <f t="shared" si="53"/>
        <v>26299</v>
      </c>
      <c r="M214" s="113">
        <f ca="1">SUMIF(APU!A:B,'Materiales '!C209,APU!I:I)</f>
        <v>0</v>
      </c>
      <c r="N214" s="593" t="s">
        <v>5014</v>
      </c>
      <c r="O214" s="113" t="str">
        <f t="shared" si="99"/>
        <v>'141', 'BREAKER 2 POLO 20 AMPERIOS RIEL', '491', '4', '26299', '22100', '1.19', '26299', '1', '26299');</v>
      </c>
      <c r="P214" s="113" t="str">
        <f t="shared" si="100"/>
        <v>INSERT INTO materiales_2 (CODIGO, NOMBRE, COD_SIESA, ID_TIPO_UNIDAD, VALOR_UNITARIO, VALOR_COMPRA, IVA, VALOR_REAL, GANANCIA, VALOR_VENDIDO) VALUES ('141', 'BREAKER 2 POLO 20 AMPERIOS RIEL', '491', '4', '26299', '22100', '1.19', '26299', '1', '26299');</v>
      </c>
    </row>
    <row r="215" spans="2:16" ht="15">
      <c r="B215" s="216">
        <f t="shared" si="105"/>
        <v>142</v>
      </c>
      <c r="C215" s="354" t="s">
        <v>4538</v>
      </c>
      <c r="D215" s="357">
        <v>495</v>
      </c>
      <c r="E215" s="595">
        <v>4</v>
      </c>
      <c r="F215" s="1" t="s">
        <v>4127</v>
      </c>
      <c r="G215" s="601">
        <f t="shared" si="101"/>
        <v>44987.95</v>
      </c>
      <c r="H215" s="602">
        <v>37805</v>
      </c>
      <c r="I215" s="115">
        <v>1.19</v>
      </c>
      <c r="J215" s="608">
        <f t="shared" si="54"/>
        <v>44987.95</v>
      </c>
      <c r="K215" s="602">
        <v>1</v>
      </c>
      <c r="L215" s="602">
        <f t="shared" si="53"/>
        <v>44987.95</v>
      </c>
      <c r="M215" s="113">
        <f ca="1">SUMIF(APU!A:B,'Materiales '!C221,APU!I:I)</f>
        <v>0</v>
      </c>
      <c r="N215" s="593" t="s">
        <v>5014</v>
      </c>
      <c r="O215" s="113" t="str">
        <f t="shared" si="99"/>
        <v>'142', 'BREAKER 2 POLO 40 AMPERIOS RIEL', '495', '4', '44987,95', '37805', '1.19', '44987,95', '1', '44987,95');</v>
      </c>
      <c r="P215" s="113" t="str">
        <f t="shared" si="100"/>
        <v>INSERT INTO materiales_2 (CODIGO, NOMBRE, COD_SIESA, ID_TIPO_UNIDAD, VALOR_UNITARIO, VALOR_COMPRA, IVA, VALOR_REAL, GANANCIA, VALOR_VENDIDO) VALUES ('142', 'BREAKER 2 POLO 40 AMPERIOS RIEL', '495', '4', '44987,95', '37805', '1.19', '44987,95', '1', '44987,95');</v>
      </c>
    </row>
    <row r="216" spans="2:16" ht="15">
      <c r="B216" s="216">
        <f t="shared" si="105"/>
        <v>143</v>
      </c>
      <c r="C216" s="354" t="s">
        <v>4539</v>
      </c>
      <c r="D216" s="357">
        <v>496</v>
      </c>
      <c r="E216" s="595">
        <v>4</v>
      </c>
      <c r="F216" s="1" t="s">
        <v>4127</v>
      </c>
      <c r="G216" s="601">
        <f t="shared" si="101"/>
        <v>44987.95</v>
      </c>
      <c r="H216" s="602">
        <v>37805</v>
      </c>
      <c r="I216" s="115">
        <v>1.19</v>
      </c>
      <c r="J216" s="608">
        <f t="shared" si="54"/>
        <v>44987.95</v>
      </c>
      <c r="K216" s="602">
        <v>1</v>
      </c>
      <c r="L216" s="602">
        <f t="shared" si="53"/>
        <v>44987.95</v>
      </c>
      <c r="M216" s="113">
        <f ca="1">SUMIF(APU!A:B,'Materiales '!C211,APU!I:I)</f>
        <v>0</v>
      </c>
      <c r="N216" s="593" t="s">
        <v>5014</v>
      </c>
      <c r="O216" s="113" t="str">
        <f t="shared" si="99"/>
        <v>'143', 'BREAKER 2 POLO 60 AMPERIOS RIEL', '496', '4', '44987,95', '37805', '1.19', '44987,95', '1', '44987,95');</v>
      </c>
      <c r="P216" s="113" t="str">
        <f t="shared" si="100"/>
        <v>INSERT INTO materiales_2 (CODIGO, NOMBRE, COD_SIESA, ID_TIPO_UNIDAD, VALOR_UNITARIO, VALOR_COMPRA, IVA, VALOR_REAL, GANANCIA, VALOR_VENDIDO) VALUES ('143', 'BREAKER 2 POLO 60 AMPERIOS RIEL', '496', '4', '44987,95', '37805', '1.19', '44987,95', '1', '44987,95');</v>
      </c>
    </row>
    <row r="217" spans="2:16" ht="15">
      <c r="B217" s="216">
        <f t="shared" si="105"/>
        <v>144</v>
      </c>
      <c r="C217" s="354" t="s">
        <v>4540</v>
      </c>
      <c r="D217" s="357">
        <v>7240</v>
      </c>
      <c r="E217" s="595">
        <v>4</v>
      </c>
      <c r="F217" s="1" t="s">
        <v>4127</v>
      </c>
      <c r="G217" s="601">
        <f t="shared" si="101"/>
        <v>10103.1</v>
      </c>
      <c r="H217" s="602">
        <v>8490</v>
      </c>
      <c r="I217" s="115">
        <v>1.19</v>
      </c>
      <c r="J217" s="608">
        <f t="shared" si="54"/>
        <v>10103.1</v>
      </c>
      <c r="K217" s="602">
        <v>1</v>
      </c>
      <c r="L217" s="602">
        <f t="shared" si="53"/>
        <v>10103.1</v>
      </c>
      <c r="M217" s="113">
        <f ca="1">SUMIF(APU!A:B,'Materiales '!C222,APU!I:I)</f>
        <v>0</v>
      </c>
      <c r="N217" s="593" t="s">
        <v>5014</v>
      </c>
      <c r="O217" s="113" t="str">
        <f t="shared" si="99"/>
        <v>'144', 'BREAKER 1 POLO 20 AMPERIOS RIEL', '7240', '4', '10103,1', '8490', '1.19', '10103,1', '1', '10103,1');</v>
      </c>
      <c r="P217" s="113" t="str">
        <f t="shared" si="100"/>
        <v>INSERT INTO materiales_2 (CODIGO, NOMBRE, COD_SIESA, ID_TIPO_UNIDAD, VALOR_UNITARIO, VALOR_COMPRA, IVA, VALOR_REAL, GANANCIA, VALOR_VENDIDO) VALUES ('144', 'BREAKER 1 POLO 20 AMPERIOS RIEL', '7240', '4', '10103,1', '8490', '1.19', '10103,1', '1', '10103,1');</v>
      </c>
    </row>
    <row r="218" spans="2:16" ht="15">
      <c r="B218" s="216">
        <f t="shared" si="105"/>
        <v>145</v>
      </c>
      <c r="C218" s="354" t="s">
        <v>4541</v>
      </c>
      <c r="D218" s="357">
        <v>5553</v>
      </c>
      <c r="E218" s="595">
        <v>4</v>
      </c>
      <c r="F218" s="1" t="s">
        <v>4127</v>
      </c>
      <c r="G218" s="601">
        <f t="shared" si="101"/>
        <v>15322.439999999999</v>
      </c>
      <c r="H218" s="602">
        <v>12876</v>
      </c>
      <c r="I218" s="115">
        <v>1.19</v>
      </c>
      <c r="J218" s="608">
        <f t="shared" si="54"/>
        <v>15322.439999999999</v>
      </c>
      <c r="K218" s="602">
        <v>1</v>
      </c>
      <c r="L218" s="602">
        <f t="shared" si="53"/>
        <v>15322.439999999999</v>
      </c>
      <c r="M218" s="113">
        <f ca="1">SUMIF(APU!A:B,'Materiales '!C212,APU!I:I)</f>
        <v>0</v>
      </c>
      <c r="N218" s="593" t="s">
        <v>5014</v>
      </c>
      <c r="O218" s="113" t="str">
        <f t="shared" si="99"/>
        <v>'145', 'BREAKER 1 POLO 50 AMPERIOS RIEL', '5553', '4', '15322,44', '12876', '1.19', '15322,44', '1', '15322,44');</v>
      </c>
      <c r="P218" s="113" t="str">
        <f t="shared" si="100"/>
        <v>INSERT INTO materiales_2 (CODIGO, NOMBRE, COD_SIESA, ID_TIPO_UNIDAD, VALOR_UNITARIO, VALOR_COMPRA, IVA, VALOR_REAL, GANANCIA, VALOR_VENDIDO) VALUES ('145', 'BREAKER 1 POLO 50 AMPERIOS RIEL', '5553', '4', '15322,44', '12876', '1.19', '15322,44', '1', '15322,44');</v>
      </c>
    </row>
    <row r="219" spans="2:16" ht="15">
      <c r="B219" s="216">
        <f t="shared" si="105"/>
        <v>146</v>
      </c>
      <c r="C219" s="354" t="s">
        <v>4542</v>
      </c>
      <c r="D219" s="357">
        <v>2757</v>
      </c>
      <c r="E219" s="595">
        <v>4</v>
      </c>
      <c r="F219" s="1" t="s">
        <v>4127</v>
      </c>
      <c r="G219" s="601">
        <f t="shared" si="101"/>
        <v>5844.09</v>
      </c>
      <c r="H219" s="602">
        <v>4911</v>
      </c>
      <c r="I219" s="115">
        <v>1.19</v>
      </c>
      <c r="J219" s="608">
        <f t="shared" si="54"/>
        <v>5844.09</v>
      </c>
      <c r="K219" s="602">
        <v>1</v>
      </c>
      <c r="L219" s="602">
        <f t="shared" si="53"/>
        <v>5844.09</v>
      </c>
      <c r="M219" s="113">
        <f ca="1">SUMIF(APU!A:B,'Materiales '!C223,APU!I:I)</f>
        <v>0</v>
      </c>
      <c r="N219" s="593" t="s">
        <v>5014</v>
      </c>
      <c r="O219" s="113" t="str">
        <f t="shared" si="99"/>
        <v>'146', 'PECHA DE UN PUESTO ANSI 53-2', '2757', '4', '5844,09', '4911', '1.19', '5844,09', '1', '5844,09');</v>
      </c>
      <c r="P219" s="113" t="str">
        <f t="shared" si="100"/>
        <v>INSERT INTO materiales_2 (CODIGO, NOMBRE, COD_SIESA, ID_TIPO_UNIDAD, VALOR_UNITARIO, VALOR_COMPRA, IVA, VALOR_REAL, GANANCIA, VALOR_VENDIDO) VALUES ('146', 'PECHA DE UN PUESTO ANSI 53-2', '2757', '4', '5844,09', '4911', '1.19', '5844,09', '1', '5844,09');</v>
      </c>
    </row>
    <row r="220" spans="2:16" ht="15">
      <c r="B220" s="216">
        <f t="shared" si="105"/>
        <v>147</v>
      </c>
      <c r="C220" s="354" t="s">
        <v>4543</v>
      </c>
      <c r="D220" s="357">
        <v>9659</v>
      </c>
      <c r="E220" s="595">
        <v>4</v>
      </c>
      <c r="F220" s="1" t="s">
        <v>4127</v>
      </c>
      <c r="G220" s="601">
        <f t="shared" si="101"/>
        <v>2305.0299999999997</v>
      </c>
      <c r="H220" s="602">
        <v>1937</v>
      </c>
      <c r="I220" s="115">
        <v>1.19</v>
      </c>
      <c r="J220" s="608">
        <f t="shared" si="54"/>
        <v>2305.0299999999997</v>
      </c>
      <c r="K220" s="602">
        <v>1</v>
      </c>
      <c r="L220" s="602">
        <f t="shared" si="53"/>
        <v>2305.0299999999997</v>
      </c>
      <c r="M220" s="113">
        <f ca="1">SUMIF(APU!A:B,'Materiales '!C213,APU!I:I)</f>
        <v>0</v>
      </c>
      <c r="N220" s="593" t="s">
        <v>5014</v>
      </c>
      <c r="O220" s="113" t="str">
        <f t="shared" si="99"/>
        <v>'147', 'PERNO 5/8 X 4"', '9659', '4', '2305,03', '1937', '1.19', '2305,03', '1', '2305,03');</v>
      </c>
      <c r="P220" s="113" t="str">
        <f t="shared" si="100"/>
        <v>INSERT INTO materiales_2 (CODIGO, NOMBRE, COD_SIESA, ID_TIPO_UNIDAD, VALOR_UNITARIO, VALOR_COMPRA, IVA, VALOR_REAL, GANANCIA, VALOR_VENDIDO) VALUES ('147', 'PERNO 5/8 X 4"', '9659', '4', '2305,03', '1937', '1.19', '2305,03', '1', '2305,03');</v>
      </c>
    </row>
    <row r="221" spans="2:16" ht="15">
      <c r="B221" s="216">
        <f t="shared" si="105"/>
        <v>148</v>
      </c>
      <c r="C221" s="354" t="s">
        <v>4544</v>
      </c>
      <c r="D221" s="357">
        <v>2784</v>
      </c>
      <c r="E221" s="595">
        <v>4</v>
      </c>
      <c r="F221" s="1" t="s">
        <v>4127</v>
      </c>
      <c r="G221" s="601">
        <f t="shared" si="101"/>
        <v>6290.34</v>
      </c>
      <c r="H221" s="602">
        <v>5286</v>
      </c>
      <c r="I221" s="115">
        <v>1.19</v>
      </c>
      <c r="J221" s="608">
        <f t="shared" si="54"/>
        <v>6290.34</v>
      </c>
      <c r="K221" s="602">
        <v>1</v>
      </c>
      <c r="L221" s="602">
        <f t="shared" si="53"/>
        <v>6290.34</v>
      </c>
      <c r="M221" s="113">
        <f ca="1">SUMIF(APU!A:B,'Materiales '!C224,APU!I:I)</f>
        <v>0</v>
      </c>
      <c r="N221" s="593" t="s">
        <v>5014</v>
      </c>
      <c r="O221" s="113" t="str">
        <f t="shared" si="99"/>
        <v>'148', 'PERNO 5/8 X 10"', '2784', '4', '6290,34', '5286', '1.19', '6290,34', '1', '6290,34');</v>
      </c>
      <c r="P221" s="113" t="str">
        <f t="shared" si="100"/>
        <v>INSERT INTO materiales_2 (CODIGO, NOMBRE, COD_SIESA, ID_TIPO_UNIDAD, VALOR_UNITARIO, VALOR_COMPRA, IVA, VALOR_REAL, GANANCIA, VALOR_VENDIDO) VALUES ('148', 'PERNO 5/8 X 10"', '2784', '4', '6290,34', '5286', '1.19', '6290,34', '1', '6290,34');</v>
      </c>
    </row>
    <row r="222" spans="2:16" ht="15">
      <c r="B222" s="216">
        <f t="shared" si="105"/>
        <v>149</v>
      </c>
      <c r="C222" s="354" t="s">
        <v>4545</v>
      </c>
      <c r="D222" s="357">
        <v>2796</v>
      </c>
      <c r="E222" s="595">
        <v>4</v>
      </c>
      <c r="F222" s="1" t="s">
        <v>4127</v>
      </c>
      <c r="G222" s="601">
        <f t="shared" si="101"/>
        <v>7254.24</v>
      </c>
      <c r="H222" s="605">
        <v>6096</v>
      </c>
      <c r="I222" s="115">
        <v>1.19</v>
      </c>
      <c r="J222" s="608">
        <f t="shared" si="54"/>
        <v>7254.24</v>
      </c>
      <c r="K222" s="602">
        <v>1</v>
      </c>
      <c r="L222" s="602">
        <f t="shared" si="53"/>
        <v>7254.24</v>
      </c>
      <c r="M222" s="113">
        <f ca="1">SUMIF(APU!A:B,'Materiales '!C214,APU!I:I)</f>
        <v>0</v>
      </c>
      <c r="N222" s="593" t="s">
        <v>5014</v>
      </c>
      <c r="O222" s="113" t="str">
        <f t="shared" si="99"/>
        <v>'149', 'PERNO 5/8 X 12"', '2796', '4', '7254,24', '6096', '1.19', '7254,24', '1', '7254,24');</v>
      </c>
      <c r="P222" s="113" t="str">
        <f t="shared" si="100"/>
        <v>INSERT INTO materiales_2 (CODIGO, NOMBRE, COD_SIESA, ID_TIPO_UNIDAD, VALOR_UNITARIO, VALOR_COMPRA, IVA, VALOR_REAL, GANANCIA, VALOR_VENDIDO) VALUES ('149', 'PERNO 5/8 X 12"', '2796', '4', '7254,24', '6096', '1.19', '7254,24', '1', '7254,24');</v>
      </c>
    </row>
    <row r="223" spans="2:16" ht="15">
      <c r="B223" s="216">
        <f t="shared" si="105"/>
        <v>150</v>
      </c>
      <c r="C223" s="354" t="s">
        <v>4546</v>
      </c>
      <c r="D223" s="357">
        <v>10948</v>
      </c>
      <c r="E223" s="595">
        <v>4</v>
      </c>
      <c r="F223" s="1" t="s">
        <v>4127</v>
      </c>
      <c r="G223" s="601">
        <f t="shared" si="101"/>
        <v>12138</v>
      </c>
      <c r="H223" s="605">
        <v>10200</v>
      </c>
      <c r="I223" s="115">
        <v>1.19</v>
      </c>
      <c r="J223" s="608">
        <f t="shared" si="54"/>
        <v>12138</v>
      </c>
      <c r="K223" s="602">
        <v>1</v>
      </c>
      <c r="L223" s="602">
        <f t="shared" si="53"/>
        <v>12138</v>
      </c>
      <c r="M223" s="113">
        <f ca="1">SUMIF(APU!A:B,'Materiales '!C234,APU!I:I)</f>
        <v>0</v>
      </c>
      <c r="N223" s="593" t="s">
        <v>5014</v>
      </c>
      <c r="O223" s="113" t="str">
        <f t="shared" si="99"/>
        <v>'150', 'PERNO DE OJO DE 5/8 X 12', '10948', '4', '12138', '10200', '1.19', '12138', '1', '12138');</v>
      </c>
      <c r="P223" s="113" t="str">
        <f t="shared" si="100"/>
        <v>INSERT INTO materiales_2 (CODIGO, NOMBRE, COD_SIESA, ID_TIPO_UNIDAD, VALOR_UNITARIO, VALOR_COMPRA, IVA, VALOR_REAL, GANANCIA, VALOR_VENDIDO) VALUES ('150', 'PERNO DE OJO DE 5/8 X 12', '10948', '4', '12138', '10200', '1.19', '12138', '1', '12138');</v>
      </c>
    </row>
    <row r="224" spans="2:16" ht="15">
      <c r="B224" s="216">
        <f t="shared" si="105"/>
        <v>151</v>
      </c>
      <c r="C224" s="354" t="s">
        <v>4547</v>
      </c>
      <c r="D224" s="357">
        <v>10969</v>
      </c>
      <c r="E224" s="595">
        <v>4</v>
      </c>
      <c r="F224" s="1" t="s">
        <v>4127</v>
      </c>
      <c r="G224" s="601">
        <f t="shared" si="101"/>
        <v>0</v>
      </c>
      <c r="H224" s="602">
        <v>0</v>
      </c>
      <c r="I224" s="115">
        <v>1.19</v>
      </c>
      <c r="J224" s="608">
        <f t="shared" si="54"/>
        <v>0</v>
      </c>
      <c r="K224" s="602">
        <v>1</v>
      </c>
      <c r="L224" s="602">
        <f t="shared" si="53"/>
        <v>0</v>
      </c>
      <c r="M224" s="113">
        <f ca="1">SUMIF(APU!A:B,'Materiales '!C215,APU!I:I)</f>
        <v>0</v>
      </c>
      <c r="N224" s="593" t="s">
        <v>5014</v>
      </c>
      <c r="O224" s="113" t="str">
        <f t="shared" si="99"/>
        <v>'151', 'PINZA DE RETENSIÓN EN BAJA TENSIÓN DE Ø 4 A 22 MM', '10969', '4', '0', '0', '1.19', '0', '1', '0');</v>
      </c>
      <c r="P224" s="113" t="str">
        <f t="shared" si="100"/>
        <v>INSERT INTO materiales_2 (CODIGO, NOMBRE, COD_SIESA, ID_TIPO_UNIDAD, VALOR_UNITARIO, VALOR_COMPRA, IVA, VALOR_REAL, GANANCIA, VALOR_VENDIDO) VALUES ('151', 'PINZA DE RETENSIÓN EN BAJA TENSIÓN DE Ø 4 A 22 MM', '10969', '4', '0', '0', '1.19', '0', '1', '0');</v>
      </c>
    </row>
    <row r="225" spans="2:16" ht="15">
      <c r="B225" s="216">
        <f>B222+1</f>
        <v>150</v>
      </c>
      <c r="C225" s="354" t="s">
        <v>4616</v>
      </c>
      <c r="D225" s="357">
        <v>6231</v>
      </c>
      <c r="E225" s="595">
        <v>4</v>
      </c>
      <c r="F225" s="1" t="s">
        <v>4127</v>
      </c>
      <c r="G225" s="601">
        <f t="shared" si="101"/>
        <v>499800</v>
      </c>
      <c r="H225" s="602">
        <v>420000</v>
      </c>
      <c r="I225" s="115">
        <v>1.19</v>
      </c>
      <c r="J225" s="608">
        <f t="shared" ref="J225:J232" si="115">I225*H225</f>
        <v>499800</v>
      </c>
      <c r="K225" s="602">
        <v>1</v>
      </c>
      <c r="L225" s="602">
        <f t="shared" ref="L225:L232" si="116">K225*J225</f>
        <v>499800</v>
      </c>
      <c r="M225" s="113">
        <f ca="1">SUMIF(APU!A:B,'Materiales '!C233,APU!I:I)</f>
        <v>0</v>
      </c>
      <c r="N225" s="593" t="s">
        <v>5014</v>
      </c>
      <c r="O225" s="113" t="str">
        <f t="shared" si="99"/>
        <v>'150', 'POSTE METALICO DE 3M', '6231', '4', '499800', '420000', '1.19', '499800', '1', '499800');</v>
      </c>
      <c r="P225" s="113" t="str">
        <f t="shared" si="100"/>
        <v>INSERT INTO materiales_2 (CODIGO, NOMBRE, COD_SIESA, ID_TIPO_UNIDAD, VALOR_UNITARIO, VALOR_COMPRA, IVA, VALOR_REAL, GANANCIA, VALOR_VENDIDO) VALUES ('150', 'POSTE METALICO DE 3M', '6231', '4', '499800', '420000', '1.19', '499800', '1', '499800');</v>
      </c>
    </row>
    <row r="226" spans="2:16" ht="15">
      <c r="B226" s="216">
        <f>B222+1</f>
        <v>150</v>
      </c>
      <c r="C226" s="354" t="s">
        <v>4632</v>
      </c>
      <c r="D226" s="357">
        <v>6231</v>
      </c>
      <c r="E226" s="595">
        <v>4</v>
      </c>
      <c r="F226" s="1" t="s">
        <v>4127</v>
      </c>
      <c r="G226" s="601">
        <f t="shared" si="101"/>
        <v>561377.74</v>
      </c>
      <c r="H226" s="602">
        <v>471746</v>
      </c>
      <c r="I226" s="115">
        <v>1.19</v>
      </c>
      <c r="J226" s="608">
        <f t="shared" si="115"/>
        <v>561377.74</v>
      </c>
      <c r="K226" s="602">
        <v>1</v>
      </c>
      <c r="L226" s="602">
        <f t="shared" si="116"/>
        <v>561377.74</v>
      </c>
      <c r="M226" s="113">
        <f ca="1">SUMIF(APU!A:B,'Materiales '!C233,APU!I:I)</f>
        <v>0</v>
      </c>
      <c r="N226" s="593" t="s">
        <v>5014</v>
      </c>
      <c r="O226" s="113" t="str">
        <f t="shared" si="99"/>
        <v>'150', 'POSTE METALICO DE 4M', '6231', '4', '561377,74', '471746', '1.19', '561377,74', '1', '561377,74');</v>
      </c>
      <c r="P226" s="113" t="str">
        <f t="shared" si="100"/>
        <v>INSERT INTO materiales_2 (CODIGO, NOMBRE, COD_SIESA, ID_TIPO_UNIDAD, VALOR_UNITARIO, VALOR_COMPRA, IVA, VALOR_REAL, GANANCIA, VALOR_VENDIDO) VALUES ('150', 'POSTE METALICO DE 4M', '6231', '4', '561377,74', '471746', '1.19', '561377,74', '1', '561377,74');</v>
      </c>
    </row>
    <row r="227" spans="2:16" ht="15">
      <c r="B227" s="216">
        <f>B221+1</f>
        <v>149</v>
      </c>
      <c r="C227" s="354" t="s">
        <v>4682</v>
      </c>
      <c r="D227" s="357"/>
      <c r="E227" s="595">
        <v>4</v>
      </c>
      <c r="F227" s="1" t="s">
        <v>4127</v>
      </c>
      <c r="G227" s="601">
        <f t="shared" ref="G227:G228" si="117">L227</f>
        <v>702100</v>
      </c>
      <c r="H227" s="602">
        <v>590000</v>
      </c>
      <c r="I227" s="115">
        <v>1.19</v>
      </c>
      <c r="J227" s="608">
        <f t="shared" ref="J227:J228" si="118">I227*H227</f>
        <v>702100</v>
      </c>
      <c r="K227" s="602">
        <v>1</v>
      </c>
      <c r="L227" s="602">
        <f t="shared" ref="L227:L228" si="119">K227*J227</f>
        <v>702100</v>
      </c>
      <c r="M227" s="113">
        <f ca="1">SUMIF(APU!A:B,'Materiales '!C230,APU!I:I)</f>
        <v>0</v>
      </c>
      <c r="N227" s="593" t="s">
        <v>5014</v>
      </c>
      <c r="O227" s="113" t="str">
        <f t="shared" si="99"/>
        <v>'149', 'POSTE METALICO DE 5M', '', '4', '702100', '590000', '1.19', '702100', '1', '702100');</v>
      </c>
      <c r="P227" s="113" t="str">
        <f t="shared" si="100"/>
        <v>INSERT INTO materiales_2 (CODIGO, NOMBRE, COD_SIESA, ID_TIPO_UNIDAD, VALOR_UNITARIO, VALOR_COMPRA, IVA, VALOR_REAL, GANANCIA, VALOR_VENDIDO) VALUES ('149', 'POSTE METALICO DE 5M', '', '4', '702100', '590000', '1.19', '702100', '1', '702100');</v>
      </c>
    </row>
    <row r="228" spans="2:16" ht="15">
      <c r="B228" s="216">
        <f>B221+1</f>
        <v>149</v>
      </c>
      <c r="C228" s="354" t="s">
        <v>4726</v>
      </c>
      <c r="D228" s="357"/>
      <c r="E228" s="595">
        <v>4</v>
      </c>
      <c r="F228" s="1" t="s">
        <v>4127</v>
      </c>
      <c r="G228" s="601">
        <f t="shared" si="117"/>
        <v>835380</v>
      </c>
      <c r="H228" s="602">
        <v>702000</v>
      </c>
      <c r="I228" s="115">
        <v>1.19</v>
      </c>
      <c r="J228" s="608">
        <f t="shared" si="118"/>
        <v>835380</v>
      </c>
      <c r="K228" s="602">
        <v>1</v>
      </c>
      <c r="L228" s="602">
        <f t="shared" si="119"/>
        <v>835380</v>
      </c>
      <c r="M228" s="113">
        <f ca="1">SUMIF(APU!A:B,'Materiales '!C232,APU!I:I)</f>
        <v>0</v>
      </c>
      <c r="N228" s="593" t="s">
        <v>5014</v>
      </c>
      <c r="O228" s="113" t="str">
        <f t="shared" si="99"/>
        <v>'149', 'POSTE METALICO DE 6M', '', '4', '835380', '702000', '1.19', '835380', '1', '835380');</v>
      </c>
      <c r="P228" s="113" t="str">
        <f t="shared" si="100"/>
        <v>INSERT INTO materiales_2 (CODIGO, NOMBRE, COD_SIESA, ID_TIPO_UNIDAD, VALOR_UNITARIO, VALOR_COMPRA, IVA, VALOR_REAL, GANANCIA, VALOR_VENDIDO) VALUES ('149', 'POSTE METALICO DE 6M', '', '4', '835380', '702000', '1.19', '835380', '1', '835380');</v>
      </c>
    </row>
    <row r="229" spans="2:16" ht="15">
      <c r="B229" s="216">
        <f>B222+1</f>
        <v>150</v>
      </c>
      <c r="C229" s="354" t="s">
        <v>4828</v>
      </c>
      <c r="D229" s="357"/>
      <c r="E229" s="595">
        <v>4</v>
      </c>
      <c r="F229" s="1" t="s">
        <v>4127</v>
      </c>
      <c r="G229" s="601">
        <f t="shared" si="101"/>
        <v>1019711</v>
      </c>
      <c r="H229" s="602">
        <v>856900</v>
      </c>
      <c r="I229" s="115">
        <v>1.19</v>
      </c>
      <c r="J229" s="608">
        <f t="shared" si="115"/>
        <v>1019711</v>
      </c>
      <c r="K229" s="602">
        <v>1</v>
      </c>
      <c r="L229" s="602">
        <f t="shared" si="116"/>
        <v>1019711</v>
      </c>
      <c r="M229" s="113">
        <f ca="1">SUMIF(APU!A:B,'Materiales '!C233,APU!I:I)</f>
        <v>0</v>
      </c>
      <c r="N229" s="593" t="s">
        <v>5014</v>
      </c>
      <c r="O229" s="113" t="str">
        <f t="shared" si="99"/>
        <v>'150', 'POSTE METALICO DE 6M DOBLE', '', '4', '1019711', '856900', '1.19', '1019711', '1', '1019711');</v>
      </c>
      <c r="P229" s="113" t="str">
        <f t="shared" si="100"/>
        <v>INSERT INTO materiales_2 (CODIGO, NOMBRE, COD_SIESA, ID_TIPO_UNIDAD, VALOR_UNITARIO, VALOR_COMPRA, IVA, VALOR_REAL, GANANCIA, VALOR_VENDIDO) VALUES ('150', 'POSTE METALICO DE 6M DOBLE', '', '4', '1019711', '856900', '1.19', '1019711', '1', '1019711');</v>
      </c>
    </row>
    <row r="230" spans="2:16" ht="15">
      <c r="B230" s="216">
        <f>B222+1</f>
        <v>150</v>
      </c>
      <c r="C230" s="354" t="s">
        <v>4683</v>
      </c>
      <c r="D230" s="357"/>
      <c r="E230" s="595">
        <v>4</v>
      </c>
      <c r="F230" s="1" t="s">
        <v>4127</v>
      </c>
      <c r="G230" s="601">
        <f t="shared" si="101"/>
        <v>1391490.8</v>
      </c>
      <c r="H230" s="602">
        <v>1169320</v>
      </c>
      <c r="I230" s="115">
        <v>1.19</v>
      </c>
      <c r="J230" s="608">
        <f t="shared" si="115"/>
        <v>1391490.8</v>
      </c>
      <c r="K230" s="602">
        <v>1</v>
      </c>
      <c r="L230" s="602">
        <f t="shared" si="116"/>
        <v>1391490.8</v>
      </c>
      <c r="M230" s="113">
        <f ca="1">SUMIF(APU!A:B,'Materiales '!C233,APU!I:I)</f>
        <v>0</v>
      </c>
      <c r="N230" s="593" t="s">
        <v>5014</v>
      </c>
      <c r="O230" s="113" t="str">
        <f t="shared" si="99"/>
        <v>'150', 'POSTE METALICO DE 8M', '', '4', '1391490,8', '1169320', '1.19', '1391490,8', '1', '1391490,8');</v>
      </c>
      <c r="P230" s="113" t="str">
        <f t="shared" si="100"/>
        <v>INSERT INTO materiales_2 (CODIGO, NOMBRE, COD_SIESA, ID_TIPO_UNIDAD, VALOR_UNITARIO, VALOR_COMPRA, IVA, VALOR_REAL, GANANCIA, VALOR_VENDIDO) VALUES ('150', 'POSTE METALICO DE 8M', '', '4', '1391490,8', '1169320', '1.19', '1391490,8', '1', '1391490,8');</v>
      </c>
    </row>
    <row r="231" spans="2:16" ht="15">
      <c r="B231" s="216">
        <f>B222+1</f>
        <v>150</v>
      </c>
      <c r="C231" s="354" t="s">
        <v>4684</v>
      </c>
      <c r="D231" s="357"/>
      <c r="E231" s="595">
        <v>4</v>
      </c>
      <c r="F231" s="1" t="s">
        <v>4127</v>
      </c>
      <c r="G231" s="601">
        <f t="shared" si="101"/>
        <v>1999200</v>
      </c>
      <c r="H231" s="602">
        <v>1680000</v>
      </c>
      <c r="I231" s="115">
        <v>1.19</v>
      </c>
      <c r="J231" s="608">
        <f t="shared" si="115"/>
        <v>1999200</v>
      </c>
      <c r="K231" s="602">
        <v>1</v>
      </c>
      <c r="L231" s="602">
        <f t="shared" si="116"/>
        <v>1999200</v>
      </c>
      <c r="M231" s="113">
        <f ca="1">SUMIF(APU!A:B,'Materiales '!C233,APU!I:I)</f>
        <v>0</v>
      </c>
      <c r="N231" s="593" t="s">
        <v>5014</v>
      </c>
      <c r="O231" s="113" t="str">
        <f t="shared" si="99"/>
        <v>'150', 'POSTE METALICO DE 12M', '', '4', '1999200', '1680000', '1.19', '1999200', '1', '1999200');</v>
      </c>
      <c r="P231" s="113" t="str">
        <f t="shared" si="100"/>
        <v>INSERT INTO materiales_2 (CODIGO, NOMBRE, COD_SIESA, ID_TIPO_UNIDAD, VALOR_UNITARIO, VALOR_COMPRA, IVA, VALOR_REAL, GANANCIA, VALOR_VENDIDO) VALUES ('150', 'POSTE METALICO DE 12M', '', '4', '1999200', '1680000', '1.19', '1999200', '1', '1999200');</v>
      </c>
    </row>
    <row r="232" spans="2:16" ht="15">
      <c r="B232" s="216">
        <f>B222+1</f>
        <v>150</v>
      </c>
      <c r="C232" s="354" t="s">
        <v>4741</v>
      </c>
      <c r="D232" s="357"/>
      <c r="E232" s="595">
        <v>4</v>
      </c>
      <c r="F232" s="1" t="s">
        <v>4127</v>
      </c>
      <c r="G232" s="601">
        <f t="shared" si="101"/>
        <v>1734972.4</v>
      </c>
      <c r="H232" s="602">
        <v>1457960</v>
      </c>
      <c r="I232" s="115">
        <v>1.19</v>
      </c>
      <c r="J232" s="608">
        <f t="shared" si="115"/>
        <v>1734972.4</v>
      </c>
      <c r="K232" s="602">
        <v>1</v>
      </c>
      <c r="L232" s="602">
        <f t="shared" si="116"/>
        <v>1734972.4</v>
      </c>
      <c r="M232" s="113">
        <f ca="1">SUMIF(APU!A:B,'Materiales '!C233,APU!I:I)</f>
        <v>0</v>
      </c>
      <c r="N232" s="593" t="s">
        <v>5014</v>
      </c>
      <c r="O232" s="113" t="str">
        <f t="shared" si="99"/>
        <v>'150', 'POSTE METALICO DE 10M', '', '4', '1734972,4', '1457960', '1.19', '1734972,4', '1', '1734972,4');</v>
      </c>
      <c r="P232" s="113" t="str">
        <f t="shared" si="100"/>
        <v>INSERT INTO materiales_2 (CODIGO, NOMBRE, COD_SIESA, ID_TIPO_UNIDAD, VALOR_UNITARIO, VALOR_COMPRA, IVA, VALOR_REAL, GANANCIA, VALOR_VENDIDO) VALUES ('150', 'POSTE METALICO DE 10M', '', '4', '1734972,4', '1457960', '1.19', '1734972,4', '1', '1734972,4');</v>
      </c>
    </row>
    <row r="233" spans="2:16" ht="15">
      <c r="B233" s="216">
        <f>B223+1</f>
        <v>151</v>
      </c>
      <c r="C233" s="354" t="s">
        <v>4793</v>
      </c>
      <c r="D233" s="357"/>
      <c r="E233" s="595">
        <v>4</v>
      </c>
      <c r="F233" s="1" t="s">
        <v>4127</v>
      </c>
      <c r="G233" s="601">
        <f t="shared" ref="G233" si="120">L233</f>
        <v>17255000</v>
      </c>
      <c r="H233" s="602">
        <v>14500000</v>
      </c>
      <c r="I233" s="115">
        <v>1.19</v>
      </c>
      <c r="J233" s="608">
        <f t="shared" si="54"/>
        <v>17255000</v>
      </c>
      <c r="K233" s="602">
        <v>1</v>
      </c>
      <c r="L233" s="602">
        <f t="shared" si="53"/>
        <v>17255000</v>
      </c>
      <c r="M233" s="113">
        <f ca="1">SUMIF(APU!A:B,'Materiales '!C234,APU!I:I)</f>
        <v>0</v>
      </c>
      <c r="N233" s="593" t="s">
        <v>5014</v>
      </c>
      <c r="O233" s="113" t="str">
        <f t="shared" si="99"/>
        <v>'151', 'POSTE METALICO DE 20M', '', '4', '17255000', '14500000', '1.19', '17255000', '1', '17255000');</v>
      </c>
      <c r="P233" s="113" t="str">
        <f t="shared" si="100"/>
        <v>INSERT INTO materiales_2 (CODIGO, NOMBRE, COD_SIESA, ID_TIPO_UNIDAD, VALOR_UNITARIO, VALOR_COMPRA, IVA, VALOR_REAL, GANANCIA, VALOR_VENDIDO) VALUES ('151', 'POSTE METALICO DE 20M', '', '4', '17255000', '14500000', '1.19', '17255000', '1', '17255000');</v>
      </c>
    </row>
    <row r="234" spans="2:16" ht="15">
      <c r="B234" s="216">
        <f>B224+1</f>
        <v>152</v>
      </c>
      <c r="C234" s="354" t="s">
        <v>4548</v>
      </c>
      <c r="D234" s="357">
        <v>10974</v>
      </c>
      <c r="E234" s="595">
        <v>4</v>
      </c>
      <c r="F234" s="1" t="s">
        <v>4127</v>
      </c>
      <c r="G234" s="601">
        <f t="shared" si="101"/>
        <v>1259615</v>
      </c>
      <c r="H234" s="602">
        <v>1058500</v>
      </c>
      <c r="I234" s="115">
        <v>1.19</v>
      </c>
      <c r="J234" s="608">
        <f t="shared" si="54"/>
        <v>1259615</v>
      </c>
      <c r="K234" s="602">
        <v>1</v>
      </c>
      <c r="L234" s="602">
        <f t="shared" si="53"/>
        <v>1259615</v>
      </c>
      <c r="M234" s="113">
        <f ca="1">SUMIF(APU!A:B,'Materiales '!C235,APU!I:I)</f>
        <v>0</v>
      </c>
      <c r="N234" s="593" t="s">
        <v>5014</v>
      </c>
      <c r="O234" s="113" t="str">
        <f t="shared" si="99"/>
        <v>'152', 'POSTE DE 10 MTS 510 KGF DE FIBRA DE VIDRIO', '10974', '4', '1259615', '1058500', '1.19', '1259615', '1', '1259615');</v>
      </c>
      <c r="P234" s="113" t="str">
        <f t="shared" si="100"/>
        <v>INSERT INTO materiales_2 (CODIGO, NOMBRE, COD_SIESA, ID_TIPO_UNIDAD, VALOR_UNITARIO, VALOR_COMPRA, IVA, VALOR_REAL, GANANCIA, VALOR_VENDIDO) VALUES ('152', 'POSTE DE 10 MTS 510 KGF DE FIBRA DE VIDRIO', '10974', '4', '1259615', '1058500', '1.19', '1259615', '1', '1259615');</v>
      </c>
    </row>
    <row r="235" spans="2:16" ht="15">
      <c r="B235" s="216">
        <f t="shared" si="105"/>
        <v>153</v>
      </c>
      <c r="C235" s="354" t="s">
        <v>4549</v>
      </c>
      <c r="D235" s="357"/>
      <c r="E235" s="595">
        <v>4</v>
      </c>
      <c r="F235" s="1" t="s">
        <v>4127</v>
      </c>
      <c r="G235" s="601">
        <f t="shared" si="101"/>
        <v>1421574</v>
      </c>
      <c r="H235" s="605">
        <v>1194600</v>
      </c>
      <c r="I235" s="115">
        <v>1.19</v>
      </c>
      <c r="J235" s="608">
        <f t="shared" si="54"/>
        <v>1421574</v>
      </c>
      <c r="K235" s="602">
        <v>1</v>
      </c>
      <c r="L235" s="602">
        <f t="shared" si="53"/>
        <v>1421574</v>
      </c>
      <c r="M235" s="113">
        <f ca="1">SUMIF(APU!A:B,'Materiales '!C216,APU!I:I)</f>
        <v>0</v>
      </c>
      <c r="N235" s="593" t="s">
        <v>5014</v>
      </c>
      <c r="O235" s="113" t="str">
        <f t="shared" si="99"/>
        <v>'153', 'POSTE DE 10 MTS 750 KGF DE FIBRA DE VIDRIO', '', '4', '1421574', '1194600', '1.19', '1421574', '1', '1421574');</v>
      </c>
      <c r="P235" s="113" t="str">
        <f t="shared" si="100"/>
        <v>INSERT INTO materiales_2 (CODIGO, NOMBRE, COD_SIESA, ID_TIPO_UNIDAD, VALOR_UNITARIO, VALOR_COMPRA, IVA, VALOR_REAL, GANANCIA, VALOR_VENDIDO) VALUES ('153', 'POSTE DE 10 MTS 750 KGF DE FIBRA DE VIDRIO', '', '4', '1421574', '1194600', '1.19', '1421574', '1', '1421574');</v>
      </c>
    </row>
    <row r="236" spans="2:16" ht="15">
      <c r="B236" s="216">
        <f>B233+1</f>
        <v>152</v>
      </c>
      <c r="C236" s="354" t="s">
        <v>4829</v>
      </c>
      <c r="D236" s="357">
        <v>2978</v>
      </c>
      <c r="E236" s="595">
        <v>4</v>
      </c>
      <c r="F236" s="1" t="s">
        <v>4127</v>
      </c>
      <c r="G236" s="601">
        <f t="shared" si="101"/>
        <v>978537</v>
      </c>
      <c r="H236" s="605">
        <v>822300</v>
      </c>
      <c r="I236" s="115">
        <v>1.19</v>
      </c>
      <c r="J236" s="608">
        <f t="shared" si="54"/>
        <v>978537</v>
      </c>
      <c r="K236" s="602">
        <v>1</v>
      </c>
      <c r="L236" s="602">
        <f t="shared" si="53"/>
        <v>978537</v>
      </c>
      <c r="M236" s="113">
        <f ca="1">SUMIF(APU!A:B,'Materiales '!C236,APU!I:I)</f>
        <v>0</v>
      </c>
      <c r="N236" s="593" t="s">
        <v>5014</v>
      </c>
      <c r="O236" s="113" t="str">
        <f t="shared" si="99"/>
        <v>'152', 'POSTE DE 9 MTS 510 KGF DE FIBRA DE VIDRIO', '2978', '4', '978537', '822300', '1.19', '978537', '1', '978537');</v>
      </c>
      <c r="P236" s="113" t="str">
        <f t="shared" si="100"/>
        <v>INSERT INTO materiales_2 (CODIGO, NOMBRE, COD_SIESA, ID_TIPO_UNIDAD, VALOR_UNITARIO, VALOR_COMPRA, IVA, VALOR_REAL, GANANCIA, VALOR_VENDIDO) VALUES ('152', 'POSTE DE 9 MTS 510 KGF DE FIBRA DE VIDRIO', '2978', '4', '978537', '822300', '1.19', '978537', '1', '978537');</v>
      </c>
    </row>
    <row r="237" spans="2:16" ht="15">
      <c r="B237" s="216">
        <f>B234+1</f>
        <v>153</v>
      </c>
      <c r="C237" s="354" t="s">
        <v>4830</v>
      </c>
      <c r="D237" s="357">
        <v>2978</v>
      </c>
      <c r="E237" s="595">
        <v>4</v>
      </c>
      <c r="F237" s="1" t="s">
        <v>4127</v>
      </c>
      <c r="G237" s="601">
        <f t="shared" ref="G237:G238" si="121">L237</f>
        <v>1263899</v>
      </c>
      <c r="H237" s="605">
        <v>1062100</v>
      </c>
      <c r="I237" s="115">
        <v>1.19</v>
      </c>
      <c r="J237" s="608">
        <f t="shared" ref="J237:J238" si="122">I237*H237</f>
        <v>1263899</v>
      </c>
      <c r="K237" s="602">
        <v>1</v>
      </c>
      <c r="L237" s="602">
        <f t="shared" ref="L237:L238" si="123">K237*J237</f>
        <v>1263899</v>
      </c>
      <c r="M237" s="113">
        <f ca="1">SUMIF(APU!A:B,'Materiales '!C237,APU!I:I)</f>
        <v>0</v>
      </c>
      <c r="N237" s="593" t="s">
        <v>5014</v>
      </c>
      <c r="O237" s="113" t="str">
        <f t="shared" si="99"/>
        <v>'153', 'POSTE DE 9 MTS750 KGF DE FIBRA DE VIDRIO', '2978', '4', '1263899', '1062100', '1.19', '1263899', '1', '1263899');</v>
      </c>
      <c r="P237" s="113" t="str">
        <f t="shared" si="100"/>
        <v>INSERT INTO materiales_2 (CODIGO, NOMBRE, COD_SIESA, ID_TIPO_UNIDAD, VALOR_UNITARIO, VALOR_COMPRA, IVA, VALOR_REAL, GANANCIA, VALOR_VENDIDO) VALUES ('153', 'POSTE DE 9 MTS750 KGF DE FIBRA DE VIDRIO', '2978', '4', '1263899', '1062100', '1.19', '1263899', '1', '1263899');</v>
      </c>
    </row>
    <row r="238" spans="2:16" ht="15">
      <c r="B238" s="216">
        <f>B234+1</f>
        <v>153</v>
      </c>
      <c r="C238" s="354" t="s">
        <v>4831</v>
      </c>
      <c r="D238" s="357">
        <v>2978</v>
      </c>
      <c r="E238" s="595">
        <v>4</v>
      </c>
      <c r="F238" s="1" t="s">
        <v>4127</v>
      </c>
      <c r="G238" s="601">
        <f t="shared" si="121"/>
        <v>1048747</v>
      </c>
      <c r="H238" s="605">
        <v>881300</v>
      </c>
      <c r="I238" s="115">
        <v>1.19</v>
      </c>
      <c r="J238" s="608">
        <f t="shared" si="122"/>
        <v>1048747</v>
      </c>
      <c r="K238" s="602">
        <v>1</v>
      </c>
      <c r="L238" s="602">
        <f t="shared" si="123"/>
        <v>1048747</v>
      </c>
      <c r="M238" s="113">
        <f ca="1">SUMIF(APU!A:B,'Materiales '!C238,APU!I:I)</f>
        <v>0</v>
      </c>
      <c r="N238" s="593" t="s">
        <v>5014</v>
      </c>
      <c r="O238" s="113" t="str">
        <f t="shared" si="99"/>
        <v>'153', 'POSTE DE 8 MTS 750 KGF DE FIBRA DE VIDRIO', '2978', '4', '1048747', '881300', '1.19', '1048747', '1', '1048747');</v>
      </c>
      <c r="P238" s="113" t="str">
        <f t="shared" si="100"/>
        <v>INSERT INTO materiales_2 (CODIGO, NOMBRE, COD_SIESA, ID_TIPO_UNIDAD, VALOR_UNITARIO, VALOR_COMPRA, IVA, VALOR_REAL, GANANCIA, VALOR_VENDIDO) VALUES ('153', 'POSTE DE 8 MTS 750 KGF DE FIBRA DE VIDRIO', '2978', '4', '1048747', '881300', '1.19', '1048747', '1', '1048747');</v>
      </c>
    </row>
    <row r="239" spans="2:16" ht="15">
      <c r="B239" s="216">
        <f>B235+1</f>
        <v>154</v>
      </c>
      <c r="C239" s="354" t="s">
        <v>4550</v>
      </c>
      <c r="D239" s="357">
        <v>2978</v>
      </c>
      <c r="E239" s="595">
        <v>4</v>
      </c>
      <c r="F239" s="1" t="s">
        <v>4127</v>
      </c>
      <c r="G239" s="601">
        <f t="shared" si="101"/>
        <v>877506</v>
      </c>
      <c r="H239" s="605">
        <v>737400</v>
      </c>
      <c r="I239" s="115">
        <v>1.19</v>
      </c>
      <c r="J239" s="608">
        <f t="shared" si="54"/>
        <v>877506</v>
      </c>
      <c r="K239" s="602">
        <v>1</v>
      </c>
      <c r="L239" s="602">
        <f t="shared" si="53"/>
        <v>877506</v>
      </c>
      <c r="M239" s="113">
        <f ca="1">SUMIF(APU!A:B,'Materiales '!C239,APU!I:I)</f>
        <v>0</v>
      </c>
      <c r="N239" s="593" t="s">
        <v>5014</v>
      </c>
      <c r="O239" s="113" t="str">
        <f t="shared" si="99"/>
        <v>'154', 'POSTE DE 8 MTS 510 KGF DE FIBRA DE VIDRIO', '2978', '4', '877506', '737400', '1.19', '877506', '1', '877506');</v>
      </c>
      <c r="P239" s="113" t="str">
        <f t="shared" si="100"/>
        <v>INSERT INTO materiales_2 (CODIGO, NOMBRE, COD_SIESA, ID_TIPO_UNIDAD, VALOR_UNITARIO, VALOR_COMPRA, IVA, VALOR_REAL, GANANCIA, VALOR_VENDIDO) VALUES ('154', 'POSTE DE 8 MTS 510 KGF DE FIBRA DE VIDRIO', '2978', '4', '877506', '737400', '1.19', '877506', '1', '877506');</v>
      </c>
    </row>
    <row r="240" spans="2:16" ht="15">
      <c r="B240" s="216">
        <f t="shared" si="105"/>
        <v>155</v>
      </c>
      <c r="C240" s="354" t="s">
        <v>4551</v>
      </c>
      <c r="D240" s="357">
        <v>2976</v>
      </c>
      <c r="E240" s="595">
        <v>4</v>
      </c>
      <c r="F240" s="1" t="s">
        <v>4127</v>
      </c>
      <c r="G240" s="601">
        <f t="shared" si="101"/>
        <v>1708364</v>
      </c>
      <c r="H240" s="602">
        <v>1435600</v>
      </c>
      <c r="I240" s="115">
        <v>1.19</v>
      </c>
      <c r="J240" s="608">
        <f t="shared" si="54"/>
        <v>1708364</v>
      </c>
      <c r="K240" s="602">
        <v>1</v>
      </c>
      <c r="L240" s="602">
        <f t="shared" si="53"/>
        <v>1708364</v>
      </c>
      <c r="M240" s="113">
        <f ca="1">SUMIF(APU!A:B,'Materiales '!C217,APU!I:I)</f>
        <v>0</v>
      </c>
      <c r="N240" s="593" t="s">
        <v>5014</v>
      </c>
      <c r="O240" s="113" t="str">
        <f t="shared" si="99"/>
        <v>'155', 'POSTE DE 12 MTS 510 KGF DE FIBRA DE VIDRIO', '2976', '4', '1708364', '1435600', '1.19', '1708364', '1', '1708364');</v>
      </c>
      <c r="P240" s="113" t="str">
        <f t="shared" si="100"/>
        <v>INSERT INTO materiales_2 (CODIGO, NOMBRE, COD_SIESA, ID_TIPO_UNIDAD, VALOR_UNITARIO, VALOR_COMPRA, IVA, VALOR_REAL, GANANCIA, VALOR_VENDIDO) VALUES ('155', 'POSTE DE 12 MTS 510 KGF DE FIBRA DE VIDRIO', '2976', '4', '1708364', '1435600', '1.19', '1708364', '1', '1708364');</v>
      </c>
    </row>
    <row r="241" spans="2:16" ht="15">
      <c r="B241" s="216">
        <f t="shared" si="105"/>
        <v>156</v>
      </c>
      <c r="C241" s="354" t="s">
        <v>4552</v>
      </c>
      <c r="D241" s="357">
        <v>2977</v>
      </c>
      <c r="E241" s="595">
        <v>4</v>
      </c>
      <c r="F241" s="1" t="s">
        <v>4127</v>
      </c>
      <c r="G241" s="601">
        <f t="shared" si="101"/>
        <v>2036685</v>
      </c>
      <c r="H241" s="602">
        <v>1711500</v>
      </c>
      <c r="I241" s="115">
        <v>1.19</v>
      </c>
      <c r="J241" s="608">
        <f t="shared" si="54"/>
        <v>2036685</v>
      </c>
      <c r="K241" s="602">
        <v>1</v>
      </c>
      <c r="L241" s="602">
        <f t="shared" si="53"/>
        <v>2036685</v>
      </c>
      <c r="M241" s="113">
        <f ca="1">SUMIF(APU!A:B,'Materiales '!C240,APU!I:I)</f>
        <v>0</v>
      </c>
      <c r="N241" s="593" t="s">
        <v>5014</v>
      </c>
      <c r="O241" s="113" t="str">
        <f t="shared" si="99"/>
        <v>'156', 'POSTE DE 12 MTS 750 KGF DE FIBRA DE VIDRIO', '2977', '4', '2036685', '1711500', '1.19', '2036685', '1', '2036685');</v>
      </c>
      <c r="P241" s="113" t="str">
        <f t="shared" si="100"/>
        <v>INSERT INTO materiales_2 (CODIGO, NOMBRE, COD_SIESA, ID_TIPO_UNIDAD, VALOR_UNITARIO, VALOR_COMPRA, IVA, VALOR_REAL, GANANCIA, VALOR_VENDIDO) VALUES ('156', 'POSTE DE 12 MTS 750 KGF DE FIBRA DE VIDRIO', '2977', '4', '2036685', '1711500', '1.19', '2036685', '1', '2036685');</v>
      </c>
    </row>
    <row r="242" spans="2:16" ht="15">
      <c r="B242" s="216">
        <f t="shared" si="105"/>
        <v>157</v>
      </c>
      <c r="C242" s="354" t="s">
        <v>4553</v>
      </c>
      <c r="D242" s="357">
        <v>7149</v>
      </c>
      <c r="E242" s="595">
        <v>4</v>
      </c>
      <c r="F242" s="1" t="s">
        <v>4127</v>
      </c>
      <c r="G242" s="601">
        <f t="shared" si="101"/>
        <v>1313702.8799999999</v>
      </c>
      <c r="H242" s="602">
        <v>1103952</v>
      </c>
      <c r="I242" s="115">
        <v>1.19</v>
      </c>
      <c r="J242" s="608">
        <f t="shared" si="54"/>
        <v>1313702.8799999999</v>
      </c>
      <c r="K242" s="602">
        <v>1</v>
      </c>
      <c r="L242" s="602">
        <f t="shared" si="53"/>
        <v>1313702.8799999999</v>
      </c>
      <c r="M242" s="113">
        <f ca="1">SUMIF(APU!A:B,'Materiales '!C218,APU!I:I)</f>
        <v>0</v>
      </c>
      <c r="N242" s="593" t="s">
        <v>5014</v>
      </c>
      <c r="O242" s="113" t="str">
        <f t="shared" si="99"/>
        <v>'157', 'POSTE DE 12 MTS 350 KGF DE FIBRA DE VIDRIO', '7149', '4', '1313702,88', '1103952', '1.19', '1313702,88', '1', '1313702,88');</v>
      </c>
      <c r="P242" s="113" t="str">
        <f t="shared" si="100"/>
        <v>INSERT INTO materiales_2 (CODIGO, NOMBRE, COD_SIESA, ID_TIPO_UNIDAD, VALOR_UNITARIO, VALOR_COMPRA, IVA, VALOR_REAL, GANANCIA, VALOR_VENDIDO) VALUES ('157', 'POSTE DE 12 MTS 350 KGF DE FIBRA DE VIDRIO', '7149', '4', '1313702,88', '1103952', '1.19', '1313702,88', '1', '1313702,88');</v>
      </c>
    </row>
    <row r="243" spans="2:16" ht="15">
      <c r="B243" s="216">
        <f>B239+1</f>
        <v>155</v>
      </c>
      <c r="C243" s="354" t="s">
        <v>4832</v>
      </c>
      <c r="D243" s="357"/>
      <c r="E243" s="595">
        <v>4</v>
      </c>
      <c r="F243" s="1" t="s">
        <v>4127</v>
      </c>
      <c r="G243" s="601">
        <f t="shared" ref="G243" si="124">L243</f>
        <v>547400</v>
      </c>
      <c r="H243" s="602">
        <v>460000</v>
      </c>
      <c r="I243" s="115">
        <v>1.19</v>
      </c>
      <c r="J243" s="608">
        <f t="shared" si="54"/>
        <v>547400</v>
      </c>
      <c r="K243" s="602">
        <v>1</v>
      </c>
      <c r="L243" s="602">
        <f t="shared" si="53"/>
        <v>547400</v>
      </c>
      <c r="M243" s="113">
        <f ca="1">SUMIF(APU!A:B,'Materiales '!C238,APU!I:I)</f>
        <v>0</v>
      </c>
      <c r="N243" s="593" t="s">
        <v>5014</v>
      </c>
      <c r="O243" s="113" t="str">
        <f t="shared" si="99"/>
        <v>'155', 'POSTE DE 9 MTS 510 KGF DE CONCRETO', '', '4', '547400', '460000', '1.19', '547400', '1', '547400');</v>
      </c>
      <c r="P243" s="113" t="str">
        <f t="shared" si="100"/>
        <v>INSERT INTO materiales_2 (CODIGO, NOMBRE, COD_SIESA, ID_TIPO_UNIDAD, VALOR_UNITARIO, VALOR_COMPRA, IVA, VALOR_REAL, GANANCIA, VALOR_VENDIDO) VALUES ('155', 'POSTE DE 9 MTS 510 KGF DE CONCRETO', '', '4', '547400', '460000', '1.19', '547400', '1', '547400');</v>
      </c>
    </row>
    <row r="244" spans="2:16" ht="15">
      <c r="B244" s="216">
        <f>B240+1</f>
        <v>156</v>
      </c>
      <c r="C244" s="354" t="s">
        <v>4631</v>
      </c>
      <c r="D244" s="357"/>
      <c r="E244" s="595">
        <v>4</v>
      </c>
      <c r="F244" s="1" t="s">
        <v>4127</v>
      </c>
      <c r="G244" s="601">
        <f t="shared" si="101"/>
        <v>487900</v>
      </c>
      <c r="H244" s="602">
        <v>410000</v>
      </c>
      <c r="I244" s="115">
        <v>1.19</v>
      </c>
      <c r="J244" s="608">
        <f t="shared" ref="J244" si="125">I244*H244</f>
        <v>487900</v>
      </c>
      <c r="K244" s="602">
        <v>1</v>
      </c>
      <c r="L244" s="602">
        <f t="shared" ref="L244" si="126">K244*J244</f>
        <v>487900</v>
      </c>
      <c r="M244" s="113">
        <f ca="1">SUMIF(APU!A:B,'Materiales '!C239,APU!I:I)</f>
        <v>0</v>
      </c>
      <c r="N244" s="593" t="s">
        <v>5014</v>
      </c>
      <c r="O244" s="113" t="str">
        <f t="shared" si="99"/>
        <v>'156', 'POSTE DE 8 MTS 750 KGF DE CONCRETO', '', '4', '487900', '410000', '1.19', '487900', '1', '487900');</v>
      </c>
      <c r="P244" s="113" t="str">
        <f t="shared" si="100"/>
        <v>INSERT INTO materiales_2 (CODIGO, NOMBRE, COD_SIESA, ID_TIPO_UNIDAD, VALOR_UNITARIO, VALOR_COMPRA, IVA, VALOR_REAL, GANANCIA, VALOR_VENDIDO) VALUES ('156', 'POSTE DE 8 MTS 750 KGF DE CONCRETO', '', '4', '487900', '410000', '1.19', '487900', '1', '487900');</v>
      </c>
    </row>
    <row r="245" spans="2:16" ht="15">
      <c r="B245" s="216">
        <f>B241+1</f>
        <v>157</v>
      </c>
      <c r="C245" s="354" t="s">
        <v>4618</v>
      </c>
      <c r="D245" s="357">
        <v>5838</v>
      </c>
      <c r="E245" s="595">
        <v>4</v>
      </c>
      <c r="F245" s="1" t="s">
        <v>4127</v>
      </c>
      <c r="G245" s="601">
        <f t="shared" ref="G245:G246" si="127">L245</f>
        <v>420070</v>
      </c>
      <c r="H245" s="602">
        <v>353000</v>
      </c>
      <c r="I245" s="115">
        <v>1.19</v>
      </c>
      <c r="J245" s="608">
        <f t="shared" si="54"/>
        <v>420070</v>
      </c>
      <c r="K245" s="602">
        <v>1</v>
      </c>
      <c r="L245" s="602">
        <f t="shared" si="53"/>
        <v>420070</v>
      </c>
      <c r="M245" s="113">
        <f ca="1">SUMIF(APU!A:B,'Materiales '!C240,APU!I:I)</f>
        <v>0</v>
      </c>
      <c r="N245" s="593" t="s">
        <v>5014</v>
      </c>
      <c r="O245" s="113" t="str">
        <f t="shared" si="99"/>
        <v>'157', 'POSTE DE 8 MTS 510 KGF DE CONCRETO', '5838', '4', '420070', '353000', '1.19', '420070', '1', '420070');</v>
      </c>
      <c r="P245" s="113" t="str">
        <f t="shared" si="100"/>
        <v>INSERT INTO materiales_2 (CODIGO, NOMBRE, COD_SIESA, ID_TIPO_UNIDAD, VALOR_UNITARIO, VALOR_COMPRA, IVA, VALOR_REAL, GANANCIA, VALOR_VENDIDO) VALUES ('157', 'POSTE DE 8 MTS 510 KGF DE CONCRETO', '5838', '4', '420070', '353000', '1.19', '420070', '1', '420070');</v>
      </c>
    </row>
    <row r="246" spans="2:16" ht="15">
      <c r="B246" s="216">
        <f>B241+1</f>
        <v>157</v>
      </c>
      <c r="C246" s="354" t="s">
        <v>4750</v>
      </c>
      <c r="D246" s="357">
        <v>5838</v>
      </c>
      <c r="E246" s="595">
        <v>4</v>
      </c>
      <c r="F246" s="1" t="s">
        <v>4127</v>
      </c>
      <c r="G246" s="601">
        <f t="shared" si="127"/>
        <v>661164</v>
      </c>
      <c r="H246" s="602">
        <v>555600</v>
      </c>
      <c r="I246" s="115">
        <v>1.19</v>
      </c>
      <c r="J246" s="608">
        <f t="shared" ref="J246" si="128">I246*H246</f>
        <v>661164</v>
      </c>
      <c r="K246" s="602">
        <v>1</v>
      </c>
      <c r="L246" s="602">
        <f t="shared" ref="L246" si="129">K246*J246</f>
        <v>661164</v>
      </c>
      <c r="M246" s="113">
        <f ca="1">SUMIF(APU!A:B,'Materiales '!C240,APU!I:I)</f>
        <v>0</v>
      </c>
      <c r="N246" s="593" t="s">
        <v>5014</v>
      </c>
      <c r="O246" s="113" t="str">
        <f t="shared" si="99"/>
        <v>'157', 'POSTE DE 10 MTS 510 KGF DE CONCRETO', '5838', '4', '661164', '555600', '1.19', '661164', '1', '661164');</v>
      </c>
      <c r="P246" s="113" t="str">
        <f t="shared" si="100"/>
        <v>INSERT INTO materiales_2 (CODIGO, NOMBRE, COD_SIESA, ID_TIPO_UNIDAD, VALOR_UNITARIO, VALOR_COMPRA, IVA, VALOR_REAL, GANANCIA, VALOR_VENDIDO) VALUES ('157', 'POSTE DE 10 MTS 510 KGF DE CONCRETO', '5838', '4', '661164', '555600', '1.19', '661164', '1', '661164');</v>
      </c>
    </row>
    <row r="247" spans="2:16" ht="15">
      <c r="B247" s="216">
        <f>B242+1</f>
        <v>158</v>
      </c>
      <c r="C247" s="354" t="s">
        <v>4554</v>
      </c>
      <c r="D247" s="357">
        <v>5838</v>
      </c>
      <c r="E247" s="595">
        <v>4</v>
      </c>
      <c r="F247" s="1" t="s">
        <v>4127</v>
      </c>
      <c r="G247" s="601">
        <f t="shared" si="101"/>
        <v>733040</v>
      </c>
      <c r="H247" s="602">
        <v>616000</v>
      </c>
      <c r="I247" s="115">
        <v>1.19</v>
      </c>
      <c r="J247" s="608">
        <f t="shared" si="54"/>
        <v>733040</v>
      </c>
      <c r="K247" s="602">
        <v>1</v>
      </c>
      <c r="L247" s="602">
        <f t="shared" si="53"/>
        <v>733040</v>
      </c>
      <c r="M247" s="113">
        <f ca="1">SUMIF(APU!A:B,'Materiales '!C241,APU!I:I)</f>
        <v>0</v>
      </c>
      <c r="N247" s="593" t="s">
        <v>5014</v>
      </c>
      <c r="O247" s="113" t="str">
        <f t="shared" si="99"/>
        <v>'158', 'POSTE DE 10 MTS 750 KGF DE CONCRETO', '5838', '4', '733040', '616000', '1.19', '733040', '1', '733040');</v>
      </c>
      <c r="P247" s="113" t="str">
        <f t="shared" si="100"/>
        <v>INSERT INTO materiales_2 (CODIGO, NOMBRE, COD_SIESA, ID_TIPO_UNIDAD, VALOR_UNITARIO, VALOR_COMPRA, IVA, VALOR_REAL, GANANCIA, VALOR_VENDIDO) VALUES ('158', 'POSTE DE 10 MTS 750 KGF DE CONCRETO', '5838', '4', '733040', '616000', '1.19', '733040', '1', '733040');</v>
      </c>
    </row>
    <row r="248" spans="2:16" ht="15">
      <c r="B248" s="216">
        <f t="shared" si="105"/>
        <v>159</v>
      </c>
      <c r="C248" s="354" t="s">
        <v>4555</v>
      </c>
      <c r="D248" s="357">
        <v>10162</v>
      </c>
      <c r="E248" s="595">
        <v>4</v>
      </c>
      <c r="F248" s="1" t="s">
        <v>4127</v>
      </c>
      <c r="G248" s="601">
        <f t="shared" si="101"/>
        <v>1187858</v>
      </c>
      <c r="H248" s="602">
        <v>998200</v>
      </c>
      <c r="I248" s="115">
        <v>1.19</v>
      </c>
      <c r="J248" s="608">
        <f t="shared" si="54"/>
        <v>1187858</v>
      </c>
      <c r="K248" s="602">
        <v>1</v>
      </c>
      <c r="L248" s="602">
        <f t="shared" si="53"/>
        <v>1187858</v>
      </c>
      <c r="M248" s="113">
        <f ca="1">SUMIF(APU!A:B,'Materiales '!C219,APU!I:I)</f>
        <v>0</v>
      </c>
      <c r="N248" s="593" t="s">
        <v>5014</v>
      </c>
      <c r="O248" s="113" t="str">
        <f t="shared" si="99"/>
        <v>'159', 'POSTE DE 12 MTS 750 KGF DE CONCRETO', '10162', '4', '1187858', '998200', '1.19', '1187858', '1', '1187858');</v>
      </c>
      <c r="P248" s="113" t="str">
        <f t="shared" si="100"/>
        <v>INSERT INTO materiales_2 (CODIGO, NOMBRE, COD_SIESA, ID_TIPO_UNIDAD, VALOR_UNITARIO, VALOR_COMPRA, IVA, VALOR_REAL, GANANCIA, VALOR_VENDIDO) VALUES ('159', 'POSTE DE 12 MTS 750 KGF DE CONCRETO', '10162', '4', '1187858', '998200', '1.19', '1187858', '1', '1187858');</v>
      </c>
    </row>
    <row r="249" spans="2:16" ht="15">
      <c r="B249" s="216">
        <f t="shared" si="105"/>
        <v>160</v>
      </c>
      <c r="C249" s="354" t="s">
        <v>4556</v>
      </c>
      <c r="D249" s="357">
        <v>8709</v>
      </c>
      <c r="E249" s="595">
        <v>4</v>
      </c>
      <c r="F249" s="1" t="s">
        <v>4127</v>
      </c>
      <c r="G249" s="601">
        <f t="shared" si="101"/>
        <v>1279250</v>
      </c>
      <c r="H249" s="602">
        <v>1075000</v>
      </c>
      <c r="I249" s="115">
        <v>1.19</v>
      </c>
      <c r="J249" s="608">
        <f t="shared" si="54"/>
        <v>1279250</v>
      </c>
      <c r="K249" s="602">
        <v>1</v>
      </c>
      <c r="L249" s="602">
        <f t="shared" si="53"/>
        <v>1279250</v>
      </c>
      <c r="M249" s="113">
        <f ca="1">SUMIF(APU!A:B,'Materiales '!C242,APU!I:I)</f>
        <v>0</v>
      </c>
      <c r="N249" s="593" t="s">
        <v>5014</v>
      </c>
      <c r="O249" s="113" t="str">
        <f t="shared" si="99"/>
        <v>'160', 'POSTE DE 12 MTS 1050 KGF DE CONCRETO', '8709', '4', '1279250', '1075000', '1.19', '1279250', '1', '1279250');</v>
      </c>
      <c r="P249" s="113" t="str">
        <f t="shared" si="100"/>
        <v>INSERT INTO materiales_2 (CODIGO, NOMBRE, COD_SIESA, ID_TIPO_UNIDAD, VALOR_UNITARIO, VALOR_COMPRA, IVA, VALOR_REAL, GANANCIA, VALOR_VENDIDO) VALUES ('160', 'POSTE DE 12 MTS 1050 KGF DE CONCRETO', '8709', '4', '1279250', '1075000', '1.19', '1279250', '1', '1279250');</v>
      </c>
    </row>
    <row r="250" spans="2:16" ht="15">
      <c r="B250" s="216">
        <f>B248+1</f>
        <v>160</v>
      </c>
      <c r="C250" s="354" t="s">
        <v>4557</v>
      </c>
      <c r="D250" s="357">
        <v>5839</v>
      </c>
      <c r="E250" s="595">
        <v>4</v>
      </c>
      <c r="F250" s="1" t="s">
        <v>4127</v>
      </c>
      <c r="G250" s="601">
        <f t="shared" ref="G250" si="130">L250</f>
        <v>1332800</v>
      </c>
      <c r="H250" s="602">
        <v>1120000</v>
      </c>
      <c r="I250" s="115">
        <v>1.19</v>
      </c>
      <c r="J250" s="608">
        <f t="shared" ref="J250" si="131">I250*H250</f>
        <v>1332800</v>
      </c>
      <c r="K250" s="602">
        <v>1</v>
      </c>
      <c r="L250" s="602">
        <f t="shared" ref="L250" si="132">K250*J250</f>
        <v>1332800</v>
      </c>
      <c r="M250" s="113">
        <f ca="1">SUMIF(APU!A:B,'Materiales '!C245,APU!I:I)</f>
        <v>0</v>
      </c>
      <c r="N250" s="593" t="s">
        <v>5014</v>
      </c>
      <c r="O250" s="113" t="str">
        <f t="shared" si="99"/>
        <v>'160', 'POSTE DE 12 MTS 1350 KGF DE CONCRETO', '5839', '4', '1332800', '1120000', '1.19', '1332800', '1', '1332800');</v>
      </c>
      <c r="P250" s="113" t="str">
        <f t="shared" si="100"/>
        <v>INSERT INTO materiales_2 (CODIGO, NOMBRE, COD_SIESA, ID_TIPO_UNIDAD, VALOR_UNITARIO, VALOR_COMPRA, IVA, VALOR_REAL, GANANCIA, VALOR_VENDIDO) VALUES ('160', 'POSTE DE 12 MTS 1350 KGF DE CONCRETO', '5839', '4', '1332800', '1120000', '1.19', '1332800', '1', '1332800');</v>
      </c>
    </row>
    <row r="251" spans="2:16" ht="15">
      <c r="B251" s="216">
        <f>B249+1</f>
        <v>161</v>
      </c>
      <c r="C251" s="354" t="s">
        <v>4739</v>
      </c>
      <c r="D251" s="357"/>
      <c r="E251" s="595">
        <v>4</v>
      </c>
      <c r="F251" s="1" t="s">
        <v>4127</v>
      </c>
      <c r="G251" s="601">
        <f t="shared" si="101"/>
        <v>806820</v>
      </c>
      <c r="H251" s="602">
        <v>678000</v>
      </c>
      <c r="I251" s="115">
        <v>1.19</v>
      </c>
      <c r="J251" s="608">
        <f t="shared" si="54"/>
        <v>806820</v>
      </c>
      <c r="K251" s="602">
        <v>1</v>
      </c>
      <c r="L251" s="602">
        <f t="shared" si="53"/>
        <v>806820</v>
      </c>
      <c r="M251" s="113">
        <f ca="1">SUMIF(APU!A:B,'Materiales '!C247,APU!I:I)</f>
        <v>0</v>
      </c>
      <c r="N251" s="593" t="s">
        <v>5014</v>
      </c>
      <c r="O251" s="113" t="str">
        <f t="shared" si="99"/>
        <v>'161', 'POSTE DE 12 MTS 510 KGF DE CONCRETO', '', '4', '806820', '678000', '1.19', '806820', '1', '806820');</v>
      </c>
      <c r="P251" s="113" t="str">
        <f t="shared" si="100"/>
        <v>INSERT INTO materiales_2 (CODIGO, NOMBRE, COD_SIESA, ID_TIPO_UNIDAD, VALOR_UNITARIO, VALOR_COMPRA, IVA, VALOR_REAL, GANANCIA, VALOR_VENDIDO) VALUES ('161', 'POSTE DE 12 MTS 510 KGF DE CONCRETO', '', '4', '806820', '678000', '1.19', '806820', '1', '806820');</v>
      </c>
    </row>
    <row r="252" spans="2:16" ht="15">
      <c r="B252" s="216">
        <f>B249+1</f>
        <v>161</v>
      </c>
      <c r="C252" s="354" t="s">
        <v>4833</v>
      </c>
      <c r="D252" s="357">
        <v>10742</v>
      </c>
      <c r="E252" s="595">
        <v>4</v>
      </c>
      <c r="F252" s="1" t="s">
        <v>4127</v>
      </c>
      <c r="G252" s="601">
        <f t="shared" si="101"/>
        <v>1264787.93</v>
      </c>
      <c r="H252" s="603">
        <v>1062847</v>
      </c>
      <c r="I252" s="115">
        <v>1.19</v>
      </c>
      <c r="J252" s="608">
        <f t="shared" si="54"/>
        <v>1264787.93</v>
      </c>
      <c r="K252" s="602">
        <v>1</v>
      </c>
      <c r="L252" s="602">
        <f t="shared" si="53"/>
        <v>1264787.93</v>
      </c>
      <c r="M252" s="113">
        <f ca="1">SUMIF(APU!A:B,'Materiales '!C246,APU!I:I)</f>
        <v>0</v>
      </c>
      <c r="N252" s="593" t="s">
        <v>5014</v>
      </c>
      <c r="O252" s="113" t="str">
        <f t="shared" si="99"/>
        <v>'161', 'POSTE DE 8 MTS 510 KGF TRANSLUCIDO', '10742', '4', '1264787,93', '1062847', '1.19', '1264787,93', '1', '1264787,93');</v>
      </c>
      <c r="P252" s="113" t="str">
        <f t="shared" si="100"/>
        <v>INSERT INTO materiales_2 (CODIGO, NOMBRE, COD_SIESA, ID_TIPO_UNIDAD, VALOR_UNITARIO, VALOR_COMPRA, IVA, VALOR_REAL, GANANCIA, VALOR_VENDIDO) VALUES ('161', 'POSTE DE 8 MTS 510 KGF TRANSLUCIDO', '10742', '4', '1264787,93', '1062847', '1.19', '1264787,93', '1', '1264787,93');</v>
      </c>
    </row>
    <row r="253" spans="2:16" ht="15">
      <c r="B253" s="216">
        <f>B250+1</f>
        <v>161</v>
      </c>
      <c r="C253" s="354" t="s">
        <v>4834</v>
      </c>
      <c r="D253" s="357">
        <v>10742</v>
      </c>
      <c r="E253" s="595">
        <v>4</v>
      </c>
      <c r="F253" s="1" t="s">
        <v>4127</v>
      </c>
      <c r="G253" s="601">
        <f t="shared" ref="G253" si="133">L253</f>
        <v>1419872.3</v>
      </c>
      <c r="H253" s="603">
        <v>1193170</v>
      </c>
      <c r="I253" s="115">
        <v>1.19</v>
      </c>
      <c r="J253" s="608">
        <f t="shared" ref="J253" si="134">I253*H253</f>
        <v>1419872.3</v>
      </c>
      <c r="K253" s="602">
        <v>1</v>
      </c>
      <c r="L253" s="602">
        <f t="shared" ref="L253" si="135">K253*J253</f>
        <v>1419872.3</v>
      </c>
      <c r="M253" s="113">
        <f ca="1">SUMIF(APU!A:B,'Materiales '!C247,APU!I:I)</f>
        <v>0</v>
      </c>
      <c r="N253" s="593" t="s">
        <v>5014</v>
      </c>
      <c r="O253" s="113" t="str">
        <f t="shared" si="99"/>
        <v>'161', 'POSTE DE 8 MTS 750 KGF TRANSLUCIDO', '10742', '4', '1419872,3', '1193170', '1.19', '1419872,3', '1', '1419872,3');</v>
      </c>
      <c r="P253" s="113" t="str">
        <f t="shared" si="100"/>
        <v>INSERT INTO materiales_2 (CODIGO, NOMBRE, COD_SIESA, ID_TIPO_UNIDAD, VALOR_UNITARIO, VALOR_COMPRA, IVA, VALOR_REAL, GANANCIA, VALOR_VENDIDO) VALUES ('161', 'POSTE DE 8 MTS 750 KGF TRANSLUCIDO', '10742', '4', '1419872,3', '1193170', '1.19', '1419872,3', '1', '1419872,3');</v>
      </c>
    </row>
    <row r="254" spans="2:16" ht="15">
      <c r="B254" s="216">
        <f>B251+1</f>
        <v>162</v>
      </c>
      <c r="C254" s="354" t="s">
        <v>4558</v>
      </c>
      <c r="D254" s="357">
        <v>10742</v>
      </c>
      <c r="E254" s="595">
        <v>4</v>
      </c>
      <c r="F254" s="1" t="s">
        <v>4127</v>
      </c>
      <c r="G254" s="601">
        <f t="shared" si="101"/>
        <v>1725500</v>
      </c>
      <c r="H254" s="603">
        <v>1450000</v>
      </c>
      <c r="I254" s="115">
        <v>1.19</v>
      </c>
      <c r="J254" s="608">
        <f t="shared" si="54"/>
        <v>1725500</v>
      </c>
      <c r="K254" s="602">
        <v>1</v>
      </c>
      <c r="L254" s="602">
        <f t="shared" si="53"/>
        <v>1725500</v>
      </c>
      <c r="M254" s="113">
        <f ca="1">SUMIF(APU!A:B,'Materiales '!C248,APU!I:I)</f>
        <v>0</v>
      </c>
      <c r="N254" s="593" t="s">
        <v>5014</v>
      </c>
      <c r="O254" s="113" t="str">
        <f t="shared" si="99"/>
        <v>'162', 'POSTE DE 10 MTS 750 KGF TRANSLUCIDO', '10742', '4', '1725500', '1450000', '1.19', '1725500', '1', '1725500');</v>
      </c>
      <c r="P254" s="113" t="str">
        <f t="shared" si="100"/>
        <v>INSERT INTO materiales_2 (CODIGO, NOMBRE, COD_SIESA, ID_TIPO_UNIDAD, VALOR_UNITARIO, VALOR_COMPRA, IVA, VALOR_REAL, GANANCIA, VALOR_VENDIDO) VALUES ('162', 'POSTE DE 10 MTS 750 KGF TRANSLUCIDO', '10742', '4', '1725500', '1450000', '1.19', '1725500', '1', '1725500');</v>
      </c>
    </row>
    <row r="255" spans="2:16" ht="15">
      <c r="B255" s="216">
        <f t="shared" si="105"/>
        <v>163</v>
      </c>
      <c r="C255" s="354" t="s">
        <v>4559</v>
      </c>
      <c r="D255" s="357">
        <v>10474</v>
      </c>
      <c r="E255" s="595">
        <v>4</v>
      </c>
      <c r="F255" s="1" t="s">
        <v>4127</v>
      </c>
      <c r="G255" s="601">
        <f t="shared" si="101"/>
        <v>0</v>
      </c>
      <c r="H255" s="603">
        <v>1480000</v>
      </c>
      <c r="I255" s="115"/>
      <c r="J255" s="608">
        <f t="shared" si="54"/>
        <v>0</v>
      </c>
      <c r="K255" s="602"/>
      <c r="L255" s="602">
        <f t="shared" si="53"/>
        <v>0</v>
      </c>
      <c r="N255" s="593" t="s">
        <v>5014</v>
      </c>
      <c r="O255" s="113" t="str">
        <f t="shared" si="99"/>
        <v>'163', 'POSTE DE 10 MTS 510 KGF TRANSLUCIDO', '10474', '4', '0', '1480000', '', '0', '', '0');</v>
      </c>
      <c r="P255" s="113" t="str">
        <f t="shared" si="100"/>
        <v>INSERT INTO materiales_2 (CODIGO, NOMBRE, COD_SIESA, ID_TIPO_UNIDAD, VALOR_UNITARIO, VALOR_COMPRA, IVA, VALOR_REAL, GANANCIA, VALOR_VENDIDO) VALUES ('163', 'POSTE DE 10 MTS 510 KGF TRANSLUCIDO', '10474', '4', '0', '1480000', '', '0', '', '0');</v>
      </c>
    </row>
    <row r="256" spans="2:16" ht="15">
      <c r="B256" s="216">
        <f t="shared" si="105"/>
        <v>164</v>
      </c>
      <c r="C256" s="354" t="s">
        <v>4560</v>
      </c>
      <c r="D256" s="357">
        <v>10740</v>
      </c>
      <c r="E256" s="595">
        <v>4</v>
      </c>
      <c r="F256" s="1" t="s">
        <v>4127</v>
      </c>
      <c r="G256" s="601">
        <f t="shared" si="101"/>
        <v>1649572.0499999998</v>
      </c>
      <c r="H256" s="602">
        <v>1386195</v>
      </c>
      <c r="I256" s="115">
        <v>1.19</v>
      </c>
      <c r="J256" s="608">
        <f t="shared" si="54"/>
        <v>1649572.0499999998</v>
      </c>
      <c r="K256" s="602">
        <v>1</v>
      </c>
      <c r="L256" s="602">
        <f t="shared" si="53"/>
        <v>1649572.0499999998</v>
      </c>
      <c r="M256" s="113">
        <f ca="1">SUMIF(APU!A:B,'Materiales '!C249,APU!I:I)</f>
        <v>0</v>
      </c>
      <c r="N256" s="593" t="s">
        <v>5014</v>
      </c>
      <c r="O256" s="113" t="str">
        <f t="shared" si="99"/>
        <v>'164', 'POSTE DE 10 MTS 350 KGF TRANSLUCIDO', '10740', '4', '1649572,05', '1386195', '1.19', '1649572,05', '1', '1649572,05');</v>
      </c>
      <c r="P256" s="113" t="str">
        <f t="shared" si="100"/>
        <v>INSERT INTO materiales_2 (CODIGO, NOMBRE, COD_SIESA, ID_TIPO_UNIDAD, VALOR_UNITARIO, VALOR_COMPRA, IVA, VALOR_REAL, GANANCIA, VALOR_VENDIDO) VALUES ('164', 'POSTE DE 10 MTS 350 KGF TRANSLUCIDO', '10740', '4', '1649572,05', '1386195', '1.19', '1649572,05', '1', '1649572,05');</v>
      </c>
    </row>
    <row r="257" spans="2:16" ht="15">
      <c r="B257" s="216">
        <f>B255+1</f>
        <v>164</v>
      </c>
      <c r="C257" s="354" t="s">
        <v>4561</v>
      </c>
      <c r="D257" s="357">
        <v>10503</v>
      </c>
      <c r="E257" s="595">
        <v>4</v>
      </c>
      <c r="F257" s="1" t="s">
        <v>4127</v>
      </c>
      <c r="G257" s="601">
        <f t="shared" ref="G257" si="136">L257</f>
        <v>2445301.25</v>
      </c>
      <c r="H257" s="602">
        <v>2054875</v>
      </c>
      <c r="I257" s="115">
        <v>1.19</v>
      </c>
      <c r="J257" s="608">
        <f t="shared" ref="J257" si="137">I257*H257</f>
        <v>2445301.25</v>
      </c>
      <c r="K257" s="602">
        <v>1</v>
      </c>
      <c r="L257" s="602">
        <f t="shared" ref="L257" si="138">K257*J257</f>
        <v>2445301.25</v>
      </c>
      <c r="M257" s="113">
        <f ca="1">SUMIF(APU!A:B,'Materiales '!C250,APU!I:I)</f>
        <v>0</v>
      </c>
      <c r="N257" s="593" t="s">
        <v>5014</v>
      </c>
      <c r="O257" s="113" t="str">
        <f t="shared" si="99"/>
        <v>'164', 'POSTE DE 12 MTS 510 KGF TRANSLUCIDO', '10503', '4', '2445301,25', '2054875', '1.19', '2445301,25', '1', '2445301,25');</v>
      </c>
      <c r="P257" s="113" t="str">
        <f t="shared" si="100"/>
        <v>INSERT INTO materiales_2 (CODIGO, NOMBRE, COD_SIESA, ID_TIPO_UNIDAD, VALOR_UNITARIO, VALOR_COMPRA, IVA, VALOR_REAL, GANANCIA, VALOR_VENDIDO) VALUES ('164', 'POSTE DE 12 MTS 510 KGF TRANSLUCIDO', '10503', '4', '2445301,25', '2054875', '1.19', '2445301,25', '1', '2445301,25');</v>
      </c>
    </row>
    <row r="258" spans="2:16" ht="15">
      <c r="B258" s="216">
        <f>B256+1</f>
        <v>165</v>
      </c>
      <c r="C258" s="354" t="s">
        <v>4562</v>
      </c>
      <c r="D258" s="357">
        <v>10503</v>
      </c>
      <c r="E258" s="595">
        <v>4</v>
      </c>
      <c r="F258" s="1" t="s">
        <v>4127</v>
      </c>
      <c r="G258" s="601">
        <f t="shared" si="101"/>
        <v>2671550</v>
      </c>
      <c r="H258" s="602">
        <v>2245000</v>
      </c>
      <c r="I258" s="115">
        <v>1.19</v>
      </c>
      <c r="J258" s="608">
        <f t="shared" si="54"/>
        <v>2671550</v>
      </c>
      <c r="K258" s="602">
        <v>1</v>
      </c>
      <c r="L258" s="602">
        <f t="shared" si="53"/>
        <v>2671550</v>
      </c>
      <c r="M258" s="113">
        <f ca="1">SUMIF(APU!A:B,'Materiales '!C251,APU!I:I)</f>
        <v>0</v>
      </c>
      <c r="N258" s="593" t="s">
        <v>5014</v>
      </c>
      <c r="O258" s="113" t="str">
        <f t="shared" si="99"/>
        <v>'165', 'POSTE DE 12 MTS 750 KGF TRANSLUCIDO', '10503', '4', '2671550', '2245000', '1.19', '2671550', '1', '2671550');</v>
      </c>
      <c r="P258" s="113" t="str">
        <f t="shared" si="100"/>
        <v>INSERT INTO materiales_2 (CODIGO, NOMBRE, COD_SIESA, ID_TIPO_UNIDAD, VALOR_UNITARIO, VALOR_COMPRA, IVA, VALOR_REAL, GANANCIA, VALOR_VENDIDO) VALUES ('165', 'POSTE DE 12 MTS 750 KGF TRANSLUCIDO', '10503', '4', '2671550', '2245000', '1.19', '2671550', '1', '2671550');</v>
      </c>
    </row>
    <row r="259" spans="2:16" ht="15">
      <c r="B259" s="216">
        <f>B255+1</f>
        <v>164</v>
      </c>
      <c r="C259" s="354" t="s">
        <v>4984</v>
      </c>
      <c r="D259" s="357"/>
      <c r="E259" s="595">
        <v>4</v>
      </c>
      <c r="F259" s="1" t="s">
        <v>4127</v>
      </c>
      <c r="G259" s="601">
        <f t="shared" si="101"/>
        <v>1368500</v>
      </c>
      <c r="H259" s="602">
        <v>1150000</v>
      </c>
      <c r="I259" s="115">
        <v>1.19</v>
      </c>
      <c r="J259" s="608">
        <f t="shared" si="54"/>
        <v>1368500</v>
      </c>
      <c r="K259" s="602">
        <v>1</v>
      </c>
      <c r="L259" s="602">
        <f t="shared" si="53"/>
        <v>1368500</v>
      </c>
      <c r="M259" s="113">
        <f ca="1">SUMIF(APU!A:B,'Materiales '!C250,APU!I:I)</f>
        <v>0</v>
      </c>
      <c r="N259" s="593" t="s">
        <v>5014</v>
      </c>
      <c r="O259" s="113" t="str">
        <f t="shared" si="99"/>
        <v>'164', 'POSTE DE 14 MTS 510 KGF CONCRETO', '', '4', '1368500', '1150000', '1.19', '1368500', '1', '1368500');</v>
      </c>
      <c r="P259" s="113" t="str">
        <f t="shared" si="100"/>
        <v>INSERT INTO materiales_2 (CODIGO, NOMBRE, COD_SIESA, ID_TIPO_UNIDAD, VALOR_UNITARIO, VALOR_COMPRA, IVA, VALOR_REAL, GANANCIA, VALOR_VENDIDO) VALUES ('164', 'POSTE DE 14 MTS 510 KGF CONCRETO', '', '4', '1368500', '1150000', '1.19', '1368500', '1', '1368500');</v>
      </c>
    </row>
    <row r="260" spans="2:16" ht="15">
      <c r="B260" s="216">
        <f>B256+1</f>
        <v>165</v>
      </c>
      <c r="C260" s="354" t="s">
        <v>4815</v>
      </c>
      <c r="D260" s="357"/>
      <c r="E260" s="595">
        <v>4</v>
      </c>
      <c r="F260" s="1" t="s">
        <v>4127</v>
      </c>
      <c r="G260" s="601">
        <f t="shared" ref="G260" si="139">L260</f>
        <v>1725500</v>
      </c>
      <c r="H260" s="602">
        <v>1450000</v>
      </c>
      <c r="I260" s="115">
        <v>1.19</v>
      </c>
      <c r="J260" s="608">
        <f t="shared" ref="J260" si="140">I260*H260</f>
        <v>1725500</v>
      </c>
      <c r="K260" s="602">
        <v>1</v>
      </c>
      <c r="L260" s="602">
        <f t="shared" ref="L260" si="141">K260*J260</f>
        <v>1725500</v>
      </c>
      <c r="M260" s="113">
        <f ca="1">SUMIF(APU!A:B,'Materiales '!C251,APU!I:I)</f>
        <v>0</v>
      </c>
      <c r="N260" s="593" t="s">
        <v>5014</v>
      </c>
      <c r="O260" s="113" t="str">
        <f t="shared" ref="O260:O323" si="142">"'"&amp;B260&amp;"', '"&amp;TRIM(UPPER(C260))&amp;"', '"&amp;D260&amp;"', '"&amp;E260&amp;"', '"&amp;G260&amp;"', '"&amp;H260&amp;"', '"&amp;SUBSTITUTE(I260,",",".")&amp;"', '"&amp;J260&amp;"', '"&amp;K260&amp;"', '"&amp;L260&amp;"');"</f>
        <v>'165', 'POSTE DE 14 MTS 750 KGF CONCRETO', '', '4', '1725500', '1450000', '1.19', '1725500', '1', '1725500');</v>
      </c>
      <c r="P260" s="113" t="str">
        <f t="shared" ref="P260:P323" si="143">CONCATENATE(N260,O260)</f>
        <v>INSERT INTO materiales_2 (CODIGO, NOMBRE, COD_SIESA, ID_TIPO_UNIDAD, VALOR_UNITARIO, VALOR_COMPRA, IVA, VALOR_REAL, GANANCIA, VALOR_VENDIDO) VALUES ('165', 'POSTE DE 14 MTS 750 KGF CONCRETO', '', '4', '1725500', '1450000', '1.19', '1725500', '1', '1725500');</v>
      </c>
    </row>
    <row r="261" spans="2:16" ht="15">
      <c r="B261" s="216">
        <f>B258+1</f>
        <v>166</v>
      </c>
      <c r="C261" s="354" t="s">
        <v>4824</v>
      </c>
      <c r="D261" s="357"/>
      <c r="E261" s="595">
        <v>4</v>
      </c>
      <c r="F261" s="1" t="s">
        <v>4127</v>
      </c>
      <c r="G261" s="601">
        <f t="shared" si="101"/>
        <v>1856400</v>
      </c>
      <c r="H261" s="602">
        <v>1560000</v>
      </c>
      <c r="I261" s="115">
        <v>1.19</v>
      </c>
      <c r="J261" s="608">
        <f t="shared" si="54"/>
        <v>1856400</v>
      </c>
      <c r="K261" s="602">
        <v>1</v>
      </c>
      <c r="L261" s="602">
        <f t="shared" si="53"/>
        <v>1856400</v>
      </c>
      <c r="M261" s="113">
        <f ca="1">SUMIF(APU!A:B,'Materiales '!C254,APU!I:I)</f>
        <v>0</v>
      </c>
      <c r="N261" s="593" t="s">
        <v>5014</v>
      </c>
      <c r="O261" s="113" t="str">
        <f t="shared" si="142"/>
        <v>'166', 'POSTE DE 16 MTS 750 KGF CONCRETO', '', '4', '1856400', '1560000', '1.19', '1856400', '1', '1856400');</v>
      </c>
      <c r="P261" s="113" t="str">
        <f t="shared" si="143"/>
        <v>INSERT INTO materiales_2 (CODIGO, NOMBRE, COD_SIESA, ID_TIPO_UNIDAD, VALOR_UNITARIO, VALOR_COMPRA, IVA, VALOR_REAL, GANANCIA, VALOR_VENDIDO) VALUES ('166', 'POSTE DE 16 MTS 750 KGF CONCRETO', '', '4', '1856400', '1560000', '1.19', '1856400', '1', '1856400');</v>
      </c>
    </row>
    <row r="262" spans="2:16" ht="15">
      <c r="B262" s="216">
        <f t="shared" si="105"/>
        <v>167</v>
      </c>
      <c r="C262" s="354" t="s">
        <v>4563</v>
      </c>
      <c r="D262" s="357">
        <v>2991</v>
      </c>
      <c r="E262" s="595">
        <v>4</v>
      </c>
      <c r="F262" s="1" t="s">
        <v>4127</v>
      </c>
      <c r="G262" s="601">
        <f t="shared" si="101"/>
        <v>595</v>
      </c>
      <c r="H262" s="602">
        <v>500</v>
      </c>
      <c r="I262" s="115">
        <v>1.19</v>
      </c>
      <c r="J262" s="608">
        <f t="shared" si="54"/>
        <v>595</v>
      </c>
      <c r="K262" s="602">
        <v>1</v>
      </c>
      <c r="L262" s="602">
        <f t="shared" si="53"/>
        <v>595</v>
      </c>
      <c r="M262" s="113">
        <f ca="1">SUMIF(APU!A:B,'Materiales '!C256,APU!I:I)</f>
        <v>0</v>
      </c>
      <c r="N262" s="593" t="s">
        <v>5014</v>
      </c>
      <c r="O262" s="113" t="str">
        <f t="shared" si="142"/>
        <v>'167', 'PRENSA ESTOPA 1/2', '2991', '4', '595', '500', '1.19', '595', '1', '595');</v>
      </c>
      <c r="P262" s="113" t="str">
        <f t="shared" si="143"/>
        <v>INSERT INTO materiales_2 (CODIGO, NOMBRE, COD_SIESA, ID_TIPO_UNIDAD, VALOR_UNITARIO, VALOR_COMPRA, IVA, VALOR_REAL, GANANCIA, VALOR_VENDIDO) VALUES ('167', 'PRENSA ESTOPA 1/2', '2991', '4', '595', '500', '1.19', '595', '1', '595');</v>
      </c>
    </row>
    <row r="263" spans="2:16" ht="15">
      <c r="B263" s="216">
        <f t="shared" si="105"/>
        <v>168</v>
      </c>
      <c r="C263" s="354" t="s">
        <v>4564</v>
      </c>
      <c r="D263" s="357">
        <v>2992</v>
      </c>
      <c r="E263" s="595">
        <v>4</v>
      </c>
      <c r="F263" s="1" t="s">
        <v>4127</v>
      </c>
      <c r="G263" s="601">
        <f t="shared" si="101"/>
        <v>1309</v>
      </c>
      <c r="H263" s="602">
        <v>1100</v>
      </c>
      <c r="I263" s="115">
        <v>1.19</v>
      </c>
      <c r="J263" s="608">
        <f t="shared" si="54"/>
        <v>1309</v>
      </c>
      <c r="K263" s="602">
        <v>1</v>
      </c>
      <c r="L263" s="602">
        <f t="shared" si="53"/>
        <v>1309</v>
      </c>
      <c r="M263" s="113">
        <f ca="1">SUMIF(APU!A:B,'Materiales '!C258,APU!I:I)</f>
        <v>0</v>
      </c>
      <c r="N263" s="593" t="s">
        <v>5014</v>
      </c>
      <c r="O263" s="113" t="str">
        <f t="shared" si="142"/>
        <v>'168', 'PRENSA ESTOPA 3/4', '2992', '4', '1309', '1100', '1.19', '1309', '1', '1309');</v>
      </c>
      <c r="P263" s="113" t="str">
        <f t="shared" si="143"/>
        <v>INSERT INTO materiales_2 (CODIGO, NOMBRE, COD_SIESA, ID_TIPO_UNIDAD, VALOR_UNITARIO, VALOR_COMPRA, IVA, VALOR_REAL, GANANCIA, VALOR_VENDIDO) VALUES ('168', 'PRENSA ESTOPA 3/4', '2992', '4', '1309', '1100', '1.19', '1309', '1', '1309');</v>
      </c>
    </row>
    <row r="264" spans="2:16" ht="15">
      <c r="B264" s="216">
        <f>B255+1</f>
        <v>164</v>
      </c>
      <c r="C264" s="366" t="s">
        <v>4702</v>
      </c>
      <c r="D264" s="357"/>
      <c r="E264" s="595">
        <v>4</v>
      </c>
      <c r="F264" s="1" t="s">
        <v>4127</v>
      </c>
      <c r="G264" s="601">
        <f t="shared" ref="G264:G270" si="144">L264</f>
        <v>54978</v>
      </c>
      <c r="H264" s="602">
        <v>46200</v>
      </c>
      <c r="I264" s="115">
        <v>1.19</v>
      </c>
      <c r="J264" s="608">
        <f t="shared" ref="J264:J270" si="145">I264*H264</f>
        <v>54978</v>
      </c>
      <c r="K264" s="602">
        <v>1</v>
      </c>
      <c r="L264" s="602">
        <f t="shared" ref="L264:L270" si="146">K264*J264</f>
        <v>54978</v>
      </c>
      <c r="M264" s="113">
        <f ca="1">SUMIF(APU!A:B,'Materiales '!C251,APU!I:I)</f>
        <v>0</v>
      </c>
      <c r="N264" s="593" t="s">
        <v>5014</v>
      </c>
      <c r="O264" s="113" t="str">
        <f t="shared" si="142"/>
        <v>'164', 'REFLECTOR LED BAJA EFICIENCIA 50W', '', '4', '54978', '46200', '1.19', '54978', '1', '54978');</v>
      </c>
      <c r="P264" s="113" t="str">
        <f t="shared" si="143"/>
        <v>INSERT INTO materiales_2 (CODIGO, NOMBRE, COD_SIESA, ID_TIPO_UNIDAD, VALOR_UNITARIO, VALOR_COMPRA, IVA, VALOR_REAL, GANANCIA, VALOR_VENDIDO) VALUES ('164', 'REFLECTOR LED BAJA EFICIENCIA 50W', '', '4', '54978', '46200', '1.19', '54978', '1', '54978');</v>
      </c>
    </row>
    <row r="265" spans="2:16" ht="15">
      <c r="B265" s="216">
        <f t="shared" si="105"/>
        <v>165</v>
      </c>
      <c r="C265" s="366" t="s">
        <v>4703</v>
      </c>
      <c r="D265" s="357"/>
      <c r="E265" s="595">
        <v>4</v>
      </c>
      <c r="F265" s="1" t="s">
        <v>4127</v>
      </c>
      <c r="G265" s="601">
        <f t="shared" si="144"/>
        <v>728280</v>
      </c>
      <c r="H265" s="602">
        <v>612000</v>
      </c>
      <c r="I265" s="115">
        <v>1.19</v>
      </c>
      <c r="J265" s="608">
        <f t="shared" si="145"/>
        <v>728280</v>
      </c>
      <c r="K265" s="602">
        <v>1</v>
      </c>
      <c r="L265" s="602">
        <f t="shared" si="146"/>
        <v>728280</v>
      </c>
      <c r="M265" s="113">
        <f ca="1">SUMIF(APU!A:B,'Materiales '!C254,APU!I:I)</f>
        <v>0</v>
      </c>
      <c r="N265" s="593" t="s">
        <v>5014</v>
      </c>
      <c r="O265" s="113" t="str">
        <f t="shared" si="142"/>
        <v>'165', 'REFLECTOR LED BAJA EFICIENCIA 100W', '', '4', '728280', '612000', '1.19', '728280', '1', '728280');</v>
      </c>
      <c r="P265" s="113" t="str">
        <f t="shared" si="143"/>
        <v>INSERT INTO materiales_2 (CODIGO, NOMBRE, COD_SIESA, ID_TIPO_UNIDAD, VALOR_UNITARIO, VALOR_COMPRA, IVA, VALOR_REAL, GANANCIA, VALOR_VENDIDO) VALUES ('165', 'REFLECTOR LED BAJA EFICIENCIA 100W', '', '4', '728280', '612000', '1.19', '728280', '1', '728280');</v>
      </c>
    </row>
    <row r="266" spans="2:16" ht="15">
      <c r="B266" s="216">
        <f t="shared" si="105"/>
        <v>166</v>
      </c>
      <c r="C266" s="366" t="s">
        <v>4704</v>
      </c>
      <c r="D266" s="357"/>
      <c r="E266" s="595">
        <v>4</v>
      </c>
      <c r="F266" s="1" t="s">
        <v>4127</v>
      </c>
      <c r="G266" s="601">
        <f t="shared" si="144"/>
        <v>918709.75</v>
      </c>
      <c r="H266" s="602">
        <v>772025</v>
      </c>
      <c r="I266" s="115">
        <v>1.19</v>
      </c>
      <c r="J266" s="608">
        <f t="shared" si="145"/>
        <v>918709.75</v>
      </c>
      <c r="K266" s="602">
        <v>1</v>
      </c>
      <c r="L266" s="602">
        <f t="shared" si="146"/>
        <v>918709.75</v>
      </c>
      <c r="M266" s="113">
        <f ca="1">SUMIF(APU!A:B,'Materiales '!C255,APU!I:I)</f>
        <v>0</v>
      </c>
      <c r="N266" s="593" t="s">
        <v>5014</v>
      </c>
      <c r="O266" s="113" t="str">
        <f t="shared" si="142"/>
        <v>'166', 'REFLECTOR LED BAJA EFICIENCIA 150W', '', '4', '918709,75', '772025', '1.19', '918709,75', '1', '918709,75');</v>
      </c>
      <c r="P266" s="113" t="str">
        <f t="shared" si="143"/>
        <v>INSERT INTO materiales_2 (CODIGO, NOMBRE, COD_SIESA, ID_TIPO_UNIDAD, VALOR_UNITARIO, VALOR_COMPRA, IVA, VALOR_REAL, GANANCIA, VALOR_VENDIDO) VALUES ('166', 'REFLECTOR LED BAJA EFICIENCIA 150W', '', '4', '918709,75', '772025', '1.19', '918709,75', '1', '918709,75');</v>
      </c>
    </row>
    <row r="267" spans="2:16" ht="15">
      <c r="B267" s="216">
        <f>B265+1</f>
        <v>166</v>
      </c>
      <c r="C267" s="366" t="s">
        <v>4705</v>
      </c>
      <c r="D267" s="357"/>
      <c r="E267" s="595">
        <v>4</v>
      </c>
      <c r="F267" s="1" t="s">
        <v>4127</v>
      </c>
      <c r="G267" s="601">
        <f t="shared" ref="G267" si="147">L267</f>
        <v>1059100</v>
      </c>
      <c r="H267" s="602">
        <v>890000</v>
      </c>
      <c r="I267" s="115">
        <v>1.19</v>
      </c>
      <c r="J267" s="608">
        <f t="shared" ref="J267" si="148">I267*H267</f>
        <v>1059100</v>
      </c>
      <c r="K267" s="602">
        <v>1</v>
      </c>
      <c r="L267" s="602">
        <f t="shared" ref="L267" si="149">K267*J267</f>
        <v>1059100</v>
      </c>
      <c r="M267" s="113">
        <f ca="1">SUMIF(APU!A:B,'Materiales '!C263,APU!I:I)</f>
        <v>0</v>
      </c>
      <c r="N267" s="593" t="s">
        <v>5014</v>
      </c>
      <c r="O267" s="113" t="str">
        <f t="shared" si="142"/>
        <v>'166', 'REFLECTOR LED BAJA EFICIENCIA 200W', '', '4', '1059100', '890000', '1.19', '1059100', '1', '1059100');</v>
      </c>
      <c r="P267" s="113" t="str">
        <f t="shared" si="143"/>
        <v>INSERT INTO materiales_2 (CODIGO, NOMBRE, COD_SIESA, ID_TIPO_UNIDAD, VALOR_UNITARIO, VALOR_COMPRA, IVA, VALOR_REAL, GANANCIA, VALOR_VENDIDO) VALUES ('166', 'REFLECTOR LED BAJA EFICIENCIA 200W', '', '4', '1059100', '890000', '1.19', '1059100', '1', '1059100');</v>
      </c>
    </row>
    <row r="268" spans="2:16" ht="15">
      <c r="B268" s="216">
        <f>B266+1</f>
        <v>167</v>
      </c>
      <c r="C268" s="366" t="s">
        <v>4778</v>
      </c>
      <c r="D268" s="357"/>
      <c r="E268" s="595">
        <v>4</v>
      </c>
      <c r="F268" s="1" t="s">
        <v>4127</v>
      </c>
      <c r="G268" s="601">
        <f t="shared" si="144"/>
        <v>1856400</v>
      </c>
      <c r="H268" s="602">
        <v>1560000</v>
      </c>
      <c r="I268" s="115">
        <v>1.19</v>
      </c>
      <c r="J268" s="608">
        <f t="shared" si="145"/>
        <v>1856400</v>
      </c>
      <c r="K268" s="602">
        <v>1</v>
      </c>
      <c r="L268" s="602">
        <f t="shared" si="146"/>
        <v>1856400</v>
      </c>
      <c r="M268" s="113">
        <f ca="1">SUMIF(APU!A:B,'Materiales '!C264,APU!I:I)</f>
        <v>0</v>
      </c>
      <c r="N268" s="593" t="s">
        <v>5014</v>
      </c>
      <c r="O268" s="113" t="str">
        <f t="shared" si="142"/>
        <v>'167', 'REFLECTOR LED BAJA EFICIENCIA 400W', '', '4', '1856400', '1560000', '1.19', '1856400', '1', '1856400');</v>
      </c>
      <c r="P268" s="113" t="str">
        <f t="shared" si="143"/>
        <v>INSERT INTO materiales_2 (CODIGO, NOMBRE, COD_SIESA, ID_TIPO_UNIDAD, VALOR_UNITARIO, VALOR_COMPRA, IVA, VALOR_REAL, GANANCIA, VALOR_VENDIDO) VALUES ('167', 'REFLECTOR LED BAJA EFICIENCIA 400W', '', '4', '1856400', '1560000', '1.19', '1856400', '1', '1856400');</v>
      </c>
    </row>
    <row r="269" spans="2:16" ht="15">
      <c r="B269" s="216">
        <f t="shared" si="105"/>
        <v>168</v>
      </c>
      <c r="C269" s="354" t="s">
        <v>4569</v>
      </c>
      <c r="D269" s="357">
        <v>9516</v>
      </c>
      <c r="E269" s="595">
        <v>4</v>
      </c>
      <c r="F269" s="1" t="s">
        <v>4127</v>
      </c>
      <c r="G269" s="601">
        <f t="shared" si="144"/>
        <v>2683450</v>
      </c>
      <c r="H269" s="602">
        <f>550*4100</f>
        <v>2255000</v>
      </c>
      <c r="I269" s="115">
        <v>1.19</v>
      </c>
      <c r="J269" s="608">
        <f t="shared" si="145"/>
        <v>2683450</v>
      </c>
      <c r="K269" s="602">
        <v>1</v>
      </c>
      <c r="L269" s="602">
        <f t="shared" si="146"/>
        <v>2683450</v>
      </c>
      <c r="M269" s="113">
        <f ca="1">SUMIF(APU!A:B,'Materiales '!C265,APU!I:I)</f>
        <v>0</v>
      </c>
      <c r="N269" s="593" t="s">
        <v>5014</v>
      </c>
      <c r="O269" s="113" t="str">
        <f t="shared" si="142"/>
        <v>'168', 'REFLECTOR LED 400W', '9516', '4', '2683450', '2255000', '1.19', '2683450', '1', '2683450');</v>
      </c>
      <c r="P269" s="113" t="str">
        <f t="shared" si="143"/>
        <v>INSERT INTO materiales_2 (CODIGO, NOMBRE, COD_SIESA, ID_TIPO_UNIDAD, VALOR_UNITARIO, VALOR_COMPRA, IVA, VALOR_REAL, GANANCIA, VALOR_VENDIDO) VALUES ('168', 'REFLECTOR LED 400W', '9516', '4', '2683450', '2255000', '1.19', '2683450', '1', '2683450');</v>
      </c>
    </row>
    <row r="270" spans="2:16" ht="15">
      <c r="B270" s="216">
        <f>B262+1</f>
        <v>168</v>
      </c>
      <c r="C270" s="356" t="s">
        <v>4736</v>
      </c>
      <c r="D270" s="357"/>
      <c r="E270" s="595">
        <v>4</v>
      </c>
      <c r="F270" s="1" t="s">
        <v>4127</v>
      </c>
      <c r="G270" s="601">
        <f t="shared" si="144"/>
        <v>1297100</v>
      </c>
      <c r="H270" s="602">
        <v>1090000</v>
      </c>
      <c r="I270" s="115">
        <v>1.19</v>
      </c>
      <c r="J270" s="608">
        <f t="shared" si="145"/>
        <v>1297100</v>
      </c>
      <c r="K270" s="602">
        <v>1</v>
      </c>
      <c r="L270" s="602">
        <f t="shared" si="146"/>
        <v>1297100</v>
      </c>
      <c r="M270" s="113">
        <f ca="1">SUMIF(APU!A:B,'Materiales '!C258,APU!I:I)</f>
        <v>0</v>
      </c>
      <c r="N270" s="593" t="s">
        <v>5014</v>
      </c>
      <c r="O270" s="113" t="str">
        <f t="shared" si="142"/>
        <v>'168', 'REFLECTOR LED 100W', '', '4', '1297100', '1090000', '1.19', '1297100', '1', '1297100');</v>
      </c>
      <c r="P270" s="113" t="str">
        <f t="shared" si="143"/>
        <v>INSERT INTO materiales_2 (CODIGO, NOMBRE, COD_SIESA, ID_TIPO_UNIDAD, VALOR_UNITARIO, VALOR_COMPRA, IVA, VALOR_REAL, GANANCIA, VALOR_VENDIDO) VALUES ('168', 'REFLECTOR LED 100W', '', '4', '1297100', '1090000', '1.19', '1297100', '1', '1297100');</v>
      </c>
    </row>
    <row r="271" spans="2:16" ht="15">
      <c r="B271" s="216">
        <f>B263+1</f>
        <v>169</v>
      </c>
      <c r="C271" s="356" t="s">
        <v>4565</v>
      </c>
      <c r="D271" s="357">
        <v>5408</v>
      </c>
      <c r="E271" s="595">
        <v>4</v>
      </c>
      <c r="F271" s="1" t="s">
        <v>4127</v>
      </c>
      <c r="G271" s="601">
        <f t="shared" si="101"/>
        <v>1366120</v>
      </c>
      <c r="H271" s="602">
        <f>280*4100</f>
        <v>1148000</v>
      </c>
      <c r="I271" s="115">
        <v>1.19</v>
      </c>
      <c r="J271" s="608">
        <f t="shared" si="54"/>
        <v>1366120</v>
      </c>
      <c r="K271" s="602">
        <v>1</v>
      </c>
      <c r="L271" s="602">
        <f t="shared" si="53"/>
        <v>1366120</v>
      </c>
      <c r="M271" s="113">
        <f ca="1">SUMIF(APU!A:B,'Materiales '!C261,APU!I:I)</f>
        <v>0</v>
      </c>
      <c r="N271" s="593" t="s">
        <v>5014</v>
      </c>
      <c r="O271" s="113" t="str">
        <f t="shared" si="142"/>
        <v>'169', 'REFLECTOR LED 110W', '5408', '4', '1366120', '1148000', '1.19', '1366120', '1', '1366120');</v>
      </c>
      <c r="P271" s="113" t="str">
        <f t="shared" si="143"/>
        <v>INSERT INTO materiales_2 (CODIGO, NOMBRE, COD_SIESA, ID_TIPO_UNIDAD, VALOR_UNITARIO, VALOR_COMPRA, IVA, VALOR_REAL, GANANCIA, VALOR_VENDIDO) VALUES ('169', 'REFLECTOR LED 110W', '5408', '4', '1366120', '1148000', '1.19', '1366120', '1', '1366120');</v>
      </c>
    </row>
    <row r="272" spans="2:16" ht="15">
      <c r="B272" s="216">
        <f t="shared" si="105"/>
        <v>170</v>
      </c>
      <c r="C272" s="356" t="s">
        <v>4566</v>
      </c>
      <c r="D272" s="357">
        <v>5409</v>
      </c>
      <c r="E272" s="595">
        <v>4</v>
      </c>
      <c r="F272" s="1" t="s">
        <v>4127</v>
      </c>
      <c r="G272" s="601">
        <f t="shared" si="101"/>
        <v>1610070</v>
      </c>
      <c r="H272" s="602">
        <f>330*4100</f>
        <v>1353000</v>
      </c>
      <c r="I272" s="115">
        <v>1.19</v>
      </c>
      <c r="J272" s="608">
        <f t="shared" si="54"/>
        <v>1610070</v>
      </c>
      <c r="K272" s="602">
        <v>1</v>
      </c>
      <c r="L272" s="602">
        <f t="shared" si="53"/>
        <v>1610070</v>
      </c>
      <c r="M272" s="113">
        <f ca="1">SUMIF(APU!A:B,'Materiales '!C262,APU!I:I)</f>
        <v>0</v>
      </c>
      <c r="N272" s="593" t="s">
        <v>5014</v>
      </c>
      <c r="O272" s="113" t="str">
        <f t="shared" si="142"/>
        <v>'170', 'REFLECTOR LED 210W', '5409', '4', '1610070', '1353000', '1.19', '1610070', '1', '1610070');</v>
      </c>
      <c r="P272" s="113" t="str">
        <f t="shared" si="143"/>
        <v>INSERT INTO materiales_2 (CODIGO, NOMBRE, COD_SIESA, ID_TIPO_UNIDAD, VALOR_UNITARIO, VALOR_COMPRA, IVA, VALOR_REAL, GANANCIA, VALOR_VENDIDO) VALUES ('170', 'REFLECTOR LED 210W', '5409', '4', '1610070', '1353000', '1.19', '1610070', '1', '1610070');</v>
      </c>
    </row>
    <row r="273" spans="2:16" ht="15">
      <c r="B273" s="216">
        <f>B270+1</f>
        <v>169</v>
      </c>
      <c r="C273" s="354" t="s">
        <v>4981</v>
      </c>
      <c r="D273" s="357">
        <v>4962</v>
      </c>
      <c r="E273" s="595">
        <v>4</v>
      </c>
      <c r="F273" s="1" t="s">
        <v>4127</v>
      </c>
      <c r="G273" s="601">
        <f t="shared" si="101"/>
        <v>706860</v>
      </c>
      <c r="H273" s="602">
        <f>90*4400*1.5</f>
        <v>594000</v>
      </c>
      <c r="I273" s="115">
        <v>1.19</v>
      </c>
      <c r="J273" s="608">
        <f t="shared" si="54"/>
        <v>706860</v>
      </c>
      <c r="K273" s="602">
        <v>1</v>
      </c>
      <c r="L273" s="602">
        <f t="shared" si="53"/>
        <v>706860</v>
      </c>
      <c r="M273" s="113">
        <f ca="1">SUMIF(APU!A:B,'Materiales '!C261,APU!I:I)</f>
        <v>0</v>
      </c>
      <c r="N273" s="593" t="s">
        <v>5014</v>
      </c>
      <c r="O273" s="113" t="str">
        <f t="shared" si="142"/>
        <v>'169', 'REFLECTOR LED 70W', '4962', '4', '706860', '594000', '1.19', '706860', '1', '706860');</v>
      </c>
      <c r="P273" s="113" t="str">
        <f t="shared" si="143"/>
        <v>INSERT INTO materiales_2 (CODIGO, NOMBRE, COD_SIESA, ID_TIPO_UNIDAD, VALOR_UNITARIO, VALOR_COMPRA, IVA, VALOR_REAL, GANANCIA, VALOR_VENDIDO) VALUES ('169', 'REFLECTOR LED 70W', '4962', '4', '706860', '594000', '1.19', '706860', '1', '706860');</v>
      </c>
    </row>
    <row r="274" spans="2:16" ht="15">
      <c r="B274" s="216">
        <f>B271+1</f>
        <v>170</v>
      </c>
      <c r="C274" s="354" t="s">
        <v>4982</v>
      </c>
      <c r="D274" s="357">
        <v>4962</v>
      </c>
      <c r="E274" s="595">
        <v>4</v>
      </c>
      <c r="F274" s="1" t="s">
        <v>4127</v>
      </c>
      <c r="G274" s="601">
        <f t="shared" ref="G274" si="150">L274</f>
        <v>1570800</v>
      </c>
      <c r="H274" s="602">
        <f>200*4400*1.5</f>
        <v>1320000</v>
      </c>
      <c r="I274" s="115">
        <v>1.19</v>
      </c>
      <c r="J274" s="608">
        <f t="shared" ref="J274" si="151">I274*H274</f>
        <v>1570800</v>
      </c>
      <c r="K274" s="602">
        <v>1</v>
      </c>
      <c r="L274" s="602">
        <f t="shared" ref="L274" si="152">K274*J274</f>
        <v>1570800</v>
      </c>
      <c r="M274" s="113">
        <f ca="1">SUMIF(APU!A:B,'Materiales '!C262,APU!I:I)</f>
        <v>0</v>
      </c>
      <c r="N274" s="593" t="s">
        <v>5014</v>
      </c>
      <c r="O274" s="113" t="str">
        <f t="shared" si="142"/>
        <v>'170', 'REFLECTOR LED 150W', '4962', '4', '1570800', '1320000', '1.19', '1570800', '1', '1570800');</v>
      </c>
      <c r="P274" s="113" t="str">
        <f t="shared" si="143"/>
        <v>INSERT INTO materiales_2 (CODIGO, NOMBRE, COD_SIESA, ID_TIPO_UNIDAD, VALOR_UNITARIO, VALOR_COMPRA, IVA, VALOR_REAL, GANANCIA, VALOR_VENDIDO) VALUES ('170', 'REFLECTOR LED 150W', '4962', '4', '1570800', '1320000', '1.19', '1570800', '1', '1570800');</v>
      </c>
    </row>
    <row r="275" spans="2:16" ht="15">
      <c r="B275" s="216">
        <f>B272+1</f>
        <v>171</v>
      </c>
      <c r="C275" s="354" t="s">
        <v>4567</v>
      </c>
      <c r="D275" s="357">
        <v>4962</v>
      </c>
      <c r="E275" s="595">
        <v>4</v>
      </c>
      <c r="F275" s="1" t="s">
        <v>4127</v>
      </c>
      <c r="G275" s="601">
        <f t="shared" si="101"/>
        <v>955715.40609999991</v>
      </c>
      <c r="H275" s="602">
        <v>803122.19</v>
      </c>
      <c r="I275" s="115">
        <v>1.19</v>
      </c>
      <c r="J275" s="608">
        <f t="shared" si="54"/>
        <v>955715.40609999991</v>
      </c>
      <c r="K275" s="602">
        <v>1</v>
      </c>
      <c r="L275" s="602">
        <f t="shared" si="53"/>
        <v>955715.40609999991</v>
      </c>
      <c r="M275" s="113">
        <f ca="1">SUMIF(APU!A:B,'Materiales '!C263,APU!I:I)</f>
        <v>0</v>
      </c>
      <c r="N275" s="593" t="s">
        <v>5014</v>
      </c>
      <c r="O275" s="113" t="str">
        <f t="shared" si="142"/>
        <v>'171', 'REFLECTOR LED 35W', '4962', '4', '955715,4061', '803122,19', '1.19', '955715,4061', '1', '955715,4061');</v>
      </c>
      <c r="P275" s="113" t="str">
        <f t="shared" si="143"/>
        <v>INSERT INTO materiales_2 (CODIGO, NOMBRE, COD_SIESA, ID_TIPO_UNIDAD, VALOR_UNITARIO, VALOR_COMPRA, IVA, VALOR_REAL, GANANCIA, VALOR_VENDIDO) VALUES ('171', 'REFLECTOR LED 35W', '4962', '4', '955715,4061', '803122,19', '1.19', '955715,4061', '1', '955715,4061');</v>
      </c>
    </row>
    <row r="276" spans="2:16" ht="15">
      <c r="B276" s="216">
        <f t="shared" si="105"/>
        <v>172</v>
      </c>
      <c r="C276" s="354" t="s">
        <v>4568</v>
      </c>
      <c r="D276" s="357">
        <v>9515</v>
      </c>
      <c r="E276" s="595">
        <v>4</v>
      </c>
      <c r="F276" s="1" t="s">
        <v>4127</v>
      </c>
      <c r="G276" s="601">
        <f t="shared" si="101"/>
        <v>1487500</v>
      </c>
      <c r="H276" s="602">
        <v>1250000</v>
      </c>
      <c r="I276" s="115">
        <v>1.19</v>
      </c>
      <c r="J276" s="608">
        <f t="shared" si="54"/>
        <v>1487500</v>
      </c>
      <c r="K276" s="602">
        <v>1</v>
      </c>
      <c r="L276" s="602">
        <f t="shared" si="53"/>
        <v>1487500</v>
      </c>
      <c r="M276" s="113">
        <f ca="1">SUMIF(APU!A:B,'Materiales '!C271,APU!I:I)</f>
        <v>0</v>
      </c>
      <c r="N276" s="593" t="s">
        <v>5014</v>
      </c>
      <c r="O276" s="113" t="str">
        <f t="shared" si="142"/>
        <v>'172', 'REFLECTOR LED 300W', '9515', '4', '1487500', '1250000', '1.19', '1487500', '1', '1487500');</v>
      </c>
      <c r="P276" s="113" t="str">
        <f t="shared" si="143"/>
        <v>INSERT INTO materiales_2 (CODIGO, NOMBRE, COD_SIESA, ID_TIPO_UNIDAD, VALOR_UNITARIO, VALOR_COMPRA, IVA, VALOR_REAL, GANANCIA, VALOR_VENDIDO) VALUES ('172', 'REFLECTOR LED 300W', '9515', '4', '1487500', '1250000', '1.19', '1487500', '1', '1487500');</v>
      </c>
    </row>
    <row r="277" spans="2:16" ht="15">
      <c r="B277" s="216">
        <f>B275+1</f>
        <v>172</v>
      </c>
      <c r="C277" s="354" t="s">
        <v>4569</v>
      </c>
      <c r="D277" s="357">
        <v>9516</v>
      </c>
      <c r="E277" s="595">
        <v>4</v>
      </c>
      <c r="F277" s="1" t="s">
        <v>4127</v>
      </c>
      <c r="G277" s="601">
        <f t="shared" ref="G277" si="153">L277</f>
        <v>2683450</v>
      </c>
      <c r="H277" s="602">
        <f>550*4100</f>
        <v>2255000</v>
      </c>
      <c r="I277" s="115">
        <v>1.19</v>
      </c>
      <c r="J277" s="608">
        <f t="shared" ref="J277" si="154">I277*H277</f>
        <v>2683450</v>
      </c>
      <c r="K277" s="602">
        <v>1</v>
      </c>
      <c r="L277" s="602">
        <f t="shared" ref="L277" si="155">K277*J277</f>
        <v>2683450</v>
      </c>
      <c r="M277" s="113">
        <f ca="1">SUMIF(APU!A:B,'Materiales '!C271,APU!I:I)</f>
        <v>0</v>
      </c>
      <c r="N277" s="593" t="s">
        <v>5014</v>
      </c>
      <c r="O277" s="113" t="str">
        <f t="shared" si="142"/>
        <v>'172', 'REFLECTOR LED 400W', '9516', '4', '2683450', '2255000', '1.19', '2683450', '1', '2683450');</v>
      </c>
      <c r="P277" s="113" t="str">
        <f t="shared" si="143"/>
        <v>INSERT INTO materiales_2 (CODIGO, NOMBRE, COD_SIESA, ID_TIPO_UNIDAD, VALOR_UNITARIO, VALOR_COMPRA, IVA, VALOR_REAL, GANANCIA, VALOR_VENDIDO) VALUES ('172', 'REFLECTOR LED 400W', '9516', '4', '2683450', '2255000', '1.19', '2683450', '1', '2683450');</v>
      </c>
    </row>
    <row r="278" spans="2:16" ht="15">
      <c r="B278" s="216">
        <f>B276+1</f>
        <v>173</v>
      </c>
      <c r="C278" s="354" t="s">
        <v>4978</v>
      </c>
      <c r="D278" s="357">
        <v>9516</v>
      </c>
      <c r="E278" s="595">
        <v>4</v>
      </c>
      <c r="F278" s="1" t="s">
        <v>4127</v>
      </c>
      <c r="G278" s="601">
        <f t="shared" si="101"/>
        <v>4319700</v>
      </c>
      <c r="H278" s="602">
        <f>550*4400*1.5</f>
        <v>3630000</v>
      </c>
      <c r="I278" s="115">
        <v>1.19</v>
      </c>
      <c r="J278" s="608">
        <f t="shared" si="54"/>
        <v>4319700</v>
      </c>
      <c r="K278" s="602">
        <v>1</v>
      </c>
      <c r="L278" s="602">
        <f t="shared" si="53"/>
        <v>4319700</v>
      </c>
      <c r="M278" s="113">
        <f ca="1">SUMIF(APU!A:B,'Materiales '!C272,APU!I:I)</f>
        <v>0</v>
      </c>
      <c r="N278" s="593" t="s">
        <v>5014</v>
      </c>
      <c r="O278" s="113" t="str">
        <f t="shared" si="142"/>
        <v>'173', 'REFLECTOR LED 500W', '9516', '4', '4319700', '3630000', '1.19', '4319700', '1', '4319700');</v>
      </c>
      <c r="P278" s="113" t="str">
        <f t="shared" si="143"/>
        <v>INSERT INTO materiales_2 (CODIGO, NOMBRE, COD_SIESA, ID_TIPO_UNIDAD, VALOR_UNITARIO, VALOR_COMPRA, IVA, VALOR_REAL, GANANCIA, VALOR_VENDIDO) VALUES ('173', 'REFLECTOR LED 500W', '9516', '4', '4319700', '3630000', '1.19', '4319700', '1', '4319700');</v>
      </c>
    </row>
    <row r="279" spans="2:16" ht="15">
      <c r="B279" s="216">
        <f>B272+1</f>
        <v>171</v>
      </c>
      <c r="C279" s="366" t="s">
        <v>4737</v>
      </c>
      <c r="D279" s="357"/>
      <c r="E279" s="595">
        <v>4</v>
      </c>
      <c r="F279" s="1" t="s">
        <v>4127</v>
      </c>
      <c r="G279" s="601">
        <f t="shared" ref="G279:G280" si="156">L279</f>
        <v>505750</v>
      </c>
      <c r="H279" s="602">
        <v>425000</v>
      </c>
      <c r="I279" s="115">
        <v>1.19</v>
      </c>
      <c r="J279" s="608">
        <f t="shared" ref="J279:J280" si="157">I279*H279</f>
        <v>505750</v>
      </c>
      <c r="K279" s="602">
        <v>1</v>
      </c>
      <c r="L279" s="602">
        <f t="shared" ref="L279:L280" si="158">K279*J279</f>
        <v>505750</v>
      </c>
      <c r="M279" s="113">
        <f ca="1">SUMIF(APU!A:B,'Materiales '!C275,APU!I:I)</f>
        <v>0</v>
      </c>
      <c r="N279" s="593" t="s">
        <v>5014</v>
      </c>
      <c r="O279" s="113" t="str">
        <f t="shared" si="142"/>
        <v>'171', 'BAÑADOR LED 31W', '', '4', '505750', '425000', '1.19', '505750', '1', '505750');</v>
      </c>
      <c r="P279" s="113" t="str">
        <f t="shared" si="143"/>
        <v>INSERT INTO materiales_2 (CODIGO, NOMBRE, COD_SIESA, ID_TIPO_UNIDAD, VALOR_UNITARIO, VALOR_COMPRA, IVA, VALOR_REAL, GANANCIA, VALOR_VENDIDO) VALUES ('171', 'BAÑADOR LED 31W', '', '4', '505750', '425000', '1.19', '505750', '1', '505750');</v>
      </c>
    </row>
    <row r="280" spans="2:16" ht="15">
      <c r="B280" s="216">
        <f>B272+1</f>
        <v>171</v>
      </c>
      <c r="C280" s="364" t="s">
        <v>4715</v>
      </c>
      <c r="D280" s="357"/>
      <c r="E280" s="595">
        <v>4</v>
      </c>
      <c r="F280" s="1" t="s">
        <v>4127</v>
      </c>
      <c r="G280" s="601">
        <f t="shared" si="156"/>
        <v>79054.080000000002</v>
      </c>
      <c r="H280" s="602">
        <v>66432</v>
      </c>
      <c r="I280" s="115">
        <v>1.19</v>
      </c>
      <c r="J280" s="608">
        <f t="shared" si="157"/>
        <v>79054.080000000002</v>
      </c>
      <c r="K280" s="602">
        <v>1</v>
      </c>
      <c r="L280" s="602">
        <f t="shared" si="158"/>
        <v>79054.080000000002</v>
      </c>
      <c r="M280" s="113">
        <f ca="1">SUMIF(APU!A:B,'Materiales '!C270,APU!I:I)</f>
        <v>0</v>
      </c>
      <c r="N280" s="593" t="s">
        <v>5014</v>
      </c>
      <c r="O280" s="113" t="str">
        <f t="shared" si="142"/>
        <v>'171', 'SPOT LED 18W, 650LM', '', '4', '79054,08', '66432', '1.19', '79054,08', '1', '79054,08');</v>
      </c>
      <c r="P280" s="113" t="str">
        <f t="shared" si="143"/>
        <v>INSERT INTO materiales_2 (CODIGO, NOMBRE, COD_SIESA, ID_TIPO_UNIDAD, VALOR_UNITARIO, VALOR_COMPRA, IVA, VALOR_REAL, GANANCIA, VALOR_VENDIDO) VALUES ('171', 'SPOT LED 18W, 650LM', '', '4', '79054,08', '66432', '1.19', '79054,08', '1', '79054,08');</v>
      </c>
    </row>
    <row r="281" spans="2:16" ht="15">
      <c r="B281" s="216">
        <f>B275+1</f>
        <v>172</v>
      </c>
      <c r="C281" s="364" t="s">
        <v>4621</v>
      </c>
      <c r="D281" s="357"/>
      <c r="E281" s="595">
        <v>4</v>
      </c>
      <c r="F281" s="1" t="s">
        <v>4127</v>
      </c>
      <c r="G281" s="601">
        <f t="shared" si="101"/>
        <v>69020</v>
      </c>
      <c r="H281" s="602">
        <v>58000</v>
      </c>
      <c r="I281" s="115">
        <v>1.19</v>
      </c>
      <c r="J281" s="608">
        <f t="shared" ref="J281" si="159">I281*H281</f>
        <v>69020</v>
      </c>
      <c r="K281" s="602">
        <v>1</v>
      </c>
      <c r="L281" s="602">
        <f t="shared" ref="L281" si="160">K281*J281</f>
        <v>69020</v>
      </c>
      <c r="M281" s="113">
        <f ca="1">SUMIF(APU!A:B,'Materiales '!C271,APU!I:I)</f>
        <v>0</v>
      </c>
      <c r="N281" s="593" t="s">
        <v>5014</v>
      </c>
      <c r="O281" s="113" t="str">
        <f t="shared" si="142"/>
        <v>'172', 'SPOT LED 14W, 650LM', '', '4', '69020', '58000', '1.19', '69020', '1', '69020');</v>
      </c>
      <c r="P281" s="113" t="str">
        <f t="shared" si="143"/>
        <v>INSERT INTO materiales_2 (CODIGO, NOMBRE, COD_SIESA, ID_TIPO_UNIDAD, VALOR_UNITARIO, VALOR_COMPRA, IVA, VALOR_REAL, GANANCIA, VALOR_VENDIDO) VALUES ('172', 'SPOT LED 14W, 650LM', '', '4', '69020', '58000', '1.19', '69020', '1', '69020');</v>
      </c>
    </row>
    <row r="282" spans="2:16" ht="15">
      <c r="B282" s="216">
        <f>B276+1</f>
        <v>173</v>
      </c>
      <c r="C282" s="354" t="s">
        <v>4626</v>
      </c>
      <c r="D282" s="357"/>
      <c r="E282" s="595">
        <v>4</v>
      </c>
      <c r="F282" s="1" t="s">
        <v>4127</v>
      </c>
      <c r="G282" s="601">
        <f t="shared" ref="G282" si="161">L282</f>
        <v>11900</v>
      </c>
      <c r="H282" s="602">
        <v>10000</v>
      </c>
      <c r="I282" s="115">
        <v>1.19</v>
      </c>
      <c r="J282" s="608">
        <f t="shared" si="54"/>
        <v>11900</v>
      </c>
      <c r="K282" s="602">
        <v>1</v>
      </c>
      <c r="L282" s="602">
        <f t="shared" si="53"/>
        <v>11900</v>
      </c>
      <c r="M282" s="113">
        <f ca="1">SUMIF(APU!A:B,'Materiales '!C272,APU!I:I)</f>
        <v>0</v>
      </c>
      <c r="N282" s="593" t="s">
        <v>5014</v>
      </c>
      <c r="O282" s="113" t="str">
        <f t="shared" si="142"/>
        <v>'173', 'SILICONA LIQUIDA', '', '4', '11900', '10000', '1.19', '11900', '1', '11900');</v>
      </c>
      <c r="P282" s="113" t="str">
        <f t="shared" si="143"/>
        <v>INSERT INTO materiales_2 (CODIGO, NOMBRE, COD_SIESA, ID_TIPO_UNIDAD, VALOR_UNITARIO, VALOR_COMPRA, IVA, VALOR_REAL, GANANCIA, VALOR_VENDIDO) VALUES ('173', 'SILICONA LIQUIDA', '', '4', '11900', '10000', '1.19', '11900', '1', '11900');</v>
      </c>
    </row>
    <row r="283" spans="2:16" ht="15">
      <c r="B283" s="216">
        <f>B278+1</f>
        <v>174</v>
      </c>
      <c r="C283" s="354" t="s">
        <v>4570</v>
      </c>
      <c r="D283" s="357">
        <v>3360</v>
      </c>
      <c r="E283" s="595">
        <v>4</v>
      </c>
      <c r="F283" s="1" t="s">
        <v>4127</v>
      </c>
      <c r="G283" s="601">
        <f t="shared" si="101"/>
        <v>28857.5</v>
      </c>
      <c r="H283" s="602">
        <v>24250</v>
      </c>
      <c r="I283" s="115">
        <v>1.19</v>
      </c>
      <c r="J283" s="608">
        <f t="shared" si="54"/>
        <v>28857.5</v>
      </c>
      <c r="K283" s="602">
        <v>1</v>
      </c>
      <c r="L283" s="602">
        <f t="shared" si="53"/>
        <v>28857.5</v>
      </c>
      <c r="M283" s="113">
        <f ca="1">SUMIF(APU!A:B,'Materiales '!C275,APU!I:I)</f>
        <v>0</v>
      </c>
      <c r="N283" s="593" t="s">
        <v>5014</v>
      </c>
      <c r="O283" s="113" t="str">
        <f t="shared" si="142"/>
        <v>'174', 'SOLDADURA PVC X 1/8', '3360', '4', '28857,5', '24250', '1.19', '28857,5', '1', '28857,5');</v>
      </c>
      <c r="P283" s="113" t="str">
        <f t="shared" si="143"/>
        <v>INSERT INTO materiales_2 (CODIGO, NOMBRE, COD_SIESA, ID_TIPO_UNIDAD, VALOR_UNITARIO, VALOR_COMPRA, IVA, VALOR_REAL, GANANCIA, VALOR_VENDIDO) VALUES ('174', 'SOLDADURA PVC X 1/8', '3360', '4', '28857,5', '24250', '1.19', '28857,5', '1', '28857,5');</v>
      </c>
    </row>
    <row r="284" spans="2:16" ht="15">
      <c r="B284" s="216">
        <f>B282+1</f>
        <v>174</v>
      </c>
      <c r="C284" s="354" t="s">
        <v>4627</v>
      </c>
      <c r="D284" s="357"/>
      <c r="E284" s="595">
        <v>4</v>
      </c>
      <c r="F284" s="1" t="s">
        <v>4127</v>
      </c>
      <c r="G284" s="601">
        <f t="shared" ref="G284" si="162">L284</f>
        <v>3689</v>
      </c>
      <c r="H284" s="602">
        <v>3100</v>
      </c>
      <c r="I284" s="115">
        <v>1.19</v>
      </c>
      <c r="J284" s="608">
        <f t="shared" si="54"/>
        <v>3689</v>
      </c>
      <c r="K284" s="602">
        <v>1</v>
      </c>
      <c r="L284" s="602">
        <f t="shared" si="53"/>
        <v>3689</v>
      </c>
      <c r="M284" s="113">
        <f ca="1">SUMIF(APU!A:B,'Materiales '!C275,APU!I:I)</f>
        <v>0</v>
      </c>
      <c r="N284" s="593" t="s">
        <v>5014</v>
      </c>
      <c r="O284" s="113" t="str">
        <f t="shared" si="142"/>
        <v>'174', 'TAPA REDONDA METALICA PARA RADWELT', '', '4', '3689', '3100', '1.19', '3689', '1', '3689');</v>
      </c>
      <c r="P284" s="113" t="str">
        <f t="shared" si="143"/>
        <v>INSERT INTO materiales_2 (CODIGO, NOMBRE, COD_SIESA, ID_TIPO_UNIDAD, VALOR_UNITARIO, VALOR_COMPRA, IVA, VALOR_REAL, GANANCIA, VALOR_VENDIDO) VALUES ('174', 'TAPA REDONDA METALICA PARA RADWELT', '', '4', '3689', '3100', '1.19', '3689', '1', '3689');</v>
      </c>
    </row>
    <row r="285" spans="2:16" ht="15">
      <c r="B285" s="216">
        <f>B283+1</f>
        <v>175</v>
      </c>
      <c r="C285" s="354" t="s">
        <v>4571</v>
      </c>
      <c r="D285" s="357">
        <v>9491</v>
      </c>
      <c r="E285" s="595">
        <v>4</v>
      </c>
      <c r="F285" s="1" t="s">
        <v>4127</v>
      </c>
      <c r="G285" s="601">
        <f t="shared" si="101"/>
        <v>0</v>
      </c>
      <c r="H285" s="602">
        <v>0</v>
      </c>
      <c r="I285" s="115">
        <v>1.19</v>
      </c>
      <c r="J285" s="608">
        <f t="shared" si="54"/>
        <v>0</v>
      </c>
      <c r="K285" s="602">
        <v>1</v>
      </c>
      <c r="L285" s="602">
        <f t="shared" si="53"/>
        <v>0</v>
      </c>
      <c r="M285" s="113">
        <f ca="1">SUMIF(APU!A:B,'Materiales '!C276,APU!I:I)</f>
        <v>0</v>
      </c>
      <c r="N285" s="593" t="s">
        <v>5014</v>
      </c>
      <c r="O285" s="113" t="str">
        <f t="shared" si="142"/>
        <v>'175', 'TAPON SELLADOR PARA CABLE 2', '9491', '4', '0', '0', '1.19', '0', '1', '0');</v>
      </c>
      <c r="P285" s="113" t="str">
        <f t="shared" si="143"/>
        <v>INSERT INTO materiales_2 (CODIGO, NOMBRE, COD_SIESA, ID_TIPO_UNIDAD, VALOR_UNITARIO, VALOR_COMPRA, IVA, VALOR_REAL, GANANCIA, VALOR_VENDIDO) VALUES ('175', 'TAPON SELLADOR PARA CABLE 2', '9491', '4', '0', '0', '1.19', '0', '1', '0');</v>
      </c>
    </row>
    <row r="286" spans="2:16" ht="15">
      <c r="B286" s="216">
        <f t="shared" si="105"/>
        <v>176</v>
      </c>
      <c r="C286" s="354" t="s">
        <v>4572</v>
      </c>
      <c r="D286" s="357">
        <v>9615</v>
      </c>
      <c r="E286" s="595">
        <v>4</v>
      </c>
      <c r="F286" s="1" t="s">
        <v>4127</v>
      </c>
      <c r="G286" s="601">
        <f t="shared" si="101"/>
        <v>0</v>
      </c>
      <c r="H286" s="602">
        <v>0</v>
      </c>
      <c r="I286" s="115">
        <v>1.19</v>
      </c>
      <c r="J286" s="608">
        <f t="shared" si="54"/>
        <v>0</v>
      </c>
      <c r="K286" s="602">
        <v>1</v>
      </c>
      <c r="L286" s="602">
        <f t="shared" si="53"/>
        <v>0</v>
      </c>
      <c r="M286" s="113">
        <f ca="1">SUMIF(APU!A:B,'Materiales '!C278,APU!I:I)</f>
        <v>0</v>
      </c>
      <c r="N286" s="593" t="s">
        <v>5014</v>
      </c>
      <c r="O286" s="113" t="str">
        <f t="shared" si="142"/>
        <v>'176', 'TAPON SELLADOR PARA CABLE 4', '9615', '4', '0', '0', '1.19', '0', '1', '0');</v>
      </c>
      <c r="P286" s="113" t="str">
        <f t="shared" si="143"/>
        <v>INSERT INTO materiales_2 (CODIGO, NOMBRE, COD_SIESA, ID_TIPO_UNIDAD, VALOR_UNITARIO, VALOR_COMPRA, IVA, VALOR_REAL, GANANCIA, VALOR_VENDIDO) VALUES ('176', 'TAPON SELLADOR PARA CABLE 4', '9615', '4', '0', '0', '1.19', '0', '1', '0');</v>
      </c>
    </row>
    <row r="287" spans="2:16" ht="15">
      <c r="B287" s="216">
        <f t="shared" si="105"/>
        <v>177</v>
      </c>
      <c r="C287" s="354" t="s">
        <v>4573</v>
      </c>
      <c r="D287" s="357">
        <v>5334</v>
      </c>
      <c r="E287" s="595">
        <v>4</v>
      </c>
      <c r="F287" s="1" t="s">
        <v>4127</v>
      </c>
      <c r="G287" s="601">
        <f t="shared" si="101"/>
        <v>2728.67</v>
      </c>
      <c r="H287" s="602">
        <v>2293</v>
      </c>
      <c r="I287" s="115">
        <v>1.19</v>
      </c>
      <c r="J287" s="608">
        <f t="shared" si="54"/>
        <v>2728.67</v>
      </c>
      <c r="K287" s="602">
        <v>1</v>
      </c>
      <c r="L287" s="602">
        <f t="shared" si="53"/>
        <v>2728.67</v>
      </c>
      <c r="M287" s="113">
        <f ca="1">SUMIF(APU!A:B,'Materiales '!C283,APU!I:I)</f>
        <v>0</v>
      </c>
      <c r="N287" s="593" t="s">
        <v>5014</v>
      </c>
      <c r="O287" s="113" t="str">
        <f t="shared" si="142"/>
        <v>'177', 'TORNILLO Y TUERCA 5/8"X3"', '5334', '4', '2728,67', '2293', '1.19', '2728,67', '1', '2728,67');</v>
      </c>
      <c r="P287" s="113" t="str">
        <f t="shared" si="143"/>
        <v>INSERT INTO materiales_2 (CODIGO, NOMBRE, COD_SIESA, ID_TIPO_UNIDAD, VALOR_UNITARIO, VALOR_COMPRA, IVA, VALOR_REAL, GANANCIA, VALOR_VENDIDO) VALUES ('177', 'TORNILLO Y TUERCA 5/8"X3"', '5334', '4', '2728,67', '2293', '1.19', '2728,67', '1', '2728,67');</v>
      </c>
    </row>
    <row r="288" spans="2:16" ht="15">
      <c r="B288" s="216">
        <f t="shared" si="105"/>
        <v>178</v>
      </c>
      <c r="C288" s="354" t="s">
        <v>4574</v>
      </c>
      <c r="D288" s="357">
        <v>11149</v>
      </c>
      <c r="E288" s="595">
        <v>4</v>
      </c>
      <c r="F288" s="1" t="s">
        <v>4127</v>
      </c>
      <c r="G288" s="601">
        <f t="shared" si="101"/>
        <v>181237</v>
      </c>
      <c r="H288" s="602">
        <v>152300</v>
      </c>
      <c r="I288" s="115">
        <v>1.19</v>
      </c>
      <c r="J288" s="608">
        <f t="shared" si="54"/>
        <v>181237</v>
      </c>
      <c r="K288" s="602">
        <v>1</v>
      </c>
      <c r="L288" s="602">
        <f t="shared" si="53"/>
        <v>181237</v>
      </c>
      <c r="M288" s="113">
        <f ca="1">SUMIF(APU!A:B,'Materiales '!C285,APU!I:I)</f>
        <v>0</v>
      </c>
      <c r="N288" s="593" t="s">
        <v>5014</v>
      </c>
      <c r="O288" s="113" t="str">
        <f t="shared" si="142"/>
        <v>'178', 'TABLERO PARA MEDIDA DIRECTA CON ESPACIO PARA INTERRUPTOR', '11149', '4', '181237', '152300', '1.19', '181237', '1', '181237');</v>
      </c>
      <c r="P288" s="113" t="str">
        <f t="shared" si="143"/>
        <v>INSERT INTO materiales_2 (CODIGO, NOMBRE, COD_SIESA, ID_TIPO_UNIDAD, VALOR_UNITARIO, VALOR_COMPRA, IVA, VALOR_REAL, GANANCIA, VALOR_VENDIDO) VALUES ('178', 'TABLERO PARA MEDIDA DIRECTA CON ESPACIO PARA INTERRUPTOR', '11149', '4', '181237', '152300', '1.19', '181237', '1', '181237');</v>
      </c>
    </row>
    <row r="289" spans="2:16" ht="15">
      <c r="B289" s="216">
        <f t="shared" si="105"/>
        <v>179</v>
      </c>
      <c r="C289" s="354" t="s">
        <v>4575</v>
      </c>
      <c r="D289" s="357">
        <v>3664</v>
      </c>
      <c r="E289" s="595">
        <v>4</v>
      </c>
      <c r="F289" s="1" t="s">
        <v>4127</v>
      </c>
      <c r="G289" s="601">
        <f t="shared" si="101"/>
        <v>0</v>
      </c>
      <c r="H289" s="602">
        <v>0</v>
      </c>
      <c r="I289" s="115">
        <v>1.19</v>
      </c>
      <c r="J289" s="608">
        <f t="shared" si="54"/>
        <v>0</v>
      </c>
      <c r="K289" s="602">
        <v>1</v>
      </c>
      <c r="L289" s="602">
        <f t="shared" si="53"/>
        <v>0</v>
      </c>
      <c r="M289" s="113">
        <f ca="1">SUMIF(APU!A:B,'Materiales '!C286,APU!I:I)</f>
        <v>0</v>
      </c>
      <c r="N289" s="593" t="s">
        <v>5014</v>
      </c>
      <c r="O289" s="113" t="str">
        <f t="shared" si="142"/>
        <v>'179', 'TERMINAL ALUMINIO CABLE # 1/0', '3664', '4', '0', '0', '1.19', '0', '1', '0');</v>
      </c>
      <c r="P289" s="113" t="str">
        <f t="shared" si="143"/>
        <v>INSERT INTO materiales_2 (CODIGO, NOMBRE, COD_SIESA, ID_TIPO_UNIDAD, VALOR_UNITARIO, VALOR_COMPRA, IVA, VALOR_REAL, GANANCIA, VALOR_VENDIDO) VALUES ('179', 'TERMINAL ALUMINIO CABLE # 1/0', '3664', '4', '0', '0', '1.19', '0', '1', '0');</v>
      </c>
    </row>
    <row r="290" spans="2:16" ht="15">
      <c r="B290" s="216">
        <f t="shared" si="105"/>
        <v>180</v>
      </c>
      <c r="C290" s="354" t="s">
        <v>4576</v>
      </c>
      <c r="D290" s="357">
        <v>10285</v>
      </c>
      <c r="E290" s="595">
        <v>4</v>
      </c>
      <c r="F290" s="1" t="s">
        <v>4127</v>
      </c>
      <c r="G290" s="601">
        <f t="shared" si="101"/>
        <v>1999.1999999999998</v>
      </c>
      <c r="H290" s="602">
        <v>1680</v>
      </c>
      <c r="I290" s="115">
        <v>1.19</v>
      </c>
      <c r="J290" s="608">
        <f t="shared" si="54"/>
        <v>1999.1999999999998</v>
      </c>
      <c r="K290" s="602">
        <v>1</v>
      </c>
      <c r="L290" s="602">
        <f t="shared" si="53"/>
        <v>1999.1999999999998</v>
      </c>
      <c r="M290" s="113">
        <f ca="1">SUMIF(APU!A:B,'Materiales '!C287,APU!I:I)</f>
        <v>0</v>
      </c>
      <c r="N290" s="593" t="s">
        <v>5014</v>
      </c>
      <c r="O290" s="113" t="str">
        <f t="shared" si="142"/>
        <v>'180', 'TERMINAL ALUMINIO CABLE # 2', '10285', '4', '1999,2', '1680', '1.19', '1999,2', '1', '1999,2');</v>
      </c>
      <c r="P290" s="113" t="str">
        <f t="shared" si="143"/>
        <v>INSERT INTO materiales_2 (CODIGO, NOMBRE, COD_SIESA, ID_TIPO_UNIDAD, VALOR_UNITARIO, VALOR_COMPRA, IVA, VALOR_REAL, GANANCIA, VALOR_VENDIDO) VALUES ('180', 'TERMINAL ALUMINIO CABLE # 2', '10285', '4', '1999,2', '1680', '1.19', '1999,2', '1', '1999,2');</v>
      </c>
    </row>
    <row r="291" spans="2:16" ht="15">
      <c r="B291" s="216">
        <f t="shared" si="105"/>
        <v>181</v>
      </c>
      <c r="C291" s="354" t="s">
        <v>4577</v>
      </c>
      <c r="D291" s="357">
        <v>3669</v>
      </c>
      <c r="E291" s="595">
        <v>4</v>
      </c>
      <c r="F291" s="1" t="s">
        <v>4127</v>
      </c>
      <c r="G291" s="601">
        <f t="shared" si="101"/>
        <v>0</v>
      </c>
      <c r="H291" s="602">
        <v>0</v>
      </c>
      <c r="I291" s="115">
        <v>1.19</v>
      </c>
      <c r="J291" s="608">
        <f t="shared" si="54"/>
        <v>0</v>
      </c>
      <c r="K291" s="602">
        <v>1</v>
      </c>
      <c r="L291" s="602">
        <f t="shared" si="53"/>
        <v>0</v>
      </c>
      <c r="M291" s="113">
        <f ca="1">SUMIF(APU!A:B,'Materiales '!C288,APU!I:I)</f>
        <v>0</v>
      </c>
      <c r="N291" s="593" t="s">
        <v>5014</v>
      </c>
      <c r="O291" s="113" t="str">
        <f t="shared" si="142"/>
        <v>'181', 'TERMINAL ALUMINIO CABLE # 4', '3669', '4', '0', '0', '1.19', '0', '1', '0');</v>
      </c>
      <c r="P291" s="113" t="str">
        <f t="shared" si="143"/>
        <v>INSERT INTO materiales_2 (CODIGO, NOMBRE, COD_SIESA, ID_TIPO_UNIDAD, VALOR_UNITARIO, VALOR_COMPRA, IVA, VALOR_REAL, GANANCIA, VALOR_VENDIDO) VALUES ('181', 'TERMINAL ALUMINIO CABLE # 4', '3669', '4', '0', '0', '1.19', '0', '1', '0');</v>
      </c>
    </row>
    <row r="292" spans="2:16" ht="15">
      <c r="B292" s="216">
        <f t="shared" si="105"/>
        <v>182</v>
      </c>
      <c r="C292" s="354" t="s">
        <v>4578</v>
      </c>
      <c r="D292" s="357">
        <v>3848</v>
      </c>
      <c r="E292" s="595">
        <v>4</v>
      </c>
      <c r="F292" s="1" t="s">
        <v>4127</v>
      </c>
      <c r="G292" s="601">
        <f t="shared" si="101"/>
        <v>2844100</v>
      </c>
      <c r="H292" s="606">
        <v>2390000</v>
      </c>
      <c r="I292" s="115">
        <v>1.19</v>
      </c>
      <c r="J292" s="608">
        <f t="shared" si="54"/>
        <v>2844100</v>
      </c>
      <c r="K292" s="602">
        <v>1</v>
      </c>
      <c r="L292" s="602">
        <f t="shared" si="53"/>
        <v>2844100</v>
      </c>
      <c r="M292" s="113">
        <f ca="1">SUMIF(APU!A:B,'Materiales '!C289,APU!I:I)</f>
        <v>0</v>
      </c>
      <c r="N292" s="593" t="s">
        <v>5014</v>
      </c>
      <c r="O292" s="113" t="str">
        <f t="shared" si="142"/>
        <v>'182', 'TRANSFORMADOR MONOFASICO 5 KVA 13200/480-240', '3848', '4', '2844100', '2390000', '1.19', '2844100', '1', '2844100');</v>
      </c>
      <c r="P292" s="113" t="str">
        <f t="shared" si="143"/>
        <v>INSERT INTO materiales_2 (CODIGO, NOMBRE, COD_SIESA, ID_TIPO_UNIDAD, VALOR_UNITARIO, VALOR_COMPRA, IVA, VALOR_REAL, GANANCIA, VALOR_VENDIDO) VALUES ('182', 'TRANSFORMADOR MONOFASICO 5 KVA 13200/480-240', '3848', '4', '2844100', '2390000', '1.19', '2844100', '1', '2844100');</v>
      </c>
    </row>
    <row r="293" spans="2:16" ht="15">
      <c r="B293" s="216">
        <f t="shared" si="105"/>
        <v>183</v>
      </c>
      <c r="C293" s="354" t="s">
        <v>4579</v>
      </c>
      <c r="D293" s="357">
        <v>3846</v>
      </c>
      <c r="E293" s="595">
        <v>4</v>
      </c>
      <c r="F293" s="1" t="s">
        <v>4127</v>
      </c>
      <c r="G293" s="601">
        <f t="shared" si="101"/>
        <v>4129300</v>
      </c>
      <c r="H293" s="606">
        <v>3470000</v>
      </c>
      <c r="I293" s="115">
        <v>1.19</v>
      </c>
      <c r="J293" s="608">
        <f t="shared" si="54"/>
        <v>4129300</v>
      </c>
      <c r="K293" s="602">
        <v>1</v>
      </c>
      <c r="L293" s="602">
        <f t="shared" si="53"/>
        <v>4129300</v>
      </c>
      <c r="M293" s="113">
        <f ca="1">SUMIF(APU!A:B,'Materiales '!C291,APU!I:I)</f>
        <v>0</v>
      </c>
      <c r="N293" s="593" t="s">
        <v>5014</v>
      </c>
      <c r="O293" s="113" t="str">
        <f t="shared" si="142"/>
        <v>'183', 'TRANSFORMADOR MONOFASICO 10 KVA 13200/480-240', '3846', '4', '4129300', '3470000', '1.19', '4129300', '1', '4129300');</v>
      </c>
      <c r="P293" s="113" t="str">
        <f t="shared" si="143"/>
        <v>INSERT INTO materiales_2 (CODIGO, NOMBRE, COD_SIESA, ID_TIPO_UNIDAD, VALOR_UNITARIO, VALOR_COMPRA, IVA, VALOR_REAL, GANANCIA, VALOR_VENDIDO) VALUES ('183', 'TRANSFORMADOR MONOFASICO 10 KVA 13200/480-240', '3846', '4', '4129300', '3470000', '1.19', '4129300', '1', '4129300');</v>
      </c>
    </row>
    <row r="294" spans="2:16" ht="15">
      <c r="B294" s="216">
        <f>B292+1</f>
        <v>183</v>
      </c>
      <c r="C294" s="354" t="s">
        <v>4580</v>
      </c>
      <c r="D294" s="357">
        <v>3849</v>
      </c>
      <c r="E294" s="595">
        <v>4</v>
      </c>
      <c r="F294" s="1" t="s">
        <v>4127</v>
      </c>
      <c r="G294" s="601">
        <f t="shared" ref="G294:G297" si="163">L294</f>
        <v>4700500</v>
      </c>
      <c r="H294" s="606">
        <v>3950000</v>
      </c>
      <c r="I294" s="115">
        <v>1.19</v>
      </c>
      <c r="J294" s="608">
        <f t="shared" ref="J294:J297" si="164">I294*H294</f>
        <v>4700500</v>
      </c>
      <c r="K294" s="602">
        <v>1</v>
      </c>
      <c r="L294" s="602">
        <f t="shared" ref="L294:L297" si="165">K294*J294</f>
        <v>4700500</v>
      </c>
      <c r="M294" s="113">
        <f ca="1">SUMIF(APU!A:B,'Materiales '!C291,APU!I:I)</f>
        <v>0</v>
      </c>
      <c r="N294" s="593" t="s">
        <v>5014</v>
      </c>
      <c r="O294" s="113" t="str">
        <f t="shared" si="142"/>
        <v>'183', 'TRANSFORMADOR MONOFASICO 15 KVA 13200/480-240', '3849', '4', '4700500', '3950000', '1.19', '4700500', '1', '4700500');</v>
      </c>
      <c r="P294" s="113" t="str">
        <f t="shared" si="143"/>
        <v>INSERT INTO materiales_2 (CODIGO, NOMBRE, COD_SIESA, ID_TIPO_UNIDAD, VALOR_UNITARIO, VALOR_COMPRA, IVA, VALOR_REAL, GANANCIA, VALOR_VENDIDO) VALUES ('183', 'TRANSFORMADOR MONOFASICO 15 KVA 13200/480-240', '3849', '4', '4700500', '3950000', '1.19', '4700500', '1', '4700500');</v>
      </c>
    </row>
    <row r="295" spans="2:16" ht="15">
      <c r="B295" s="216">
        <f>B292+1</f>
        <v>183</v>
      </c>
      <c r="C295" s="354" t="s">
        <v>4780</v>
      </c>
      <c r="D295" s="357">
        <v>3849</v>
      </c>
      <c r="E295" s="595">
        <v>4</v>
      </c>
      <c r="F295" s="1" t="s">
        <v>4127</v>
      </c>
      <c r="G295" s="601">
        <f t="shared" si="163"/>
        <v>8939280</v>
      </c>
      <c r="H295" s="606">
        <v>7512000</v>
      </c>
      <c r="I295" s="115">
        <v>1.19</v>
      </c>
      <c r="J295" s="608">
        <f t="shared" si="164"/>
        <v>8939280</v>
      </c>
      <c r="K295" s="602">
        <v>1</v>
      </c>
      <c r="L295" s="602">
        <f t="shared" si="165"/>
        <v>8939280</v>
      </c>
      <c r="M295" s="113">
        <f ca="1">SUMIF(APU!A:B,'Materiales '!C291,APU!I:I)</f>
        <v>0</v>
      </c>
      <c r="N295" s="593" t="s">
        <v>5014</v>
      </c>
      <c r="O295" s="113" t="str">
        <f t="shared" si="142"/>
        <v>'183', 'TRANSFORMADOR MONOFASICO 50 KVA 13200/480-240', '3849', '4', '8939280', '7512000', '1.19', '8939280', '1', '8939280');</v>
      </c>
      <c r="P295" s="113" t="str">
        <f t="shared" si="143"/>
        <v>INSERT INTO materiales_2 (CODIGO, NOMBRE, COD_SIESA, ID_TIPO_UNIDAD, VALOR_UNITARIO, VALOR_COMPRA, IVA, VALOR_REAL, GANANCIA, VALOR_VENDIDO) VALUES ('183', 'TRANSFORMADOR MONOFASICO 50 KVA 13200/480-240', '3849', '4', '8939280', '7512000', '1.19', '8939280', '1', '8939280');</v>
      </c>
    </row>
    <row r="296" spans="2:16" ht="15">
      <c r="B296" s="216">
        <f>B292+1</f>
        <v>183</v>
      </c>
      <c r="C296" s="354" t="s">
        <v>4809</v>
      </c>
      <c r="D296" s="357"/>
      <c r="E296" s="595">
        <v>4</v>
      </c>
      <c r="F296" s="1" t="s">
        <v>4127</v>
      </c>
      <c r="G296" s="601">
        <f t="shared" si="163"/>
        <v>6545000</v>
      </c>
      <c r="H296" s="606">
        <v>5500000</v>
      </c>
      <c r="I296" s="115">
        <v>1.19</v>
      </c>
      <c r="J296" s="608">
        <f t="shared" si="164"/>
        <v>6545000</v>
      </c>
      <c r="K296" s="602">
        <v>1</v>
      </c>
      <c r="L296" s="602">
        <f t="shared" si="165"/>
        <v>6545000</v>
      </c>
      <c r="M296" s="113">
        <f ca="1">SUMIF(APU!A:B,'Materiales '!C291,APU!I:I)</f>
        <v>0</v>
      </c>
      <c r="N296" s="593" t="s">
        <v>5014</v>
      </c>
      <c r="O296" s="113" t="str">
        <f t="shared" si="142"/>
        <v>'183', 'TRANSFORMADOR MONOFASICO 25 KVA 13200/480-240', '', '4', '6545000', '5500000', '1.19', '6545000', '1', '6545000');</v>
      </c>
      <c r="P296" s="113" t="str">
        <f t="shared" si="143"/>
        <v>INSERT INTO materiales_2 (CODIGO, NOMBRE, COD_SIESA, ID_TIPO_UNIDAD, VALOR_UNITARIO, VALOR_COMPRA, IVA, VALOR_REAL, GANANCIA, VALOR_VENDIDO) VALUES ('183', 'TRANSFORMADOR MONOFASICO 25 KVA 13200/480-240', '', '4', '6545000', '5500000', '1.19', '6545000', '1', '6545000');</v>
      </c>
    </row>
    <row r="297" spans="2:16" ht="15">
      <c r="B297" s="216">
        <f>B292+1</f>
        <v>183</v>
      </c>
      <c r="C297" s="354" t="s">
        <v>5008</v>
      </c>
      <c r="D297" s="357"/>
      <c r="E297" s="595">
        <v>4</v>
      </c>
      <c r="F297" s="1" t="s">
        <v>4127</v>
      </c>
      <c r="G297" s="601">
        <f t="shared" si="163"/>
        <v>11662000</v>
      </c>
      <c r="H297" s="606">
        <v>9800000</v>
      </c>
      <c r="I297" s="115">
        <v>1.19</v>
      </c>
      <c r="J297" s="608">
        <f t="shared" si="164"/>
        <v>11662000</v>
      </c>
      <c r="K297" s="602">
        <v>1</v>
      </c>
      <c r="L297" s="602">
        <f t="shared" si="165"/>
        <v>11662000</v>
      </c>
      <c r="M297" s="113">
        <f ca="1">SUMIF(APU!A:B,'Materiales '!C291,APU!I:I)</f>
        <v>0</v>
      </c>
      <c r="N297" s="593" t="s">
        <v>5014</v>
      </c>
      <c r="O297" s="113" t="str">
        <f t="shared" si="142"/>
        <v>'183', 'TRANSFORMADOR TRIFASICO 75 KVA 13200/480-240', '', '4', '11662000', '9800000', '1.19', '11662000', '1', '11662000');</v>
      </c>
      <c r="P297" s="113" t="str">
        <f t="shared" si="143"/>
        <v>INSERT INTO materiales_2 (CODIGO, NOMBRE, COD_SIESA, ID_TIPO_UNIDAD, VALOR_UNITARIO, VALOR_COMPRA, IVA, VALOR_REAL, GANANCIA, VALOR_VENDIDO) VALUES ('183', 'TRANSFORMADOR TRIFASICO 75 KVA 13200/480-240', '', '4', '11662000', '9800000', '1.19', '11662000', '1', '11662000');</v>
      </c>
    </row>
    <row r="298" spans="2:16" ht="15">
      <c r="B298" s="216">
        <f>B293+1</f>
        <v>184</v>
      </c>
      <c r="C298" s="354" t="s">
        <v>4810</v>
      </c>
      <c r="D298" s="357"/>
      <c r="E298" s="595">
        <v>4</v>
      </c>
      <c r="F298" s="1" t="s">
        <v>4127</v>
      </c>
      <c r="G298" s="601">
        <f t="shared" si="101"/>
        <v>12495000</v>
      </c>
      <c r="H298" s="606">
        <v>10500000</v>
      </c>
      <c r="I298" s="115">
        <v>1.19</v>
      </c>
      <c r="J298" s="608">
        <f t="shared" ref="J298:J300" si="166">I298*H298</f>
        <v>12495000</v>
      </c>
      <c r="K298" s="602">
        <v>1</v>
      </c>
      <c r="L298" s="602">
        <f t="shared" ref="L298:L300" si="167">K298*J298</f>
        <v>12495000</v>
      </c>
      <c r="M298" s="113">
        <f ca="1">SUMIF(APU!A:B,'Materiales '!C292,APU!I:I)</f>
        <v>0</v>
      </c>
      <c r="N298" s="593" t="s">
        <v>5014</v>
      </c>
      <c r="O298" s="113" t="str">
        <f t="shared" si="142"/>
        <v>'184', 'TRANSFORMADOR TRIFASICO 112,5 KVA 13200/480-240', '', '4', '12495000', '10500000', '1.19', '12495000', '1', '12495000');</v>
      </c>
      <c r="P298" s="113" t="str">
        <f t="shared" si="143"/>
        <v>INSERT INTO materiales_2 (CODIGO, NOMBRE, COD_SIESA, ID_TIPO_UNIDAD, VALOR_UNITARIO, VALOR_COMPRA, IVA, VALOR_REAL, GANANCIA, VALOR_VENDIDO) VALUES ('184', 'TRANSFORMADOR TRIFASICO 112,5 KVA 13200/480-240', '', '4', '12495000', '10500000', '1.19', '12495000', '1', '12495000');</v>
      </c>
    </row>
    <row r="299" spans="2:16" ht="15">
      <c r="B299" s="216">
        <f>B290+1</f>
        <v>181</v>
      </c>
      <c r="C299" s="354" t="s">
        <v>4961</v>
      </c>
      <c r="D299" s="357"/>
      <c r="E299" s="595">
        <v>4</v>
      </c>
      <c r="F299" s="1" t="s">
        <v>4127</v>
      </c>
      <c r="G299" s="601">
        <f t="shared" si="101"/>
        <v>107100</v>
      </c>
      <c r="H299" s="602">
        <v>90000</v>
      </c>
      <c r="I299" s="115">
        <v>1.19</v>
      </c>
      <c r="J299" s="608">
        <f t="shared" ref="J299" si="168">I299*H299</f>
        <v>107100</v>
      </c>
      <c r="K299" s="602">
        <v>1</v>
      </c>
      <c r="L299" s="602">
        <f t="shared" ref="L299" si="169">K299*J299</f>
        <v>107100</v>
      </c>
      <c r="M299" s="113">
        <f ca="1">SUMIF(APU!A:B,'Materiales '!C290,APU!I:I)</f>
        <v>0</v>
      </c>
      <c r="N299" s="593" t="s">
        <v>5014</v>
      </c>
      <c r="O299" s="113" t="str">
        <f t="shared" si="142"/>
        <v>'181', 'TUBO METÁLICO EMT DE 2" X 3 MTS', '', '4', '107100', '90000', '1.19', '107100', '1', '107100');</v>
      </c>
      <c r="P299" s="113" t="str">
        <f t="shared" si="143"/>
        <v>INSERT INTO materiales_2 (CODIGO, NOMBRE, COD_SIESA, ID_TIPO_UNIDAD, VALOR_UNITARIO, VALOR_COMPRA, IVA, VALOR_REAL, GANANCIA, VALOR_VENDIDO) VALUES ('181', 'TUBO METÁLICO EMT DE 2" X 3 MTS', '', '4', '107100', '90000', '1.19', '107100', '1', '107100');</v>
      </c>
    </row>
    <row r="300" spans="2:16" ht="15">
      <c r="B300" s="216">
        <f>B291+1</f>
        <v>182</v>
      </c>
      <c r="C300" s="354" t="s">
        <v>4960</v>
      </c>
      <c r="D300" s="357"/>
      <c r="E300" s="595">
        <v>4</v>
      </c>
      <c r="F300" s="1" t="s">
        <v>4127</v>
      </c>
      <c r="G300" s="601">
        <f t="shared" ref="G300" si="170">L300</f>
        <v>84490</v>
      </c>
      <c r="H300" s="602">
        <v>71000</v>
      </c>
      <c r="I300" s="115">
        <v>1.19</v>
      </c>
      <c r="J300" s="608">
        <f t="shared" si="166"/>
        <v>84490</v>
      </c>
      <c r="K300" s="602">
        <v>1</v>
      </c>
      <c r="L300" s="602">
        <f t="shared" si="167"/>
        <v>84490</v>
      </c>
      <c r="M300" s="113">
        <f ca="1">SUMIF(APU!A:B,'Materiales '!C291,APU!I:I)</f>
        <v>0</v>
      </c>
      <c r="N300" s="593" t="s">
        <v>5014</v>
      </c>
      <c r="O300" s="113" t="str">
        <f t="shared" si="142"/>
        <v>'182', 'TUBO METÁLICO EMT DE 1 1/2" X 3 MTS', '', '4', '84490', '71000', '1.19', '84490', '1', '84490');</v>
      </c>
      <c r="P300" s="113" t="str">
        <f t="shared" si="143"/>
        <v>INSERT INTO materiales_2 (CODIGO, NOMBRE, COD_SIESA, ID_TIPO_UNIDAD, VALOR_UNITARIO, VALOR_COMPRA, IVA, VALOR_REAL, GANANCIA, VALOR_VENDIDO) VALUES ('182', 'TUBO METÁLICO EMT DE 1 1/2" X 3 MTS', '', '4', '84490', '71000', '1.19', '84490', '1', '84490');</v>
      </c>
    </row>
    <row r="301" spans="2:16" ht="15">
      <c r="B301" s="216">
        <f>B292+1</f>
        <v>183</v>
      </c>
      <c r="C301" s="354" t="s">
        <v>4696</v>
      </c>
      <c r="D301" s="357"/>
      <c r="E301" s="595">
        <v>4</v>
      </c>
      <c r="F301" s="1" t="s">
        <v>4127</v>
      </c>
      <c r="G301" s="601">
        <f t="shared" si="101"/>
        <v>71400</v>
      </c>
      <c r="H301" s="602">
        <v>60000</v>
      </c>
      <c r="I301" s="115">
        <v>1.19</v>
      </c>
      <c r="J301" s="608">
        <f t="shared" si="54"/>
        <v>71400</v>
      </c>
      <c r="K301" s="602">
        <v>1</v>
      </c>
      <c r="L301" s="602">
        <f t="shared" si="53"/>
        <v>71400</v>
      </c>
      <c r="M301" s="113">
        <f ca="1">SUMIF(APU!A:B,'Materiales '!C292,APU!I:I)</f>
        <v>0</v>
      </c>
      <c r="N301" s="593" t="s">
        <v>5014</v>
      </c>
      <c r="O301" s="113" t="str">
        <f t="shared" si="142"/>
        <v>'183', 'TUBO METÁLICO EMT DE 1" X 3 MTS', '', '4', '71400', '60000', '1.19', '71400', '1', '71400');</v>
      </c>
      <c r="P301" s="113" t="str">
        <f t="shared" si="143"/>
        <v>INSERT INTO materiales_2 (CODIGO, NOMBRE, COD_SIESA, ID_TIPO_UNIDAD, VALOR_UNITARIO, VALOR_COMPRA, IVA, VALOR_REAL, GANANCIA, VALOR_VENDIDO) VALUES ('183', 'TUBO METÁLICO EMT DE 1" X 3 MTS', '', '4', '71400', '60000', '1.19', '71400', '1', '71400');</v>
      </c>
    </row>
    <row r="302" spans="2:16" ht="15">
      <c r="B302" s="216">
        <f>B292+1</f>
        <v>183</v>
      </c>
      <c r="C302" s="354" t="s">
        <v>4962</v>
      </c>
      <c r="D302" s="357"/>
      <c r="E302" s="595">
        <v>4</v>
      </c>
      <c r="F302" s="1" t="s">
        <v>4127</v>
      </c>
      <c r="G302" s="601">
        <f t="shared" si="101"/>
        <v>35700</v>
      </c>
      <c r="H302" s="602">
        <v>30000</v>
      </c>
      <c r="I302" s="115">
        <v>1.19</v>
      </c>
      <c r="J302" s="608">
        <f t="shared" si="54"/>
        <v>35700</v>
      </c>
      <c r="K302" s="602">
        <v>1</v>
      </c>
      <c r="L302" s="602">
        <f t="shared" si="53"/>
        <v>35700</v>
      </c>
      <c r="M302" s="113">
        <f ca="1">SUMIF(APU!A:B,'Materiales '!C292,APU!I:I)</f>
        <v>0</v>
      </c>
      <c r="N302" s="593" t="s">
        <v>5014</v>
      </c>
      <c r="O302" s="113" t="str">
        <f t="shared" si="142"/>
        <v>'183', 'TUBO METÁLICO EMT DE 3/4" X 3 MTS', '', '4', '35700', '30000', '1.19', '35700', '1', '35700');</v>
      </c>
      <c r="P302" s="113" t="str">
        <f t="shared" si="143"/>
        <v>INSERT INTO materiales_2 (CODIGO, NOMBRE, COD_SIESA, ID_TIPO_UNIDAD, VALOR_UNITARIO, VALOR_COMPRA, IVA, VALOR_REAL, GANANCIA, VALOR_VENDIDO) VALUES ('183', 'TUBO METÁLICO EMT DE 3/4" X 3 MTS', '', '4', '35700', '30000', '1.19', '35700', '1', '35700');</v>
      </c>
    </row>
    <row r="303" spans="2:16" ht="15">
      <c r="B303" s="216">
        <f>B293+1</f>
        <v>184</v>
      </c>
      <c r="C303" s="354" t="s">
        <v>4639</v>
      </c>
      <c r="D303" s="357"/>
      <c r="E303" s="595">
        <v>4</v>
      </c>
      <c r="F303" s="1" t="s">
        <v>4127</v>
      </c>
      <c r="G303" s="601">
        <f t="shared" ref="G303" si="171">L303</f>
        <v>22610</v>
      </c>
      <c r="H303" s="602">
        <v>19000</v>
      </c>
      <c r="I303" s="115">
        <v>1.19</v>
      </c>
      <c r="J303" s="608">
        <f t="shared" ref="J303" si="172">I303*H303</f>
        <v>22610</v>
      </c>
      <c r="K303" s="602">
        <v>1</v>
      </c>
      <c r="L303" s="602">
        <f t="shared" ref="L303" si="173">K303*J303</f>
        <v>22610</v>
      </c>
      <c r="M303" s="113">
        <f ca="1">SUMIF(APU!A:B,'Materiales '!C293,APU!I:I)</f>
        <v>0</v>
      </c>
      <c r="N303" s="593" t="s">
        <v>5014</v>
      </c>
      <c r="O303" s="113" t="str">
        <f t="shared" si="142"/>
        <v>'184', 'TUBO METÁLICO EMT DE 1/2" X 3 MTS', '', '4', '22610', '19000', '1.19', '22610', '1', '22610');</v>
      </c>
      <c r="P303" s="113" t="str">
        <f t="shared" si="143"/>
        <v>INSERT INTO materiales_2 (CODIGO, NOMBRE, COD_SIESA, ID_TIPO_UNIDAD, VALOR_UNITARIO, VALOR_COMPRA, IVA, VALOR_REAL, GANANCIA, VALOR_VENDIDO) VALUES ('184', 'TUBO METÁLICO EMT DE 1/2" X 3 MTS', '', '4', '22610', '19000', '1.19', '22610', '1', '22610');</v>
      </c>
    </row>
    <row r="304" spans="2:16" ht="15">
      <c r="B304" s="216">
        <f>B298+1</f>
        <v>185</v>
      </c>
      <c r="C304" s="354" t="s">
        <v>4581</v>
      </c>
      <c r="D304" s="357">
        <v>3907</v>
      </c>
      <c r="E304" s="595">
        <v>4</v>
      </c>
      <c r="F304" s="1" t="s">
        <v>4127</v>
      </c>
      <c r="G304" s="601">
        <f t="shared" si="101"/>
        <v>170170</v>
      </c>
      <c r="H304" s="602">
        <v>143000</v>
      </c>
      <c r="I304" s="115">
        <v>1.19</v>
      </c>
      <c r="J304" s="608">
        <f t="shared" si="54"/>
        <v>170170</v>
      </c>
      <c r="K304" s="602">
        <v>1</v>
      </c>
      <c r="L304" s="602">
        <f t="shared" si="53"/>
        <v>170170</v>
      </c>
      <c r="M304" s="113">
        <f ca="1">SUMIF(APU!A:B,'Materiales '!C293,APU!I:I)</f>
        <v>0</v>
      </c>
      <c r="N304" s="593" t="s">
        <v>5014</v>
      </c>
      <c r="O304" s="113" t="str">
        <f t="shared" si="142"/>
        <v>'185', 'TUBO METÁLICO IMC DE 2" X 3 MTS', '3907', '4', '170170', '143000', '1.19', '170170', '1', '170170');</v>
      </c>
      <c r="P304" s="113" t="str">
        <f t="shared" si="143"/>
        <v>INSERT INTO materiales_2 (CODIGO, NOMBRE, COD_SIESA, ID_TIPO_UNIDAD, VALOR_UNITARIO, VALOR_COMPRA, IVA, VALOR_REAL, GANANCIA, VALOR_VENDIDO) VALUES ('185', 'TUBO METÁLICO IMC DE 2" X 3 MTS', '3907', '4', '170170', '143000', '1.19', '170170', '1', '170170');</v>
      </c>
    </row>
    <row r="305" spans="2:16" ht="15">
      <c r="B305" s="216">
        <f>B303+1</f>
        <v>185</v>
      </c>
      <c r="C305" s="354" t="s">
        <v>4959</v>
      </c>
      <c r="D305" s="357"/>
      <c r="E305" s="595">
        <v>4</v>
      </c>
      <c r="F305" s="1" t="s">
        <v>4127</v>
      </c>
      <c r="G305" s="601">
        <f t="shared" ref="G305" si="174">L305</f>
        <v>113050</v>
      </c>
      <c r="H305" s="602">
        <v>95000</v>
      </c>
      <c r="I305" s="115">
        <v>1.19</v>
      </c>
      <c r="J305" s="608">
        <f t="shared" ref="J305" si="175">I305*H305</f>
        <v>113050</v>
      </c>
      <c r="K305" s="602">
        <v>1</v>
      </c>
      <c r="L305" s="602">
        <f t="shared" ref="L305" si="176">K305*J305</f>
        <v>113050</v>
      </c>
      <c r="M305" s="113">
        <f ca="1">SUMIF(APU!A:B,'Materiales '!C296,APU!I:I)</f>
        <v>0</v>
      </c>
      <c r="N305" s="593" t="s">
        <v>5014</v>
      </c>
      <c r="O305" s="113" t="str">
        <f t="shared" si="142"/>
        <v>'185', 'TUBO METÁLICO IMC DE 1 1/4" X 3 MTS', '', '4', '113050', '95000', '1.19', '113050', '1', '113050');</v>
      </c>
      <c r="P305" s="113" t="str">
        <f t="shared" si="143"/>
        <v>INSERT INTO materiales_2 (CODIGO, NOMBRE, COD_SIESA, ID_TIPO_UNIDAD, VALOR_UNITARIO, VALOR_COMPRA, IVA, VALOR_REAL, GANANCIA, VALOR_VENDIDO) VALUES ('185', 'TUBO METÁLICO IMC DE 1 1/4" X 3 MTS', '', '4', '113050', '95000', '1.19', '113050', '1', '113050');</v>
      </c>
    </row>
    <row r="306" spans="2:16" ht="15">
      <c r="B306" s="216">
        <f>B304+1</f>
        <v>186</v>
      </c>
      <c r="C306" s="354" t="s">
        <v>4582</v>
      </c>
      <c r="D306" s="357">
        <v>7150</v>
      </c>
      <c r="E306" s="595">
        <v>4</v>
      </c>
      <c r="F306" s="1" t="s">
        <v>4127</v>
      </c>
      <c r="G306" s="601">
        <f t="shared" si="101"/>
        <v>138040</v>
      </c>
      <c r="H306" s="602">
        <v>116000</v>
      </c>
      <c r="I306" s="115">
        <v>1.19</v>
      </c>
      <c r="J306" s="608">
        <f t="shared" si="54"/>
        <v>138040</v>
      </c>
      <c r="K306" s="602">
        <v>1</v>
      </c>
      <c r="L306" s="602">
        <f t="shared" ref="L306:L375" si="177">K306*J306</f>
        <v>138040</v>
      </c>
      <c r="M306" s="113">
        <f ca="1">SUMIF(APU!A:B,'Materiales '!C298,APU!I:I)</f>
        <v>0</v>
      </c>
      <c r="N306" s="593" t="s">
        <v>5014</v>
      </c>
      <c r="O306" s="113" t="str">
        <f t="shared" si="142"/>
        <v>'186', 'TUBO METÁLICO IMC DE 1 1/2" X 3 MTS', '7150', '4', '138040', '116000', '1.19', '138040', '1', '138040');</v>
      </c>
      <c r="P306" s="113" t="str">
        <f t="shared" si="143"/>
        <v>INSERT INTO materiales_2 (CODIGO, NOMBRE, COD_SIESA, ID_TIPO_UNIDAD, VALOR_UNITARIO, VALOR_COMPRA, IVA, VALOR_REAL, GANANCIA, VALOR_VENDIDO) VALUES ('186', 'TUBO METÁLICO IMC DE 1 1/2" X 3 MTS', '7150', '4', '138040', '116000', '1.19', '138040', '1', '138040');</v>
      </c>
    </row>
    <row r="307" spans="2:16" ht="15">
      <c r="B307" s="216">
        <f t="shared" si="105"/>
        <v>187</v>
      </c>
      <c r="C307" s="354" t="s">
        <v>4583</v>
      </c>
      <c r="D307" s="357">
        <v>3905</v>
      </c>
      <c r="E307" s="595">
        <v>4</v>
      </c>
      <c r="F307" s="1" t="s">
        <v>4127</v>
      </c>
      <c r="G307" s="601">
        <f t="shared" si="101"/>
        <v>85680</v>
      </c>
      <c r="H307" s="602">
        <v>72000</v>
      </c>
      <c r="I307" s="115">
        <v>1.19</v>
      </c>
      <c r="J307" s="608">
        <f t="shared" ref="J307:J376" si="178">I307*H307</f>
        <v>85680</v>
      </c>
      <c r="K307" s="602">
        <v>1</v>
      </c>
      <c r="L307" s="602">
        <f t="shared" si="177"/>
        <v>85680</v>
      </c>
      <c r="M307" s="113">
        <f ca="1">SUMIF(APU!A:B,'Materiales '!C304,APU!I:I)</f>
        <v>0</v>
      </c>
      <c r="N307" s="593" t="s">
        <v>5014</v>
      </c>
      <c r="O307" s="113" t="str">
        <f t="shared" si="142"/>
        <v>'187', 'TUBO METÁLICO IMC DE 1" X 3 MTS', '3905', '4', '85680', '72000', '1.19', '85680', '1', '85680');</v>
      </c>
      <c r="P307" s="113" t="str">
        <f t="shared" si="143"/>
        <v>INSERT INTO materiales_2 (CODIGO, NOMBRE, COD_SIESA, ID_TIPO_UNIDAD, VALOR_UNITARIO, VALOR_COMPRA, IVA, VALOR_REAL, GANANCIA, VALOR_VENDIDO) VALUES ('187', 'TUBO METÁLICO IMC DE 1" X 3 MTS', '3905', '4', '85680', '72000', '1.19', '85680', '1', '85680');</v>
      </c>
    </row>
    <row r="308" spans="2:16" ht="15">
      <c r="B308" s="216">
        <f t="shared" si="105"/>
        <v>188</v>
      </c>
      <c r="C308" s="354" t="s">
        <v>4584</v>
      </c>
      <c r="D308" s="357">
        <v>3908</v>
      </c>
      <c r="E308" s="595">
        <v>4</v>
      </c>
      <c r="F308" s="1" t="s">
        <v>4127</v>
      </c>
      <c r="G308" s="601">
        <f t="shared" si="101"/>
        <v>65450</v>
      </c>
      <c r="H308" s="602">
        <v>55000</v>
      </c>
      <c r="I308" s="115">
        <v>1.19</v>
      </c>
      <c r="J308" s="608">
        <f t="shared" si="178"/>
        <v>65450</v>
      </c>
      <c r="K308" s="602">
        <v>1</v>
      </c>
      <c r="L308" s="602">
        <f t="shared" si="177"/>
        <v>65450</v>
      </c>
      <c r="M308" s="113">
        <f ca="1">SUMIF(APU!A:B,'Materiales '!C290,APU!I:I)</f>
        <v>0</v>
      </c>
      <c r="N308" s="593" t="s">
        <v>5014</v>
      </c>
      <c r="O308" s="113" t="str">
        <f t="shared" si="142"/>
        <v>'188', 'TUBO METÁLICO IMC DE 3/4" X 3 MTS', '3908', '4', '65450', '55000', '1.19', '65450', '1', '65450');</v>
      </c>
      <c r="P308" s="113" t="str">
        <f t="shared" si="143"/>
        <v>INSERT INTO materiales_2 (CODIGO, NOMBRE, COD_SIESA, ID_TIPO_UNIDAD, VALOR_UNITARIO, VALOR_COMPRA, IVA, VALOR_REAL, GANANCIA, VALOR_VENDIDO) VALUES ('188', 'TUBO METÁLICO IMC DE 3/4" X 3 MTS', '3908', '4', '65450', '55000', '1.19', '65450', '1', '65450');</v>
      </c>
    </row>
    <row r="309" spans="2:16" ht="15">
      <c r="B309" s="216">
        <f>B307+1</f>
        <v>188</v>
      </c>
      <c r="C309" s="354" t="s">
        <v>4642</v>
      </c>
      <c r="D309" s="357"/>
      <c r="E309" s="595">
        <v>4</v>
      </c>
      <c r="F309" s="1" t="s">
        <v>4127</v>
      </c>
      <c r="G309" s="601">
        <f t="shared" ref="G309:G310" si="179">L309</f>
        <v>48790</v>
      </c>
      <c r="H309" s="602">
        <v>41000</v>
      </c>
      <c r="I309" s="115">
        <v>1.19</v>
      </c>
      <c r="J309" s="608">
        <f t="shared" ref="J309:J310" si="180">I309*H309</f>
        <v>48790</v>
      </c>
      <c r="K309" s="602">
        <v>1</v>
      </c>
      <c r="L309" s="602">
        <f t="shared" ref="L309:L310" si="181">K309*J309</f>
        <v>48790</v>
      </c>
      <c r="M309" s="113">
        <f ca="1">SUMIF(APU!A:B,'Materiales '!C304,APU!I:I)</f>
        <v>0</v>
      </c>
      <c r="N309" s="593" t="s">
        <v>5014</v>
      </c>
      <c r="O309" s="113" t="str">
        <f t="shared" si="142"/>
        <v>'188', 'TUBO METÁLICO IMC DE 1/2" X 3 MTS', '', '4', '48790', '41000', '1.19', '48790', '1', '48790');</v>
      </c>
      <c r="P309" s="113" t="str">
        <f t="shared" si="143"/>
        <v>INSERT INTO materiales_2 (CODIGO, NOMBRE, COD_SIESA, ID_TIPO_UNIDAD, VALOR_UNITARIO, VALOR_COMPRA, IVA, VALOR_REAL, GANANCIA, VALOR_VENDIDO) VALUES ('188', 'TUBO METÁLICO IMC DE 1/2" X 3 MTS', '', '4', '48790', '41000', '1.19', '48790', '1', '48790');</v>
      </c>
    </row>
    <row r="310" spans="2:16" ht="15">
      <c r="B310" s="216">
        <f>B307+1</f>
        <v>188</v>
      </c>
      <c r="C310" s="354" t="s">
        <v>5002</v>
      </c>
      <c r="D310" s="357">
        <v>3965</v>
      </c>
      <c r="E310" s="595">
        <v>4</v>
      </c>
      <c r="F310" s="1" t="s">
        <v>4127</v>
      </c>
      <c r="G310" s="601">
        <f t="shared" si="179"/>
        <v>52360</v>
      </c>
      <c r="H310" s="602">
        <v>44000</v>
      </c>
      <c r="I310" s="115">
        <v>1.19</v>
      </c>
      <c r="J310" s="608">
        <f t="shared" si="180"/>
        <v>52360</v>
      </c>
      <c r="K310" s="602">
        <v>1</v>
      </c>
      <c r="L310" s="602">
        <f t="shared" si="181"/>
        <v>52360</v>
      </c>
      <c r="M310" s="113">
        <f ca="1">SUMIF(APU!A:B,'Materiales '!C305,APU!I:I)</f>
        <v>0</v>
      </c>
      <c r="N310" s="593" t="s">
        <v>5014</v>
      </c>
      <c r="O310" s="113" t="str">
        <f t="shared" si="142"/>
        <v>'188', 'TUBO PVC PESADO DE 3" X 3 MTS', '3965', '4', '52360', '44000', '1.19', '52360', '1', '52360');</v>
      </c>
      <c r="P310" s="113" t="str">
        <f t="shared" si="143"/>
        <v>INSERT INTO materiales_2 (CODIGO, NOMBRE, COD_SIESA, ID_TIPO_UNIDAD, VALOR_UNITARIO, VALOR_COMPRA, IVA, VALOR_REAL, GANANCIA, VALOR_VENDIDO) VALUES ('188', 'TUBO PVC PESADO DE 3" X 3 MTS', '3965', '4', '52360', '44000', '1.19', '52360', '1', '52360');</v>
      </c>
    </row>
    <row r="311" spans="2:16" ht="15">
      <c r="B311" s="216">
        <f>B308+1</f>
        <v>189</v>
      </c>
      <c r="C311" s="354" t="s">
        <v>4585</v>
      </c>
      <c r="D311" s="357">
        <v>3965</v>
      </c>
      <c r="E311" s="595">
        <v>4</v>
      </c>
      <c r="F311" s="1" t="s">
        <v>4127</v>
      </c>
      <c r="G311" s="601">
        <f t="shared" si="101"/>
        <v>28770.629999999997</v>
      </c>
      <c r="H311" s="602">
        <v>24177</v>
      </c>
      <c r="I311" s="115">
        <v>1.19</v>
      </c>
      <c r="J311" s="608">
        <f t="shared" si="178"/>
        <v>28770.629999999997</v>
      </c>
      <c r="K311" s="602">
        <v>1</v>
      </c>
      <c r="L311" s="602">
        <f t="shared" si="177"/>
        <v>28770.629999999997</v>
      </c>
      <c r="M311" s="113">
        <f ca="1">SUMIF(APU!A:B,'Materiales '!C306,APU!I:I)</f>
        <v>0</v>
      </c>
      <c r="N311" s="593" t="s">
        <v>5014</v>
      </c>
      <c r="O311" s="113" t="str">
        <f t="shared" si="142"/>
        <v>'189', 'TUBO PVC PESADO DE 2" X 3 MTS', '3965', '4', '28770,63', '24177', '1.19', '28770,63', '1', '28770,63');</v>
      </c>
      <c r="P311" s="113" t="str">
        <f t="shared" si="143"/>
        <v>INSERT INTO materiales_2 (CODIGO, NOMBRE, COD_SIESA, ID_TIPO_UNIDAD, VALOR_UNITARIO, VALOR_COMPRA, IVA, VALOR_REAL, GANANCIA, VALOR_VENDIDO) VALUES ('189', 'TUBO PVC PESADO DE 2" X 3 MTS', '3965', '4', '28770,63', '24177', '1.19', '28770,63', '1', '28770,63');</v>
      </c>
    </row>
    <row r="312" spans="2:16" ht="15">
      <c r="B312" s="216">
        <f t="shared" si="105"/>
        <v>190</v>
      </c>
      <c r="C312" s="354" t="s">
        <v>4586</v>
      </c>
      <c r="D312" s="357">
        <v>3961</v>
      </c>
      <c r="E312" s="595">
        <v>4</v>
      </c>
      <c r="F312" s="1" t="s">
        <v>4127</v>
      </c>
      <c r="G312" s="601">
        <f t="shared" si="101"/>
        <v>18705.61</v>
      </c>
      <c r="H312" s="602">
        <v>15719</v>
      </c>
      <c r="I312" s="115">
        <v>1.19</v>
      </c>
      <c r="J312" s="608">
        <f t="shared" si="178"/>
        <v>18705.61</v>
      </c>
      <c r="K312" s="602">
        <v>1</v>
      </c>
      <c r="L312" s="602">
        <f t="shared" si="177"/>
        <v>18705.61</v>
      </c>
      <c r="M312" s="113">
        <f ca="1">SUMIF(APU!A:B,'Materiales '!C307,APU!I:I)</f>
        <v>0</v>
      </c>
      <c r="N312" s="593" t="s">
        <v>5014</v>
      </c>
      <c r="O312" s="113" t="str">
        <f t="shared" si="142"/>
        <v>'190', 'TUBO PVC PESADO DE 1 1/2" X 3 MTS', '3961', '4', '18705,61', '15719', '1.19', '18705,61', '1', '18705,61');</v>
      </c>
      <c r="P312" s="113" t="str">
        <f t="shared" si="143"/>
        <v>INSERT INTO materiales_2 (CODIGO, NOMBRE, COD_SIESA, ID_TIPO_UNIDAD, VALOR_UNITARIO, VALOR_COMPRA, IVA, VALOR_REAL, GANANCIA, VALOR_VENDIDO) VALUES ('190', 'TUBO PVC PESADO DE 1 1/2" X 3 MTS', '3961', '4', '18705,61', '15719', '1.19', '18705,61', '1', '18705,61');</v>
      </c>
    </row>
    <row r="313" spans="2:16" ht="15">
      <c r="B313" s="216">
        <f t="shared" si="105"/>
        <v>191</v>
      </c>
      <c r="C313" s="354" t="s">
        <v>4587</v>
      </c>
      <c r="D313" s="357">
        <v>3963</v>
      </c>
      <c r="E313" s="595">
        <v>4</v>
      </c>
      <c r="F313" s="1" t="s">
        <v>4127</v>
      </c>
      <c r="G313" s="601">
        <f t="shared" si="101"/>
        <v>10412.5</v>
      </c>
      <c r="H313" s="602">
        <v>8750</v>
      </c>
      <c r="I313" s="115">
        <v>1.19</v>
      </c>
      <c r="J313" s="608">
        <f t="shared" si="178"/>
        <v>10412.5</v>
      </c>
      <c r="K313" s="602">
        <v>1</v>
      </c>
      <c r="L313" s="602">
        <f t="shared" si="177"/>
        <v>10412.5</v>
      </c>
      <c r="M313" s="113">
        <f ca="1">SUMIF(APU!A:B,'Materiales '!C308,APU!I:I)</f>
        <v>0</v>
      </c>
      <c r="N313" s="593" t="s">
        <v>5014</v>
      </c>
      <c r="O313" s="113" t="str">
        <f t="shared" si="142"/>
        <v>'191', 'TUBO PVC PESADO DE 1" X 3 MTS', '3963', '4', '10412,5', '8750', '1.19', '10412,5', '1', '10412,5');</v>
      </c>
      <c r="P313" s="113" t="str">
        <f t="shared" si="143"/>
        <v>INSERT INTO materiales_2 (CODIGO, NOMBRE, COD_SIESA, ID_TIPO_UNIDAD, VALOR_UNITARIO, VALOR_COMPRA, IVA, VALOR_REAL, GANANCIA, VALOR_VENDIDO) VALUES ('191', 'TUBO PVC PESADO DE 1" X 3 MTS', '3963', '4', '10412,5', '8750', '1.19', '10412,5', '1', '10412,5');</v>
      </c>
    </row>
    <row r="314" spans="2:16" ht="15">
      <c r="B314" s="216">
        <f>B312+1</f>
        <v>191</v>
      </c>
      <c r="C314" s="354" t="s">
        <v>4588</v>
      </c>
      <c r="D314" s="357">
        <v>3967</v>
      </c>
      <c r="E314" s="595">
        <v>4</v>
      </c>
      <c r="F314" s="1" t="s">
        <v>4127</v>
      </c>
      <c r="G314" s="601">
        <f t="shared" ref="G314" si="182">L314</f>
        <v>7775.46</v>
      </c>
      <c r="H314" s="602">
        <v>6534</v>
      </c>
      <c r="I314" s="115">
        <v>1.19</v>
      </c>
      <c r="J314" s="608">
        <f t="shared" ref="J314" si="183">I314*H314</f>
        <v>7775.46</v>
      </c>
      <c r="K314" s="602">
        <v>1</v>
      </c>
      <c r="L314" s="602">
        <f t="shared" ref="L314" si="184">K314*J314</f>
        <v>7775.46</v>
      </c>
      <c r="M314" s="113">
        <f ca="1">SUMIF(APU!A:B,'Materiales '!C309,APU!I:I)</f>
        <v>0</v>
      </c>
      <c r="N314" s="593" t="s">
        <v>5014</v>
      </c>
      <c r="O314" s="113" t="str">
        <f t="shared" si="142"/>
        <v>'191', 'TUBO PVC PESADO DE 3/4" X 3 MTS', '3967', '4', '7775,46', '6534', '1.19', '7775,46', '1', '7775,46');</v>
      </c>
      <c r="P314" s="113" t="str">
        <f t="shared" si="143"/>
        <v>INSERT INTO materiales_2 (CODIGO, NOMBRE, COD_SIESA, ID_TIPO_UNIDAD, VALOR_UNITARIO, VALOR_COMPRA, IVA, VALOR_REAL, GANANCIA, VALOR_VENDIDO) VALUES ('191', 'TUBO PVC PESADO DE 3/4" X 3 MTS', '3967', '4', '7775,46', '6534', '1.19', '7775,46', '1', '7775,46');</v>
      </c>
    </row>
    <row r="315" spans="2:16" ht="15">
      <c r="B315" s="216">
        <f>B313+1</f>
        <v>192</v>
      </c>
      <c r="C315" s="354" t="s">
        <v>4695</v>
      </c>
      <c r="D315" s="357"/>
      <c r="E315" s="595">
        <v>4</v>
      </c>
      <c r="F315" s="1" t="s">
        <v>4127</v>
      </c>
      <c r="G315" s="601">
        <f t="shared" si="101"/>
        <v>5231.24</v>
      </c>
      <c r="H315" s="602">
        <v>4396</v>
      </c>
      <c r="I315" s="115">
        <v>1.19</v>
      </c>
      <c r="J315" s="608">
        <f t="shared" si="178"/>
        <v>5231.24</v>
      </c>
      <c r="K315" s="602">
        <v>1</v>
      </c>
      <c r="L315" s="602">
        <f t="shared" si="177"/>
        <v>5231.24</v>
      </c>
      <c r="M315" s="113">
        <f ca="1">SUMIF(APU!A:B,'Materiales '!C311,APU!I:I)</f>
        <v>0</v>
      </c>
      <c r="N315" s="593" t="s">
        <v>5014</v>
      </c>
      <c r="O315" s="113" t="str">
        <f t="shared" si="142"/>
        <v>'192', 'TUBO PVC PESADO DE 1/2" X 3 MTS', '', '4', '5231,24', '4396', '1.19', '5231,24', '1', '5231,24');</v>
      </c>
      <c r="P315" s="113" t="str">
        <f t="shared" si="143"/>
        <v>INSERT INTO materiales_2 (CODIGO, NOMBRE, COD_SIESA, ID_TIPO_UNIDAD, VALOR_UNITARIO, VALOR_COMPRA, IVA, VALOR_REAL, GANANCIA, VALOR_VENDIDO) VALUES ('192', 'TUBO PVC PESADO DE 1/2" X 3 MTS', '', '4', '5231,24', '4396', '1.19', '5231,24', '1', '5231,24');</v>
      </c>
    </row>
    <row r="316" spans="2:16" ht="15">
      <c r="B316" s="216">
        <f t="shared" si="105"/>
        <v>193</v>
      </c>
      <c r="C316" s="354" t="s">
        <v>4589</v>
      </c>
      <c r="D316" s="357">
        <v>9494</v>
      </c>
      <c r="E316" s="595">
        <v>4</v>
      </c>
      <c r="F316" s="1" t="s">
        <v>4127</v>
      </c>
      <c r="G316" s="601">
        <f t="shared" ref="G316:G335" si="185">L316</f>
        <v>2499</v>
      </c>
      <c r="H316" s="602">
        <v>2100</v>
      </c>
      <c r="I316" s="115">
        <v>1.19</v>
      </c>
      <c r="J316" s="608">
        <f t="shared" si="178"/>
        <v>2499</v>
      </c>
      <c r="K316" s="602">
        <v>1</v>
      </c>
      <c r="L316" s="602">
        <f t="shared" si="177"/>
        <v>2499</v>
      </c>
      <c r="M316" s="113">
        <f ca="1">SUMIF(APU!A:B,'Materiales '!C312,APU!I:I)</f>
        <v>0</v>
      </c>
      <c r="N316" s="593" t="s">
        <v>5014</v>
      </c>
      <c r="O316" s="113" t="str">
        <f t="shared" si="142"/>
        <v>'193', 'UNION MANGUERA LED', '9494', '4', '2499', '2100', '1.19', '2499', '1', '2499');</v>
      </c>
      <c r="P316" s="113" t="str">
        <f t="shared" si="143"/>
        <v>INSERT INTO materiales_2 (CODIGO, NOMBRE, COD_SIESA, ID_TIPO_UNIDAD, VALOR_UNITARIO, VALOR_COMPRA, IVA, VALOR_REAL, GANANCIA, VALOR_VENDIDO) VALUES ('193', 'UNION MANGUERA LED', '9494', '4', '2499', '2100', '1.19', '2499', '1', '2499');</v>
      </c>
    </row>
    <row r="317" spans="2:16" ht="15">
      <c r="B317" s="216">
        <f>B314+1</f>
        <v>192</v>
      </c>
      <c r="C317" s="354" t="s">
        <v>4699</v>
      </c>
      <c r="D317" s="357"/>
      <c r="E317" s="595">
        <v>4</v>
      </c>
      <c r="F317" s="1" t="s">
        <v>4127</v>
      </c>
      <c r="G317" s="601">
        <f t="shared" si="185"/>
        <v>773.5</v>
      </c>
      <c r="H317" s="602">
        <v>650</v>
      </c>
      <c r="I317" s="115">
        <v>1.19</v>
      </c>
      <c r="J317" s="608">
        <f t="shared" si="178"/>
        <v>773.5</v>
      </c>
      <c r="K317" s="602">
        <v>1</v>
      </c>
      <c r="L317" s="602">
        <f t="shared" si="177"/>
        <v>773.5</v>
      </c>
      <c r="M317" s="113">
        <f ca="1">SUMIF(APU!A:B,'Materiales '!C311,APU!I:I)</f>
        <v>0</v>
      </c>
      <c r="N317" s="593" t="s">
        <v>5014</v>
      </c>
      <c r="O317" s="113" t="str">
        <f t="shared" si="142"/>
        <v>'192', 'UNIÓN EMT 1/2"', '', '4', '773,5', '650', '1.19', '773,5', '1', '773,5');</v>
      </c>
      <c r="P317" s="113" t="str">
        <f t="shared" si="143"/>
        <v>INSERT INTO materiales_2 (CODIGO, NOMBRE, COD_SIESA, ID_TIPO_UNIDAD, VALOR_UNITARIO, VALOR_COMPRA, IVA, VALOR_REAL, GANANCIA, VALOR_VENDIDO) VALUES ('192', 'UNIÓN EMT 1/2"', '', '4', '773,5', '650', '1.19', '773,5', '1', '773,5');</v>
      </c>
    </row>
    <row r="318" spans="2:16" ht="15">
      <c r="B318" s="216">
        <f>B315+1</f>
        <v>193</v>
      </c>
      <c r="C318" s="354" t="s">
        <v>4698</v>
      </c>
      <c r="D318" s="357"/>
      <c r="E318" s="595">
        <v>4</v>
      </c>
      <c r="F318" s="1" t="s">
        <v>4127</v>
      </c>
      <c r="G318" s="601">
        <f t="shared" ref="G318" si="186">L318</f>
        <v>1785</v>
      </c>
      <c r="H318" s="602">
        <v>1500</v>
      </c>
      <c r="I318" s="115">
        <v>1.19</v>
      </c>
      <c r="J318" s="608">
        <f t="shared" ref="J318" si="187">I318*H318</f>
        <v>1785</v>
      </c>
      <c r="K318" s="602">
        <v>1</v>
      </c>
      <c r="L318" s="602">
        <f t="shared" ref="L318" si="188">K318*J318</f>
        <v>1785</v>
      </c>
      <c r="M318" s="113">
        <f ca="1">SUMIF(APU!A:B,'Materiales '!C312,APU!I:I)</f>
        <v>0</v>
      </c>
      <c r="N318" s="593" t="s">
        <v>5014</v>
      </c>
      <c r="O318" s="113" t="str">
        <f t="shared" si="142"/>
        <v>'193', 'UNIÓN EMT 1"', '', '4', '1785', '1500', '1.19', '1785', '1', '1785');</v>
      </c>
      <c r="P318" s="113" t="str">
        <f t="shared" si="143"/>
        <v>INSERT INTO materiales_2 (CODIGO, NOMBRE, COD_SIESA, ID_TIPO_UNIDAD, VALOR_UNITARIO, VALOR_COMPRA, IVA, VALOR_REAL, GANANCIA, VALOR_VENDIDO) VALUES ('193', 'UNIÓN EMT 1"', '', '4', '1785', '1500', '1.19', '1785', '1', '1785');</v>
      </c>
    </row>
    <row r="319" spans="2:16" ht="15">
      <c r="B319" s="216">
        <f>B316+1</f>
        <v>194</v>
      </c>
      <c r="C319" s="354" t="s">
        <v>4590</v>
      </c>
      <c r="D319" s="357">
        <v>7148</v>
      </c>
      <c r="E319" s="595">
        <v>4</v>
      </c>
      <c r="F319" s="1" t="s">
        <v>4127</v>
      </c>
      <c r="G319" s="601">
        <f t="shared" si="185"/>
        <v>4522</v>
      </c>
      <c r="H319" s="602">
        <v>3800</v>
      </c>
      <c r="I319" s="115">
        <v>1.19</v>
      </c>
      <c r="J319" s="608">
        <f t="shared" si="178"/>
        <v>4522</v>
      </c>
      <c r="K319" s="602">
        <v>1</v>
      </c>
      <c r="L319" s="602">
        <f t="shared" si="177"/>
        <v>4522</v>
      </c>
      <c r="M319" s="113">
        <f ca="1">SUMIF(APU!A:B,'Materiales '!C313,APU!I:I)</f>
        <v>0</v>
      </c>
      <c r="N319" s="593" t="s">
        <v>5014</v>
      </c>
      <c r="O319" s="113" t="str">
        <f t="shared" si="142"/>
        <v>'194', 'UNIÓN IMC 1 1/2"', '7148', '4', '4522', '3800', '1.19', '4522', '1', '4522');</v>
      </c>
      <c r="P319" s="113" t="str">
        <f t="shared" si="143"/>
        <v>INSERT INTO materiales_2 (CODIGO, NOMBRE, COD_SIESA, ID_TIPO_UNIDAD, VALOR_UNITARIO, VALOR_COMPRA, IVA, VALOR_REAL, GANANCIA, VALOR_VENDIDO) VALUES ('194', 'UNIÓN IMC 1 1/2"', '7148', '4', '4522', '3800', '1.19', '4522', '1', '4522');</v>
      </c>
    </row>
    <row r="320" spans="2:16" ht="15">
      <c r="B320" s="216">
        <f t="shared" ref="B320:B384" si="189">B319+1</f>
        <v>195</v>
      </c>
      <c r="C320" s="354" t="s">
        <v>4591</v>
      </c>
      <c r="D320" s="357">
        <v>4796</v>
      </c>
      <c r="E320" s="595">
        <v>4</v>
      </c>
      <c r="F320" s="1" t="s">
        <v>4127</v>
      </c>
      <c r="G320" s="601">
        <f t="shared" si="185"/>
        <v>9314.1299999999992</v>
      </c>
      <c r="H320" s="602">
        <v>7827</v>
      </c>
      <c r="I320" s="115">
        <v>1.19</v>
      </c>
      <c r="J320" s="608">
        <f t="shared" si="178"/>
        <v>9314.1299999999992</v>
      </c>
      <c r="K320" s="602">
        <v>1</v>
      </c>
      <c r="L320" s="602">
        <f t="shared" si="177"/>
        <v>9314.1299999999992</v>
      </c>
      <c r="M320" s="113">
        <f ca="1">SUMIF(APU!A:B,'Materiales '!C315,APU!I:I)</f>
        <v>0</v>
      </c>
      <c r="N320" s="593" t="s">
        <v>5014</v>
      </c>
      <c r="O320" s="113" t="str">
        <f t="shared" si="142"/>
        <v>'195', 'VARILLA CORRUGADA 3/8" X 1 M', '4796', '4', '9314,13', '7827', '1.19', '9314,13', '1', '9314,13');</v>
      </c>
      <c r="P320" s="113" t="str">
        <f t="shared" si="143"/>
        <v>INSERT INTO materiales_2 (CODIGO, NOMBRE, COD_SIESA, ID_TIPO_UNIDAD, VALOR_UNITARIO, VALOR_COMPRA, IVA, VALOR_REAL, GANANCIA, VALOR_VENDIDO) VALUES ('195', 'VARILLA CORRUGADA 3/8" X 1 M', '4796', '4', '9314,13', '7827', '1.19', '9314,13', '1', '9314,13');</v>
      </c>
    </row>
    <row r="321" spans="2:16" ht="15">
      <c r="B321" s="216">
        <f t="shared" si="189"/>
        <v>196</v>
      </c>
      <c r="C321" s="354" t="s">
        <v>4592</v>
      </c>
      <c r="D321" s="357">
        <v>4798</v>
      </c>
      <c r="E321" s="595">
        <v>4</v>
      </c>
      <c r="F321" s="1" t="s">
        <v>4127</v>
      </c>
      <c r="G321" s="601">
        <f t="shared" si="185"/>
        <v>9518.81</v>
      </c>
      <c r="H321" s="602">
        <v>7999</v>
      </c>
      <c r="I321" s="115">
        <v>1.19</v>
      </c>
      <c r="J321" s="608">
        <f t="shared" si="178"/>
        <v>9518.81</v>
      </c>
      <c r="K321" s="602">
        <v>1</v>
      </c>
      <c r="L321" s="602">
        <f t="shared" si="177"/>
        <v>9518.81</v>
      </c>
      <c r="M321" s="113">
        <f ca="1">SUMIF(APU!A:B,'Materiales '!C316,APU!I:I)</f>
        <v>0</v>
      </c>
      <c r="N321" s="593" t="s">
        <v>5014</v>
      </c>
      <c r="O321" s="113" t="str">
        <f t="shared" si="142"/>
        <v>'196', 'VARILLA CORRUGADA 5/8" X 1 M', '4798', '4', '9518,81', '7999', '1.19', '9518,81', '1', '9518,81');</v>
      </c>
      <c r="P321" s="113" t="str">
        <f t="shared" si="143"/>
        <v>INSERT INTO materiales_2 (CODIGO, NOMBRE, COD_SIESA, ID_TIPO_UNIDAD, VALOR_UNITARIO, VALOR_COMPRA, IVA, VALOR_REAL, GANANCIA, VALOR_VENDIDO) VALUES ('196', 'VARILLA CORRUGADA 5/8" X 1 M', '4798', '4', '9518,81', '7999', '1.19', '9518,81', '1', '9518,81');</v>
      </c>
    </row>
    <row r="322" spans="2:16" ht="15">
      <c r="B322" s="216">
        <f t="shared" si="189"/>
        <v>197</v>
      </c>
      <c r="C322" s="354" t="s">
        <v>4593</v>
      </c>
      <c r="D322" s="357">
        <v>4118</v>
      </c>
      <c r="E322" s="595">
        <v>4</v>
      </c>
      <c r="F322" s="1" t="s">
        <v>4127</v>
      </c>
      <c r="G322" s="601">
        <f t="shared" si="185"/>
        <v>245305.41</v>
      </c>
      <c r="H322" s="602">
        <v>206139</v>
      </c>
      <c r="I322" s="115">
        <v>1.19</v>
      </c>
      <c r="J322" s="608">
        <f t="shared" si="178"/>
        <v>245305.41</v>
      </c>
      <c r="K322" s="602">
        <v>1</v>
      </c>
      <c r="L322" s="602">
        <f t="shared" si="177"/>
        <v>245305.41</v>
      </c>
      <c r="M322" s="113">
        <f ca="1">SUMIF(APU!A:B,'Materiales '!C319,APU!I:I)</f>
        <v>0</v>
      </c>
      <c r="N322" s="593" t="s">
        <v>5014</v>
      </c>
      <c r="O322" s="113" t="str">
        <f t="shared" si="142"/>
        <v>'197', 'VARILLA COOPERWELD 5/8" X 2,4 M', '4118', '4', '245305,41', '206139', '1.19', '245305,41', '1', '245305,41');</v>
      </c>
      <c r="P322" s="113" t="str">
        <f t="shared" si="143"/>
        <v>INSERT INTO materiales_2 (CODIGO, NOMBRE, COD_SIESA, ID_TIPO_UNIDAD, VALOR_UNITARIO, VALOR_COMPRA, IVA, VALOR_REAL, GANANCIA, VALOR_VENDIDO) VALUES ('197', 'VARILLA COOPERWELD 5/8" X 2,4 M', '4118', '4', '245305,41', '206139', '1.19', '245305,41', '1', '245305,41');</v>
      </c>
    </row>
    <row r="323" spans="2:16" ht="15">
      <c r="B323" s="216">
        <f t="shared" si="189"/>
        <v>198</v>
      </c>
      <c r="C323" s="354" t="s">
        <v>4594</v>
      </c>
      <c r="D323" s="357">
        <v>10167</v>
      </c>
      <c r="E323" s="595">
        <v>4</v>
      </c>
      <c r="F323" s="1" t="s">
        <v>4127</v>
      </c>
      <c r="G323" s="601">
        <f t="shared" si="185"/>
        <v>21158.2</v>
      </c>
      <c r="H323" s="602">
        <v>17780</v>
      </c>
      <c r="I323" s="115">
        <v>1.19</v>
      </c>
      <c r="J323" s="608">
        <f t="shared" si="178"/>
        <v>21158.2</v>
      </c>
      <c r="K323" s="602">
        <v>1</v>
      </c>
      <c r="L323" s="602">
        <f t="shared" si="177"/>
        <v>21158.2</v>
      </c>
      <c r="M323" s="113">
        <f ca="1">SUMIF(APU!A:B,'Materiales '!C321,APU!I:I)</f>
        <v>0</v>
      </c>
      <c r="N323" s="593" t="s">
        <v>5014</v>
      </c>
      <c r="O323" s="113" t="str">
        <f t="shared" si="142"/>
        <v>'198', 'VARILLA ANCLAJE 5/8 X 1500MM', '10167', '4', '21158,2', '17780', '1.19', '21158,2', '1', '21158,2');</v>
      </c>
      <c r="P323" s="113" t="str">
        <f t="shared" si="143"/>
        <v>INSERT INTO materiales_2 (CODIGO, NOMBRE, COD_SIESA, ID_TIPO_UNIDAD, VALOR_UNITARIO, VALOR_COMPRA, IVA, VALOR_REAL, GANANCIA, VALOR_VENDIDO) VALUES ('198', 'VARILLA ANCLAJE 5/8 X 1500MM', '10167', '4', '21158,2', '17780', '1.19', '21158,2', '1', '21158,2');</v>
      </c>
    </row>
    <row r="324" spans="2:16" ht="15">
      <c r="B324" s="216">
        <f t="shared" si="189"/>
        <v>199</v>
      </c>
      <c r="C324" s="365" t="s">
        <v>4628</v>
      </c>
      <c r="D324" s="116"/>
      <c r="E324" s="595">
        <v>4</v>
      </c>
      <c r="F324" s="1" t="s">
        <v>4127</v>
      </c>
      <c r="G324" s="601">
        <f t="shared" si="185"/>
        <v>29750</v>
      </c>
      <c r="H324" s="602">
        <v>25000</v>
      </c>
      <c r="I324" s="115">
        <v>1.19</v>
      </c>
      <c r="J324" s="608">
        <f t="shared" ref="J324:J325" si="190">I324*H324</f>
        <v>29750</v>
      </c>
      <c r="K324" s="602">
        <v>1</v>
      </c>
      <c r="L324" s="602">
        <f t="shared" ref="L324:L325" si="191">K324*J324</f>
        <v>29750</v>
      </c>
      <c r="M324" s="113">
        <f ca="1">SUMIF(APU!A:B,'Materiales '!C322,APU!I:I)</f>
        <v>0</v>
      </c>
      <c r="N324" s="593" t="s">
        <v>5014</v>
      </c>
      <c r="O324" s="113" t="str">
        <f t="shared" ref="O324:O334" si="192">"'"&amp;B324&amp;"', '"&amp;TRIM(UPPER(C324))&amp;"', '"&amp;D324&amp;"', '"&amp;E324&amp;"', '"&amp;G324&amp;"', '"&amp;H324&amp;"', '"&amp;SUBSTITUTE(I324,",",".")&amp;"', '"&amp;J324&amp;"', '"&amp;K324&amp;"', '"&amp;L324&amp;"');"</f>
        <v>'199', 'ACCESORIOS DE FIJACION', '', '4', '29750', '25000', '1.19', '29750', '1', '29750');</v>
      </c>
      <c r="P324" s="113" t="str">
        <f t="shared" ref="P324:P334" si="193">CONCATENATE(N324,O324)</f>
        <v>INSERT INTO materiales_2 (CODIGO, NOMBRE, COD_SIESA, ID_TIPO_UNIDAD, VALOR_UNITARIO, VALOR_COMPRA, IVA, VALOR_REAL, GANANCIA, VALOR_VENDIDO) VALUES ('199', 'ACCESORIOS DE FIJACION', '', '4', '29750', '25000', '1.19', '29750', '1', '29750');</v>
      </c>
    </row>
    <row r="325" spans="2:16" ht="15">
      <c r="B325" s="216">
        <f>B323+1</f>
        <v>199</v>
      </c>
      <c r="C325" s="364" t="s">
        <v>4622</v>
      </c>
      <c r="D325" s="116"/>
      <c r="E325" s="595">
        <v>4</v>
      </c>
      <c r="F325" s="1" t="s">
        <v>4127</v>
      </c>
      <c r="G325" s="601">
        <f t="shared" ref="G325" si="194">L325</f>
        <v>505750</v>
      </c>
      <c r="H325" s="602">
        <v>425000</v>
      </c>
      <c r="I325" s="115">
        <v>1.19</v>
      </c>
      <c r="J325" s="608">
        <f t="shared" si="190"/>
        <v>505750</v>
      </c>
      <c r="K325" s="602">
        <v>1</v>
      </c>
      <c r="L325" s="602">
        <f t="shared" si="191"/>
        <v>505750</v>
      </c>
      <c r="M325" s="113">
        <f ca="1">SUMIF(APU!A:B,'Materiales '!C322,APU!I:I)</f>
        <v>0</v>
      </c>
      <c r="N325" s="593" t="s">
        <v>5014</v>
      </c>
      <c r="O325" s="113" t="str">
        <f t="shared" si="192"/>
        <v>'199', 'WALLPACK LED 30W, 3180LM', '', '4', '505750', '425000', '1.19', '505750', '1', '505750');</v>
      </c>
      <c r="P325" s="113" t="str">
        <f t="shared" si="193"/>
        <v>INSERT INTO materiales_2 (CODIGO, NOMBRE, COD_SIESA, ID_TIPO_UNIDAD, VALOR_UNITARIO, VALOR_COMPRA, IVA, VALOR_REAL, GANANCIA, VALOR_VENDIDO) VALUES ('199', 'WALLPACK LED 30W, 3180LM', '', '4', '505750', '425000', '1.19', '505750', '1', '505750');</v>
      </c>
    </row>
    <row r="326" spans="2:16" ht="15">
      <c r="B326" s="216">
        <f>B324+1</f>
        <v>200</v>
      </c>
      <c r="C326" s="364" t="s">
        <v>4800</v>
      </c>
      <c r="D326" s="116"/>
      <c r="E326" s="595">
        <v>4</v>
      </c>
      <c r="F326" s="1" t="s">
        <v>4127</v>
      </c>
      <c r="G326" s="601">
        <f t="shared" si="185"/>
        <v>696150</v>
      </c>
      <c r="H326" s="602">
        <v>585000</v>
      </c>
      <c r="I326" s="115">
        <v>1.19</v>
      </c>
      <c r="J326" s="608">
        <f t="shared" ref="J326" si="195">I326*H326</f>
        <v>696150</v>
      </c>
      <c r="K326" s="602">
        <v>1</v>
      </c>
      <c r="L326" s="602">
        <f t="shared" ref="L326" si="196">K326*J326</f>
        <v>696150</v>
      </c>
      <c r="M326" s="113">
        <f ca="1">SUMIF(APU!A:B,'Materiales '!C323,APU!I:I)</f>
        <v>0</v>
      </c>
      <c r="N326" s="593" t="s">
        <v>5014</v>
      </c>
      <c r="O326" s="113" t="str">
        <f t="shared" si="192"/>
        <v>'200', 'WALLPACK LED 60W, 3180LM', '', '4', '696150', '585000', '1.19', '696150', '1', '696150');</v>
      </c>
      <c r="P326" s="113" t="str">
        <f t="shared" si="193"/>
        <v>INSERT INTO materiales_2 (CODIGO, NOMBRE, COD_SIESA, ID_TIPO_UNIDAD, VALOR_UNITARIO, VALOR_COMPRA, IVA, VALOR_REAL, GANANCIA, VALOR_VENDIDO) VALUES ('200', 'WALLPACK LED 60W, 3180LM', '', '4', '696150', '585000', '1.19', '696150', '1', '696150');</v>
      </c>
    </row>
    <row r="327" spans="2:16" ht="15">
      <c r="B327" s="216">
        <f t="shared" si="189"/>
        <v>201</v>
      </c>
      <c r="C327" s="364" t="s">
        <v>4623</v>
      </c>
      <c r="D327" s="116">
        <v>648</v>
      </c>
      <c r="E327" s="595">
        <v>4</v>
      </c>
      <c r="F327" s="1" t="s">
        <v>4127</v>
      </c>
      <c r="G327" s="601">
        <f t="shared" ref="G327" si="197">L327</f>
        <v>85382.5</v>
      </c>
      <c r="H327" s="602">
        <f>12.5*1.4*4100</f>
        <v>71750</v>
      </c>
      <c r="I327" s="115">
        <v>1.19</v>
      </c>
      <c r="J327" s="608">
        <f t="shared" ref="J327" si="198">I327*H327</f>
        <v>85382.5</v>
      </c>
      <c r="K327" s="602">
        <v>1</v>
      </c>
      <c r="L327" s="602">
        <f t="shared" ref="L327" si="199">K327*J327</f>
        <v>85382.5</v>
      </c>
      <c r="M327" s="113">
        <f ca="1">SUMIF(APU!A:B,'Materiales '!C324,APU!I:I)</f>
        <v>0</v>
      </c>
      <c r="N327" s="593" t="s">
        <v>5014</v>
      </c>
      <c r="O327" s="113" t="str">
        <f t="shared" si="192"/>
        <v>'201', 'BAÑADOR LINEAL DE SOBREPONER 1 METRO, 45W, 4300LM', '648', '4', '85382,5', '71750', '1.19', '85382,5', '1', '85382,5');</v>
      </c>
      <c r="P327" s="113" t="str">
        <f t="shared" si="193"/>
        <v>INSERT INTO materiales_2 (CODIGO, NOMBRE, COD_SIESA, ID_TIPO_UNIDAD, VALOR_UNITARIO, VALOR_COMPRA, IVA, VALOR_REAL, GANANCIA, VALOR_VENDIDO) VALUES ('201', 'BAÑADOR LINEAL DE SOBREPONER 1 METRO, 45W, 4300LM', '648', '4', '85382,5', '71750', '1.19', '85382,5', '1', '85382,5');</v>
      </c>
    </row>
    <row r="328" spans="2:16" ht="15">
      <c r="B328" s="216">
        <f t="shared" si="189"/>
        <v>202</v>
      </c>
      <c r="C328" s="365" t="s">
        <v>4640</v>
      </c>
      <c r="D328" s="116"/>
      <c r="E328" s="595">
        <v>4</v>
      </c>
      <c r="F328" s="1" t="s">
        <v>4127</v>
      </c>
      <c r="G328" s="601">
        <f t="shared" ref="G328:G329" si="200">L328</f>
        <v>1130.5</v>
      </c>
      <c r="H328" s="602">
        <v>950</v>
      </c>
      <c r="I328" s="115">
        <v>1.19</v>
      </c>
      <c r="J328" s="608">
        <f t="shared" ref="J328:J329" si="201">I328*H328</f>
        <v>1130.5</v>
      </c>
      <c r="K328" s="602">
        <v>1</v>
      </c>
      <c r="L328" s="602">
        <f t="shared" ref="L328:L329" si="202">K328*J328</f>
        <v>1130.5</v>
      </c>
      <c r="M328" s="113">
        <f ca="1">SUMIF(APU!A:B,'Materiales '!C326,APU!I:I)</f>
        <v>0</v>
      </c>
      <c r="N328" s="593" t="s">
        <v>5014</v>
      </c>
      <c r="O328" s="113" t="str">
        <f t="shared" si="192"/>
        <v>'202', 'CONECTOR EMT 1/2"', '', '4', '1130,5', '950', '1.19', '1130,5', '1', '1130,5');</v>
      </c>
      <c r="P328" s="113" t="str">
        <f t="shared" si="193"/>
        <v>INSERT INTO materiales_2 (CODIGO, NOMBRE, COD_SIESA, ID_TIPO_UNIDAD, VALOR_UNITARIO, VALOR_COMPRA, IVA, VALOR_REAL, GANANCIA, VALOR_VENDIDO) VALUES ('202', 'CONECTOR EMT 1/2"', '', '4', '1130,5', '950', '1.19', '1130,5', '1', '1130,5');</v>
      </c>
    </row>
    <row r="329" spans="2:16" ht="15">
      <c r="B329" s="216">
        <f t="shared" si="189"/>
        <v>203</v>
      </c>
      <c r="C329" s="365" t="s">
        <v>4641</v>
      </c>
      <c r="D329" s="116"/>
      <c r="E329" s="595">
        <v>4</v>
      </c>
      <c r="F329" s="1" t="s">
        <v>4127</v>
      </c>
      <c r="G329" s="601">
        <f t="shared" si="200"/>
        <v>1130.5</v>
      </c>
      <c r="H329" s="602">
        <v>950</v>
      </c>
      <c r="I329" s="115">
        <v>1.19</v>
      </c>
      <c r="J329" s="608">
        <f t="shared" si="201"/>
        <v>1130.5</v>
      </c>
      <c r="K329" s="602">
        <v>1</v>
      </c>
      <c r="L329" s="602">
        <f t="shared" si="202"/>
        <v>1130.5</v>
      </c>
      <c r="M329" s="113">
        <f ca="1">SUMIF(APU!A:B,'Materiales '!C327,APU!I:I)</f>
        <v>0</v>
      </c>
      <c r="N329" s="593" t="s">
        <v>5014</v>
      </c>
      <c r="O329" s="113" t="str">
        <f t="shared" si="192"/>
        <v>'203', 'UNION EMT 1/2"', '', '4', '1130,5', '950', '1.19', '1130,5', '1', '1130,5');</v>
      </c>
      <c r="P329" s="113" t="str">
        <f t="shared" si="193"/>
        <v>INSERT INTO materiales_2 (CODIGO, NOMBRE, COD_SIESA, ID_TIPO_UNIDAD, VALOR_UNITARIO, VALOR_COMPRA, IVA, VALOR_REAL, GANANCIA, VALOR_VENDIDO) VALUES ('203', 'UNION EMT 1/2"', '', '4', '1130,5', '950', '1.19', '1130,5', '1', '1130,5');</v>
      </c>
    </row>
    <row r="330" spans="2:16" ht="15">
      <c r="B330" s="216">
        <f t="shared" si="189"/>
        <v>204</v>
      </c>
      <c r="C330" s="365" t="s">
        <v>4649</v>
      </c>
      <c r="D330" s="116"/>
      <c r="E330" s="595">
        <v>4</v>
      </c>
      <c r="F330" s="1" t="s">
        <v>4127</v>
      </c>
      <c r="G330" s="601">
        <f t="shared" si="185"/>
        <v>64260</v>
      </c>
      <c r="H330" s="600">
        <v>54000</v>
      </c>
      <c r="I330" s="115">
        <v>1.19</v>
      </c>
      <c r="J330" s="608">
        <f t="shared" ref="J330" si="203">I330*H330</f>
        <v>64260</v>
      </c>
      <c r="K330" s="602">
        <v>1</v>
      </c>
      <c r="L330" s="602">
        <f t="shared" ref="L330" si="204">K330*J330</f>
        <v>64260</v>
      </c>
      <c r="M330" s="113">
        <f ca="1">SUMIF(APU!A:B,'Materiales '!C328,APU!I:I)</f>
        <v>0</v>
      </c>
      <c r="N330" s="593" t="s">
        <v>5014</v>
      </c>
      <c r="O330" s="113" t="str">
        <f t="shared" si="192"/>
        <v>'204', 'CAJA DE PASO TIPO INTEMPERIE DE 40X20X12', '', '4', '64260', '54000', '1.19', '64260', '1', '64260');</v>
      </c>
      <c r="P330" s="113" t="str">
        <f t="shared" si="193"/>
        <v>INSERT INTO materiales_2 (CODIGO, NOMBRE, COD_SIESA, ID_TIPO_UNIDAD, VALOR_UNITARIO, VALOR_COMPRA, IVA, VALOR_REAL, GANANCIA, VALOR_VENDIDO) VALUES ('204', 'CAJA DE PASO TIPO INTEMPERIE DE 40X20X12', '', '4', '64260', '54000', '1.19', '64260', '1', '64260');</v>
      </c>
    </row>
    <row r="331" spans="2:16" ht="15">
      <c r="B331" s="216">
        <f t="shared" si="189"/>
        <v>205</v>
      </c>
      <c r="C331" s="365" t="s">
        <v>4650</v>
      </c>
      <c r="D331" s="116"/>
      <c r="E331" s="595">
        <v>4</v>
      </c>
      <c r="F331" s="1" t="s">
        <v>4127</v>
      </c>
      <c r="G331" s="601">
        <f t="shared" si="185"/>
        <v>354620</v>
      </c>
      <c r="H331" s="600">
        <v>298000</v>
      </c>
      <c r="I331" s="115">
        <v>1.19</v>
      </c>
      <c r="J331" s="608">
        <f t="shared" ref="J331" si="205">I331*H331</f>
        <v>354620</v>
      </c>
      <c r="K331" s="602">
        <v>1</v>
      </c>
      <c r="L331" s="602">
        <f t="shared" ref="L331" si="206">K331*J331</f>
        <v>354620</v>
      </c>
      <c r="M331" s="113">
        <f ca="1">SUMIF(APU!A:B,'Materiales '!C329,APU!I:I)</f>
        <v>0</v>
      </c>
      <c r="N331" s="593" t="s">
        <v>5014</v>
      </c>
      <c r="O331" s="113" t="str">
        <f t="shared" si="192"/>
        <v>'205', 'GABINETE DOBLE FONDO 40X30X20', '', '4', '354620', '298000', '1.19', '354620', '1', '354620');</v>
      </c>
      <c r="P331" s="113" t="str">
        <f t="shared" si="193"/>
        <v>INSERT INTO materiales_2 (CODIGO, NOMBRE, COD_SIESA, ID_TIPO_UNIDAD, VALOR_UNITARIO, VALOR_COMPRA, IVA, VALOR_REAL, GANANCIA, VALOR_VENDIDO) VALUES ('205', 'GABINETE DOBLE FONDO 40X30X20', '', '4', '354620', '298000', '1.19', '354620', '1', '354620');</v>
      </c>
    </row>
    <row r="332" spans="2:16" ht="15">
      <c r="B332" s="216">
        <f t="shared" si="189"/>
        <v>206</v>
      </c>
      <c r="C332" s="365" t="s">
        <v>4651</v>
      </c>
      <c r="D332" s="116"/>
      <c r="E332" s="595">
        <v>4</v>
      </c>
      <c r="F332" s="1" t="s">
        <v>4127</v>
      </c>
      <c r="G332" s="601">
        <f t="shared" si="185"/>
        <v>59500</v>
      </c>
      <c r="H332" s="600">
        <v>50000</v>
      </c>
      <c r="I332" s="115">
        <v>1.19</v>
      </c>
      <c r="J332" s="608">
        <f t="shared" ref="J332:J335" si="207">I332*H332</f>
        <v>59500</v>
      </c>
      <c r="K332" s="602">
        <v>1</v>
      </c>
      <c r="L332" s="602">
        <f t="shared" ref="L332:L335" si="208">K332*J332</f>
        <v>59500</v>
      </c>
      <c r="M332" s="113">
        <f ca="1">SUMIF(APU!A:B,'Materiales '!C330,APU!I:I)</f>
        <v>0</v>
      </c>
      <c r="N332" s="593" t="s">
        <v>5014</v>
      </c>
      <c r="O332" s="113" t="str">
        <f t="shared" si="192"/>
        <v>'206', 'CONTACTOR DE 2X20', '', '4', '59500', '50000', '1.19', '59500', '1', '59500');</v>
      </c>
      <c r="P332" s="113" t="str">
        <f t="shared" si="193"/>
        <v>INSERT INTO materiales_2 (CODIGO, NOMBRE, COD_SIESA, ID_TIPO_UNIDAD, VALOR_UNITARIO, VALOR_COMPRA, IVA, VALOR_REAL, GANANCIA, VALOR_VENDIDO) VALUES ('206', 'CONTACTOR DE 2X20', '', '4', '59500', '50000', '1.19', '59500', '1', '59500');</v>
      </c>
    </row>
    <row r="333" spans="2:16" ht="15">
      <c r="B333" s="216">
        <f t="shared" si="189"/>
        <v>207</v>
      </c>
      <c r="C333" s="365" t="s">
        <v>4652</v>
      </c>
      <c r="D333" s="116"/>
      <c r="E333" s="595">
        <v>4</v>
      </c>
      <c r="F333" s="1" t="s">
        <v>4127</v>
      </c>
      <c r="G333" s="601">
        <f t="shared" si="185"/>
        <v>92820</v>
      </c>
      <c r="H333" s="600">
        <v>78000</v>
      </c>
      <c r="I333" s="115">
        <v>1.19</v>
      </c>
      <c r="J333" s="608">
        <f t="shared" si="207"/>
        <v>92820</v>
      </c>
      <c r="K333" s="602">
        <v>1</v>
      </c>
      <c r="L333" s="602">
        <f t="shared" si="208"/>
        <v>92820</v>
      </c>
      <c r="M333" s="113">
        <f ca="1">SUMIF(APU!A:B,'Materiales '!C331,APU!I:I)</f>
        <v>0</v>
      </c>
      <c r="N333" s="593" t="s">
        <v>5014</v>
      </c>
      <c r="O333" s="113" t="str">
        <f t="shared" si="192"/>
        <v>'207', 'TIMMER', '', '4', '92820', '78000', '1.19', '92820', '1', '92820');</v>
      </c>
      <c r="P333" s="113" t="str">
        <f t="shared" si="193"/>
        <v>INSERT INTO materiales_2 (CODIGO, NOMBRE, COD_SIESA, ID_TIPO_UNIDAD, VALOR_UNITARIO, VALOR_COMPRA, IVA, VALOR_REAL, GANANCIA, VALOR_VENDIDO) VALUES ('207', 'TIMMER', '', '4', '92820', '78000', '1.19', '92820', '1', '92820');</v>
      </c>
    </row>
    <row r="334" spans="2:16" ht="15">
      <c r="B334" s="216">
        <f t="shared" si="189"/>
        <v>208</v>
      </c>
      <c r="C334" s="365" t="s">
        <v>4653</v>
      </c>
      <c r="D334" s="116"/>
      <c r="E334" s="596">
        <v>1</v>
      </c>
      <c r="F334" s="1" t="s">
        <v>4655</v>
      </c>
      <c r="G334" s="601">
        <f t="shared" si="185"/>
        <v>17850</v>
      </c>
      <c r="H334" s="600">
        <v>15000</v>
      </c>
      <c r="I334" s="115">
        <v>1.19</v>
      </c>
      <c r="J334" s="608">
        <f t="shared" si="207"/>
        <v>17850</v>
      </c>
      <c r="K334" s="602">
        <v>1</v>
      </c>
      <c r="L334" s="602">
        <f t="shared" si="208"/>
        <v>17850</v>
      </c>
      <c r="M334" s="113">
        <f ca="1">SUMIF(APU!A:B,'Materiales '!C332,APU!I:I)</f>
        <v>0</v>
      </c>
      <c r="N334" s="593" t="s">
        <v>5014</v>
      </c>
      <c r="O334" s="113" t="str">
        <f t="shared" si="192"/>
        <v>'208', 'CABLEADO CONTROL', '', '1', '17850', '15000', '1.19', '17850', '1', '17850');</v>
      </c>
      <c r="P334" s="113" t="str">
        <f t="shared" si="193"/>
        <v>INSERT INTO materiales_2 (CODIGO, NOMBRE, COD_SIESA, ID_TIPO_UNIDAD, VALOR_UNITARIO, VALOR_COMPRA, IVA, VALOR_REAL, GANANCIA, VALOR_VENDIDO) VALUES ('208', 'CABLEADO CONTROL', '', '1', '17850', '15000', '1.19', '17850', '1', '17850');</v>
      </c>
    </row>
    <row r="335" spans="2:16" ht="15">
      <c r="B335" s="216">
        <f t="shared" si="189"/>
        <v>209</v>
      </c>
      <c r="C335" s="365" t="s">
        <v>4654</v>
      </c>
      <c r="D335" s="116"/>
      <c r="E335" s="595">
        <v>4</v>
      </c>
      <c r="F335" s="1" t="s">
        <v>4127</v>
      </c>
      <c r="G335" s="601">
        <f t="shared" si="185"/>
        <v>24905.000000000004</v>
      </c>
      <c r="H335" s="600">
        <f>29300/1.4</f>
        <v>20928.571428571431</v>
      </c>
      <c r="I335" s="115">
        <v>1.19</v>
      </c>
      <c r="J335" s="608">
        <f t="shared" si="207"/>
        <v>24905.000000000004</v>
      </c>
      <c r="K335" s="602">
        <v>1</v>
      </c>
      <c r="L335" s="602">
        <f t="shared" si="208"/>
        <v>24905.000000000004</v>
      </c>
      <c r="M335" s="113">
        <f ca="1">SUMIF(APU!A:B,'Materiales '!C333,APU!I:I)</f>
        <v>0</v>
      </c>
    </row>
    <row r="336" spans="2:16">
      <c r="B336" s="216">
        <f t="shared" si="189"/>
        <v>210</v>
      </c>
      <c r="C336" s="217"/>
      <c r="D336" s="116"/>
      <c r="E336" s="596"/>
      <c r="F336" s="114"/>
      <c r="G336" s="607"/>
      <c r="J336" s="608">
        <f t="shared" si="178"/>
        <v>0</v>
      </c>
      <c r="L336" s="602">
        <f t="shared" si="177"/>
        <v>0</v>
      </c>
      <c r="M336" s="113">
        <f ca="1">SUMIF(APU!A:B,'Materiales '!C336,APU!I:I)</f>
        <v>0</v>
      </c>
    </row>
    <row r="337" spans="2:13">
      <c r="B337" s="216">
        <f t="shared" si="189"/>
        <v>211</v>
      </c>
      <c r="C337" s="217"/>
      <c r="D337" s="116"/>
      <c r="E337" s="596"/>
      <c r="F337" s="114"/>
      <c r="G337" s="607"/>
      <c r="J337" s="608">
        <f t="shared" si="178"/>
        <v>0</v>
      </c>
      <c r="L337" s="602">
        <f t="shared" si="177"/>
        <v>0</v>
      </c>
      <c r="M337" s="113">
        <f ca="1">SUMIF(APU!A:B,'Materiales '!C337,APU!I:I)</f>
        <v>0</v>
      </c>
    </row>
    <row r="338" spans="2:13">
      <c r="B338" s="216">
        <f t="shared" si="189"/>
        <v>212</v>
      </c>
      <c r="C338" s="217"/>
      <c r="D338" s="116"/>
      <c r="E338" s="596"/>
      <c r="F338" s="114"/>
      <c r="G338" s="607"/>
      <c r="J338" s="608">
        <f t="shared" si="178"/>
        <v>0</v>
      </c>
      <c r="L338" s="602">
        <f t="shared" si="177"/>
        <v>0</v>
      </c>
      <c r="M338" s="113">
        <f ca="1">SUMIF(APU!A:B,'Materiales '!C338,APU!I:I)</f>
        <v>0</v>
      </c>
    </row>
    <row r="339" spans="2:13">
      <c r="B339" s="216">
        <f t="shared" si="189"/>
        <v>213</v>
      </c>
      <c r="C339" s="217"/>
      <c r="D339" s="116"/>
      <c r="E339" s="596"/>
      <c r="F339" s="114"/>
      <c r="G339" s="607"/>
      <c r="J339" s="608">
        <f t="shared" si="178"/>
        <v>0</v>
      </c>
      <c r="L339" s="602">
        <f t="shared" si="177"/>
        <v>0</v>
      </c>
      <c r="M339" s="113">
        <f ca="1">SUMIF(APU!A:B,'Materiales '!C339,APU!I:I)</f>
        <v>0</v>
      </c>
    </row>
    <row r="340" spans="2:13">
      <c r="B340" s="216">
        <f t="shared" si="189"/>
        <v>214</v>
      </c>
      <c r="C340" s="217"/>
      <c r="D340" s="116"/>
      <c r="E340" s="596"/>
      <c r="F340" s="114"/>
      <c r="G340" s="607"/>
      <c r="J340" s="608">
        <f t="shared" si="178"/>
        <v>0</v>
      </c>
      <c r="L340" s="602">
        <f t="shared" si="177"/>
        <v>0</v>
      </c>
      <c r="M340" s="113">
        <f ca="1">SUMIF(APU!A:B,'Materiales '!C340,APU!I:I)</f>
        <v>0</v>
      </c>
    </row>
    <row r="341" spans="2:13">
      <c r="B341" s="216">
        <f t="shared" si="189"/>
        <v>215</v>
      </c>
      <c r="C341" s="217"/>
      <c r="D341" s="116"/>
      <c r="E341" s="596"/>
      <c r="F341" s="114"/>
      <c r="G341" s="607"/>
      <c r="J341" s="608">
        <f t="shared" si="178"/>
        <v>0</v>
      </c>
      <c r="L341" s="602">
        <f t="shared" si="177"/>
        <v>0</v>
      </c>
      <c r="M341" s="113">
        <f ca="1">SUMIF(APU!A:B,'Materiales '!C341,APU!I:I)</f>
        <v>0</v>
      </c>
    </row>
    <row r="342" spans="2:13">
      <c r="B342" s="216">
        <f t="shared" si="189"/>
        <v>216</v>
      </c>
      <c r="C342" s="217"/>
      <c r="D342" s="116"/>
      <c r="E342" s="596"/>
      <c r="F342" s="114"/>
      <c r="G342" s="607"/>
      <c r="J342" s="608">
        <f t="shared" si="178"/>
        <v>0</v>
      </c>
      <c r="L342" s="602">
        <f t="shared" si="177"/>
        <v>0</v>
      </c>
      <c r="M342" s="113">
        <f ca="1">SUMIF(APU!A:B,'Materiales '!C342,APU!I:I)</f>
        <v>0</v>
      </c>
    </row>
    <row r="343" spans="2:13">
      <c r="B343" s="216">
        <f t="shared" si="189"/>
        <v>217</v>
      </c>
      <c r="C343" s="217"/>
      <c r="D343" s="116"/>
      <c r="E343" s="596"/>
      <c r="F343" s="114"/>
      <c r="G343" s="607"/>
      <c r="J343" s="608">
        <f t="shared" si="178"/>
        <v>0</v>
      </c>
      <c r="L343" s="602">
        <f t="shared" si="177"/>
        <v>0</v>
      </c>
      <c r="M343" s="113">
        <f ca="1">SUMIF(APU!A:B,'Materiales '!C343,APU!I:I)</f>
        <v>0</v>
      </c>
    </row>
    <row r="344" spans="2:13">
      <c r="B344" s="216">
        <f t="shared" si="189"/>
        <v>218</v>
      </c>
      <c r="C344" s="217"/>
      <c r="D344" s="116"/>
      <c r="E344" s="596"/>
      <c r="F344" s="114"/>
      <c r="G344" s="607"/>
      <c r="J344" s="608">
        <f t="shared" si="178"/>
        <v>0</v>
      </c>
      <c r="L344" s="602">
        <f t="shared" si="177"/>
        <v>0</v>
      </c>
      <c r="M344" s="113">
        <f ca="1">SUMIF(APU!A:B,'Materiales '!C344,APU!I:I)</f>
        <v>0</v>
      </c>
    </row>
    <row r="345" spans="2:13">
      <c r="B345" s="216">
        <f t="shared" si="189"/>
        <v>219</v>
      </c>
      <c r="C345" s="217"/>
      <c r="D345" s="116"/>
      <c r="E345" s="596"/>
      <c r="F345" s="114"/>
      <c r="G345" s="607"/>
      <c r="J345" s="608">
        <f t="shared" si="178"/>
        <v>0</v>
      </c>
      <c r="L345" s="602">
        <f t="shared" si="177"/>
        <v>0</v>
      </c>
      <c r="M345" s="113">
        <f ca="1">SUMIF(APU!A:B,'Materiales '!C345,APU!I:I)</f>
        <v>0</v>
      </c>
    </row>
    <row r="346" spans="2:13">
      <c r="B346" s="216">
        <f t="shared" si="189"/>
        <v>220</v>
      </c>
      <c r="C346" s="217"/>
      <c r="D346" s="116"/>
      <c r="E346" s="596"/>
      <c r="F346" s="114"/>
      <c r="G346" s="607"/>
      <c r="J346" s="608">
        <f t="shared" si="178"/>
        <v>0</v>
      </c>
      <c r="L346" s="602">
        <f t="shared" si="177"/>
        <v>0</v>
      </c>
      <c r="M346" s="113">
        <f ca="1">SUMIF(APU!A:B,'Materiales '!C346,APU!I:I)</f>
        <v>0</v>
      </c>
    </row>
    <row r="347" spans="2:13">
      <c r="B347" s="216">
        <f t="shared" si="189"/>
        <v>221</v>
      </c>
      <c r="C347" s="217"/>
      <c r="D347" s="116"/>
      <c r="E347" s="596"/>
      <c r="F347" s="114"/>
      <c r="G347" s="607"/>
      <c r="J347" s="608">
        <f t="shared" si="178"/>
        <v>0</v>
      </c>
      <c r="L347" s="602">
        <f t="shared" si="177"/>
        <v>0</v>
      </c>
      <c r="M347" s="113">
        <f ca="1">SUMIF(APU!A:B,'Materiales '!C347,APU!I:I)</f>
        <v>0</v>
      </c>
    </row>
    <row r="348" spans="2:13">
      <c r="B348" s="216">
        <f t="shared" si="189"/>
        <v>222</v>
      </c>
      <c r="C348" s="217"/>
      <c r="D348" s="116"/>
      <c r="E348" s="596"/>
      <c r="F348" s="114"/>
      <c r="G348" s="607"/>
      <c r="J348" s="608">
        <f t="shared" si="178"/>
        <v>0</v>
      </c>
      <c r="L348" s="602">
        <f t="shared" si="177"/>
        <v>0</v>
      </c>
      <c r="M348" s="113">
        <f ca="1">SUMIF(APU!A:B,'Materiales '!C348,APU!I:I)</f>
        <v>0</v>
      </c>
    </row>
    <row r="349" spans="2:13">
      <c r="B349" s="216">
        <f t="shared" si="189"/>
        <v>223</v>
      </c>
      <c r="C349" s="217"/>
      <c r="D349" s="116"/>
      <c r="E349" s="596"/>
      <c r="F349" s="114"/>
      <c r="G349" s="607"/>
      <c r="J349" s="608">
        <f t="shared" si="178"/>
        <v>0</v>
      </c>
      <c r="L349" s="602">
        <f t="shared" si="177"/>
        <v>0</v>
      </c>
      <c r="M349" s="113">
        <f ca="1">SUMIF(APU!A:B,'Materiales '!C349,APU!I:I)</f>
        <v>0</v>
      </c>
    </row>
    <row r="350" spans="2:13">
      <c r="B350" s="216">
        <f t="shared" si="189"/>
        <v>224</v>
      </c>
      <c r="C350" s="217"/>
      <c r="D350" s="116"/>
      <c r="E350" s="596"/>
      <c r="F350" s="114"/>
      <c r="G350" s="607"/>
      <c r="J350" s="608">
        <f t="shared" si="178"/>
        <v>0</v>
      </c>
      <c r="L350" s="602">
        <f t="shared" si="177"/>
        <v>0</v>
      </c>
      <c r="M350" s="113">
        <f ca="1">SUMIF(APU!A:B,'Materiales '!C350,APU!I:I)</f>
        <v>0</v>
      </c>
    </row>
    <row r="351" spans="2:13">
      <c r="B351" s="216">
        <f t="shared" si="189"/>
        <v>225</v>
      </c>
      <c r="C351" s="217"/>
      <c r="D351" s="116"/>
      <c r="E351" s="596"/>
      <c r="F351" s="114"/>
      <c r="G351" s="607"/>
      <c r="J351" s="608">
        <f t="shared" si="178"/>
        <v>0</v>
      </c>
      <c r="L351" s="602">
        <f t="shared" si="177"/>
        <v>0</v>
      </c>
      <c r="M351" s="113">
        <f ca="1">SUMIF(APU!A:B,'Materiales '!C351,APU!I:I)</f>
        <v>0</v>
      </c>
    </row>
    <row r="352" spans="2:13">
      <c r="B352" s="216">
        <f t="shared" si="189"/>
        <v>226</v>
      </c>
      <c r="C352" s="217"/>
      <c r="D352" s="116"/>
      <c r="E352" s="596"/>
      <c r="F352" s="114"/>
      <c r="G352" s="607"/>
      <c r="J352" s="608">
        <f t="shared" si="178"/>
        <v>0</v>
      </c>
      <c r="L352" s="602">
        <f t="shared" si="177"/>
        <v>0</v>
      </c>
      <c r="M352" s="113">
        <f ca="1">SUMIF(APU!A:B,'Materiales '!C352,APU!I:I)</f>
        <v>0</v>
      </c>
    </row>
    <row r="353" spans="2:13">
      <c r="B353" s="216">
        <f t="shared" si="189"/>
        <v>227</v>
      </c>
      <c r="C353" s="217"/>
      <c r="D353" s="116"/>
      <c r="E353" s="596"/>
      <c r="F353" s="114"/>
      <c r="G353" s="607"/>
      <c r="J353" s="608">
        <f t="shared" si="178"/>
        <v>0</v>
      </c>
      <c r="L353" s="602">
        <f t="shared" si="177"/>
        <v>0</v>
      </c>
      <c r="M353" s="113">
        <f ca="1">SUMIF(APU!A:B,'Materiales '!C353,APU!I:I)</f>
        <v>0</v>
      </c>
    </row>
    <row r="354" spans="2:13">
      <c r="B354" s="216">
        <f t="shared" si="189"/>
        <v>228</v>
      </c>
      <c r="C354" s="217"/>
      <c r="D354" s="116"/>
      <c r="E354" s="596"/>
      <c r="F354" s="114"/>
      <c r="G354" s="607"/>
      <c r="J354" s="608">
        <f t="shared" si="178"/>
        <v>0</v>
      </c>
      <c r="L354" s="602">
        <f t="shared" si="177"/>
        <v>0</v>
      </c>
      <c r="M354" s="113">
        <f ca="1">SUMIF(APU!A:B,'Materiales '!C354,APU!I:I)</f>
        <v>0</v>
      </c>
    </row>
    <row r="355" spans="2:13">
      <c r="B355" s="216">
        <f t="shared" si="189"/>
        <v>229</v>
      </c>
      <c r="C355" s="217"/>
      <c r="D355" s="116"/>
      <c r="E355" s="596"/>
      <c r="F355" s="114"/>
      <c r="G355" s="607"/>
      <c r="J355" s="608">
        <f t="shared" si="178"/>
        <v>0</v>
      </c>
      <c r="L355" s="602">
        <f t="shared" si="177"/>
        <v>0</v>
      </c>
      <c r="M355" s="113">
        <f ca="1">SUMIF(APU!A:B,'Materiales '!C355,APU!I:I)</f>
        <v>0</v>
      </c>
    </row>
    <row r="356" spans="2:13">
      <c r="B356" s="216">
        <f t="shared" si="189"/>
        <v>230</v>
      </c>
      <c r="C356" s="217"/>
      <c r="D356" s="116"/>
      <c r="E356" s="596"/>
      <c r="F356" s="114"/>
      <c r="G356" s="607"/>
      <c r="J356" s="608">
        <f t="shared" si="178"/>
        <v>0</v>
      </c>
      <c r="L356" s="602">
        <f t="shared" si="177"/>
        <v>0</v>
      </c>
      <c r="M356" s="113">
        <f ca="1">SUMIF(APU!A:B,'Materiales '!C356,APU!I:I)</f>
        <v>0</v>
      </c>
    </row>
    <row r="357" spans="2:13">
      <c r="B357" s="216">
        <f t="shared" si="189"/>
        <v>231</v>
      </c>
      <c r="C357" s="217"/>
      <c r="D357" s="116"/>
      <c r="E357" s="596"/>
      <c r="F357" s="114"/>
      <c r="G357" s="607"/>
      <c r="J357" s="608">
        <f t="shared" si="178"/>
        <v>0</v>
      </c>
      <c r="L357" s="602">
        <f t="shared" si="177"/>
        <v>0</v>
      </c>
      <c r="M357" s="113">
        <f ca="1">SUMIF(APU!A:B,'Materiales '!C357,APU!I:I)</f>
        <v>0</v>
      </c>
    </row>
    <row r="358" spans="2:13">
      <c r="B358" s="216">
        <f t="shared" si="189"/>
        <v>232</v>
      </c>
      <c r="C358" s="217"/>
      <c r="D358" s="116"/>
      <c r="E358" s="596"/>
      <c r="F358" s="114"/>
      <c r="G358" s="607"/>
      <c r="J358" s="608">
        <f t="shared" si="178"/>
        <v>0</v>
      </c>
      <c r="L358" s="602">
        <f t="shared" si="177"/>
        <v>0</v>
      </c>
      <c r="M358" s="113">
        <f ca="1">SUMIF(APU!A:B,'Materiales '!C358,APU!I:I)</f>
        <v>0</v>
      </c>
    </row>
    <row r="359" spans="2:13">
      <c r="B359" s="216">
        <f t="shared" si="189"/>
        <v>233</v>
      </c>
      <c r="C359" s="217"/>
      <c r="D359" s="116"/>
      <c r="E359" s="596"/>
      <c r="F359" s="114"/>
      <c r="G359" s="607"/>
      <c r="J359" s="608">
        <f t="shared" si="178"/>
        <v>0</v>
      </c>
      <c r="L359" s="602">
        <f t="shared" si="177"/>
        <v>0</v>
      </c>
      <c r="M359" s="113">
        <f ca="1">SUMIF(APU!A:B,'Materiales '!C359,APU!I:I)</f>
        <v>0</v>
      </c>
    </row>
    <row r="360" spans="2:13">
      <c r="B360" s="216">
        <f t="shared" si="189"/>
        <v>234</v>
      </c>
      <c r="C360" s="217"/>
      <c r="D360" s="116"/>
      <c r="E360" s="596"/>
      <c r="F360" s="114"/>
      <c r="G360" s="607"/>
      <c r="J360" s="608">
        <f t="shared" si="178"/>
        <v>0</v>
      </c>
      <c r="L360" s="602">
        <f t="shared" si="177"/>
        <v>0</v>
      </c>
      <c r="M360" s="113">
        <f ca="1">SUMIF(APU!A:B,'Materiales '!C360,APU!I:I)</f>
        <v>0</v>
      </c>
    </row>
    <row r="361" spans="2:13">
      <c r="B361" s="216">
        <f t="shared" si="189"/>
        <v>235</v>
      </c>
      <c r="C361" s="217"/>
      <c r="D361" s="116"/>
      <c r="E361" s="596"/>
      <c r="F361" s="114"/>
      <c r="G361" s="607"/>
      <c r="J361" s="608">
        <f t="shared" si="178"/>
        <v>0</v>
      </c>
      <c r="L361" s="602">
        <f t="shared" si="177"/>
        <v>0</v>
      </c>
      <c r="M361" s="113">
        <f ca="1">SUMIF(APU!A:B,'Materiales '!C361,APU!I:I)</f>
        <v>0</v>
      </c>
    </row>
    <row r="362" spans="2:13">
      <c r="B362" s="216">
        <f t="shared" si="189"/>
        <v>236</v>
      </c>
      <c r="C362" s="217"/>
      <c r="D362" s="116"/>
      <c r="E362" s="596"/>
      <c r="F362" s="114"/>
      <c r="G362" s="607"/>
      <c r="J362" s="608">
        <f t="shared" si="178"/>
        <v>0</v>
      </c>
      <c r="L362" s="602">
        <f t="shared" si="177"/>
        <v>0</v>
      </c>
      <c r="M362" s="113">
        <f ca="1">SUMIF(APU!A:B,'Materiales '!C362,APU!I:I)</f>
        <v>0</v>
      </c>
    </row>
    <row r="363" spans="2:13">
      <c r="B363" s="216">
        <f t="shared" si="189"/>
        <v>237</v>
      </c>
      <c r="C363" s="217"/>
      <c r="D363" s="116"/>
      <c r="E363" s="596"/>
      <c r="F363" s="114"/>
      <c r="G363" s="607"/>
      <c r="J363" s="608">
        <f t="shared" si="178"/>
        <v>0</v>
      </c>
      <c r="L363" s="602">
        <f t="shared" si="177"/>
        <v>0</v>
      </c>
      <c r="M363" s="113">
        <f ca="1">SUMIF(APU!A:B,'Materiales '!C363,APU!I:I)</f>
        <v>0</v>
      </c>
    </row>
    <row r="364" spans="2:13">
      <c r="B364" s="216">
        <f t="shared" si="189"/>
        <v>238</v>
      </c>
      <c r="C364" s="217"/>
      <c r="D364" s="116"/>
      <c r="E364" s="596"/>
      <c r="F364" s="114"/>
      <c r="G364" s="607"/>
      <c r="J364" s="608">
        <f t="shared" si="178"/>
        <v>0</v>
      </c>
      <c r="L364" s="602">
        <f t="shared" si="177"/>
        <v>0</v>
      </c>
      <c r="M364" s="113">
        <f ca="1">SUMIF(APU!A:B,'Materiales '!C364,APU!I:I)</f>
        <v>0</v>
      </c>
    </row>
    <row r="365" spans="2:13">
      <c r="B365" s="216">
        <f t="shared" si="189"/>
        <v>239</v>
      </c>
      <c r="C365" s="217"/>
      <c r="D365" s="116"/>
      <c r="E365" s="596"/>
      <c r="F365" s="114"/>
      <c r="G365" s="607"/>
      <c r="J365" s="608">
        <f t="shared" si="178"/>
        <v>0</v>
      </c>
      <c r="L365" s="602">
        <f t="shared" si="177"/>
        <v>0</v>
      </c>
      <c r="M365" s="113">
        <f ca="1">SUMIF(APU!A:B,'Materiales '!C365,APU!I:I)</f>
        <v>0</v>
      </c>
    </row>
    <row r="366" spans="2:13">
      <c r="B366" s="216">
        <f t="shared" si="189"/>
        <v>240</v>
      </c>
      <c r="C366" s="217"/>
      <c r="D366" s="116"/>
      <c r="E366" s="596"/>
      <c r="F366" s="114"/>
      <c r="G366" s="607"/>
      <c r="J366" s="608">
        <f t="shared" si="178"/>
        <v>0</v>
      </c>
      <c r="L366" s="602">
        <f t="shared" si="177"/>
        <v>0</v>
      </c>
      <c r="M366" s="113">
        <f ca="1">SUMIF(APU!A:B,'Materiales '!C366,APU!I:I)</f>
        <v>0</v>
      </c>
    </row>
    <row r="367" spans="2:13">
      <c r="B367" s="216">
        <f t="shared" si="189"/>
        <v>241</v>
      </c>
      <c r="C367" s="217"/>
      <c r="D367" s="116"/>
      <c r="E367" s="596"/>
      <c r="F367" s="114"/>
      <c r="G367" s="607"/>
      <c r="J367" s="608">
        <f t="shared" si="178"/>
        <v>0</v>
      </c>
      <c r="L367" s="602">
        <f t="shared" si="177"/>
        <v>0</v>
      </c>
      <c r="M367" s="113">
        <f ca="1">SUMIF(APU!A:B,'Materiales '!C367,APU!I:I)</f>
        <v>0</v>
      </c>
    </row>
    <row r="368" spans="2:13">
      <c r="B368" s="216">
        <f t="shared" si="189"/>
        <v>242</v>
      </c>
      <c r="C368" s="217"/>
      <c r="D368" s="116"/>
      <c r="E368" s="596"/>
      <c r="F368" s="114"/>
      <c r="G368" s="607"/>
      <c r="J368" s="608">
        <f t="shared" si="178"/>
        <v>0</v>
      </c>
      <c r="L368" s="602">
        <f t="shared" si="177"/>
        <v>0</v>
      </c>
      <c r="M368" s="113">
        <f ca="1">SUMIF(APU!A:B,'Materiales '!C368,APU!I:I)</f>
        <v>0</v>
      </c>
    </row>
    <row r="369" spans="2:13">
      <c r="B369" s="216">
        <f t="shared" si="189"/>
        <v>243</v>
      </c>
      <c r="C369" s="217"/>
      <c r="D369" s="116"/>
      <c r="E369" s="596"/>
      <c r="F369" s="114"/>
      <c r="G369" s="607"/>
      <c r="J369" s="608">
        <f t="shared" si="178"/>
        <v>0</v>
      </c>
      <c r="L369" s="602">
        <f t="shared" si="177"/>
        <v>0</v>
      </c>
      <c r="M369" s="113">
        <f ca="1">SUMIF(APU!A:B,'Materiales '!C369,APU!I:I)</f>
        <v>0</v>
      </c>
    </row>
    <row r="370" spans="2:13">
      <c r="B370" s="216">
        <f t="shared" si="189"/>
        <v>244</v>
      </c>
      <c r="C370" s="217"/>
      <c r="D370" s="116"/>
      <c r="E370" s="596"/>
      <c r="F370" s="114"/>
      <c r="G370" s="607"/>
      <c r="J370" s="608">
        <f t="shared" si="178"/>
        <v>0</v>
      </c>
      <c r="L370" s="602">
        <f t="shared" si="177"/>
        <v>0</v>
      </c>
      <c r="M370" s="113">
        <f ca="1">SUMIF(APU!A:B,'Materiales '!C370,APU!I:I)</f>
        <v>0</v>
      </c>
    </row>
    <row r="371" spans="2:13">
      <c r="B371" s="216">
        <f t="shared" si="189"/>
        <v>245</v>
      </c>
      <c r="C371" s="217"/>
      <c r="D371" s="116"/>
      <c r="E371" s="596"/>
      <c r="F371" s="114"/>
      <c r="G371" s="607"/>
      <c r="J371" s="608">
        <f t="shared" si="178"/>
        <v>0</v>
      </c>
      <c r="L371" s="602">
        <f t="shared" si="177"/>
        <v>0</v>
      </c>
      <c r="M371" s="113">
        <f ca="1">SUMIF(APU!A:B,'Materiales '!C371,APU!I:I)</f>
        <v>0</v>
      </c>
    </row>
    <row r="372" spans="2:13">
      <c r="B372" s="216">
        <f t="shared" si="189"/>
        <v>246</v>
      </c>
      <c r="C372" s="217"/>
      <c r="D372" s="116"/>
      <c r="E372" s="596"/>
      <c r="F372" s="114"/>
      <c r="G372" s="607"/>
      <c r="J372" s="608">
        <f t="shared" si="178"/>
        <v>0</v>
      </c>
      <c r="L372" s="602">
        <f t="shared" si="177"/>
        <v>0</v>
      </c>
      <c r="M372" s="113">
        <f ca="1">SUMIF(APU!A:B,'Materiales '!C372,APU!I:I)</f>
        <v>0</v>
      </c>
    </row>
    <row r="373" spans="2:13">
      <c r="B373" s="216">
        <f t="shared" si="189"/>
        <v>247</v>
      </c>
      <c r="C373" s="217"/>
      <c r="D373" s="116"/>
      <c r="E373" s="596"/>
      <c r="F373" s="114"/>
      <c r="G373" s="607"/>
      <c r="J373" s="608">
        <f t="shared" si="178"/>
        <v>0</v>
      </c>
      <c r="L373" s="602">
        <f t="shared" si="177"/>
        <v>0</v>
      </c>
      <c r="M373" s="113">
        <f ca="1">SUMIF(APU!A:B,'Materiales '!C373,APU!I:I)</f>
        <v>0</v>
      </c>
    </row>
    <row r="374" spans="2:13">
      <c r="B374" s="216">
        <f t="shared" si="189"/>
        <v>248</v>
      </c>
      <c r="C374" s="217"/>
      <c r="D374" s="116"/>
      <c r="E374" s="596"/>
      <c r="F374" s="114"/>
      <c r="G374" s="607"/>
      <c r="J374" s="608">
        <f t="shared" si="178"/>
        <v>0</v>
      </c>
      <c r="L374" s="602">
        <f t="shared" si="177"/>
        <v>0</v>
      </c>
      <c r="M374" s="113">
        <f ca="1">SUMIF(APU!A:B,'Materiales '!C374,APU!I:I)</f>
        <v>0</v>
      </c>
    </row>
    <row r="375" spans="2:13">
      <c r="B375" s="216">
        <f t="shared" si="189"/>
        <v>249</v>
      </c>
      <c r="C375" s="217"/>
      <c r="D375" s="116"/>
      <c r="E375" s="596"/>
      <c r="F375" s="114"/>
      <c r="G375" s="607"/>
      <c r="J375" s="608">
        <f t="shared" si="178"/>
        <v>0</v>
      </c>
      <c r="L375" s="602">
        <f t="shared" si="177"/>
        <v>0</v>
      </c>
      <c r="M375" s="113">
        <f ca="1">SUMIF(APU!A:B,'Materiales '!C375,APU!I:I)</f>
        <v>0</v>
      </c>
    </row>
    <row r="376" spans="2:13">
      <c r="B376" s="216">
        <f t="shared" si="189"/>
        <v>250</v>
      </c>
      <c r="C376" s="217"/>
      <c r="D376" s="116"/>
      <c r="E376" s="596"/>
      <c r="F376" s="114"/>
      <c r="G376" s="607"/>
      <c r="J376" s="608">
        <f t="shared" si="178"/>
        <v>0</v>
      </c>
      <c r="L376" s="602">
        <f t="shared" ref="L376:L383" si="209">K376*J376</f>
        <v>0</v>
      </c>
      <c r="M376" s="113">
        <f ca="1">SUMIF(APU!A:B,'Materiales '!C376,APU!I:I)</f>
        <v>0</v>
      </c>
    </row>
    <row r="377" spans="2:13">
      <c r="B377" s="216">
        <f t="shared" si="189"/>
        <v>251</v>
      </c>
      <c r="C377" s="217"/>
      <c r="D377" s="116"/>
      <c r="E377" s="596"/>
      <c r="F377" s="114"/>
      <c r="G377" s="607"/>
      <c r="L377" s="602">
        <f t="shared" si="209"/>
        <v>0</v>
      </c>
      <c r="M377" s="113">
        <f ca="1">SUMIF(APU!A:B,'Materiales '!C377,APU!I:I)</f>
        <v>0</v>
      </c>
    </row>
    <row r="378" spans="2:13">
      <c r="B378" s="216">
        <f t="shared" si="189"/>
        <v>252</v>
      </c>
      <c r="C378" s="217"/>
      <c r="D378" s="116"/>
      <c r="E378" s="596"/>
      <c r="F378" s="114"/>
      <c r="G378" s="607"/>
      <c r="L378" s="602">
        <f t="shared" si="209"/>
        <v>0</v>
      </c>
      <c r="M378" s="113">
        <f ca="1">SUMIF(APU!A:B,'Materiales '!C378,APU!I:I)</f>
        <v>0</v>
      </c>
    </row>
    <row r="379" spans="2:13">
      <c r="B379" s="216">
        <f t="shared" si="189"/>
        <v>253</v>
      </c>
      <c r="C379" s="217"/>
      <c r="D379" s="116"/>
      <c r="E379" s="596"/>
      <c r="F379" s="114"/>
      <c r="G379" s="607"/>
      <c r="L379" s="602">
        <f t="shared" si="209"/>
        <v>0</v>
      </c>
      <c r="M379" s="113">
        <f ca="1">SUMIF(APU!A:B,'Materiales '!C379,APU!I:I)</f>
        <v>0</v>
      </c>
    </row>
    <row r="380" spans="2:13">
      <c r="B380" s="216">
        <f t="shared" si="189"/>
        <v>254</v>
      </c>
      <c r="C380" s="217"/>
      <c r="D380" s="116"/>
      <c r="E380" s="596"/>
      <c r="F380" s="114"/>
      <c r="G380" s="607"/>
      <c r="L380" s="602">
        <f t="shared" si="209"/>
        <v>0</v>
      </c>
      <c r="M380" s="113">
        <f ca="1">SUMIF(APU!A:B,'Materiales '!C380,APU!I:I)</f>
        <v>0</v>
      </c>
    </row>
    <row r="381" spans="2:13">
      <c r="B381" s="216">
        <f t="shared" si="189"/>
        <v>255</v>
      </c>
      <c r="C381" s="217"/>
      <c r="D381" s="116"/>
      <c r="E381" s="596"/>
      <c r="F381" s="114"/>
      <c r="G381" s="607"/>
      <c r="L381" s="602">
        <f t="shared" si="209"/>
        <v>0</v>
      </c>
      <c r="M381" s="113">
        <f ca="1">SUMIF(APU!A:B,'Materiales '!C381,APU!I:I)</f>
        <v>0</v>
      </c>
    </row>
    <row r="382" spans="2:13">
      <c r="B382" s="216">
        <f t="shared" si="189"/>
        <v>256</v>
      </c>
      <c r="C382" s="217"/>
      <c r="D382" s="116"/>
      <c r="E382" s="596"/>
      <c r="F382" s="114"/>
      <c r="G382" s="607"/>
      <c r="L382" s="602">
        <f t="shared" si="209"/>
        <v>0</v>
      </c>
      <c r="M382" s="113">
        <f ca="1">SUMIF(APU!A:B,'Materiales '!C382,APU!I:I)</f>
        <v>0</v>
      </c>
    </row>
    <row r="383" spans="2:13">
      <c r="B383" s="216">
        <f t="shared" si="189"/>
        <v>257</v>
      </c>
      <c r="C383" s="217"/>
      <c r="D383" s="116"/>
      <c r="E383" s="596"/>
      <c r="F383" s="114"/>
      <c r="G383" s="607"/>
      <c r="L383" s="602">
        <f t="shared" si="209"/>
        <v>0</v>
      </c>
      <c r="M383" s="113">
        <f ca="1">SUMIF(APU!A:B,'Materiales '!C383,APU!I:I)</f>
        <v>0</v>
      </c>
    </row>
    <row r="384" spans="2:13">
      <c r="B384" s="216">
        <f t="shared" si="189"/>
        <v>258</v>
      </c>
      <c r="C384" s="217"/>
      <c r="D384" s="116"/>
      <c r="E384" s="596"/>
      <c r="F384" s="114"/>
      <c r="G384" s="607"/>
      <c r="M384" s="113">
        <f ca="1">SUMIF(APU!A:B,'Materiales '!C384,APU!I:I)</f>
        <v>0</v>
      </c>
    </row>
    <row r="385" spans="2:13">
      <c r="B385" s="216">
        <f t="shared" ref="B385:B396" si="210">B384+1</f>
        <v>259</v>
      </c>
      <c r="C385" s="217"/>
      <c r="D385" s="116"/>
      <c r="E385" s="596"/>
      <c r="F385" s="114"/>
      <c r="G385" s="607"/>
      <c r="M385" s="113">
        <f ca="1">SUMIF(APU!A:B,'Materiales '!C385,APU!I:I)</f>
        <v>0</v>
      </c>
    </row>
    <row r="386" spans="2:13">
      <c r="B386" s="216">
        <f t="shared" si="210"/>
        <v>260</v>
      </c>
      <c r="C386" s="217"/>
      <c r="D386" s="116"/>
      <c r="E386" s="596"/>
      <c r="F386" s="114"/>
      <c r="G386" s="607"/>
      <c r="M386" s="113">
        <f ca="1">SUMIF(APU!A:B,'Materiales '!C386,APU!I:I)</f>
        <v>0</v>
      </c>
    </row>
    <row r="387" spans="2:13">
      <c r="B387" s="216">
        <f t="shared" si="210"/>
        <v>261</v>
      </c>
      <c r="C387" s="217"/>
      <c r="D387" s="116"/>
      <c r="E387" s="596"/>
      <c r="F387" s="114"/>
      <c r="G387" s="607"/>
      <c r="M387" s="113">
        <f ca="1">SUMIF(APU!A:B,'Materiales '!C387,APU!I:I)</f>
        <v>0</v>
      </c>
    </row>
    <row r="388" spans="2:13">
      <c r="B388" s="216">
        <f t="shared" si="210"/>
        <v>262</v>
      </c>
      <c r="C388" s="217"/>
      <c r="D388" s="116"/>
      <c r="E388" s="596"/>
      <c r="F388" s="114"/>
      <c r="G388" s="607"/>
      <c r="M388" s="113">
        <f ca="1">SUMIF(APU!A:B,'Materiales '!C388,APU!I:I)</f>
        <v>0</v>
      </c>
    </row>
    <row r="389" spans="2:13">
      <c r="B389" s="216">
        <f t="shared" si="210"/>
        <v>263</v>
      </c>
      <c r="C389" s="217"/>
      <c r="D389" s="116"/>
      <c r="E389" s="596"/>
      <c r="F389" s="114"/>
      <c r="G389" s="607"/>
      <c r="M389" s="113">
        <f ca="1">SUMIF(APU!A:B,'Materiales '!C389,APU!I:I)</f>
        <v>0</v>
      </c>
    </row>
    <row r="390" spans="2:13">
      <c r="B390" s="216">
        <f t="shared" si="210"/>
        <v>264</v>
      </c>
      <c r="C390" s="217"/>
      <c r="D390" s="116"/>
      <c r="E390" s="596"/>
      <c r="F390" s="114"/>
      <c r="G390" s="607"/>
      <c r="M390" s="113">
        <f ca="1">SUMIF(APU!A:B,'Materiales '!C390,APU!I:I)</f>
        <v>0</v>
      </c>
    </row>
    <row r="391" spans="2:13">
      <c r="B391" s="216">
        <f t="shared" si="210"/>
        <v>265</v>
      </c>
      <c r="C391" s="217"/>
      <c r="D391" s="116"/>
      <c r="E391" s="596"/>
      <c r="F391" s="114"/>
      <c r="G391" s="607"/>
      <c r="M391" s="113">
        <f ca="1">SUMIF(APU!A:B,'Materiales '!C391,APU!I:I)</f>
        <v>0</v>
      </c>
    </row>
    <row r="392" spans="2:13">
      <c r="B392" s="216">
        <f t="shared" si="210"/>
        <v>266</v>
      </c>
      <c r="C392" s="217"/>
      <c r="D392" s="116"/>
      <c r="E392" s="596"/>
      <c r="F392" s="114"/>
      <c r="G392" s="607"/>
      <c r="M392" s="113">
        <f ca="1">SUMIF(APU!A:B,'Materiales '!C392,APU!I:I)</f>
        <v>0</v>
      </c>
    </row>
    <row r="393" spans="2:13">
      <c r="B393" s="216">
        <f t="shared" si="210"/>
        <v>267</v>
      </c>
      <c r="C393" s="217"/>
      <c r="D393" s="116"/>
      <c r="E393" s="596"/>
      <c r="F393" s="114"/>
      <c r="G393" s="607"/>
      <c r="M393" s="113">
        <f ca="1">SUMIF(APU!A:B,'Materiales '!C393,APU!I:I)</f>
        <v>0</v>
      </c>
    </row>
    <row r="394" spans="2:13">
      <c r="B394" s="216">
        <f t="shared" si="210"/>
        <v>268</v>
      </c>
      <c r="C394" s="217"/>
      <c r="D394" s="116"/>
      <c r="E394" s="596"/>
      <c r="F394" s="114"/>
      <c r="G394" s="607"/>
      <c r="M394" s="113">
        <f ca="1">SUMIF(APU!A:B,'Materiales '!C394,APU!I:I)</f>
        <v>0</v>
      </c>
    </row>
    <row r="395" spans="2:13">
      <c r="B395" s="216">
        <f t="shared" si="210"/>
        <v>269</v>
      </c>
      <c r="C395" s="217"/>
      <c r="D395" s="116"/>
      <c r="E395" s="596"/>
      <c r="F395" s="114"/>
      <c r="G395" s="607"/>
      <c r="M395" s="113">
        <f ca="1">SUMIF(APU!A:B,'Materiales '!C395,APU!I:I)</f>
        <v>0</v>
      </c>
    </row>
    <row r="396" spans="2:13">
      <c r="B396" s="216">
        <f t="shared" si="210"/>
        <v>270</v>
      </c>
      <c r="C396" s="217"/>
      <c r="D396" s="116"/>
      <c r="E396" s="596"/>
      <c r="F396" s="114"/>
      <c r="G396" s="607"/>
      <c r="M396" s="113">
        <f ca="1">SUMIF(APU!A:B,'Materiales '!C396,APU!I:I)</f>
        <v>0</v>
      </c>
    </row>
  </sheetData>
  <autoFilter ref="B1:P396" xr:uid="{00000000-0001-0000-0300-000000000000}"/>
  <sortState xmlns:xlrd2="http://schemas.microsoft.com/office/spreadsheetml/2017/richdata2" ref="B2:N396">
    <sortCondition ref="C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P28"/>
  <sheetViews>
    <sheetView workbookViewId="0">
      <selection activeCell="D26" sqref="D26"/>
    </sheetView>
  </sheetViews>
  <sheetFormatPr baseColWidth="10" defaultRowHeight="14.4"/>
  <cols>
    <col min="2" max="2" width="38.33203125" customWidth="1"/>
    <col min="6" max="15" width="6.33203125" customWidth="1"/>
    <col min="16" max="16" width="13.6640625" customWidth="1"/>
  </cols>
  <sheetData>
    <row r="1" spans="2:16">
      <c r="F1">
        <v>2011</v>
      </c>
      <c r="G1">
        <v>2012</v>
      </c>
      <c r="H1">
        <v>2013</v>
      </c>
      <c r="I1">
        <v>2014</v>
      </c>
      <c r="J1">
        <v>2015</v>
      </c>
      <c r="K1">
        <v>2016</v>
      </c>
      <c r="L1">
        <v>2017</v>
      </c>
      <c r="M1">
        <v>2018</v>
      </c>
      <c r="N1">
        <v>2019</v>
      </c>
      <c r="O1">
        <v>2020</v>
      </c>
      <c r="P1">
        <v>2021</v>
      </c>
    </row>
    <row r="2" spans="2:16">
      <c r="G2">
        <v>2.44</v>
      </c>
      <c r="H2">
        <v>1.94</v>
      </c>
      <c r="I2">
        <v>3.66</v>
      </c>
      <c r="J2">
        <v>6.77</v>
      </c>
      <c r="K2">
        <v>5.75</v>
      </c>
      <c r="L2">
        <v>4.09</v>
      </c>
      <c r="M2">
        <v>3.18</v>
      </c>
      <c r="N2">
        <v>3.8</v>
      </c>
      <c r="O2">
        <v>1.61</v>
      </c>
    </row>
    <row r="3" spans="2:16">
      <c r="B3" s="366" t="s">
        <v>4658</v>
      </c>
      <c r="C3" s="367" t="s">
        <v>3</v>
      </c>
      <c r="D3" s="368">
        <v>3</v>
      </c>
      <c r="E3">
        <v>188000</v>
      </c>
      <c r="G3">
        <f>1+(G2/100)</f>
        <v>1.0244</v>
      </c>
      <c r="H3">
        <f t="shared" ref="H3:O3" si="0">1+(H2/100)</f>
        <v>1.0194000000000001</v>
      </c>
      <c r="I3">
        <f t="shared" si="0"/>
        <v>1.0366</v>
      </c>
      <c r="J3">
        <f t="shared" si="0"/>
        <v>1.0677000000000001</v>
      </c>
      <c r="K3">
        <f t="shared" si="0"/>
        <v>1.0575000000000001</v>
      </c>
      <c r="L3">
        <f t="shared" si="0"/>
        <v>1.0408999999999999</v>
      </c>
      <c r="M3">
        <f t="shared" si="0"/>
        <v>1.0318000000000001</v>
      </c>
      <c r="N3">
        <f t="shared" si="0"/>
        <v>1.038</v>
      </c>
      <c r="O3">
        <f t="shared" si="0"/>
        <v>1.0161</v>
      </c>
      <c r="P3" s="369">
        <f>E3*$O$3*$N$3*$M$3*$L$3*$K$3*$J$3*$I$3*$H$3*$G$3</f>
        <v>260286.23924800893</v>
      </c>
    </row>
    <row r="4" spans="2:16">
      <c r="B4" s="366" t="s">
        <v>4659</v>
      </c>
      <c r="C4" s="367" t="s">
        <v>3</v>
      </c>
      <c r="D4" s="368">
        <v>4</v>
      </c>
      <c r="E4">
        <v>237000</v>
      </c>
      <c r="P4" s="369">
        <f t="shared" ref="P4:P24" si="1">E4*$O$3*$N$3*$M$3*$L$3*$K$3*$J$3*$I$3*$H$3*$G$3</f>
        <v>328126.80160520278</v>
      </c>
    </row>
    <row r="5" spans="2:16">
      <c r="B5" s="366" t="s">
        <v>4660</v>
      </c>
      <c r="C5" s="367" t="s">
        <v>3</v>
      </c>
      <c r="D5" s="368">
        <v>11</v>
      </c>
      <c r="E5">
        <v>517000</v>
      </c>
      <c r="P5" s="369">
        <f t="shared" si="1"/>
        <v>715787.15793202457</v>
      </c>
    </row>
    <row r="6" spans="2:16">
      <c r="B6" s="366" t="s">
        <v>4661</v>
      </c>
      <c r="C6" s="367" t="s">
        <v>3</v>
      </c>
      <c r="D6" s="368">
        <v>62</v>
      </c>
      <c r="E6">
        <v>499900</v>
      </c>
      <c r="P6" s="369">
        <f t="shared" si="1"/>
        <v>692112.18617063668</v>
      </c>
    </row>
    <row r="7" spans="2:16">
      <c r="B7" s="366" t="s">
        <v>4662</v>
      </c>
      <c r="C7" s="367" t="s">
        <v>3</v>
      </c>
      <c r="D7" s="368">
        <v>7</v>
      </c>
      <c r="E7">
        <v>1040000</v>
      </c>
      <c r="P7" s="369">
        <f t="shared" si="1"/>
        <v>1439881.3234996244</v>
      </c>
    </row>
    <row r="8" spans="2:16">
      <c r="B8" s="366" t="s">
        <v>4663</v>
      </c>
      <c r="C8" s="367" t="s">
        <v>3</v>
      </c>
      <c r="D8" s="368">
        <v>1870</v>
      </c>
      <c r="E8">
        <v>296600</v>
      </c>
      <c r="P8" s="369">
        <f t="shared" si="1"/>
        <v>410643.07745191205</v>
      </c>
    </row>
    <row r="9" spans="2:16">
      <c r="B9" s="366" t="s">
        <v>4664</v>
      </c>
      <c r="C9" s="367" t="s">
        <v>3</v>
      </c>
      <c r="D9" s="368">
        <v>206</v>
      </c>
      <c r="E9">
        <v>316000</v>
      </c>
      <c r="P9" s="369">
        <f t="shared" si="1"/>
        <v>437502.40214027034</v>
      </c>
    </row>
    <row r="10" spans="2:16">
      <c r="B10" s="366" t="s">
        <v>4665</v>
      </c>
      <c r="C10" s="367" t="s">
        <v>3</v>
      </c>
      <c r="D10" s="368">
        <v>78</v>
      </c>
      <c r="E10">
        <v>360000</v>
      </c>
      <c r="P10" s="369">
        <f t="shared" si="1"/>
        <v>498420.45813448523</v>
      </c>
    </row>
    <row r="11" spans="2:16">
      <c r="B11" s="366" t="s">
        <v>4666</v>
      </c>
      <c r="C11" s="367" t="s">
        <v>3</v>
      </c>
      <c r="D11" s="368">
        <v>1</v>
      </c>
      <c r="E11">
        <v>402000</v>
      </c>
      <c r="P11" s="369">
        <f t="shared" si="1"/>
        <v>556569.51158350857</v>
      </c>
    </row>
    <row r="12" spans="2:16">
      <c r="B12" s="366" t="s">
        <v>4667</v>
      </c>
      <c r="C12" s="367" t="s">
        <v>3</v>
      </c>
      <c r="D12" s="368">
        <v>166</v>
      </c>
      <c r="E12">
        <v>609000</v>
      </c>
      <c r="P12" s="369">
        <f t="shared" si="1"/>
        <v>843161.27501083759</v>
      </c>
    </row>
    <row r="13" spans="2:16">
      <c r="B13" s="366" t="s">
        <v>4668</v>
      </c>
      <c r="C13" s="367" t="s">
        <v>3</v>
      </c>
      <c r="D13" s="368">
        <v>3</v>
      </c>
      <c r="E13">
        <v>650000</v>
      </c>
      <c r="P13" s="369">
        <f t="shared" si="1"/>
        <v>899925.82718726492</v>
      </c>
    </row>
    <row r="14" spans="2:16">
      <c r="B14" s="366" t="s">
        <v>4669</v>
      </c>
      <c r="C14" s="367" t="s">
        <v>3</v>
      </c>
      <c r="D14" s="368">
        <v>46</v>
      </c>
      <c r="E14">
        <v>598000</v>
      </c>
      <c r="P14" s="369">
        <f t="shared" si="1"/>
        <v>827931.76101228409</v>
      </c>
    </row>
    <row r="15" spans="2:16">
      <c r="B15" s="366" t="s">
        <v>4670</v>
      </c>
      <c r="C15" s="367" t="s">
        <v>3</v>
      </c>
      <c r="D15" s="368">
        <v>165</v>
      </c>
      <c r="E15">
        <v>189000</v>
      </c>
      <c r="P15" s="369">
        <f t="shared" si="1"/>
        <v>261670.74052060477</v>
      </c>
    </row>
    <row r="16" spans="2:16">
      <c r="B16" s="366" t="s">
        <v>4671</v>
      </c>
      <c r="C16" s="367" t="s">
        <v>3</v>
      </c>
      <c r="D16" s="368">
        <v>3</v>
      </c>
      <c r="E16">
        <v>250000</v>
      </c>
      <c r="P16" s="369">
        <f t="shared" si="1"/>
        <v>346125.31814894808</v>
      </c>
    </row>
    <row r="17" spans="2:16">
      <c r="B17" s="366" t="s">
        <v>4672</v>
      </c>
      <c r="C17" s="367" t="s">
        <v>3</v>
      </c>
      <c r="D17" s="368">
        <v>1</v>
      </c>
      <c r="E17">
        <v>265200</v>
      </c>
      <c r="P17" s="369">
        <f t="shared" si="1"/>
        <v>367169.73749240406</v>
      </c>
    </row>
    <row r="18" spans="2:16">
      <c r="B18" s="366" t="s">
        <v>4673</v>
      </c>
      <c r="C18" s="367" t="s">
        <v>3</v>
      </c>
      <c r="D18" s="368">
        <v>10</v>
      </c>
      <c r="E18">
        <v>317000</v>
      </c>
      <c r="P18" s="369">
        <f t="shared" si="1"/>
        <v>438886.90341286629</v>
      </c>
    </row>
    <row r="19" spans="2:16">
      <c r="B19" s="366" t="s">
        <v>4674</v>
      </c>
      <c r="C19" s="367" t="s">
        <v>3</v>
      </c>
      <c r="D19" s="368">
        <v>2</v>
      </c>
      <c r="E19">
        <v>135200</v>
      </c>
      <c r="P19" s="369">
        <f t="shared" si="1"/>
        <v>187184.57205495116</v>
      </c>
    </row>
    <row r="20" spans="2:16">
      <c r="B20" s="366" t="s">
        <v>4675</v>
      </c>
      <c r="C20" s="367" t="s">
        <v>3</v>
      </c>
      <c r="D20" s="368">
        <v>6</v>
      </c>
      <c r="E20">
        <v>156200</v>
      </c>
      <c r="P20" s="369">
        <f t="shared" si="1"/>
        <v>216259.09877946277</v>
      </c>
    </row>
    <row r="21" spans="2:16">
      <c r="B21" s="366" t="s">
        <v>4676</v>
      </c>
      <c r="C21" s="367" t="s">
        <v>3</v>
      </c>
      <c r="D21" s="368">
        <v>9</v>
      </c>
      <c r="E21">
        <v>168900</v>
      </c>
      <c r="P21" s="369">
        <f t="shared" si="1"/>
        <v>233842.26494142937</v>
      </c>
    </row>
    <row r="22" spans="2:16">
      <c r="B22" s="354" t="s">
        <v>4719</v>
      </c>
      <c r="C22" s="367" t="s">
        <v>3</v>
      </c>
      <c r="D22" s="368">
        <v>9</v>
      </c>
      <c r="E22">
        <v>283000</v>
      </c>
      <c r="P22" s="369">
        <f t="shared" si="1"/>
        <v>391813.86014460918</v>
      </c>
    </row>
    <row r="23" spans="2:16">
      <c r="B23" s="354" t="s">
        <v>4720</v>
      </c>
      <c r="C23" s="367" t="s">
        <v>3</v>
      </c>
      <c r="D23" s="368">
        <v>9</v>
      </c>
      <c r="E23">
        <v>364000</v>
      </c>
      <c r="P23" s="369">
        <f t="shared" si="1"/>
        <v>503958.46322486852</v>
      </c>
    </row>
    <row r="24" spans="2:16">
      <c r="B24" s="366" t="s">
        <v>4721</v>
      </c>
      <c r="C24" s="367" t="s">
        <v>3</v>
      </c>
      <c r="D24" s="368">
        <v>9</v>
      </c>
      <c r="E24">
        <v>414000</v>
      </c>
      <c r="P24" s="369">
        <f t="shared" si="1"/>
        <v>573183.52685465815</v>
      </c>
    </row>
    <row r="25" spans="2:16">
      <c r="B25" s="366" t="s">
        <v>4776</v>
      </c>
      <c r="C25" s="367" t="s">
        <v>3</v>
      </c>
      <c r="D25" s="368">
        <v>9</v>
      </c>
      <c r="E25">
        <v>394000</v>
      </c>
      <c r="P25" s="369">
        <f t="shared" ref="P25" si="2">E25*$O$3*$N$3*$M$3*$L$3*$K$3*$J$3*$I$3*$H$3*$G$3</f>
        <v>545493.50140274223</v>
      </c>
    </row>
    <row r="26" spans="2:16">
      <c r="B26" s="366" t="s">
        <v>4783</v>
      </c>
      <c r="C26" s="367" t="s">
        <v>3</v>
      </c>
      <c r="D26" s="368"/>
      <c r="E26">
        <v>210000</v>
      </c>
      <c r="P26" s="369">
        <f t="shared" ref="P26" si="3">E26*$O$3*$N$3*$M$3*$L$3*$K$3*$J$3*$I$3*$H$3*$G$3</f>
        <v>290745.26724511635</v>
      </c>
    </row>
    <row r="27" spans="2:16">
      <c r="B27" s="366" t="s">
        <v>4785</v>
      </c>
      <c r="C27" s="367" t="s">
        <v>3</v>
      </c>
      <c r="D27" s="368"/>
      <c r="E27">
        <v>351000</v>
      </c>
      <c r="P27" s="369">
        <f t="shared" ref="P27:P28" si="4">E27*$O$3*$N$3*$M$3*$L$3*$K$3*$J$3*$I$3*$H$3*$G$3</f>
        <v>485959.94668112311</v>
      </c>
    </row>
    <row r="28" spans="2:16">
      <c r="B28" s="374" t="s">
        <v>4816</v>
      </c>
      <c r="C28" s="367" t="s">
        <v>3</v>
      </c>
      <c r="E28">
        <v>168000</v>
      </c>
      <c r="P28" s="369">
        <f t="shared" si="4"/>
        <v>232596.21379609313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theme="7" tint="0.39997558519241921"/>
  </sheetPr>
  <dimension ref="A1:V47"/>
  <sheetViews>
    <sheetView showGridLines="0" topLeftCell="B1" workbookViewId="0">
      <selection activeCell="C3" sqref="C3"/>
    </sheetView>
  </sheetViews>
  <sheetFormatPr baseColWidth="10" defaultColWidth="42.33203125" defaultRowHeight="13.8"/>
  <cols>
    <col min="1" max="1" width="42.33203125" style="4"/>
    <col min="2" max="2" width="23.44140625" style="4" bestFit="1" customWidth="1"/>
    <col min="3" max="3" width="13.33203125" style="4" customWidth="1"/>
    <col min="4" max="6" width="7.109375" style="4" bestFit="1" customWidth="1"/>
    <col min="7" max="9" width="11.5546875" style="4" bestFit="1" customWidth="1"/>
    <col min="10" max="10" width="13.33203125" style="4" bestFit="1" customWidth="1"/>
    <col min="11" max="14" width="11.5546875" style="4" bestFit="1" customWidth="1"/>
    <col min="15" max="16" width="7.109375" style="4" bestFit="1" customWidth="1"/>
    <col min="17" max="18" width="11.5546875" style="4" bestFit="1" customWidth="1"/>
    <col min="19" max="19" width="11" style="4" bestFit="1" customWidth="1"/>
    <col min="20" max="20" width="11.5546875" style="4" bestFit="1" customWidth="1"/>
    <col min="21" max="21" width="10.5546875" style="4" customWidth="1"/>
    <col min="22" max="22" width="14.5546875" style="4" customWidth="1"/>
    <col min="23" max="23" width="10.5546875" style="4" customWidth="1"/>
    <col min="24" max="24" width="14.33203125" style="4" customWidth="1"/>
    <col min="25" max="25" width="12.44140625" style="4" customWidth="1"/>
    <col min="26" max="16384" width="42.33203125" style="4"/>
  </cols>
  <sheetData>
    <row r="1" spans="1:22">
      <c r="A1" s="3"/>
      <c r="E1" s="3"/>
      <c r="F1" s="3"/>
      <c r="G1" s="3"/>
      <c r="H1" s="3"/>
    </row>
    <row r="2" spans="1:22" ht="41.4">
      <c r="A2" s="3"/>
      <c r="B2" s="52" t="s">
        <v>4178</v>
      </c>
      <c r="C2" s="52" t="s">
        <v>4160</v>
      </c>
      <c r="D2" s="52" t="s">
        <v>4161</v>
      </c>
      <c r="E2" s="52" t="s">
        <v>4162</v>
      </c>
      <c r="F2" s="52" t="s">
        <v>4163</v>
      </c>
      <c r="G2" s="52" t="s">
        <v>4164</v>
      </c>
      <c r="H2" s="52" t="s">
        <v>4165</v>
      </c>
      <c r="I2" s="52" t="s">
        <v>4166</v>
      </c>
      <c r="J2" s="52" t="s">
        <v>4167</v>
      </c>
      <c r="K2" s="52" t="s">
        <v>4168</v>
      </c>
      <c r="L2" s="52" t="s">
        <v>4169</v>
      </c>
      <c r="M2" s="52" t="s">
        <v>4170</v>
      </c>
      <c r="N2" s="52" t="s">
        <v>4171</v>
      </c>
      <c r="O2" s="52" t="s">
        <v>4172</v>
      </c>
      <c r="P2" s="52" t="s">
        <v>4173</v>
      </c>
      <c r="Q2" s="52" t="s">
        <v>4174</v>
      </c>
      <c r="R2" s="52" t="s">
        <v>4175</v>
      </c>
      <c r="S2" s="52" t="s">
        <v>4176</v>
      </c>
      <c r="T2" s="52" t="s">
        <v>4177</v>
      </c>
    </row>
    <row r="3" spans="1:22">
      <c r="A3" s="3"/>
      <c r="B3" s="54" t="s">
        <v>8</v>
      </c>
      <c r="C3" s="6" t="s">
        <v>8</v>
      </c>
      <c r="D3" s="6"/>
      <c r="E3" s="6"/>
      <c r="F3" s="6"/>
      <c r="G3" s="6"/>
      <c r="H3" s="6"/>
      <c r="I3" s="6"/>
      <c r="J3" s="6"/>
      <c r="K3" s="6"/>
      <c r="L3" s="6"/>
      <c r="M3" s="6"/>
      <c r="N3" s="6"/>
      <c r="O3" s="6"/>
      <c r="P3" s="6"/>
      <c r="Q3" s="6"/>
      <c r="R3" s="6"/>
      <c r="S3" s="6"/>
      <c r="T3" s="6"/>
    </row>
    <row r="4" spans="1:22">
      <c r="A4" s="3"/>
      <c r="B4" s="53" t="s">
        <v>4179</v>
      </c>
      <c r="C4" s="51">
        <v>908526</v>
      </c>
      <c r="D4" s="51">
        <v>0</v>
      </c>
      <c r="E4" s="51">
        <v>0</v>
      </c>
      <c r="F4" s="51">
        <v>0</v>
      </c>
      <c r="G4" s="51">
        <f>+IF(C4&gt;1562484,0,106454)</f>
        <v>106454</v>
      </c>
      <c r="H4" s="51">
        <f>+C4*0.04</f>
        <v>36341.040000000001</v>
      </c>
      <c r="I4" s="51">
        <f>+C4*0.085</f>
        <v>77224.710000000006</v>
      </c>
      <c r="J4" s="51">
        <f>0.12*C4+C4*0.0696</f>
        <v>172256.52960000001</v>
      </c>
      <c r="K4" s="51">
        <f>+C4*0.02</f>
        <v>18170.52</v>
      </c>
      <c r="L4" s="51">
        <f>+C4*0.03</f>
        <v>27255.78</v>
      </c>
      <c r="M4" s="51">
        <f>'Presupuesto EPP'!$F$11*30</f>
        <v>324623.86833333335</v>
      </c>
      <c r="N4" s="51">
        <f>+SUM(C4:G4)*0.0833</f>
        <v>84547.834000000003</v>
      </c>
      <c r="O4" s="51">
        <v>0</v>
      </c>
      <c r="P4" s="51">
        <v>0</v>
      </c>
      <c r="Q4" s="51">
        <f>+C4*0.0417</f>
        <v>37885.534200000002</v>
      </c>
      <c r="R4" s="51">
        <f>+SUM(C4:G4)*0.0833+SUM(C4:G4)*0.0833*0.01</f>
        <v>85393.312340000004</v>
      </c>
      <c r="S4" s="51">
        <f>+ROUND(SUM(C4:R4)/(8*30),0)</f>
        <v>7828</v>
      </c>
      <c r="T4" s="51">
        <f>+ROUND(S4*8,0)</f>
        <v>62624</v>
      </c>
      <c r="V4" s="51"/>
    </row>
    <row r="5" spans="1:22">
      <c r="A5" s="3"/>
      <c r="B5" s="53" t="s">
        <v>4180</v>
      </c>
      <c r="C5" s="51">
        <v>908526</v>
      </c>
      <c r="D5" s="51">
        <v>0</v>
      </c>
      <c r="E5" s="51">
        <v>0</v>
      </c>
      <c r="F5" s="51">
        <v>0</v>
      </c>
      <c r="G5" s="51">
        <f t="shared" ref="G5:G21" si="0">+IF(C5&gt;1562484,0,106454)</f>
        <v>106454</v>
      </c>
      <c r="H5" s="51">
        <f t="shared" ref="H5:H21" si="1">+C5*0.04</f>
        <v>36341.040000000001</v>
      </c>
      <c r="I5" s="51">
        <f t="shared" ref="I5:I21" si="2">+C5*0.085</f>
        <v>77224.710000000006</v>
      </c>
      <c r="J5" s="51">
        <f t="shared" ref="J5:J21" si="3">0.12*C5+C5*0.0696</f>
        <v>172256.52960000001</v>
      </c>
      <c r="K5" s="51">
        <f t="shared" ref="K5:K21" si="4">+C5*0.02</f>
        <v>18170.52</v>
      </c>
      <c r="L5" s="51">
        <f t="shared" ref="L5:L21" si="5">+C5*0.03</f>
        <v>27255.78</v>
      </c>
      <c r="M5" s="51">
        <f>'Presupuesto EPP'!$F$11*30</f>
        <v>324623.86833333335</v>
      </c>
      <c r="N5" s="51">
        <f t="shared" ref="N5:N21" si="6">+SUM(C5:G5)*0.0833</f>
        <v>84547.834000000003</v>
      </c>
      <c r="O5" s="51">
        <v>0</v>
      </c>
      <c r="P5" s="51">
        <v>0</v>
      </c>
      <c r="Q5" s="51">
        <f t="shared" ref="Q5:Q21" si="7">+C5*0.0417</f>
        <v>37885.534200000002</v>
      </c>
      <c r="R5" s="51">
        <f t="shared" ref="R5:R21" si="8">+SUM(C5:G5)*0.0833+SUM(C5:G5)*0.0833*0.01</f>
        <v>85393.312340000004</v>
      </c>
      <c r="S5" s="51">
        <f t="shared" ref="S5:S21" si="9">+ROUND(SUM(C5:R5)/(8*30),0)</f>
        <v>7828</v>
      </c>
      <c r="T5" s="51">
        <f t="shared" ref="T5:T21" si="10">+ROUND(S5*8,0)</f>
        <v>62624</v>
      </c>
      <c r="V5" s="51"/>
    </row>
    <row r="6" spans="1:22">
      <c r="A6" s="3"/>
      <c r="B6" s="53" t="s">
        <v>4181</v>
      </c>
      <c r="C6" s="51">
        <v>1000000</v>
      </c>
      <c r="D6" s="51">
        <v>0</v>
      </c>
      <c r="E6" s="51">
        <v>0</v>
      </c>
      <c r="F6" s="51">
        <v>0</v>
      </c>
      <c r="G6" s="51">
        <f t="shared" si="0"/>
        <v>106454</v>
      </c>
      <c r="H6" s="51">
        <f t="shared" si="1"/>
        <v>40000</v>
      </c>
      <c r="I6" s="51">
        <f t="shared" si="2"/>
        <v>85000</v>
      </c>
      <c r="J6" s="51">
        <f t="shared" si="3"/>
        <v>189600</v>
      </c>
      <c r="K6" s="51">
        <f t="shared" si="4"/>
        <v>20000</v>
      </c>
      <c r="L6" s="51">
        <f t="shared" si="5"/>
        <v>30000</v>
      </c>
      <c r="M6" s="51">
        <f>'Presupuesto EPP'!$F$11*30</f>
        <v>324623.86833333335</v>
      </c>
      <c r="N6" s="51">
        <f t="shared" si="6"/>
        <v>92167.618199999997</v>
      </c>
      <c r="O6" s="51">
        <v>0</v>
      </c>
      <c r="P6" s="51">
        <v>0</v>
      </c>
      <c r="Q6" s="51">
        <f t="shared" si="7"/>
        <v>41700</v>
      </c>
      <c r="R6" s="51">
        <f t="shared" si="8"/>
        <v>93089.294381999993</v>
      </c>
      <c r="S6" s="51">
        <f t="shared" si="9"/>
        <v>8428</v>
      </c>
      <c r="T6" s="51">
        <f t="shared" si="10"/>
        <v>67424</v>
      </c>
      <c r="V6" s="51"/>
    </row>
    <row r="7" spans="1:22">
      <c r="A7" s="3"/>
      <c r="B7" s="53" t="s">
        <v>4182</v>
      </c>
      <c r="C7" s="51">
        <v>908526</v>
      </c>
      <c r="D7" s="51">
        <v>0</v>
      </c>
      <c r="E7" s="51">
        <v>0</v>
      </c>
      <c r="F7" s="51">
        <v>0</v>
      </c>
      <c r="G7" s="51">
        <f t="shared" si="0"/>
        <v>106454</v>
      </c>
      <c r="H7" s="51">
        <f t="shared" si="1"/>
        <v>36341.040000000001</v>
      </c>
      <c r="I7" s="51">
        <f t="shared" si="2"/>
        <v>77224.710000000006</v>
      </c>
      <c r="J7" s="51">
        <f t="shared" si="3"/>
        <v>172256.52960000001</v>
      </c>
      <c r="K7" s="51">
        <f t="shared" si="4"/>
        <v>18170.52</v>
      </c>
      <c r="L7" s="51">
        <f t="shared" si="5"/>
        <v>27255.78</v>
      </c>
      <c r="M7" s="51">
        <f>'Presupuesto EPP'!$F$11*30</f>
        <v>324623.86833333335</v>
      </c>
      <c r="N7" s="51">
        <f t="shared" si="6"/>
        <v>84547.834000000003</v>
      </c>
      <c r="O7" s="51">
        <v>0</v>
      </c>
      <c r="P7" s="51">
        <v>0</v>
      </c>
      <c r="Q7" s="51">
        <f t="shared" si="7"/>
        <v>37885.534200000002</v>
      </c>
      <c r="R7" s="51">
        <f t="shared" si="8"/>
        <v>85393.312340000004</v>
      </c>
      <c r="S7" s="51">
        <f t="shared" si="9"/>
        <v>7828</v>
      </c>
      <c r="T7" s="51">
        <f t="shared" si="10"/>
        <v>62624</v>
      </c>
      <c r="V7" s="51"/>
    </row>
    <row r="8" spans="1:22">
      <c r="A8" s="3"/>
      <c r="B8" s="53" t="s">
        <v>4183</v>
      </c>
      <c r="C8" s="51">
        <v>908526</v>
      </c>
      <c r="D8" s="51">
        <v>0</v>
      </c>
      <c r="E8" s="51">
        <v>0</v>
      </c>
      <c r="F8" s="51">
        <v>0</v>
      </c>
      <c r="G8" s="51">
        <f t="shared" si="0"/>
        <v>106454</v>
      </c>
      <c r="H8" s="51">
        <f t="shared" si="1"/>
        <v>36341.040000000001</v>
      </c>
      <c r="I8" s="51">
        <f t="shared" si="2"/>
        <v>77224.710000000006</v>
      </c>
      <c r="J8" s="51">
        <f t="shared" si="3"/>
        <v>172256.52960000001</v>
      </c>
      <c r="K8" s="51">
        <f t="shared" si="4"/>
        <v>18170.52</v>
      </c>
      <c r="L8" s="51">
        <f t="shared" si="5"/>
        <v>27255.78</v>
      </c>
      <c r="M8" s="51">
        <f>'Presupuesto EPP'!$F$11*30</f>
        <v>324623.86833333335</v>
      </c>
      <c r="N8" s="51">
        <f t="shared" si="6"/>
        <v>84547.834000000003</v>
      </c>
      <c r="O8" s="51">
        <v>0</v>
      </c>
      <c r="P8" s="51">
        <v>0</v>
      </c>
      <c r="Q8" s="51">
        <f t="shared" si="7"/>
        <v>37885.534200000002</v>
      </c>
      <c r="R8" s="51">
        <f t="shared" si="8"/>
        <v>85393.312340000004</v>
      </c>
      <c r="S8" s="51">
        <f t="shared" si="9"/>
        <v>7828</v>
      </c>
      <c r="T8" s="51">
        <f t="shared" si="10"/>
        <v>62624</v>
      </c>
      <c r="V8" s="51"/>
    </row>
    <row r="9" spans="1:22">
      <c r="A9" s="3"/>
      <c r="B9" s="53" t="s">
        <v>4184</v>
      </c>
      <c r="C9" s="51">
        <v>908526</v>
      </c>
      <c r="D9" s="51">
        <v>0</v>
      </c>
      <c r="E9" s="51">
        <v>0</v>
      </c>
      <c r="F9" s="51">
        <v>0</v>
      </c>
      <c r="G9" s="51">
        <f t="shared" si="0"/>
        <v>106454</v>
      </c>
      <c r="H9" s="51">
        <f t="shared" si="1"/>
        <v>36341.040000000001</v>
      </c>
      <c r="I9" s="51">
        <f t="shared" si="2"/>
        <v>77224.710000000006</v>
      </c>
      <c r="J9" s="51">
        <f t="shared" si="3"/>
        <v>172256.52960000001</v>
      </c>
      <c r="K9" s="51">
        <f t="shared" si="4"/>
        <v>18170.52</v>
      </c>
      <c r="L9" s="51">
        <f t="shared" si="5"/>
        <v>27255.78</v>
      </c>
      <c r="M9" s="51">
        <f>'Presupuesto EPP'!$F$11*30</f>
        <v>324623.86833333335</v>
      </c>
      <c r="N9" s="51">
        <f t="shared" si="6"/>
        <v>84547.834000000003</v>
      </c>
      <c r="O9" s="51">
        <v>0</v>
      </c>
      <c r="P9" s="51">
        <v>0</v>
      </c>
      <c r="Q9" s="51">
        <f t="shared" si="7"/>
        <v>37885.534200000002</v>
      </c>
      <c r="R9" s="51">
        <f t="shared" si="8"/>
        <v>85393.312340000004</v>
      </c>
      <c r="S9" s="51">
        <f t="shared" si="9"/>
        <v>7828</v>
      </c>
      <c r="T9" s="51">
        <f t="shared" si="10"/>
        <v>62624</v>
      </c>
      <c r="V9" s="51"/>
    </row>
    <row r="10" spans="1:22">
      <c r="A10" s="3"/>
      <c r="B10" s="53" t="s">
        <v>4185</v>
      </c>
      <c r="C10" s="51">
        <v>908526</v>
      </c>
      <c r="D10" s="51">
        <v>0</v>
      </c>
      <c r="E10" s="51">
        <v>0</v>
      </c>
      <c r="F10" s="51">
        <v>0</v>
      </c>
      <c r="G10" s="51">
        <f t="shared" si="0"/>
        <v>106454</v>
      </c>
      <c r="H10" s="51">
        <f t="shared" si="1"/>
        <v>36341.040000000001</v>
      </c>
      <c r="I10" s="51">
        <f t="shared" si="2"/>
        <v>77224.710000000006</v>
      </c>
      <c r="J10" s="51">
        <f t="shared" si="3"/>
        <v>172256.52960000001</v>
      </c>
      <c r="K10" s="51">
        <f t="shared" si="4"/>
        <v>18170.52</v>
      </c>
      <c r="L10" s="51">
        <f t="shared" si="5"/>
        <v>27255.78</v>
      </c>
      <c r="M10" s="51">
        <f>'Presupuesto EPP'!$F$11*30</f>
        <v>324623.86833333335</v>
      </c>
      <c r="N10" s="51">
        <f t="shared" si="6"/>
        <v>84547.834000000003</v>
      </c>
      <c r="O10" s="51">
        <v>0</v>
      </c>
      <c r="P10" s="51">
        <v>0</v>
      </c>
      <c r="Q10" s="51">
        <f t="shared" si="7"/>
        <v>37885.534200000002</v>
      </c>
      <c r="R10" s="51">
        <f t="shared" si="8"/>
        <v>85393.312340000004</v>
      </c>
      <c r="S10" s="51">
        <f t="shared" si="9"/>
        <v>7828</v>
      </c>
      <c r="T10" s="51">
        <f t="shared" si="10"/>
        <v>62624</v>
      </c>
      <c r="V10" s="51"/>
    </row>
    <row r="11" spans="1:22">
      <c r="A11" s="3"/>
      <c r="B11" s="53" t="s">
        <v>4186</v>
      </c>
      <c r="C11" s="51">
        <v>908526</v>
      </c>
      <c r="D11" s="51">
        <v>0</v>
      </c>
      <c r="E11" s="51">
        <v>0</v>
      </c>
      <c r="F11" s="51">
        <v>0</v>
      </c>
      <c r="G11" s="51">
        <f t="shared" si="0"/>
        <v>106454</v>
      </c>
      <c r="H11" s="51">
        <f t="shared" si="1"/>
        <v>36341.040000000001</v>
      </c>
      <c r="I11" s="51">
        <f t="shared" si="2"/>
        <v>77224.710000000006</v>
      </c>
      <c r="J11" s="51">
        <f t="shared" si="3"/>
        <v>172256.52960000001</v>
      </c>
      <c r="K11" s="51">
        <f t="shared" si="4"/>
        <v>18170.52</v>
      </c>
      <c r="L11" s="51">
        <f t="shared" si="5"/>
        <v>27255.78</v>
      </c>
      <c r="M11" s="51">
        <f>'Presupuesto EPP'!$F$11*30</f>
        <v>324623.86833333335</v>
      </c>
      <c r="N11" s="51">
        <f t="shared" si="6"/>
        <v>84547.834000000003</v>
      </c>
      <c r="O11" s="51">
        <v>0</v>
      </c>
      <c r="P11" s="51">
        <v>0</v>
      </c>
      <c r="Q11" s="51">
        <f t="shared" si="7"/>
        <v>37885.534200000002</v>
      </c>
      <c r="R11" s="51">
        <f t="shared" si="8"/>
        <v>85393.312340000004</v>
      </c>
      <c r="S11" s="51">
        <f t="shared" si="9"/>
        <v>7828</v>
      </c>
      <c r="T11" s="51">
        <f t="shared" si="10"/>
        <v>62624</v>
      </c>
      <c r="V11" s="51"/>
    </row>
    <row r="12" spans="1:22">
      <c r="A12" s="3"/>
      <c r="B12" s="53" t="s">
        <v>1884</v>
      </c>
      <c r="C12" s="51">
        <v>2500000</v>
      </c>
      <c r="D12" s="51">
        <v>0</v>
      </c>
      <c r="E12" s="51">
        <v>0</v>
      </c>
      <c r="F12" s="51">
        <v>0</v>
      </c>
      <c r="G12" s="51">
        <f t="shared" si="0"/>
        <v>0</v>
      </c>
      <c r="H12" s="51">
        <f t="shared" si="1"/>
        <v>100000</v>
      </c>
      <c r="I12" s="51">
        <f t="shared" si="2"/>
        <v>212500.00000000003</v>
      </c>
      <c r="J12" s="51">
        <f t="shared" si="3"/>
        <v>474000</v>
      </c>
      <c r="K12" s="51">
        <f t="shared" si="4"/>
        <v>50000</v>
      </c>
      <c r="L12" s="51">
        <f t="shared" si="5"/>
        <v>75000</v>
      </c>
      <c r="M12" s="51">
        <f>'Presupuesto EPP'!$F$11*30</f>
        <v>324623.86833333335</v>
      </c>
      <c r="N12" s="51">
        <f t="shared" si="6"/>
        <v>208250</v>
      </c>
      <c r="O12" s="51">
        <v>0</v>
      </c>
      <c r="P12" s="51">
        <v>0</v>
      </c>
      <c r="Q12" s="51">
        <f t="shared" si="7"/>
        <v>104250</v>
      </c>
      <c r="R12" s="51">
        <f t="shared" si="8"/>
        <v>210332.5</v>
      </c>
      <c r="S12" s="51">
        <f t="shared" si="9"/>
        <v>17746</v>
      </c>
      <c r="T12" s="51">
        <f t="shared" si="10"/>
        <v>141968</v>
      </c>
      <c r="V12" s="51"/>
    </row>
    <row r="13" spans="1:22">
      <c r="A13" s="3"/>
      <c r="B13" s="53" t="s">
        <v>4187</v>
      </c>
      <c r="C13" s="51">
        <v>1400000</v>
      </c>
      <c r="D13" s="51">
        <v>0</v>
      </c>
      <c r="E13" s="51">
        <v>0</v>
      </c>
      <c r="F13" s="51">
        <v>0</v>
      </c>
      <c r="G13" s="51">
        <f t="shared" si="0"/>
        <v>106454</v>
      </c>
      <c r="H13" s="51">
        <f t="shared" si="1"/>
        <v>56000</v>
      </c>
      <c r="I13" s="51">
        <f t="shared" si="2"/>
        <v>119000.00000000001</v>
      </c>
      <c r="J13" s="51">
        <f t="shared" si="3"/>
        <v>265440</v>
      </c>
      <c r="K13" s="51">
        <f t="shared" si="4"/>
        <v>28000</v>
      </c>
      <c r="L13" s="51">
        <f t="shared" si="5"/>
        <v>42000</v>
      </c>
      <c r="M13" s="51">
        <f>'Presupuesto EPP'!$F$11*30</f>
        <v>324623.86833333335</v>
      </c>
      <c r="N13" s="51">
        <f t="shared" si="6"/>
        <v>125487.6182</v>
      </c>
      <c r="O13" s="51">
        <v>0</v>
      </c>
      <c r="P13" s="51">
        <v>0</v>
      </c>
      <c r="Q13" s="51">
        <f t="shared" si="7"/>
        <v>58380</v>
      </c>
      <c r="R13" s="51">
        <f t="shared" si="8"/>
        <v>126742.494382</v>
      </c>
      <c r="S13" s="51">
        <f t="shared" si="9"/>
        <v>11051</v>
      </c>
      <c r="T13" s="51">
        <f t="shared" si="10"/>
        <v>88408</v>
      </c>
      <c r="V13" s="51"/>
    </row>
    <row r="14" spans="1:22">
      <c r="A14" s="3"/>
      <c r="B14" s="53" t="s">
        <v>4188</v>
      </c>
      <c r="C14" s="51">
        <v>5000000</v>
      </c>
      <c r="D14" s="51">
        <v>0</v>
      </c>
      <c r="E14" s="51">
        <v>0</v>
      </c>
      <c r="F14" s="51">
        <v>0</v>
      </c>
      <c r="G14" s="51">
        <f t="shared" si="0"/>
        <v>0</v>
      </c>
      <c r="H14" s="51">
        <f t="shared" si="1"/>
        <v>200000</v>
      </c>
      <c r="I14" s="51">
        <f t="shared" si="2"/>
        <v>425000.00000000006</v>
      </c>
      <c r="J14" s="51">
        <f t="shared" si="3"/>
        <v>948000</v>
      </c>
      <c r="K14" s="51">
        <f t="shared" si="4"/>
        <v>100000</v>
      </c>
      <c r="L14" s="51">
        <f t="shared" si="5"/>
        <v>150000</v>
      </c>
      <c r="M14" s="51">
        <f>'Presupuesto EPP'!$F$11*30</f>
        <v>324623.86833333335</v>
      </c>
      <c r="N14" s="51">
        <f t="shared" si="6"/>
        <v>416500</v>
      </c>
      <c r="O14" s="51">
        <v>0</v>
      </c>
      <c r="P14" s="51">
        <v>0</v>
      </c>
      <c r="Q14" s="51">
        <f t="shared" si="7"/>
        <v>208500</v>
      </c>
      <c r="R14" s="51">
        <f t="shared" si="8"/>
        <v>420665</v>
      </c>
      <c r="S14" s="51">
        <f t="shared" si="9"/>
        <v>34139</v>
      </c>
      <c r="T14" s="51">
        <f t="shared" si="10"/>
        <v>273112</v>
      </c>
      <c r="V14" s="51"/>
    </row>
    <row r="15" spans="1:22">
      <c r="A15" s="3"/>
      <c r="B15" s="53" t="s">
        <v>4189</v>
      </c>
      <c r="C15" s="51">
        <f t="shared" ref="C15:C16" si="11">X15</f>
        <v>0</v>
      </c>
      <c r="D15" s="51">
        <v>0</v>
      </c>
      <c r="E15" s="51">
        <v>0</v>
      </c>
      <c r="F15" s="51">
        <v>0</v>
      </c>
      <c r="G15" s="51">
        <f t="shared" si="0"/>
        <v>106454</v>
      </c>
      <c r="H15" s="51">
        <f t="shared" si="1"/>
        <v>0</v>
      </c>
      <c r="I15" s="51">
        <f t="shared" si="2"/>
        <v>0</v>
      </c>
      <c r="J15" s="51">
        <f t="shared" si="3"/>
        <v>0</v>
      </c>
      <c r="K15" s="51">
        <f t="shared" si="4"/>
        <v>0</v>
      </c>
      <c r="L15" s="51">
        <f t="shared" si="5"/>
        <v>0</v>
      </c>
      <c r="M15" s="51">
        <f>'Presupuesto EPP'!$F$11*30</f>
        <v>324623.86833333335</v>
      </c>
      <c r="N15" s="51">
        <f t="shared" si="6"/>
        <v>8867.6182000000008</v>
      </c>
      <c r="O15" s="51">
        <v>0</v>
      </c>
      <c r="P15" s="51">
        <v>0</v>
      </c>
      <c r="Q15" s="51">
        <f t="shared" si="7"/>
        <v>0</v>
      </c>
      <c r="R15" s="51">
        <f t="shared" si="8"/>
        <v>8956.294382</v>
      </c>
      <c r="S15" s="51">
        <f t="shared" si="9"/>
        <v>1870</v>
      </c>
      <c r="T15" s="51">
        <f t="shared" si="10"/>
        <v>14960</v>
      </c>
      <c r="V15" s="51"/>
    </row>
    <row r="16" spans="1:22">
      <c r="A16" s="3"/>
      <c r="B16" s="53" t="s">
        <v>4190</v>
      </c>
      <c r="C16" s="51">
        <f t="shared" si="11"/>
        <v>0</v>
      </c>
      <c r="D16" s="51">
        <v>0</v>
      </c>
      <c r="E16" s="51">
        <v>0</v>
      </c>
      <c r="F16" s="51">
        <v>0</v>
      </c>
      <c r="G16" s="51">
        <f t="shared" si="0"/>
        <v>106454</v>
      </c>
      <c r="H16" s="51">
        <f t="shared" si="1"/>
        <v>0</v>
      </c>
      <c r="I16" s="51">
        <f t="shared" si="2"/>
        <v>0</v>
      </c>
      <c r="J16" s="51">
        <f t="shared" si="3"/>
        <v>0</v>
      </c>
      <c r="K16" s="51">
        <f t="shared" si="4"/>
        <v>0</v>
      </c>
      <c r="L16" s="51">
        <f t="shared" si="5"/>
        <v>0</v>
      </c>
      <c r="M16" s="51">
        <f>'Presupuesto EPP'!$F$11*30</f>
        <v>324623.86833333335</v>
      </c>
      <c r="N16" s="51">
        <f t="shared" si="6"/>
        <v>8867.6182000000008</v>
      </c>
      <c r="O16" s="51">
        <v>0</v>
      </c>
      <c r="P16" s="51">
        <v>0</v>
      </c>
      <c r="Q16" s="51">
        <f t="shared" si="7"/>
        <v>0</v>
      </c>
      <c r="R16" s="51">
        <f t="shared" si="8"/>
        <v>8956.294382</v>
      </c>
      <c r="S16" s="51">
        <f t="shared" si="9"/>
        <v>1870</v>
      </c>
      <c r="T16" s="51">
        <f t="shared" si="10"/>
        <v>14960</v>
      </c>
      <c r="V16" s="51"/>
    </row>
    <row r="17" spans="1:22">
      <c r="A17" s="3"/>
      <c r="B17" s="53" t="s">
        <v>4191</v>
      </c>
      <c r="C17" s="51">
        <v>2700000</v>
      </c>
      <c r="D17" s="51">
        <v>0</v>
      </c>
      <c r="E17" s="51">
        <v>0</v>
      </c>
      <c r="F17" s="51">
        <v>0</v>
      </c>
      <c r="G17" s="51">
        <f t="shared" si="0"/>
        <v>0</v>
      </c>
      <c r="H17" s="51">
        <f t="shared" si="1"/>
        <v>108000</v>
      </c>
      <c r="I17" s="51">
        <f t="shared" si="2"/>
        <v>229500.00000000003</v>
      </c>
      <c r="J17" s="51">
        <f t="shared" si="3"/>
        <v>511920</v>
      </c>
      <c r="K17" s="51">
        <f t="shared" si="4"/>
        <v>54000</v>
      </c>
      <c r="L17" s="51">
        <f t="shared" si="5"/>
        <v>81000</v>
      </c>
      <c r="M17" s="51">
        <f>'Presupuesto EPP'!$F$11*30</f>
        <v>324623.86833333335</v>
      </c>
      <c r="N17" s="51">
        <f t="shared" si="6"/>
        <v>224910</v>
      </c>
      <c r="O17" s="51">
        <v>0</v>
      </c>
      <c r="P17" s="51">
        <v>0</v>
      </c>
      <c r="Q17" s="51">
        <f t="shared" si="7"/>
        <v>112590</v>
      </c>
      <c r="R17" s="51">
        <f t="shared" si="8"/>
        <v>227159.1</v>
      </c>
      <c r="S17" s="51">
        <f t="shared" si="9"/>
        <v>19057</v>
      </c>
      <c r="T17" s="51">
        <f t="shared" si="10"/>
        <v>152456</v>
      </c>
      <c r="V17" s="51"/>
    </row>
    <row r="18" spans="1:22">
      <c r="A18" s="3"/>
      <c r="B18" s="53" t="s">
        <v>4192</v>
      </c>
      <c r="C18" s="51">
        <v>1900000</v>
      </c>
      <c r="D18" s="51">
        <v>0</v>
      </c>
      <c r="E18" s="51">
        <v>0</v>
      </c>
      <c r="F18" s="51">
        <v>0</v>
      </c>
      <c r="G18" s="51">
        <f t="shared" si="0"/>
        <v>0</v>
      </c>
      <c r="H18" s="51">
        <f t="shared" si="1"/>
        <v>76000</v>
      </c>
      <c r="I18" s="51">
        <f t="shared" si="2"/>
        <v>161500</v>
      </c>
      <c r="J18" s="51">
        <f t="shared" si="3"/>
        <v>360240</v>
      </c>
      <c r="K18" s="51">
        <f t="shared" si="4"/>
        <v>38000</v>
      </c>
      <c r="L18" s="51">
        <f t="shared" si="5"/>
        <v>57000</v>
      </c>
      <c r="M18" s="51">
        <f>'Presupuesto EPP'!$F$11*30</f>
        <v>324623.86833333335</v>
      </c>
      <c r="N18" s="51">
        <f t="shared" si="6"/>
        <v>158270</v>
      </c>
      <c r="O18" s="51">
        <v>0</v>
      </c>
      <c r="P18" s="51">
        <v>0</v>
      </c>
      <c r="Q18" s="51">
        <f t="shared" si="7"/>
        <v>79230</v>
      </c>
      <c r="R18" s="51">
        <f t="shared" si="8"/>
        <v>159852.70000000001</v>
      </c>
      <c r="S18" s="51">
        <f t="shared" si="9"/>
        <v>13811</v>
      </c>
      <c r="T18" s="51">
        <f t="shared" si="10"/>
        <v>110488</v>
      </c>
      <c r="V18" s="51"/>
    </row>
    <row r="19" spans="1:22">
      <c r="A19" s="3"/>
      <c r="B19" s="53" t="s">
        <v>4193</v>
      </c>
      <c r="C19" s="51">
        <v>1700000</v>
      </c>
      <c r="D19" s="51">
        <v>0</v>
      </c>
      <c r="E19" s="51">
        <v>0</v>
      </c>
      <c r="F19" s="51">
        <v>0</v>
      </c>
      <c r="G19" s="51">
        <f t="shared" si="0"/>
        <v>0</v>
      </c>
      <c r="H19" s="51">
        <f t="shared" si="1"/>
        <v>68000</v>
      </c>
      <c r="I19" s="51">
        <f t="shared" si="2"/>
        <v>144500</v>
      </c>
      <c r="J19" s="51">
        <f t="shared" si="3"/>
        <v>322320</v>
      </c>
      <c r="K19" s="51">
        <f t="shared" si="4"/>
        <v>34000</v>
      </c>
      <c r="L19" s="51">
        <f t="shared" si="5"/>
        <v>51000</v>
      </c>
      <c r="M19" s="51">
        <f>'Presupuesto EPP'!$F$11*30</f>
        <v>324623.86833333335</v>
      </c>
      <c r="N19" s="51">
        <f t="shared" si="6"/>
        <v>141610</v>
      </c>
      <c r="O19" s="51">
        <v>0</v>
      </c>
      <c r="P19" s="51">
        <v>0</v>
      </c>
      <c r="Q19" s="51">
        <f t="shared" si="7"/>
        <v>70890</v>
      </c>
      <c r="R19" s="51">
        <f t="shared" si="8"/>
        <v>143026.1</v>
      </c>
      <c r="S19" s="51">
        <f t="shared" si="9"/>
        <v>12500</v>
      </c>
      <c r="T19" s="51">
        <f t="shared" si="10"/>
        <v>100000</v>
      </c>
      <c r="V19" s="51"/>
    </row>
    <row r="20" spans="1:22">
      <c r="A20" s="3"/>
      <c r="B20" s="53" t="s">
        <v>4135</v>
      </c>
      <c r="C20" s="51">
        <v>1700000</v>
      </c>
      <c r="D20" s="51">
        <v>0</v>
      </c>
      <c r="E20" s="51">
        <v>0</v>
      </c>
      <c r="F20" s="51">
        <v>0</v>
      </c>
      <c r="G20" s="51">
        <f t="shared" si="0"/>
        <v>0</v>
      </c>
      <c r="H20" s="51">
        <f t="shared" si="1"/>
        <v>68000</v>
      </c>
      <c r="I20" s="51">
        <f t="shared" si="2"/>
        <v>144500</v>
      </c>
      <c r="J20" s="51">
        <f t="shared" si="3"/>
        <v>322320</v>
      </c>
      <c r="K20" s="51">
        <f t="shared" si="4"/>
        <v>34000</v>
      </c>
      <c r="L20" s="51">
        <f t="shared" si="5"/>
        <v>51000</v>
      </c>
      <c r="M20" s="51">
        <f>'Presupuesto EPP'!$F$11*30</f>
        <v>324623.86833333335</v>
      </c>
      <c r="N20" s="51">
        <f t="shared" si="6"/>
        <v>141610</v>
      </c>
      <c r="O20" s="51">
        <v>0</v>
      </c>
      <c r="P20" s="51">
        <v>0</v>
      </c>
      <c r="Q20" s="51">
        <f t="shared" si="7"/>
        <v>70890</v>
      </c>
      <c r="R20" s="51">
        <f t="shared" si="8"/>
        <v>143026.1</v>
      </c>
      <c r="S20" s="51">
        <f t="shared" si="9"/>
        <v>12500</v>
      </c>
      <c r="T20" s="51">
        <f t="shared" si="10"/>
        <v>100000</v>
      </c>
      <c r="V20" s="51"/>
    </row>
    <row r="21" spans="1:22">
      <c r="A21" s="3"/>
      <c r="B21" s="53" t="s">
        <v>4206</v>
      </c>
      <c r="C21" s="51">
        <v>908526</v>
      </c>
      <c r="D21" s="51">
        <v>0</v>
      </c>
      <c r="E21" s="51">
        <v>0</v>
      </c>
      <c r="F21" s="51">
        <v>0</v>
      </c>
      <c r="G21" s="51">
        <f t="shared" si="0"/>
        <v>106454</v>
      </c>
      <c r="H21" s="51">
        <f t="shared" si="1"/>
        <v>36341.040000000001</v>
      </c>
      <c r="I21" s="51">
        <f t="shared" si="2"/>
        <v>77224.710000000006</v>
      </c>
      <c r="J21" s="51">
        <f t="shared" si="3"/>
        <v>172256.52960000001</v>
      </c>
      <c r="K21" s="51">
        <f t="shared" si="4"/>
        <v>18170.52</v>
      </c>
      <c r="L21" s="51">
        <f t="shared" si="5"/>
        <v>27255.78</v>
      </c>
      <c r="M21" s="51">
        <f>'Presupuesto EPP'!$F$11*30</f>
        <v>324623.86833333335</v>
      </c>
      <c r="N21" s="51">
        <f t="shared" si="6"/>
        <v>84547.834000000003</v>
      </c>
      <c r="O21" s="51">
        <v>0</v>
      </c>
      <c r="P21" s="51">
        <v>0</v>
      </c>
      <c r="Q21" s="51">
        <f t="shared" si="7"/>
        <v>37885.534200000002</v>
      </c>
      <c r="R21" s="51">
        <f t="shared" si="8"/>
        <v>85393.312340000004</v>
      </c>
      <c r="S21" s="51">
        <f t="shared" si="9"/>
        <v>7828</v>
      </c>
      <c r="T21" s="51">
        <f t="shared" si="10"/>
        <v>62624</v>
      </c>
      <c r="V21" s="51"/>
    </row>
    <row r="22" spans="1:22">
      <c r="A22" s="3"/>
      <c r="B22" s="3"/>
      <c r="C22" s="3"/>
      <c r="D22" s="3"/>
      <c r="E22" s="3"/>
      <c r="F22" s="3"/>
      <c r="G22" s="3"/>
      <c r="H22" s="3"/>
    </row>
    <row r="23" spans="1:22">
      <c r="A23" s="3"/>
      <c r="B23" s="3"/>
      <c r="C23" s="3"/>
      <c r="D23" s="3"/>
      <c r="E23" s="3"/>
      <c r="F23" s="3"/>
      <c r="G23" s="3"/>
      <c r="H23" s="3"/>
    </row>
    <row r="24" spans="1:22">
      <c r="A24" s="3"/>
      <c r="B24" s="3"/>
      <c r="C24" s="3"/>
      <c r="D24" s="3"/>
      <c r="E24" s="3"/>
      <c r="F24" s="3"/>
      <c r="G24" s="3"/>
      <c r="H24" s="3"/>
    </row>
    <row r="25" spans="1:22">
      <c r="A25" s="3"/>
      <c r="B25" s="3"/>
      <c r="C25" s="3"/>
      <c r="D25" s="3"/>
      <c r="E25" s="3"/>
      <c r="F25" s="3"/>
      <c r="G25" s="3"/>
      <c r="H25" s="3"/>
    </row>
    <row r="26" spans="1:22">
      <c r="A26" s="3"/>
      <c r="B26" s="3"/>
      <c r="C26" s="3"/>
      <c r="D26" s="3"/>
      <c r="E26" s="3"/>
      <c r="F26" s="3"/>
      <c r="G26" s="3"/>
      <c r="H26" s="3"/>
    </row>
    <row r="27" spans="1:22">
      <c r="A27" s="3"/>
      <c r="B27" s="3"/>
      <c r="C27" s="3"/>
      <c r="D27" s="3"/>
      <c r="E27" s="3"/>
      <c r="F27" s="3"/>
      <c r="G27" s="3"/>
      <c r="H27" s="3"/>
    </row>
    <row r="28" spans="1:22">
      <c r="A28" s="3"/>
      <c r="B28" s="3"/>
      <c r="C28" s="3"/>
      <c r="D28" s="3"/>
      <c r="E28" s="3"/>
      <c r="F28" s="3"/>
      <c r="G28" s="3"/>
      <c r="H28" s="3"/>
    </row>
    <row r="29" spans="1:22">
      <c r="A29" s="3"/>
      <c r="B29" s="3"/>
      <c r="C29" s="3"/>
      <c r="D29" s="3"/>
      <c r="E29" s="3"/>
      <c r="F29" s="3"/>
      <c r="G29" s="3"/>
      <c r="H29" s="3"/>
    </row>
    <row r="30" spans="1:22">
      <c r="A30" s="3"/>
      <c r="B30" s="3"/>
      <c r="C30" s="3"/>
      <c r="D30" s="3"/>
      <c r="E30" s="3"/>
      <c r="F30" s="3"/>
      <c r="G30" s="3"/>
      <c r="H30" s="3"/>
    </row>
    <row r="31" spans="1:22">
      <c r="A31" s="3"/>
      <c r="B31" s="3"/>
      <c r="C31" s="3"/>
      <c r="D31" s="3"/>
      <c r="E31" s="3"/>
      <c r="F31" s="3"/>
      <c r="G31" s="3"/>
      <c r="H31" s="3"/>
    </row>
    <row r="32" spans="1:22">
      <c r="A32" s="3"/>
      <c r="B32" s="3"/>
      <c r="C32" s="3"/>
      <c r="D32" s="3"/>
      <c r="E32" s="3"/>
      <c r="F32" s="3"/>
      <c r="G32" s="3"/>
      <c r="H32" s="3"/>
    </row>
    <row r="33" spans="1:8">
      <c r="A33" s="3"/>
      <c r="B33" s="3"/>
      <c r="C33" s="3"/>
      <c r="D33" s="3"/>
      <c r="E33" s="3"/>
      <c r="F33" s="3"/>
      <c r="G33" s="3"/>
      <c r="H33" s="3"/>
    </row>
    <row r="34" spans="1:8">
      <c r="A34" s="3"/>
      <c r="B34" s="3"/>
      <c r="C34" s="3"/>
      <c r="D34" s="3"/>
      <c r="E34" s="3"/>
      <c r="F34" s="3"/>
      <c r="G34" s="3"/>
      <c r="H34" s="3"/>
    </row>
    <row r="35" spans="1:8">
      <c r="A35" s="3"/>
      <c r="B35" s="3"/>
      <c r="C35" s="3"/>
      <c r="D35" s="3"/>
      <c r="E35" s="3"/>
      <c r="F35" s="3"/>
      <c r="G35" s="3"/>
      <c r="H35" s="3"/>
    </row>
    <row r="36" spans="1:8">
      <c r="A36" s="3"/>
      <c r="B36" s="3"/>
      <c r="C36" s="3"/>
      <c r="D36" s="3"/>
      <c r="E36" s="3"/>
      <c r="F36" s="3"/>
      <c r="G36" s="3"/>
      <c r="H36" s="3"/>
    </row>
    <row r="37" spans="1:8">
      <c r="A37" s="3"/>
      <c r="B37" s="3"/>
      <c r="C37" s="3"/>
      <c r="D37" s="3"/>
      <c r="E37" s="3"/>
      <c r="F37" s="3"/>
      <c r="G37" s="3"/>
      <c r="H37" s="3"/>
    </row>
    <row r="38" spans="1:8">
      <c r="A38" s="3"/>
      <c r="B38" s="3"/>
      <c r="C38" s="3"/>
      <c r="D38" s="3"/>
      <c r="E38" s="3"/>
      <c r="F38" s="3"/>
      <c r="G38" s="3"/>
      <c r="H38" s="3"/>
    </row>
    <row r="39" spans="1:8">
      <c r="A39" s="3"/>
      <c r="B39" s="3"/>
      <c r="C39" s="3"/>
      <c r="D39" s="3"/>
      <c r="E39" s="3"/>
      <c r="F39" s="3"/>
      <c r="G39" s="3"/>
      <c r="H39" s="3"/>
    </row>
    <row r="40" spans="1:8">
      <c r="A40" s="3"/>
      <c r="B40" s="3"/>
      <c r="C40" s="3"/>
      <c r="D40" s="3"/>
      <c r="E40" s="3"/>
      <c r="F40" s="3"/>
      <c r="G40" s="3"/>
      <c r="H40" s="3"/>
    </row>
    <row r="41" spans="1:8">
      <c r="A41" s="3"/>
      <c r="B41" s="3"/>
      <c r="C41" s="3"/>
      <c r="D41" s="3"/>
      <c r="E41" s="3"/>
      <c r="F41" s="3"/>
      <c r="G41" s="3"/>
      <c r="H41" s="3"/>
    </row>
    <row r="42" spans="1:8">
      <c r="A42" s="3"/>
      <c r="B42" s="3"/>
      <c r="C42" s="3"/>
      <c r="D42" s="3"/>
      <c r="E42" s="3"/>
      <c r="F42" s="3"/>
      <c r="G42" s="3"/>
      <c r="H42" s="3"/>
    </row>
    <row r="43" spans="1:8">
      <c r="A43" s="3"/>
      <c r="B43" s="3"/>
      <c r="C43" s="3"/>
      <c r="D43" s="3"/>
      <c r="E43" s="3"/>
      <c r="F43" s="3"/>
      <c r="G43" s="3"/>
      <c r="H43" s="3"/>
    </row>
    <row r="44" spans="1:8">
      <c r="A44" s="3"/>
      <c r="B44" s="3"/>
      <c r="C44" s="3"/>
      <c r="D44" s="3"/>
      <c r="E44" s="3"/>
      <c r="F44" s="3"/>
      <c r="G44" s="3"/>
      <c r="H44" s="3"/>
    </row>
    <row r="45" spans="1:8">
      <c r="A45" s="3"/>
      <c r="B45" s="3"/>
      <c r="C45" s="3"/>
      <c r="D45" s="3"/>
      <c r="E45" s="3"/>
      <c r="F45" s="3"/>
      <c r="G45" s="3"/>
      <c r="H45" s="3"/>
    </row>
    <row r="46" spans="1:8">
      <c r="A46" s="3"/>
      <c r="E46" s="3"/>
      <c r="F46" s="3"/>
      <c r="G46" s="3"/>
      <c r="H46" s="3"/>
    </row>
    <row r="47" spans="1:8">
      <c r="A47" s="3"/>
      <c r="E47" s="3"/>
      <c r="F47" s="3"/>
      <c r="G47" s="3"/>
      <c r="H47" s="3"/>
    </row>
  </sheetData>
  <conditionalFormatting sqref="B4:B21">
    <cfRule type="cellIs" dxfId="141" priority="2" stopIfTrue="1" operator="greaterThan">
      <formula>0</formula>
    </cfRule>
  </conditionalFormatting>
  <conditionalFormatting sqref="B6:B13">
    <cfRule type="duplicateValues" dxfId="140" priority="1"/>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rgb="FF92D050"/>
  </sheetPr>
  <dimension ref="A1:I103"/>
  <sheetViews>
    <sheetView showGridLines="0" workbookViewId="0"/>
  </sheetViews>
  <sheetFormatPr baseColWidth="10" defaultRowHeight="13.8"/>
  <cols>
    <col min="1" max="1" width="5.109375" style="610" bestFit="1" customWidth="1"/>
    <col min="2" max="2" width="56.88671875" style="610" customWidth="1"/>
    <col min="3" max="3" width="14.6640625" style="610" bestFit="1" customWidth="1"/>
    <col min="4" max="4" width="5" style="618" bestFit="1" customWidth="1"/>
    <col min="5" max="5" width="14.88671875" style="610" customWidth="1"/>
    <col min="6" max="6" width="19.109375" style="610" customWidth="1"/>
    <col min="7" max="7" width="13" style="610" bestFit="1" customWidth="1"/>
    <col min="8" max="16384" width="11.5546875" style="610"/>
  </cols>
  <sheetData>
    <row r="1" spans="1:9">
      <c r="A1" s="609" t="s">
        <v>3929</v>
      </c>
      <c r="B1" s="609" t="s">
        <v>3891</v>
      </c>
      <c r="C1" s="609" t="s">
        <v>5016</v>
      </c>
      <c r="D1" s="609" t="s">
        <v>3930</v>
      </c>
      <c r="E1" s="609" t="s">
        <v>3952</v>
      </c>
      <c r="F1" s="609" t="s">
        <v>3931</v>
      </c>
      <c r="G1" s="609" t="s">
        <v>5010</v>
      </c>
      <c r="H1" s="609" t="s">
        <v>5011</v>
      </c>
      <c r="I1" s="609" t="s">
        <v>5012</v>
      </c>
    </row>
    <row r="2" spans="1:9">
      <c r="A2" s="612">
        <v>1</v>
      </c>
      <c r="B2" s="614" t="s">
        <v>3898</v>
      </c>
      <c r="C2" s="614">
        <v>2</v>
      </c>
      <c r="D2" s="611" t="s">
        <v>3899</v>
      </c>
      <c r="E2" s="613">
        <v>747.5</v>
      </c>
      <c r="F2" s="613">
        <v>29900</v>
      </c>
      <c r="G2" s="610" t="s">
        <v>5015</v>
      </c>
      <c r="H2" s="610" t="str">
        <f>"'"&amp;TRIM(UPPER(B2))&amp;"', '"&amp;TRIM(C2)&amp;"', '"&amp;TRIM(ROUND(E2,0))&amp;"', '"&amp;TRIM(ROUND(F2,0))&amp;"');"</f>
        <v>'ALICATE', '2', '748', '29900');</v>
      </c>
      <c r="I2" s="610" t="str">
        <f>CONCATENATE(G2,H2)</f>
        <v>INSERT INTO equipos_2 (NOMBRE, ID_TIPO_EQUIPO, TARIFA_DIA, VALOR) VALUE ('ALICATE', '2', '748', '29900');</v>
      </c>
    </row>
    <row r="3" spans="1:9">
      <c r="A3" s="612">
        <f>A2+1</f>
        <v>2</v>
      </c>
      <c r="B3" s="614" t="s">
        <v>4158</v>
      </c>
      <c r="C3" s="614">
        <v>2</v>
      </c>
      <c r="D3" s="611" t="s">
        <v>3899</v>
      </c>
      <c r="E3" s="613">
        <v>50000</v>
      </c>
      <c r="F3" s="613">
        <v>2000000</v>
      </c>
      <c r="G3" s="610" t="s">
        <v>5015</v>
      </c>
      <c r="H3" s="610" t="str">
        <f t="shared" ref="H3:H66" si="0">"'"&amp;TRIM(UPPER(B3))&amp;"', '"&amp;TRIM(C3)&amp;"', '"&amp;TRIM(ROUND(E3,0))&amp;"', '"&amp;TRIM(ROUND(F3,0))&amp;"');"</f>
        <v>'ALQUILER COMPUTADOR', '2', '50000', '2000000');</v>
      </c>
      <c r="I3" s="610" t="str">
        <f t="shared" ref="I3:I66" si="1">CONCATENATE(G3,H3)</f>
        <v>INSERT INTO equipos_2 (NOMBRE, ID_TIPO_EQUIPO, TARIFA_DIA, VALOR) VALUE ('ALQUILER COMPUTADOR', '2', '50000', '2000000');</v>
      </c>
    </row>
    <row r="4" spans="1:9">
      <c r="A4" s="612">
        <f t="shared" ref="A4:A67" si="2">A3+1</f>
        <v>3</v>
      </c>
      <c r="B4" s="614" t="s">
        <v>3949</v>
      </c>
      <c r="C4" s="614">
        <v>1</v>
      </c>
      <c r="D4" s="611" t="s">
        <v>3907</v>
      </c>
      <c r="E4" s="613">
        <v>120000</v>
      </c>
      <c r="F4" s="613">
        <v>4800000</v>
      </c>
      <c r="G4" s="610" t="s">
        <v>5015</v>
      </c>
      <c r="H4" s="610" t="str">
        <f t="shared" si="0"/>
        <v>'ANALIZADOR DE REDES', '1', '120000', '4800000');</v>
      </c>
      <c r="I4" s="610" t="str">
        <f t="shared" si="1"/>
        <v>INSERT INTO equipos_2 (NOMBRE, ID_TIPO_EQUIPO, TARIFA_DIA, VALOR) VALUE ('ANALIZADOR DE REDES', '1', '120000', '4800000');</v>
      </c>
    </row>
    <row r="5" spans="1:9">
      <c r="A5" s="612">
        <f t="shared" si="2"/>
        <v>4</v>
      </c>
      <c r="B5" s="614" t="s">
        <v>3915</v>
      </c>
      <c r="C5" s="614">
        <v>3</v>
      </c>
      <c r="D5" s="611" t="s">
        <v>3901</v>
      </c>
      <c r="E5" s="613">
        <v>64050</v>
      </c>
      <c r="F5" s="613">
        <v>2562000</v>
      </c>
      <c r="G5" s="610" t="s">
        <v>5015</v>
      </c>
      <c r="H5" s="610" t="str">
        <f t="shared" si="0"/>
        <v>'ANDAMIOS', '3', '64050', '2562000');</v>
      </c>
      <c r="I5" s="610" t="str">
        <f t="shared" si="1"/>
        <v>INSERT INTO equipos_2 (NOMBRE, ID_TIPO_EQUIPO, TARIFA_DIA, VALOR) VALUE ('ANDAMIOS', '3', '64050', '2562000');</v>
      </c>
    </row>
    <row r="6" spans="1:9">
      <c r="A6" s="612">
        <f t="shared" si="2"/>
        <v>5</v>
      </c>
      <c r="B6" s="614" t="s">
        <v>4152</v>
      </c>
      <c r="C6" s="614">
        <v>3</v>
      </c>
      <c r="D6" s="611" t="s">
        <v>3901</v>
      </c>
      <c r="E6" s="613">
        <v>6752</v>
      </c>
      <c r="F6" s="613">
        <v>270080</v>
      </c>
      <c r="G6" s="610" t="s">
        <v>5015</v>
      </c>
      <c r="H6" s="610" t="str">
        <f t="shared" si="0"/>
        <v>'ANTENAYA', '3', '6752', '270080');</v>
      </c>
      <c r="I6" s="610" t="str">
        <f t="shared" si="1"/>
        <v>INSERT INTO equipos_2 (NOMBRE, ID_TIPO_EQUIPO, TARIFA_DIA, VALOR) VALUE ('ANTENAYA', '3', '6752', '270080');</v>
      </c>
    </row>
    <row r="7" spans="1:9">
      <c r="A7" s="612">
        <f t="shared" si="2"/>
        <v>6</v>
      </c>
      <c r="B7" s="614" t="s">
        <v>3900</v>
      </c>
      <c r="C7" s="614">
        <v>3</v>
      </c>
      <c r="D7" s="611" t="s">
        <v>3901</v>
      </c>
      <c r="E7" s="613">
        <v>6500</v>
      </c>
      <c r="F7" s="613">
        <v>260000</v>
      </c>
      <c r="G7" s="610" t="s">
        <v>5015</v>
      </c>
      <c r="H7" s="610" t="str">
        <f t="shared" si="0"/>
        <v>'ARNES', '3', '6500', '260000');</v>
      </c>
      <c r="I7" s="610" t="str">
        <f t="shared" si="1"/>
        <v>INSERT INTO equipos_2 (NOMBRE, ID_TIPO_EQUIPO, TARIFA_DIA, VALOR) VALUE ('ARNES', '3', '6500', '260000');</v>
      </c>
    </row>
    <row r="8" spans="1:9">
      <c r="A8" s="612">
        <f t="shared" si="2"/>
        <v>7</v>
      </c>
      <c r="B8" s="614" t="s">
        <v>4133</v>
      </c>
      <c r="C8" s="614">
        <v>2</v>
      </c>
      <c r="D8" s="611" t="s">
        <v>3899</v>
      </c>
      <c r="E8" s="613">
        <v>96.714999999999975</v>
      </c>
      <c r="F8" s="613">
        <v>3868.599999999999</v>
      </c>
      <c r="G8" s="610" t="s">
        <v>5015</v>
      </c>
      <c r="H8" s="610" t="str">
        <f t="shared" si="0"/>
        <v>'BANDEJA PLASTICA', '2', '97', '3869');</v>
      </c>
      <c r="I8" s="610" t="str">
        <f t="shared" si="1"/>
        <v>INSERT INTO equipos_2 (NOMBRE, ID_TIPO_EQUIPO, TARIFA_DIA, VALOR) VALUE ('BANDEJA PLASTICA', '2', '97', '3869');</v>
      </c>
    </row>
    <row r="9" spans="1:9">
      <c r="A9" s="612">
        <f t="shared" si="2"/>
        <v>8</v>
      </c>
      <c r="B9" s="614" t="s">
        <v>4144</v>
      </c>
      <c r="C9" s="614">
        <v>2</v>
      </c>
      <c r="D9" s="611" t="s">
        <v>3899</v>
      </c>
      <c r="E9" s="613">
        <v>1625</v>
      </c>
      <c r="F9" s="613">
        <v>0</v>
      </c>
      <c r="G9" s="610" t="s">
        <v>5015</v>
      </c>
      <c r="H9" s="610" t="str">
        <f t="shared" si="0"/>
        <v>'BARRA', '2', '1625', '0');</v>
      </c>
      <c r="I9" s="610" t="str">
        <f t="shared" si="1"/>
        <v>INSERT INTO equipos_2 (NOMBRE, ID_TIPO_EQUIPO, TARIFA_DIA, VALOR) VALUE ('BARRA', '2', '1625', '0');</v>
      </c>
    </row>
    <row r="10" spans="1:9">
      <c r="A10" s="612">
        <f t="shared" si="2"/>
        <v>9</v>
      </c>
      <c r="B10" s="614" t="s">
        <v>4105</v>
      </c>
      <c r="C10" s="614">
        <v>2</v>
      </c>
      <c r="D10" s="611" t="s">
        <v>3899</v>
      </c>
      <c r="E10" s="613">
        <v>433.54999999999995</v>
      </c>
      <c r="F10" s="613">
        <v>17341.999999999996</v>
      </c>
      <c r="G10" s="610" t="s">
        <v>5015</v>
      </c>
      <c r="H10" s="610" t="str">
        <f t="shared" si="0"/>
        <v>'BROCHA', '2', '434', '17342');</v>
      </c>
      <c r="I10" s="610" t="str">
        <f t="shared" si="1"/>
        <v>INSERT INTO equipos_2 (NOMBRE, ID_TIPO_EQUIPO, TARIFA_DIA, VALOR) VALUE ('BROCHA', '2', '434', '17342');</v>
      </c>
    </row>
    <row r="11" spans="1:9">
      <c r="A11" s="612">
        <f t="shared" si="2"/>
        <v>10</v>
      </c>
      <c r="B11" s="614" t="s">
        <v>3946</v>
      </c>
      <c r="C11" s="614">
        <v>2</v>
      </c>
      <c r="D11" s="611" t="s">
        <v>3899</v>
      </c>
      <c r="E11" s="613">
        <v>14130</v>
      </c>
      <c r="F11" s="613">
        <v>565200</v>
      </c>
      <c r="G11" s="610" t="s">
        <v>5015</v>
      </c>
      <c r="H11" s="610" t="str">
        <f t="shared" si="0"/>
        <v>'CAJA DE HERRAMIENTAS', '2', '14130', '565200');</v>
      </c>
      <c r="I11" s="610" t="str">
        <f t="shared" si="1"/>
        <v>INSERT INTO equipos_2 (NOMBRE, ID_TIPO_EQUIPO, TARIFA_DIA, VALOR) VALUE ('CAJA DE HERRAMIENTAS', '2', '14130', '565200');</v>
      </c>
    </row>
    <row r="12" spans="1:9">
      <c r="A12" s="612">
        <f t="shared" si="2"/>
        <v>11</v>
      </c>
      <c r="B12" s="614" t="s">
        <v>3942</v>
      </c>
      <c r="C12" s="614">
        <v>1</v>
      </c>
      <c r="D12" s="611" t="s">
        <v>3907</v>
      </c>
      <c r="E12" s="613">
        <v>7247.5</v>
      </c>
      <c r="F12" s="613">
        <v>289900</v>
      </c>
      <c r="G12" s="610" t="s">
        <v>5015</v>
      </c>
      <c r="H12" s="610" t="str">
        <f t="shared" si="0"/>
        <v>'CALENTADOR MANUAL', '1', '7248', '289900');</v>
      </c>
      <c r="I12" s="610" t="str">
        <f t="shared" si="1"/>
        <v>INSERT INTO equipos_2 (NOMBRE, ID_TIPO_EQUIPO, TARIFA_DIA, VALOR) VALUE ('CALENTADOR MANUAL', '1', '7248', '289900');</v>
      </c>
    </row>
    <row r="13" spans="1:9">
      <c r="A13" s="612">
        <f t="shared" si="2"/>
        <v>12</v>
      </c>
      <c r="B13" s="614" t="s">
        <v>5017</v>
      </c>
      <c r="C13" s="614">
        <v>2</v>
      </c>
      <c r="D13" s="611" t="s">
        <v>3899</v>
      </c>
      <c r="E13" s="613">
        <v>7500</v>
      </c>
      <c r="F13" s="613">
        <v>300000</v>
      </c>
      <c r="G13" s="610" t="s">
        <v>5015</v>
      </c>
      <c r="H13" s="610" t="str">
        <f t="shared" si="0"/>
        <v>'CAMARA FOTOGRAFICA DIGITAL', '2', '7500', '300000');</v>
      </c>
      <c r="I13" s="610" t="str">
        <f t="shared" si="1"/>
        <v>INSERT INTO equipos_2 (NOMBRE, ID_TIPO_EQUIPO, TARIFA_DIA, VALOR) VALUE ('CAMARA FOTOGRAFICA DIGITAL', '2', '7500', '300000');</v>
      </c>
    </row>
    <row r="14" spans="1:9">
      <c r="A14" s="612">
        <f t="shared" si="2"/>
        <v>13</v>
      </c>
      <c r="B14" s="614" t="s">
        <v>3892</v>
      </c>
      <c r="C14" s="614">
        <v>4</v>
      </c>
      <c r="D14" s="611" t="s">
        <v>4101</v>
      </c>
      <c r="E14" s="613">
        <v>174000</v>
      </c>
      <c r="F14" s="613">
        <v>0</v>
      </c>
      <c r="G14" s="610" t="s">
        <v>5015</v>
      </c>
      <c r="H14" s="610" t="str">
        <f t="shared" si="0"/>
        <v>'CAMION TURBITO', '4', '174000', '0');</v>
      </c>
      <c r="I14" s="610" t="str">
        <f t="shared" si="1"/>
        <v>INSERT INTO equipos_2 (NOMBRE, ID_TIPO_EQUIPO, TARIFA_DIA, VALOR) VALUE ('CAMION TURBITO', '4', '174000', '0');</v>
      </c>
    </row>
    <row r="15" spans="1:9">
      <c r="A15" s="612">
        <f t="shared" si="2"/>
        <v>14</v>
      </c>
      <c r="B15" s="614" t="s">
        <v>3893</v>
      </c>
      <c r="C15" s="614">
        <v>4</v>
      </c>
      <c r="D15" s="611" t="s">
        <v>4101</v>
      </c>
      <c r="E15" s="613">
        <v>255199.99999999997</v>
      </c>
      <c r="F15" s="613">
        <v>0</v>
      </c>
      <c r="G15" s="610" t="s">
        <v>5015</v>
      </c>
      <c r="H15" s="610" t="str">
        <f t="shared" si="0"/>
        <v>'CAMION TURBO', '4', '255200', '0');</v>
      </c>
      <c r="I15" s="610" t="str">
        <f t="shared" si="1"/>
        <v>INSERT INTO equipos_2 (NOMBRE, ID_TIPO_EQUIPO, TARIFA_DIA, VALOR) VALUE ('CAMION TURBO', '4', '255200', '0');</v>
      </c>
    </row>
    <row r="16" spans="1:9">
      <c r="A16" s="612">
        <f t="shared" si="2"/>
        <v>15</v>
      </c>
      <c r="B16" s="614" t="s">
        <v>3928</v>
      </c>
      <c r="C16" s="614">
        <v>4</v>
      </c>
      <c r="D16" s="611" t="s">
        <v>4101</v>
      </c>
      <c r="E16" s="613">
        <v>160000</v>
      </c>
      <c r="F16" s="613">
        <v>0</v>
      </c>
      <c r="G16" s="610" t="s">
        <v>5015</v>
      </c>
      <c r="H16" s="610" t="str">
        <f t="shared" si="0"/>
        <v>'CAMIONETA 4X4', '4', '160000', '0');</v>
      </c>
      <c r="I16" s="610" t="str">
        <f t="shared" si="1"/>
        <v>INSERT INTO equipos_2 (NOMBRE, ID_TIPO_EQUIPO, TARIFA_DIA, VALOR) VALUE ('CAMIONETA 4X4', '4', '160000', '0');</v>
      </c>
    </row>
    <row r="17" spans="1:9">
      <c r="A17" s="612">
        <f t="shared" si="2"/>
        <v>16</v>
      </c>
      <c r="B17" s="614" t="s">
        <v>4134</v>
      </c>
      <c r="C17" s="614">
        <v>2</v>
      </c>
      <c r="D17" s="611" t="s">
        <v>3899</v>
      </c>
      <c r="E17" s="613">
        <v>2500</v>
      </c>
      <c r="F17" s="613">
        <v>100000</v>
      </c>
      <c r="G17" s="610" t="s">
        <v>5015</v>
      </c>
      <c r="H17" s="610" t="str">
        <f t="shared" si="0"/>
        <v>'CARRETILLA', '2', '2500', '100000');</v>
      </c>
      <c r="I17" s="610" t="str">
        <f t="shared" si="1"/>
        <v>INSERT INTO equipos_2 (NOMBRE, ID_TIPO_EQUIPO, TARIFA_DIA, VALOR) VALUE ('CARRETILLA', '2', '2500', '100000');</v>
      </c>
    </row>
    <row r="18" spans="1:9">
      <c r="A18" s="612">
        <f t="shared" si="2"/>
        <v>17</v>
      </c>
      <c r="B18" s="614" t="s">
        <v>3934</v>
      </c>
      <c r="C18" s="614">
        <v>2</v>
      </c>
      <c r="D18" s="611" t="s">
        <v>3899</v>
      </c>
      <c r="E18" s="613">
        <v>310.5</v>
      </c>
      <c r="F18" s="613">
        <v>12420</v>
      </c>
      <c r="G18" s="610" t="s">
        <v>5015</v>
      </c>
      <c r="H18" s="610" t="str">
        <f t="shared" si="0"/>
        <v>'CAUCHO DOBLA TUBO 1/2', '2', '311', '12420');</v>
      </c>
      <c r="I18" s="610" t="str">
        <f t="shared" si="1"/>
        <v>INSERT INTO equipos_2 (NOMBRE, ID_TIPO_EQUIPO, TARIFA_DIA, VALOR) VALUE ('CAUCHO DOBLA TUBO 1/2', '2', '311', '12420');</v>
      </c>
    </row>
    <row r="19" spans="1:9">
      <c r="A19" s="612">
        <f t="shared" si="2"/>
        <v>18</v>
      </c>
      <c r="B19" s="614" t="s">
        <v>3935</v>
      </c>
      <c r="C19" s="614">
        <v>2</v>
      </c>
      <c r="D19" s="611" t="s">
        <v>3899</v>
      </c>
      <c r="E19" s="613">
        <v>594.65</v>
      </c>
      <c r="F19" s="613">
        <v>23785.999999999996</v>
      </c>
      <c r="G19" s="610" t="s">
        <v>5015</v>
      </c>
      <c r="H19" s="610" t="str">
        <f t="shared" si="0"/>
        <v>'CAUCHO DOBLA TUBO 3/4', '2', '595', '23786');</v>
      </c>
      <c r="I19" s="610" t="str">
        <f t="shared" si="1"/>
        <v>INSERT INTO equipos_2 (NOMBRE, ID_TIPO_EQUIPO, TARIFA_DIA, VALOR) VALUE ('CAUCHO DOBLA TUBO 3/4', '2', '595', '23786');</v>
      </c>
    </row>
    <row r="20" spans="1:9">
      <c r="A20" s="612">
        <f t="shared" si="2"/>
        <v>19</v>
      </c>
      <c r="B20" s="614" t="s">
        <v>3933</v>
      </c>
      <c r="C20" s="614">
        <v>2</v>
      </c>
      <c r="D20" s="611" t="s">
        <v>3899</v>
      </c>
      <c r="E20" s="613">
        <v>997.5</v>
      </c>
      <c r="F20" s="613">
        <v>39900</v>
      </c>
      <c r="G20" s="610" t="s">
        <v>5015</v>
      </c>
      <c r="H20" s="610" t="str">
        <f t="shared" si="0"/>
        <v>'CEGUETA', '2', '998', '39900');</v>
      </c>
      <c r="I20" s="610" t="str">
        <f t="shared" si="1"/>
        <v>INSERT INTO equipos_2 (NOMBRE, ID_TIPO_EQUIPO, TARIFA_DIA, VALOR) VALUE ('CEGUETA', '2', '998', '39900');</v>
      </c>
    </row>
    <row r="21" spans="1:9">
      <c r="A21" s="612">
        <f t="shared" si="2"/>
        <v>20</v>
      </c>
      <c r="B21" s="614" t="s">
        <v>3937</v>
      </c>
      <c r="C21" s="614">
        <v>2</v>
      </c>
      <c r="D21" s="611" t="s">
        <v>3899</v>
      </c>
      <c r="E21" s="613">
        <v>23750</v>
      </c>
      <c r="F21" s="613">
        <v>950000</v>
      </c>
      <c r="G21" s="610" t="s">
        <v>5015</v>
      </c>
      <c r="H21" s="610" t="str">
        <f t="shared" si="0"/>
        <v>'CELULAR', '2', '23750', '950000');</v>
      </c>
      <c r="I21" s="610" t="str">
        <f t="shared" si="1"/>
        <v>INSERT INTO equipos_2 (NOMBRE, ID_TIPO_EQUIPO, TARIFA_DIA, VALOR) VALUE ('CELULAR', '2', '23750', '950000');</v>
      </c>
    </row>
    <row r="22" spans="1:9">
      <c r="A22" s="612">
        <f t="shared" si="2"/>
        <v>21</v>
      </c>
      <c r="B22" s="614" t="s">
        <v>3916</v>
      </c>
      <c r="C22" s="614">
        <v>2</v>
      </c>
      <c r="D22" s="611" t="s">
        <v>3899</v>
      </c>
      <c r="E22" s="613">
        <v>122.5</v>
      </c>
      <c r="F22" s="613">
        <v>4900</v>
      </c>
      <c r="G22" s="610" t="s">
        <v>5015</v>
      </c>
      <c r="H22" s="610" t="str">
        <f t="shared" si="0"/>
        <v>'CINCEL', '2', '123', '4900');</v>
      </c>
      <c r="I22" s="610" t="str">
        <f t="shared" si="1"/>
        <v>INSERT INTO equipos_2 (NOMBRE, ID_TIPO_EQUIPO, TARIFA_DIA, VALOR) VALUE ('CINCEL', '2', '123', '4900');</v>
      </c>
    </row>
    <row r="23" spans="1:9">
      <c r="A23" s="612">
        <f t="shared" si="2"/>
        <v>22</v>
      </c>
      <c r="B23" s="614" t="s">
        <v>3948</v>
      </c>
      <c r="C23" s="614">
        <v>2</v>
      </c>
      <c r="D23" s="611" t="s">
        <v>3899</v>
      </c>
      <c r="E23" s="613">
        <v>997.5</v>
      </c>
      <c r="F23" s="613">
        <v>39900</v>
      </c>
      <c r="G23" s="610" t="s">
        <v>5015</v>
      </c>
      <c r="H23" s="610" t="str">
        <f t="shared" si="0"/>
        <v>'CINTA METRICA X 30 MTS', '2', '998', '39900');</v>
      </c>
      <c r="I23" s="610" t="str">
        <f t="shared" si="1"/>
        <v>INSERT INTO equipos_2 (NOMBRE, ID_TIPO_EQUIPO, TARIFA_DIA, VALOR) VALUE ('CINTA METRICA X 30 MTS', '2', '998', '39900');</v>
      </c>
    </row>
    <row r="24" spans="1:9">
      <c r="A24" s="612">
        <f t="shared" si="2"/>
        <v>23</v>
      </c>
      <c r="B24" s="614" t="s">
        <v>4128</v>
      </c>
      <c r="C24" s="614">
        <v>3</v>
      </c>
      <c r="D24" s="611" t="s">
        <v>3901</v>
      </c>
      <c r="E24" s="613">
        <v>178.52500000000001</v>
      </c>
      <c r="F24" s="613">
        <v>7141</v>
      </c>
      <c r="G24" s="610" t="s">
        <v>5015</v>
      </c>
      <c r="H24" s="610" t="str">
        <f t="shared" si="0"/>
        <v>'CINTA PELIGRO', '3', '179', '7141');</v>
      </c>
      <c r="I24" s="610" t="str">
        <f t="shared" si="1"/>
        <v>INSERT INTO equipos_2 (NOMBRE, ID_TIPO_EQUIPO, TARIFA_DIA, VALOR) VALUE ('CINTA PELIGRO', '3', '179', '7141');</v>
      </c>
    </row>
    <row r="25" spans="1:9">
      <c r="A25" s="612">
        <f t="shared" si="2"/>
        <v>24</v>
      </c>
      <c r="B25" s="614" t="s">
        <v>3945</v>
      </c>
      <c r="C25" s="614">
        <v>3</v>
      </c>
      <c r="D25" s="611" t="s">
        <v>3901</v>
      </c>
      <c r="E25" s="613">
        <v>1122.5</v>
      </c>
      <c r="F25" s="613">
        <v>44900</v>
      </c>
      <c r="G25" s="610" t="s">
        <v>5015</v>
      </c>
      <c r="H25" s="610" t="str">
        <f t="shared" si="0"/>
        <v>'CINTURON HERRAMIENTAS', '3', '1123', '44900');</v>
      </c>
      <c r="I25" s="610" t="str">
        <f t="shared" si="1"/>
        <v>INSERT INTO equipos_2 (NOMBRE, ID_TIPO_EQUIPO, TARIFA_DIA, VALOR) VALUE ('CINTURON HERRAMIENTAS', '3', '1123', '44900');</v>
      </c>
    </row>
    <row r="26" spans="1:9">
      <c r="A26" s="612">
        <f t="shared" si="2"/>
        <v>25</v>
      </c>
      <c r="B26" s="614" t="s">
        <v>3936</v>
      </c>
      <c r="C26" s="614">
        <v>2</v>
      </c>
      <c r="D26" s="611" t="s">
        <v>3899</v>
      </c>
      <c r="E26" s="613">
        <v>2122.5</v>
      </c>
      <c r="F26" s="613">
        <v>84900</v>
      </c>
      <c r="G26" s="610" t="s">
        <v>5015</v>
      </c>
      <c r="H26" s="610" t="str">
        <f t="shared" si="0"/>
        <v>'CIZALLA', '2', '2123', '84900');</v>
      </c>
      <c r="I26" s="610" t="str">
        <f t="shared" si="1"/>
        <v>INSERT INTO equipos_2 (NOMBRE, ID_TIPO_EQUIPO, TARIFA_DIA, VALOR) VALUE ('CIZALLA', '2', '2123', '84900');</v>
      </c>
    </row>
    <row r="27" spans="1:9">
      <c r="A27" s="612">
        <f t="shared" si="2"/>
        <v>26</v>
      </c>
      <c r="B27" s="614" t="s">
        <v>4130</v>
      </c>
      <c r="C27" s="614">
        <v>3</v>
      </c>
      <c r="D27" s="611" t="s">
        <v>3901</v>
      </c>
      <c r="E27" s="613">
        <v>1197.5</v>
      </c>
      <c r="F27" s="613">
        <v>47900</v>
      </c>
      <c r="G27" s="610" t="s">
        <v>5015</v>
      </c>
      <c r="H27" s="610" t="str">
        <f t="shared" si="0"/>
        <v>'COLOMBINA PLASTICA', '3', '1198', '47900');</v>
      </c>
      <c r="I27" s="610" t="str">
        <f t="shared" si="1"/>
        <v>INSERT INTO equipos_2 (NOMBRE, ID_TIPO_EQUIPO, TARIFA_DIA, VALOR) VALUE ('COLOMBINA PLASTICA', '3', '1198', '47900');</v>
      </c>
    </row>
    <row r="28" spans="1:9">
      <c r="A28" s="612">
        <f t="shared" si="2"/>
        <v>27</v>
      </c>
      <c r="B28" s="614" t="s">
        <v>4150</v>
      </c>
      <c r="C28" s="614">
        <v>2</v>
      </c>
      <c r="D28" s="611" t="s">
        <v>3899</v>
      </c>
      <c r="E28" s="613">
        <v>35000</v>
      </c>
      <c r="F28" s="613">
        <v>0</v>
      </c>
      <c r="G28" s="610" t="s">
        <v>5015</v>
      </c>
      <c r="H28" s="610" t="str">
        <f t="shared" si="0"/>
        <v>'COMPRESOR + EQUIPO PINTURA', '2', '35000', '0');</v>
      </c>
      <c r="I28" s="610" t="str">
        <f t="shared" si="1"/>
        <v>INSERT INTO equipos_2 (NOMBRE, ID_TIPO_EQUIPO, TARIFA_DIA, VALOR) VALUE ('COMPRESOR + EQUIPO PINTURA', '2', '35000', '0');</v>
      </c>
    </row>
    <row r="29" spans="1:9">
      <c r="A29" s="612">
        <f t="shared" si="2"/>
        <v>28</v>
      </c>
      <c r="B29" s="614" t="s">
        <v>4129</v>
      </c>
      <c r="C29" s="614">
        <v>3</v>
      </c>
      <c r="D29" s="611" t="s">
        <v>3901</v>
      </c>
      <c r="E29" s="613">
        <v>1022.5</v>
      </c>
      <c r="F29" s="613">
        <v>40900</v>
      </c>
      <c r="G29" s="610" t="s">
        <v>5015</v>
      </c>
      <c r="H29" s="610" t="str">
        <f t="shared" si="0"/>
        <v>'CONO DE 70 CM', '3', '1023', '40900');</v>
      </c>
      <c r="I29" s="610" t="str">
        <f t="shared" si="1"/>
        <v>INSERT INTO equipos_2 (NOMBRE, ID_TIPO_EQUIPO, TARIFA_DIA, VALOR) VALUE ('CONO DE 70 CM', '3', '1023', '40900');</v>
      </c>
    </row>
    <row r="30" spans="1:9">
      <c r="A30" s="612">
        <f t="shared" si="2"/>
        <v>29</v>
      </c>
      <c r="B30" s="614" t="s">
        <v>3938</v>
      </c>
      <c r="C30" s="614">
        <v>2</v>
      </c>
      <c r="D30" s="611" t="s">
        <v>3899</v>
      </c>
      <c r="E30" s="613">
        <v>8890</v>
      </c>
      <c r="F30" s="613">
        <v>355600</v>
      </c>
      <c r="G30" s="610" t="s">
        <v>5015</v>
      </c>
      <c r="H30" s="610" t="str">
        <f t="shared" si="0"/>
        <v>'COPA CIERRA', '2', '8890', '355600');</v>
      </c>
      <c r="I30" s="610" t="str">
        <f t="shared" si="1"/>
        <v>INSERT INTO equipos_2 (NOMBRE, ID_TIPO_EQUIPO, TARIFA_DIA, VALOR) VALUE ('COPA CIERRA', '2', '8890', '355600');</v>
      </c>
    </row>
    <row r="31" spans="1:9">
      <c r="A31" s="612">
        <f t="shared" si="2"/>
        <v>30</v>
      </c>
      <c r="B31" s="614" t="s">
        <v>3939</v>
      </c>
      <c r="C31" s="614">
        <v>2</v>
      </c>
      <c r="D31" s="611" t="s">
        <v>3899</v>
      </c>
      <c r="E31" s="613">
        <v>797.5</v>
      </c>
      <c r="F31" s="613">
        <v>31900</v>
      </c>
      <c r="G31" s="610" t="s">
        <v>5015</v>
      </c>
      <c r="H31" s="610" t="str">
        <f t="shared" si="0"/>
        <v>'CORTA FRIO', '2', '798', '31900');</v>
      </c>
      <c r="I31" s="610" t="str">
        <f t="shared" si="1"/>
        <v>INSERT INTO equipos_2 (NOMBRE, ID_TIPO_EQUIPO, TARIFA_DIA, VALOR) VALUE ('CORTA FRIO', '2', '798', '31900');</v>
      </c>
    </row>
    <row r="32" spans="1:9">
      <c r="A32" s="612">
        <f t="shared" si="2"/>
        <v>31</v>
      </c>
      <c r="B32" s="614" t="s">
        <v>4141</v>
      </c>
      <c r="C32" s="614">
        <v>2</v>
      </c>
      <c r="D32" s="611" t="s">
        <v>3899</v>
      </c>
      <c r="E32" s="613">
        <v>50000</v>
      </c>
      <c r="F32" s="613">
        <v>0</v>
      </c>
      <c r="G32" s="610" t="s">
        <v>5015</v>
      </c>
      <c r="H32" s="610" t="str">
        <f t="shared" si="0"/>
        <v>'CORTADORA DE CONCRETO', '2', '50000', '0');</v>
      </c>
      <c r="I32" s="610" t="str">
        <f t="shared" si="1"/>
        <v>INSERT INTO equipos_2 (NOMBRE, ID_TIPO_EQUIPO, TARIFA_DIA, VALOR) VALUE ('CORTADORA DE CONCRETO', '2', '50000', '0');</v>
      </c>
    </row>
    <row r="33" spans="1:9">
      <c r="A33" s="612">
        <f t="shared" si="2"/>
        <v>32</v>
      </c>
      <c r="B33" s="614" t="s">
        <v>4194</v>
      </c>
      <c r="C33" s="614">
        <v>2</v>
      </c>
      <c r="D33" s="611" t="s">
        <v>3899</v>
      </c>
      <c r="E33" s="613">
        <v>625</v>
      </c>
      <c r="F33" s="613">
        <v>25000</v>
      </c>
      <c r="G33" s="610" t="s">
        <v>5015</v>
      </c>
      <c r="H33" s="610" t="str">
        <f t="shared" si="0"/>
        <v>'DESTONILLADORES', '2', '625', '25000');</v>
      </c>
      <c r="I33" s="610" t="str">
        <f t="shared" si="1"/>
        <v>INSERT INTO equipos_2 (NOMBRE, ID_TIPO_EQUIPO, TARIFA_DIA, VALOR) VALUE ('DESTONILLADORES', '2', '625', '25000');</v>
      </c>
    </row>
    <row r="34" spans="1:9">
      <c r="A34" s="612">
        <f t="shared" si="2"/>
        <v>33</v>
      </c>
      <c r="B34" s="614" t="s">
        <v>3902</v>
      </c>
      <c r="C34" s="614">
        <v>2</v>
      </c>
      <c r="D34" s="611" t="s">
        <v>3899</v>
      </c>
      <c r="E34" s="613">
        <v>1875</v>
      </c>
      <c r="F34" s="613">
        <v>75000</v>
      </c>
      <c r="G34" s="610" t="s">
        <v>5015</v>
      </c>
      <c r="H34" s="610" t="str">
        <f t="shared" si="0"/>
        <v>'DOBLA TUBO', '2', '1875', '75000');</v>
      </c>
      <c r="I34" s="610" t="str">
        <f t="shared" si="1"/>
        <v>INSERT INTO equipos_2 (NOMBRE, ID_TIPO_EQUIPO, TARIFA_DIA, VALOR) VALUE ('DOBLA TUBO', '2', '1875', '75000');</v>
      </c>
    </row>
    <row r="35" spans="1:9">
      <c r="A35" s="612">
        <f t="shared" si="2"/>
        <v>34</v>
      </c>
      <c r="B35" s="614" t="s">
        <v>5024</v>
      </c>
      <c r="C35" s="614">
        <v>2</v>
      </c>
      <c r="D35" s="611" t="s">
        <v>3899</v>
      </c>
      <c r="E35" s="613">
        <v>1200000</v>
      </c>
      <c r="F35" s="613">
        <v>48000000</v>
      </c>
      <c r="G35" s="610" t="s">
        <v>5015</v>
      </c>
      <c r="H35" s="610" t="str">
        <f t="shared" si="0"/>
        <v>'EQUIPO EXTRACCION DE NUCLEOS', '2', '1200000', '48000000');</v>
      </c>
      <c r="I35" s="610" t="str">
        <f t="shared" si="1"/>
        <v>INSERT INTO equipos_2 (NOMBRE, ID_TIPO_EQUIPO, TARIFA_DIA, VALOR) VALUE ('EQUIPO EXTRACCION DE NUCLEOS', '2', '1200000', '48000000');</v>
      </c>
    </row>
    <row r="36" spans="1:9">
      <c r="A36" s="612">
        <f t="shared" si="2"/>
        <v>35</v>
      </c>
      <c r="B36" s="614" t="s">
        <v>5025</v>
      </c>
      <c r="C36" s="614">
        <v>2</v>
      </c>
      <c r="D36" s="611" t="s">
        <v>3899</v>
      </c>
      <c r="E36" s="613">
        <v>1800000</v>
      </c>
      <c r="F36" s="613">
        <v>72000000</v>
      </c>
      <c r="G36" s="610" t="s">
        <v>5015</v>
      </c>
      <c r="H36" s="610" t="str">
        <f t="shared" si="0"/>
        <v>'EQUIPO PERFORACION DIRIGIDA', '2', '1800000', '72000000');</v>
      </c>
      <c r="I36" s="610" t="str">
        <f t="shared" si="1"/>
        <v>INSERT INTO equipos_2 (NOMBRE, ID_TIPO_EQUIPO, TARIFA_DIA, VALOR) VALUE ('EQUIPO PERFORACION DIRIGIDA', '2', '1800000', '72000000');</v>
      </c>
    </row>
    <row r="37" spans="1:9">
      <c r="A37" s="612">
        <f t="shared" si="2"/>
        <v>36</v>
      </c>
      <c r="B37" s="614" t="s">
        <v>5026</v>
      </c>
      <c r="C37" s="614">
        <v>2</v>
      </c>
      <c r="D37" s="611" t="s">
        <v>3899</v>
      </c>
      <c r="E37" s="613">
        <v>960000</v>
      </c>
      <c r="F37" s="613">
        <v>38400000</v>
      </c>
      <c r="G37" s="610" t="s">
        <v>5015</v>
      </c>
      <c r="H37" s="610" t="str">
        <f t="shared" si="0"/>
        <v>'EQUIPO PERFORACION NEUMATICA', '2', '960000', '38400000');</v>
      </c>
      <c r="I37" s="610" t="str">
        <f t="shared" si="1"/>
        <v>INSERT INTO equipos_2 (NOMBRE, ID_TIPO_EQUIPO, TARIFA_DIA, VALOR) VALUE ('EQUIPO PERFORACION NEUMATICA', '2', '960000', '38400000');</v>
      </c>
    </row>
    <row r="38" spans="1:9">
      <c r="A38" s="612">
        <f t="shared" si="2"/>
        <v>37</v>
      </c>
      <c r="B38" s="614" t="s">
        <v>3904</v>
      </c>
      <c r="C38" s="614">
        <v>2</v>
      </c>
      <c r="D38" s="611" t="s">
        <v>3899</v>
      </c>
      <c r="E38" s="613">
        <v>26672.5</v>
      </c>
      <c r="F38" s="613">
        <v>1066900</v>
      </c>
      <c r="G38" s="610" t="s">
        <v>5015</v>
      </c>
      <c r="H38" s="610" t="str">
        <f t="shared" si="0"/>
        <v>'ESCALERA DE EXTENSION HASTA 24 PASOS', '2', '26673', '1066900');</v>
      </c>
      <c r="I38" s="610" t="str">
        <f t="shared" si="1"/>
        <v>INSERT INTO equipos_2 (NOMBRE, ID_TIPO_EQUIPO, TARIFA_DIA, VALOR) VALUE ('ESCALERA DE EXTENSION HASTA 24 PASOS', '2', '26673', '1066900');</v>
      </c>
    </row>
    <row r="39" spans="1:9">
      <c r="A39" s="612">
        <f t="shared" si="2"/>
        <v>38</v>
      </c>
      <c r="B39" s="614" t="s">
        <v>3903</v>
      </c>
      <c r="C39" s="614">
        <v>2</v>
      </c>
      <c r="D39" s="611" t="s">
        <v>3899</v>
      </c>
      <c r="E39" s="613">
        <v>7747.5</v>
      </c>
      <c r="F39" s="613">
        <v>309900</v>
      </c>
      <c r="G39" s="610" t="s">
        <v>5015</v>
      </c>
      <c r="H39" s="610" t="str">
        <f t="shared" si="0"/>
        <v>'ESCALERA DE TIJERA HASTA 10 PASOS', '2', '7748', '309900');</v>
      </c>
      <c r="I39" s="610" t="str">
        <f t="shared" si="1"/>
        <v>INSERT INTO equipos_2 (NOMBRE, ID_TIPO_EQUIPO, TARIFA_DIA, VALOR) VALUE ('ESCALERA DE TIJERA HASTA 10 PASOS', '2', '7748', '309900');</v>
      </c>
    </row>
    <row r="40" spans="1:9">
      <c r="A40" s="612">
        <f t="shared" si="2"/>
        <v>39</v>
      </c>
      <c r="B40" s="614" t="s">
        <v>3947</v>
      </c>
      <c r="C40" s="614">
        <v>2</v>
      </c>
      <c r="D40" s="611" t="s">
        <v>3899</v>
      </c>
      <c r="E40" s="613">
        <v>272.5</v>
      </c>
      <c r="F40" s="613">
        <v>10900</v>
      </c>
      <c r="G40" s="610" t="s">
        <v>5015</v>
      </c>
      <c r="H40" s="610" t="str">
        <f t="shared" si="0"/>
        <v>'ESCUADRA PROFESIONAL', '2', '273', '10900');</v>
      </c>
      <c r="I40" s="610" t="str">
        <f t="shared" si="1"/>
        <v>INSERT INTO equipos_2 (NOMBRE, ID_TIPO_EQUIPO, TARIFA_DIA, VALOR) VALUE ('ESCUADRA PROFESIONAL', '2', '273', '10900');</v>
      </c>
    </row>
    <row r="41" spans="1:9">
      <c r="A41" s="612">
        <f t="shared" si="2"/>
        <v>40</v>
      </c>
      <c r="B41" s="614" t="s">
        <v>4104</v>
      </c>
      <c r="C41" s="614">
        <v>2</v>
      </c>
      <c r="D41" s="611" t="s">
        <v>3899</v>
      </c>
      <c r="E41" s="613">
        <v>200.09999999999997</v>
      </c>
      <c r="F41" s="613">
        <v>8003.9999999999982</v>
      </c>
      <c r="G41" s="610" t="s">
        <v>5015</v>
      </c>
      <c r="H41" s="610" t="str">
        <f t="shared" si="0"/>
        <v>'ESPATULA', '2', '200', '8004');</v>
      </c>
      <c r="I41" s="610" t="str">
        <f t="shared" si="1"/>
        <v>INSERT INTO equipos_2 (NOMBRE, ID_TIPO_EQUIPO, TARIFA_DIA, VALOR) VALUE ('ESPATULA', '2', '200', '8004');</v>
      </c>
    </row>
    <row r="42" spans="1:9">
      <c r="A42" s="612">
        <f t="shared" si="2"/>
        <v>41</v>
      </c>
      <c r="B42" s="614" t="s">
        <v>5027</v>
      </c>
      <c r="C42" s="614">
        <v>1</v>
      </c>
      <c r="D42" s="611" t="s">
        <v>3907</v>
      </c>
      <c r="E42" s="613">
        <v>5022.5</v>
      </c>
      <c r="F42" s="613">
        <v>200900</v>
      </c>
      <c r="G42" s="610" t="s">
        <v>5015</v>
      </c>
      <c r="H42" s="610" t="str">
        <f t="shared" si="0"/>
        <v>'EXTENSION INDUSTRIAL 30 M', '1', '5023', '200900');</v>
      </c>
      <c r="I42" s="610" t="str">
        <f t="shared" si="1"/>
        <v>INSERT INTO equipos_2 (NOMBRE, ID_TIPO_EQUIPO, TARIFA_DIA, VALOR) VALUE ('EXTENSION INDUSTRIAL 30 M', '1', '5023', '200900');</v>
      </c>
    </row>
    <row r="43" spans="1:9">
      <c r="A43" s="612">
        <f t="shared" si="2"/>
        <v>42</v>
      </c>
      <c r="B43" s="614" t="s">
        <v>5018</v>
      </c>
      <c r="C43" s="614">
        <v>2</v>
      </c>
      <c r="D43" s="611" t="s">
        <v>3899</v>
      </c>
      <c r="E43" s="613">
        <v>904</v>
      </c>
      <c r="F43" s="613">
        <v>36160</v>
      </c>
      <c r="G43" s="610" t="s">
        <v>5015</v>
      </c>
      <c r="H43" s="610" t="str">
        <f t="shared" si="0"/>
        <v>'FORMALETA METALICA BORDILLO', '2', '904', '36160');</v>
      </c>
      <c r="I43" s="610" t="str">
        <f t="shared" si="1"/>
        <v>INSERT INTO equipos_2 (NOMBRE, ID_TIPO_EQUIPO, TARIFA_DIA, VALOR) VALUE ('FORMALETA METALICA BORDILLO', '2', '904', '36160');</v>
      </c>
    </row>
    <row r="44" spans="1:9">
      <c r="A44" s="612">
        <f t="shared" si="2"/>
        <v>43</v>
      </c>
      <c r="B44" s="615" t="s">
        <v>5019</v>
      </c>
      <c r="C44" s="614">
        <v>2</v>
      </c>
      <c r="D44" s="611" t="s">
        <v>3899</v>
      </c>
      <c r="E44" s="613">
        <v>5944</v>
      </c>
      <c r="F44" s="613">
        <v>237760</v>
      </c>
      <c r="G44" s="610" t="s">
        <v>5015</v>
      </c>
      <c r="H44" s="610" t="str">
        <f t="shared" si="0"/>
        <v>'FORMALETA METALICA CAMARA 2F1', '2', '5944', '237760');</v>
      </c>
      <c r="I44" s="610" t="str">
        <f t="shared" si="1"/>
        <v>INSERT INTO equipos_2 (NOMBRE, ID_TIPO_EQUIPO, TARIFA_DIA, VALOR) VALUE ('FORMALETA METALICA CAMARA 2F1', '2', '5944', '237760');</v>
      </c>
    </row>
    <row r="45" spans="1:9">
      <c r="A45" s="612">
        <f t="shared" si="2"/>
        <v>44</v>
      </c>
      <c r="B45" s="616" t="s">
        <v>5020</v>
      </c>
      <c r="C45" s="614">
        <v>2</v>
      </c>
      <c r="D45" s="611" t="s">
        <v>3899</v>
      </c>
      <c r="E45" s="613">
        <v>4456</v>
      </c>
      <c r="F45" s="613">
        <v>178240</v>
      </c>
      <c r="G45" s="610" t="s">
        <v>5015</v>
      </c>
      <c r="H45" s="610" t="str">
        <f t="shared" si="0"/>
        <v>'FORMALETA METALICA CAMARA P4', '2', '4456', '178240');</v>
      </c>
      <c r="I45" s="610" t="str">
        <f t="shared" si="1"/>
        <v>INSERT INTO equipos_2 (NOMBRE, ID_TIPO_EQUIPO, TARIFA_DIA, VALOR) VALUE ('FORMALETA METALICA CAMARA P4', '2', '4456', '178240');</v>
      </c>
    </row>
    <row r="46" spans="1:9">
      <c r="A46" s="612">
        <f t="shared" si="2"/>
        <v>45</v>
      </c>
      <c r="B46" s="614" t="s">
        <v>5021</v>
      </c>
      <c r="C46" s="614">
        <v>2</v>
      </c>
      <c r="D46" s="611" t="s">
        <v>3899</v>
      </c>
      <c r="E46" s="613">
        <v>8916</v>
      </c>
      <c r="F46" s="613">
        <v>356640</v>
      </c>
      <c r="G46" s="610" t="s">
        <v>5015</v>
      </c>
      <c r="H46" s="610" t="str">
        <f t="shared" si="0"/>
        <v>'FORMALETA METALICA CAMARA PREFABRICADA 40 X 40', '2', '8916', '356640');</v>
      </c>
      <c r="I46" s="610" t="str">
        <f t="shared" si="1"/>
        <v>INSERT INTO equipos_2 (NOMBRE, ID_TIPO_EQUIPO, TARIFA_DIA, VALOR) VALUE ('FORMALETA METALICA CAMARA PREFABRICADA 40 X 40', '2', '8916', '356640');</v>
      </c>
    </row>
    <row r="47" spans="1:9">
      <c r="A47" s="612">
        <f t="shared" si="2"/>
        <v>46</v>
      </c>
      <c r="B47" s="614" t="s">
        <v>4195</v>
      </c>
      <c r="C47" s="614">
        <v>2</v>
      </c>
      <c r="D47" s="611" t="s">
        <v>3899</v>
      </c>
      <c r="E47" s="613">
        <v>86664</v>
      </c>
      <c r="F47" s="613">
        <v>3466560</v>
      </c>
      <c r="G47" s="610" t="s">
        <v>5015</v>
      </c>
      <c r="H47" s="610" t="str">
        <f t="shared" si="0"/>
        <v>'FUSIONADORA DE FO FUJIKURA 12S', '2', '86664', '3466560');</v>
      </c>
      <c r="I47" s="610" t="str">
        <f t="shared" si="1"/>
        <v>INSERT INTO equipos_2 (NOMBRE, ID_TIPO_EQUIPO, TARIFA_DIA, VALOR) VALUE ('FUSIONADORA DE FO FUJIKURA 12S', '2', '86664', '3466560');</v>
      </c>
    </row>
    <row r="48" spans="1:9">
      <c r="A48" s="612">
        <f t="shared" si="2"/>
        <v>47</v>
      </c>
      <c r="B48" s="614" t="s">
        <v>3951</v>
      </c>
      <c r="C48" s="614">
        <v>2</v>
      </c>
      <c r="D48" s="611" t="s">
        <v>3899</v>
      </c>
      <c r="E48" s="613">
        <v>30000</v>
      </c>
      <c r="F48" s="613">
        <v>1200000</v>
      </c>
      <c r="G48" s="610" t="s">
        <v>5015</v>
      </c>
      <c r="H48" s="610" t="str">
        <f t="shared" si="0"/>
        <v>'GATO HIDRAULICO', '2', '30000', '1200000');</v>
      </c>
      <c r="I48" s="610" t="str">
        <f t="shared" si="1"/>
        <v>INSERT INTO equipos_2 (NOMBRE, ID_TIPO_EQUIPO, TARIFA_DIA, VALOR) VALUE ('GATO HIDRAULICO', '2', '30000', '1200000');</v>
      </c>
    </row>
    <row r="49" spans="1:9">
      <c r="A49" s="612">
        <f t="shared" si="2"/>
        <v>48</v>
      </c>
      <c r="B49" s="614" t="s">
        <v>3894</v>
      </c>
      <c r="C49" s="614">
        <v>4</v>
      </c>
      <c r="D49" s="611" t="s">
        <v>4101</v>
      </c>
      <c r="E49" s="613">
        <v>960000</v>
      </c>
      <c r="F49" s="613">
        <v>0</v>
      </c>
      <c r="G49" s="610" t="s">
        <v>5015</v>
      </c>
      <c r="H49" s="610" t="str">
        <f t="shared" si="0"/>
        <v>'GRUA CARGA POSTES BRAZO EXTENSOR HIDRAULICO', '4', '960000', '0');</v>
      </c>
      <c r="I49" s="610" t="str">
        <f t="shared" si="1"/>
        <v>INSERT INTO equipos_2 (NOMBRE, ID_TIPO_EQUIPO, TARIFA_DIA, VALOR) VALUE ('GRUA CARGA POSTES BRAZO EXTENSOR HIDRAULICO', '4', '960000', '0');</v>
      </c>
    </row>
    <row r="50" spans="1:9">
      <c r="A50" s="612">
        <f t="shared" si="2"/>
        <v>49</v>
      </c>
      <c r="B50" s="614" t="s">
        <v>3895</v>
      </c>
      <c r="C50" s="614">
        <v>4</v>
      </c>
      <c r="D50" s="611" t="s">
        <v>4101</v>
      </c>
      <c r="E50" s="613">
        <v>960000</v>
      </c>
      <c r="F50" s="613">
        <v>0</v>
      </c>
      <c r="G50" s="610" t="s">
        <v>5015</v>
      </c>
      <c r="H50" s="610" t="str">
        <f t="shared" si="0"/>
        <v>'GRUA HIDRAULICA CARRO CANASTA', '4', '960000', '0');</v>
      </c>
      <c r="I50" s="610" t="str">
        <f t="shared" si="1"/>
        <v>INSERT INTO equipos_2 (NOMBRE, ID_TIPO_EQUIPO, TARIFA_DIA, VALOR) VALUE ('GRUA HIDRAULICA CARRO CANASTA', '4', '960000', '0');</v>
      </c>
    </row>
    <row r="51" spans="1:9">
      <c r="A51" s="612">
        <f t="shared" si="2"/>
        <v>50</v>
      </c>
      <c r="B51" s="614" t="s">
        <v>4157</v>
      </c>
      <c r="C51" s="614">
        <v>2</v>
      </c>
      <c r="D51" s="611" t="s">
        <v>3899</v>
      </c>
      <c r="E51" s="613">
        <v>20000</v>
      </c>
      <c r="F51" s="613">
        <v>800000</v>
      </c>
      <c r="G51" s="610" t="s">
        <v>5015</v>
      </c>
      <c r="H51" s="610" t="str">
        <f t="shared" si="0"/>
        <v>'GUANTES PRIMARIOS', '2', '20000', '800000');</v>
      </c>
      <c r="I51" s="610" t="str">
        <f t="shared" si="1"/>
        <v>INSERT INTO equipos_2 (NOMBRE, ID_TIPO_EQUIPO, TARIFA_DIA, VALOR) VALUE ('GUANTES PRIMARIOS', '2', '20000', '800000');</v>
      </c>
    </row>
    <row r="52" spans="1:9">
      <c r="A52" s="612">
        <f t="shared" si="2"/>
        <v>51</v>
      </c>
      <c r="B52" s="614" t="s">
        <v>4151</v>
      </c>
      <c r="C52" s="614">
        <v>3</v>
      </c>
      <c r="D52" s="611" t="s">
        <v>3901</v>
      </c>
      <c r="E52" s="613">
        <v>1075</v>
      </c>
      <c r="F52" s="613">
        <v>43000</v>
      </c>
      <c r="G52" s="610" t="s">
        <v>5015</v>
      </c>
      <c r="H52" s="610" t="str">
        <f t="shared" si="0"/>
        <v>'HACHA CON CABO', '3', '1075', '43000');</v>
      </c>
      <c r="I52" s="610" t="str">
        <f t="shared" si="1"/>
        <v>INSERT INTO equipos_2 (NOMBRE, ID_TIPO_EQUIPO, TARIFA_DIA, VALOR) VALUE ('HACHA CON CABO', '3', '1075', '43000');</v>
      </c>
    </row>
    <row r="53" spans="1:9">
      <c r="A53" s="612">
        <f t="shared" si="2"/>
        <v>52</v>
      </c>
      <c r="B53" s="56" t="s">
        <v>4153</v>
      </c>
      <c r="C53" s="614">
        <v>2</v>
      </c>
      <c r="D53" s="611" t="s">
        <v>3899</v>
      </c>
      <c r="E53" s="613">
        <v>5000</v>
      </c>
      <c r="F53" s="613">
        <v>200000</v>
      </c>
      <c r="G53" s="610" t="s">
        <v>5015</v>
      </c>
      <c r="H53" s="610" t="str">
        <f t="shared" si="0"/>
        <v>'JUEGO 4 RUEDAS PARA ANDAMIO', '2', '5000', '200000');</v>
      </c>
      <c r="I53" s="610" t="str">
        <f t="shared" si="1"/>
        <v>INSERT INTO equipos_2 (NOMBRE, ID_TIPO_EQUIPO, TARIFA_DIA, VALOR) VALUE ('JUEGO 4 RUEDAS PARA ANDAMIO', '2', '5000', '200000');</v>
      </c>
    </row>
    <row r="54" spans="1:9">
      <c r="A54" s="612">
        <f t="shared" si="2"/>
        <v>53</v>
      </c>
      <c r="B54" s="614" t="s">
        <v>4102</v>
      </c>
      <c r="C54" s="614">
        <v>2</v>
      </c>
      <c r="D54" s="611" t="s">
        <v>3899</v>
      </c>
      <c r="E54" s="613">
        <v>125</v>
      </c>
      <c r="F54" s="613">
        <v>5000</v>
      </c>
      <c r="G54" s="610" t="s">
        <v>5015</v>
      </c>
      <c r="H54" s="610" t="str">
        <f t="shared" si="0"/>
        <v>'JUEGO DE TABLAS', '2', '125', '5000');</v>
      </c>
      <c r="I54" s="610" t="str">
        <f t="shared" si="1"/>
        <v>INSERT INTO equipos_2 (NOMBRE, ID_TIPO_EQUIPO, TARIFA_DIA, VALOR) VALUE ('JUEGO DE TABLAS', '2', '125', '5000');</v>
      </c>
    </row>
    <row r="55" spans="1:9">
      <c r="A55" s="612">
        <f t="shared" si="2"/>
        <v>54</v>
      </c>
      <c r="B55" s="614" t="s">
        <v>3940</v>
      </c>
      <c r="C55" s="614">
        <v>2</v>
      </c>
      <c r="D55" s="611" t="s">
        <v>3899</v>
      </c>
      <c r="E55" s="613">
        <v>297.5</v>
      </c>
      <c r="F55" s="613">
        <v>11900</v>
      </c>
      <c r="G55" s="610" t="s">
        <v>5015</v>
      </c>
      <c r="H55" s="610" t="str">
        <f t="shared" si="0"/>
        <v>'JUEGO LLAVE ALLEN', '2', '298', '11900');</v>
      </c>
      <c r="I55" s="610" t="str">
        <f t="shared" si="1"/>
        <v>INSERT INTO equipos_2 (NOMBRE, ID_TIPO_EQUIPO, TARIFA_DIA, VALOR) VALUE ('JUEGO LLAVE ALLEN', '2', '298', '11900');</v>
      </c>
    </row>
    <row r="56" spans="1:9">
      <c r="A56" s="612">
        <f t="shared" si="2"/>
        <v>55</v>
      </c>
      <c r="B56" s="614" t="s">
        <v>3943</v>
      </c>
      <c r="C56" s="614">
        <v>2</v>
      </c>
      <c r="D56" s="611" t="s">
        <v>3899</v>
      </c>
      <c r="E56" s="613">
        <v>4997.5</v>
      </c>
      <c r="F56" s="613">
        <v>199900</v>
      </c>
      <c r="G56" s="610" t="s">
        <v>5015</v>
      </c>
      <c r="H56" s="610" t="str">
        <f t="shared" si="0"/>
        <v>'JUEGO LLAVE RATCHET', '2', '4998', '199900');</v>
      </c>
      <c r="I56" s="610" t="str">
        <f t="shared" si="1"/>
        <v>INSERT INTO equipos_2 (NOMBRE, ID_TIPO_EQUIPO, TARIFA_DIA, VALOR) VALUE ('JUEGO LLAVE RATCHET', '2', '4998', '199900');</v>
      </c>
    </row>
    <row r="57" spans="1:9">
      <c r="A57" s="612">
        <f t="shared" si="2"/>
        <v>56</v>
      </c>
      <c r="B57" s="614" t="s">
        <v>4159</v>
      </c>
      <c r="C57" s="614">
        <v>2</v>
      </c>
      <c r="D57" s="611" t="s">
        <v>3899</v>
      </c>
      <c r="E57" s="613">
        <v>25000</v>
      </c>
      <c r="F57" s="613">
        <v>1000000</v>
      </c>
      <c r="G57" s="610" t="s">
        <v>5015</v>
      </c>
      <c r="H57" s="610" t="str">
        <f t="shared" si="0"/>
        <v>'LICENCIA AUTOCAD', '2', '25000', '1000000');</v>
      </c>
      <c r="I57" s="610" t="str">
        <f t="shared" si="1"/>
        <v>INSERT INTO equipos_2 (NOMBRE, ID_TIPO_EQUIPO, TARIFA_DIA, VALOR) VALUE ('LICENCIA AUTOCAD', '2', '25000', '1000000');</v>
      </c>
    </row>
    <row r="58" spans="1:9">
      <c r="A58" s="612">
        <f t="shared" si="2"/>
        <v>57</v>
      </c>
      <c r="B58" s="614" t="s">
        <v>4139</v>
      </c>
      <c r="C58" s="614">
        <v>2</v>
      </c>
      <c r="D58" s="611" t="s">
        <v>3899</v>
      </c>
      <c r="E58" s="613">
        <v>272.5</v>
      </c>
      <c r="F58" s="613">
        <v>0</v>
      </c>
      <c r="G58" s="610" t="s">
        <v>5015</v>
      </c>
      <c r="H58" s="610" t="str">
        <f t="shared" si="0"/>
        <v>'LLANA MADERA', '2', '273', '0');</v>
      </c>
      <c r="I58" s="610" t="str">
        <f t="shared" si="1"/>
        <v>INSERT INTO equipos_2 (NOMBRE, ID_TIPO_EQUIPO, TARIFA_DIA, VALOR) VALUE ('LLANA MADERA', '2', '273', '0');</v>
      </c>
    </row>
    <row r="59" spans="1:9">
      <c r="A59" s="612">
        <f t="shared" si="2"/>
        <v>58</v>
      </c>
      <c r="B59" s="614" t="s">
        <v>5022</v>
      </c>
      <c r="C59" s="614">
        <v>2</v>
      </c>
      <c r="D59" s="611" t="s">
        <v>3899</v>
      </c>
      <c r="E59" s="613">
        <v>272.5</v>
      </c>
      <c r="F59" s="613">
        <v>0</v>
      </c>
      <c r="G59" s="610" t="s">
        <v>5015</v>
      </c>
      <c r="H59" s="610" t="str">
        <f t="shared" si="0"/>
        <v>'LLANA METALICA', '2', '273', '0');</v>
      </c>
      <c r="I59" s="610" t="str">
        <f t="shared" si="1"/>
        <v>INSERT INTO equipos_2 (NOMBRE, ID_TIPO_EQUIPO, TARIFA_DIA, VALOR) VALUE ('LLANA METALICA', '2', '273', '0');</v>
      </c>
    </row>
    <row r="60" spans="1:9">
      <c r="A60" s="612">
        <f t="shared" si="2"/>
        <v>59</v>
      </c>
      <c r="B60" s="614" t="s">
        <v>3905</v>
      </c>
      <c r="C60" s="614">
        <v>2</v>
      </c>
      <c r="D60" s="611" t="s">
        <v>3899</v>
      </c>
      <c r="E60" s="613">
        <v>2372.5</v>
      </c>
      <c r="F60" s="613">
        <v>94900</v>
      </c>
      <c r="G60" s="610" t="s">
        <v>5015</v>
      </c>
      <c r="H60" s="610" t="str">
        <f t="shared" si="0"/>
        <v>'LLAVES MIXTAS', '2', '2373', '94900');</v>
      </c>
      <c r="I60" s="610" t="str">
        <f t="shared" si="1"/>
        <v>INSERT INTO equipos_2 (NOMBRE, ID_TIPO_EQUIPO, TARIFA_DIA, VALOR) VALUE ('LLAVES MIXTAS', '2', '2373', '94900');</v>
      </c>
    </row>
    <row r="61" spans="1:9">
      <c r="A61" s="612">
        <f t="shared" si="2"/>
        <v>60</v>
      </c>
      <c r="B61" s="614" t="s">
        <v>4197</v>
      </c>
      <c r="C61" s="614">
        <v>3</v>
      </c>
      <c r="D61" s="611" t="s">
        <v>3901</v>
      </c>
      <c r="E61" s="613">
        <v>5000</v>
      </c>
      <c r="F61" s="613">
        <v>200000</v>
      </c>
      <c r="G61" s="610" t="s">
        <v>5015</v>
      </c>
      <c r="H61" s="610" t="str">
        <f t="shared" si="0"/>
        <v>'MALACATE', '3', '5000', '200000');</v>
      </c>
      <c r="I61" s="610" t="str">
        <f t="shared" si="1"/>
        <v>INSERT INTO equipos_2 (NOMBRE, ID_TIPO_EQUIPO, TARIFA_DIA, VALOR) VALUE ('MALACATE', '3', '5000', '200000');</v>
      </c>
    </row>
    <row r="62" spans="1:9">
      <c r="A62" s="612">
        <f t="shared" si="2"/>
        <v>61</v>
      </c>
      <c r="B62" s="614" t="s">
        <v>4131</v>
      </c>
      <c r="C62" s="614">
        <v>2</v>
      </c>
      <c r="D62" s="611" t="s">
        <v>3899</v>
      </c>
      <c r="E62" s="613">
        <v>50</v>
      </c>
      <c r="F62" s="613">
        <v>2000</v>
      </c>
      <c r="G62" s="610" t="s">
        <v>5015</v>
      </c>
      <c r="H62" s="610" t="str">
        <f t="shared" si="0"/>
        <v>'MANILA DE 1/2" X 20 MTS', '2', '50', '2000');</v>
      </c>
      <c r="I62" s="610" t="str">
        <f t="shared" si="1"/>
        <v>INSERT INTO equipos_2 (NOMBRE, ID_TIPO_EQUIPO, TARIFA_DIA, VALOR) VALUE ('MANILA DE 1/2" X 20 MTS', '2', '50', '2000');</v>
      </c>
    </row>
    <row r="63" spans="1:9">
      <c r="A63" s="612">
        <f t="shared" si="2"/>
        <v>62</v>
      </c>
      <c r="B63" s="614" t="s">
        <v>3920</v>
      </c>
      <c r="C63" s="614">
        <v>2</v>
      </c>
      <c r="D63" s="611" t="s">
        <v>3899</v>
      </c>
      <c r="E63" s="613">
        <v>45000</v>
      </c>
      <c r="F63" s="613">
        <v>1800000</v>
      </c>
      <c r="G63" s="610" t="s">
        <v>5015</v>
      </c>
      <c r="H63" s="610" t="str">
        <f t="shared" si="0"/>
        <v>'MAQUINA SOLDAR', '2', '45000', '1800000');</v>
      </c>
      <c r="I63" s="610" t="str">
        <f t="shared" si="1"/>
        <v>INSERT INTO equipos_2 (NOMBRE, ID_TIPO_EQUIPO, TARIFA_DIA, VALOR) VALUE ('MAQUINA SOLDAR', '2', '45000', '1800000');</v>
      </c>
    </row>
    <row r="64" spans="1:9">
      <c r="A64" s="612">
        <f t="shared" si="2"/>
        <v>63</v>
      </c>
      <c r="B64" s="614" t="s">
        <v>3906</v>
      </c>
      <c r="C64" s="614">
        <v>2</v>
      </c>
      <c r="D64" s="611" t="s">
        <v>3899</v>
      </c>
      <c r="E64" s="613">
        <v>497.5</v>
      </c>
      <c r="F64" s="613">
        <v>19900</v>
      </c>
      <c r="G64" s="610" t="s">
        <v>5015</v>
      </c>
      <c r="H64" s="610" t="str">
        <f t="shared" si="0"/>
        <v>'MARTILLO', '2', '498', '19900');</v>
      </c>
      <c r="I64" s="610" t="str">
        <f t="shared" si="1"/>
        <v>INSERT INTO equipos_2 (NOMBRE, ID_TIPO_EQUIPO, TARIFA_DIA, VALOR) VALUE ('MARTILLO', '2', '498', '19900');</v>
      </c>
    </row>
    <row r="65" spans="1:9">
      <c r="A65" s="612">
        <f t="shared" si="2"/>
        <v>64</v>
      </c>
      <c r="B65" s="614" t="s">
        <v>4143</v>
      </c>
      <c r="C65" s="614">
        <v>2</v>
      </c>
      <c r="D65" s="611" t="s">
        <v>3899</v>
      </c>
      <c r="E65" s="613">
        <v>130000</v>
      </c>
      <c r="F65" s="613">
        <v>5200000</v>
      </c>
      <c r="G65" s="610" t="s">
        <v>5015</v>
      </c>
      <c r="H65" s="610" t="str">
        <f t="shared" si="0"/>
        <v>'MARTILLO DEMOLEDOR ELECTRICO', '2', '130000', '5200000');</v>
      </c>
      <c r="I65" s="610" t="str">
        <f t="shared" si="1"/>
        <v>INSERT INTO equipos_2 (NOMBRE, ID_TIPO_EQUIPO, TARIFA_DIA, VALOR) VALUE ('MARTILLO DEMOLEDOR ELECTRICO', '2', '130000', '5200000');</v>
      </c>
    </row>
    <row r="66" spans="1:9">
      <c r="A66" s="612">
        <f t="shared" si="2"/>
        <v>65</v>
      </c>
      <c r="B66" s="614" t="s">
        <v>3944</v>
      </c>
      <c r="C66" s="614">
        <v>1</v>
      </c>
      <c r="D66" s="611" t="s">
        <v>3907</v>
      </c>
      <c r="E66" s="613">
        <v>56250</v>
      </c>
      <c r="F66" s="613">
        <v>2250000</v>
      </c>
      <c r="G66" s="610" t="s">
        <v>5015</v>
      </c>
      <c r="H66" s="610" t="str">
        <f t="shared" si="0"/>
        <v>'MEGGER AISLAMIENTO', '1', '56250', '2250000');</v>
      </c>
      <c r="I66" s="610" t="str">
        <f t="shared" si="1"/>
        <v>INSERT INTO equipos_2 (NOMBRE, ID_TIPO_EQUIPO, TARIFA_DIA, VALOR) VALUE ('MEGGER AISLAMIENTO', '1', '56250', '2250000');</v>
      </c>
    </row>
    <row r="67" spans="1:9">
      <c r="A67" s="612">
        <f t="shared" si="2"/>
        <v>66</v>
      </c>
      <c r="B67" s="614" t="s">
        <v>3932</v>
      </c>
      <c r="C67" s="614">
        <v>2</v>
      </c>
      <c r="D67" s="611" t="s">
        <v>3899</v>
      </c>
      <c r="E67" s="613">
        <v>497.5</v>
      </c>
      <c r="F67" s="613">
        <v>19900</v>
      </c>
      <c r="G67" s="610" t="s">
        <v>5015</v>
      </c>
      <c r="H67" s="610" t="str">
        <f t="shared" ref="H67:H103" si="3">"'"&amp;TRIM(UPPER(B67))&amp;"', '"&amp;TRIM(C67)&amp;"', '"&amp;TRIM(ROUND(E67,0))&amp;"', '"&amp;TRIM(ROUND(F67,0))&amp;"');"</f>
        <v>'METRO', '2', '498', '19900');</v>
      </c>
      <c r="I67" s="610" t="str">
        <f t="shared" ref="I67:I103" si="4">CONCATENATE(G67,H67)</f>
        <v>INSERT INTO equipos_2 (NOMBRE, ID_TIPO_EQUIPO, TARIFA_DIA, VALOR) VALUE ('METRO', '2', '498', '19900');</v>
      </c>
    </row>
    <row r="68" spans="1:9">
      <c r="A68" s="612">
        <f t="shared" ref="A68:A103" si="5">A67+1</f>
        <v>67</v>
      </c>
      <c r="B68" s="614" t="s">
        <v>4140</v>
      </c>
      <c r="C68" s="614">
        <v>1</v>
      </c>
      <c r="D68" s="611" t="s">
        <v>3907</v>
      </c>
      <c r="E68" s="613">
        <v>75000</v>
      </c>
      <c r="F68" s="613">
        <v>0</v>
      </c>
      <c r="G68" s="610" t="s">
        <v>5015</v>
      </c>
      <c r="H68" s="610" t="str">
        <f t="shared" si="3"/>
        <v>'MEZCLADORA DE CONCRETO DE 2 BULTOS', '1', '75000', '0');</v>
      </c>
      <c r="I68" s="610" t="str">
        <f t="shared" si="4"/>
        <v>INSERT INTO equipos_2 (NOMBRE, ID_TIPO_EQUIPO, TARIFA_DIA, VALOR) VALUE ('MEZCLADORA DE CONCRETO DE 2 BULTOS', '1', '75000', '0');</v>
      </c>
    </row>
    <row r="69" spans="1:9">
      <c r="A69" s="612">
        <f t="shared" si="5"/>
        <v>68</v>
      </c>
      <c r="B69" s="614" t="s">
        <v>3950</v>
      </c>
      <c r="C69" s="614">
        <v>1</v>
      </c>
      <c r="D69" s="611" t="s">
        <v>3907</v>
      </c>
      <c r="E69" s="613">
        <v>7080</v>
      </c>
      <c r="F69" s="613">
        <v>283200</v>
      </c>
      <c r="G69" s="610" t="s">
        <v>5015</v>
      </c>
      <c r="H69" s="610" t="str">
        <f t="shared" si="3"/>
        <v>'MOLDE CADWELD', '1', '7080', '283200');</v>
      </c>
      <c r="I69" s="610" t="str">
        <f t="shared" si="4"/>
        <v>INSERT INTO equipos_2 (NOMBRE, ID_TIPO_EQUIPO, TARIFA_DIA, VALOR) VALUE ('MOLDE CADWELD', '1', '7080', '283200');</v>
      </c>
    </row>
    <row r="70" spans="1:9">
      <c r="A70" s="612">
        <f t="shared" si="5"/>
        <v>69</v>
      </c>
      <c r="B70" s="614" t="s">
        <v>4137</v>
      </c>
      <c r="C70" s="614">
        <v>2</v>
      </c>
      <c r="D70" s="611" t="s">
        <v>3899</v>
      </c>
      <c r="E70" s="613">
        <v>1697.5</v>
      </c>
      <c r="F70" s="613">
        <v>67900</v>
      </c>
      <c r="G70" s="610" t="s">
        <v>5015</v>
      </c>
      <c r="H70" s="610" t="str">
        <f t="shared" si="3"/>
        <v>'MONA 18 LB', '2', '1698', '67900');</v>
      </c>
      <c r="I70" s="610" t="str">
        <f t="shared" si="4"/>
        <v>INSERT INTO equipos_2 (NOMBRE, ID_TIPO_EQUIPO, TARIFA_DIA, VALOR) VALUE ('MONA 18 LB', '2', '1698', '67900');</v>
      </c>
    </row>
    <row r="71" spans="1:9">
      <c r="A71" s="612">
        <f t="shared" si="5"/>
        <v>70</v>
      </c>
      <c r="B71" s="614" t="s">
        <v>4136</v>
      </c>
      <c r="C71" s="614">
        <v>2</v>
      </c>
      <c r="D71" s="611" t="s">
        <v>3899</v>
      </c>
      <c r="E71" s="613">
        <v>722</v>
      </c>
      <c r="F71" s="613">
        <v>0</v>
      </c>
      <c r="G71" s="610" t="s">
        <v>5015</v>
      </c>
      <c r="H71" s="610" t="str">
        <f t="shared" si="3"/>
        <v>'MONA 4 LB', '2', '722', '0');</v>
      </c>
      <c r="I71" s="610" t="str">
        <f t="shared" si="4"/>
        <v>INSERT INTO equipos_2 (NOMBRE, ID_TIPO_EQUIPO, TARIFA_DIA, VALOR) VALUE ('MONA 4 LB', '2', '722', '0');</v>
      </c>
    </row>
    <row r="72" spans="1:9">
      <c r="A72" s="612">
        <f t="shared" si="5"/>
        <v>71</v>
      </c>
      <c r="B72" s="614" t="s">
        <v>4154</v>
      </c>
      <c r="C72" s="614">
        <v>2</v>
      </c>
      <c r="D72" s="611" t="s">
        <v>3899</v>
      </c>
      <c r="E72" s="613">
        <v>55000</v>
      </c>
      <c r="F72" s="613">
        <v>2200000</v>
      </c>
      <c r="G72" s="610" t="s">
        <v>5015</v>
      </c>
      <c r="H72" s="610" t="str">
        <f t="shared" si="3"/>
        <v>'MOTOBOMBA', '2', '55000', '2200000');</v>
      </c>
      <c r="I72" s="610" t="str">
        <f t="shared" si="4"/>
        <v>INSERT INTO equipos_2 (NOMBRE, ID_TIPO_EQUIPO, TARIFA_DIA, VALOR) VALUE ('MOTOBOMBA', '2', '55000', '2200000');</v>
      </c>
    </row>
    <row r="73" spans="1:9">
      <c r="A73" s="612">
        <f t="shared" si="5"/>
        <v>72</v>
      </c>
      <c r="B73" s="614" t="s">
        <v>3921</v>
      </c>
      <c r="C73" s="614">
        <v>2</v>
      </c>
      <c r="D73" s="611" t="s">
        <v>3899</v>
      </c>
      <c r="E73" s="613">
        <v>222.5</v>
      </c>
      <c r="F73" s="613">
        <v>8900</v>
      </c>
      <c r="G73" s="610" t="s">
        <v>5015</v>
      </c>
      <c r="H73" s="610" t="str">
        <f t="shared" si="3"/>
        <v>'NAVAJA', '2', '223', '8900');</v>
      </c>
      <c r="I73" s="610" t="str">
        <f t="shared" si="4"/>
        <v>INSERT INTO equipos_2 (NOMBRE, ID_TIPO_EQUIPO, TARIFA_DIA, VALOR) VALUE ('NAVAJA', '2', '223', '8900');</v>
      </c>
    </row>
    <row r="74" spans="1:9">
      <c r="A74" s="612">
        <f t="shared" si="5"/>
        <v>73</v>
      </c>
      <c r="B74" s="614" t="s">
        <v>3917</v>
      </c>
      <c r="C74" s="614">
        <v>2</v>
      </c>
      <c r="D74" s="611" t="s">
        <v>3899</v>
      </c>
      <c r="E74" s="613">
        <v>347.5</v>
      </c>
      <c r="F74" s="613">
        <v>13900</v>
      </c>
      <c r="G74" s="610" t="s">
        <v>5015</v>
      </c>
      <c r="H74" s="610" t="str">
        <f t="shared" si="3"/>
        <v>'NIVEL', '2', '348', '13900');</v>
      </c>
      <c r="I74" s="610" t="str">
        <f t="shared" si="4"/>
        <v>INSERT INTO equipos_2 (NOMBRE, ID_TIPO_EQUIPO, TARIFA_DIA, VALOR) VALUE ('NIVEL', '2', '348', '13900');</v>
      </c>
    </row>
    <row r="75" spans="1:9">
      <c r="A75" s="612">
        <f t="shared" si="5"/>
        <v>74</v>
      </c>
      <c r="B75" s="614" t="s">
        <v>5023</v>
      </c>
      <c r="C75" s="614">
        <v>2</v>
      </c>
      <c r="D75" s="611" t="s">
        <v>3899</v>
      </c>
      <c r="E75" s="613">
        <v>4504</v>
      </c>
      <c r="F75" s="613">
        <v>180160</v>
      </c>
      <c r="G75" s="610" t="s">
        <v>5015</v>
      </c>
      <c r="H75" s="610" t="str">
        <f t="shared" si="3"/>
        <v>'ODOMETRO', '2', '4504', '180160');</v>
      </c>
      <c r="I75" s="610" t="str">
        <f t="shared" si="4"/>
        <v>INSERT INTO equipos_2 (NOMBRE, ID_TIPO_EQUIPO, TARIFA_DIA, VALOR) VALUE ('ODOMETRO', '2', '4504', '180160');</v>
      </c>
    </row>
    <row r="76" spans="1:9">
      <c r="A76" s="612">
        <f t="shared" si="5"/>
        <v>75</v>
      </c>
      <c r="B76" s="617" t="s">
        <v>4196</v>
      </c>
      <c r="C76" s="614">
        <v>1</v>
      </c>
      <c r="D76" s="611" t="s">
        <v>3907</v>
      </c>
      <c r="E76" s="613">
        <v>76666.666666666672</v>
      </c>
      <c r="F76" s="613">
        <v>3066666.6666666665</v>
      </c>
      <c r="G76" s="610" t="s">
        <v>5015</v>
      </c>
      <c r="H76" s="610" t="str">
        <f t="shared" si="3"/>
        <v>'OTDR (INCLUYE VFL, MEDIDOR POTENCIA Y BOBINA LANZAMIENTO)', '1', '76667', '3066667');</v>
      </c>
      <c r="I76" s="610" t="str">
        <f t="shared" si="4"/>
        <v>INSERT INTO equipos_2 (NOMBRE, ID_TIPO_EQUIPO, TARIFA_DIA, VALOR) VALUE ('OTDR (INCLUYE VFL, MEDIDOR POTENCIA Y BOBINA LANZAMIENTO)', '1', '76667', '3066667');</v>
      </c>
    </row>
    <row r="77" spans="1:9">
      <c r="A77" s="612">
        <f t="shared" si="5"/>
        <v>76</v>
      </c>
      <c r="B77" s="614" t="s">
        <v>4106</v>
      </c>
      <c r="C77" s="614">
        <v>2</v>
      </c>
      <c r="D77" s="611" t="s">
        <v>3899</v>
      </c>
      <c r="E77" s="613">
        <v>1003.375</v>
      </c>
      <c r="F77" s="613">
        <v>40135</v>
      </c>
      <c r="G77" s="610" t="s">
        <v>5015</v>
      </c>
      <c r="H77" s="610" t="str">
        <f t="shared" si="3"/>
        <v>'OVEROL ENTERIZO MANGA LARGA', '2', '1003', '40135');</v>
      </c>
      <c r="I77" s="610" t="str">
        <f t="shared" si="4"/>
        <v>INSERT INTO equipos_2 (NOMBRE, ID_TIPO_EQUIPO, TARIFA_DIA, VALOR) VALUE ('OVEROL ENTERIZO MANGA LARGA', '2', '1003', '40135');</v>
      </c>
    </row>
    <row r="78" spans="1:9">
      <c r="A78" s="612">
        <f t="shared" si="5"/>
        <v>77</v>
      </c>
      <c r="B78" s="614" t="s">
        <v>3927</v>
      </c>
      <c r="C78" s="614">
        <v>2</v>
      </c>
      <c r="D78" s="611" t="s">
        <v>3899</v>
      </c>
      <c r="E78" s="613">
        <v>287.5</v>
      </c>
      <c r="F78" s="613">
        <v>11500</v>
      </c>
      <c r="G78" s="610" t="s">
        <v>5015</v>
      </c>
      <c r="H78" s="610" t="str">
        <f t="shared" si="3"/>
        <v>'PALA', '2', '288', '11500');</v>
      </c>
      <c r="I78" s="610" t="str">
        <f t="shared" si="4"/>
        <v>INSERT INTO equipos_2 (NOMBRE, ID_TIPO_EQUIPO, TARIFA_DIA, VALOR) VALUE ('PALA', '2', '288', '11500');</v>
      </c>
    </row>
    <row r="79" spans="1:9">
      <c r="A79" s="612">
        <f t="shared" si="5"/>
        <v>78</v>
      </c>
      <c r="B79" s="614" t="s">
        <v>4146</v>
      </c>
      <c r="C79" s="614">
        <v>2</v>
      </c>
      <c r="D79" s="611" t="s">
        <v>3899</v>
      </c>
      <c r="E79" s="613">
        <v>1000</v>
      </c>
      <c r="F79" s="613">
        <v>40000</v>
      </c>
      <c r="G79" s="610" t="s">
        <v>5015</v>
      </c>
      <c r="H79" s="610" t="str">
        <f t="shared" si="3"/>
        <v>'PALADRAGA', '2', '1000', '40000');</v>
      </c>
      <c r="I79" s="610" t="str">
        <f t="shared" si="4"/>
        <v>INSERT INTO equipos_2 (NOMBRE, ID_TIPO_EQUIPO, TARIFA_DIA, VALOR) VALUE ('PALADRAGA', '2', '1000', '40000');</v>
      </c>
    </row>
    <row r="80" spans="1:9">
      <c r="A80" s="612">
        <f t="shared" si="5"/>
        <v>79</v>
      </c>
      <c r="B80" s="614" t="s">
        <v>4138</v>
      </c>
      <c r="C80" s="614">
        <v>2</v>
      </c>
      <c r="D80" s="611" t="s">
        <v>3899</v>
      </c>
      <c r="E80" s="613">
        <v>272.5</v>
      </c>
      <c r="F80" s="613">
        <v>10900</v>
      </c>
      <c r="G80" s="610" t="s">
        <v>5015</v>
      </c>
      <c r="H80" s="610" t="str">
        <f t="shared" si="3"/>
        <v>'PALUSTRE', '2', '273', '10900');</v>
      </c>
      <c r="I80" s="610" t="str">
        <f t="shared" si="4"/>
        <v>INSERT INTO equipos_2 (NOMBRE, ID_TIPO_EQUIPO, TARIFA_DIA, VALOR) VALUE ('PALUSTRE', '2', '273', '10900');</v>
      </c>
    </row>
    <row r="81" spans="1:9">
      <c r="A81" s="612">
        <f t="shared" si="5"/>
        <v>80</v>
      </c>
      <c r="B81" s="614" t="s">
        <v>3923</v>
      </c>
      <c r="C81" s="614">
        <v>1</v>
      </c>
      <c r="D81" s="611" t="s">
        <v>3907</v>
      </c>
      <c r="E81" s="613">
        <v>42500</v>
      </c>
      <c r="F81" s="613">
        <v>1700000</v>
      </c>
      <c r="G81" s="610" t="s">
        <v>5015</v>
      </c>
      <c r="H81" s="610" t="str">
        <f t="shared" si="3"/>
        <v>'PERTIGA', '1', '42500', '1700000');</v>
      </c>
      <c r="I81" s="610" t="str">
        <f t="shared" si="4"/>
        <v>INSERT INTO equipos_2 (NOMBRE, ID_TIPO_EQUIPO, TARIFA_DIA, VALOR) VALUE ('PERTIGA', '1', '42500', '1700000');</v>
      </c>
    </row>
    <row r="82" spans="1:9">
      <c r="A82" s="612">
        <f t="shared" si="5"/>
        <v>81</v>
      </c>
      <c r="B82" s="614" t="s">
        <v>3926</v>
      </c>
      <c r="C82" s="614">
        <v>2</v>
      </c>
      <c r="D82" s="611" t="s">
        <v>3899</v>
      </c>
      <c r="E82" s="613">
        <v>522.5</v>
      </c>
      <c r="F82" s="613">
        <v>20900</v>
      </c>
      <c r="G82" s="610" t="s">
        <v>5015</v>
      </c>
      <c r="H82" s="610" t="str">
        <f t="shared" si="3"/>
        <v>'PICO', '2', '523', '20900');</v>
      </c>
      <c r="I82" s="610" t="str">
        <f t="shared" si="4"/>
        <v>INSERT INTO equipos_2 (NOMBRE, ID_TIPO_EQUIPO, TARIFA_DIA, VALOR) VALUE ('PICO', '2', '523', '20900');</v>
      </c>
    </row>
    <row r="83" spans="1:9">
      <c r="A83" s="612">
        <f t="shared" si="5"/>
        <v>82</v>
      </c>
      <c r="B83" s="614" t="s">
        <v>3908</v>
      </c>
      <c r="C83" s="614">
        <v>1</v>
      </c>
      <c r="D83" s="611" t="s">
        <v>3907</v>
      </c>
      <c r="E83" s="613">
        <v>4320</v>
      </c>
      <c r="F83" s="613">
        <v>172800</v>
      </c>
      <c r="G83" s="610" t="s">
        <v>5015</v>
      </c>
      <c r="H83" s="610" t="str">
        <f t="shared" si="3"/>
        <v>'PINZA PARA MOLDE', '1', '4320', '172800');</v>
      </c>
      <c r="I83" s="610" t="str">
        <f t="shared" si="4"/>
        <v>INSERT INTO equipos_2 (NOMBRE, ID_TIPO_EQUIPO, TARIFA_DIA, VALOR) VALUE ('PINZA PARA MOLDE', '1', '4320', '172800');</v>
      </c>
    </row>
    <row r="84" spans="1:9">
      <c r="A84" s="612">
        <f t="shared" si="5"/>
        <v>83</v>
      </c>
      <c r="B84" s="614" t="s">
        <v>3909</v>
      </c>
      <c r="C84" s="614">
        <v>1</v>
      </c>
      <c r="D84" s="611" t="s">
        <v>3907</v>
      </c>
      <c r="E84" s="613">
        <v>5000</v>
      </c>
      <c r="F84" s="613">
        <v>200000</v>
      </c>
      <c r="G84" s="610" t="s">
        <v>5015</v>
      </c>
      <c r="H84" s="610" t="str">
        <f t="shared" si="3"/>
        <v>'PINZA VOLTIAMPERIMETRICA', '1', '5000', '200000');</v>
      </c>
      <c r="I84" s="610" t="str">
        <f t="shared" si="4"/>
        <v>INSERT INTO equipos_2 (NOMBRE, ID_TIPO_EQUIPO, TARIFA_DIA, VALOR) VALUE ('PINZA VOLTIAMPERIMETRICA', '1', '5000', '200000');</v>
      </c>
    </row>
    <row r="85" spans="1:9">
      <c r="A85" s="612">
        <f t="shared" si="5"/>
        <v>84</v>
      </c>
      <c r="B85" s="614" t="s">
        <v>4147</v>
      </c>
      <c r="C85" s="614">
        <v>2</v>
      </c>
      <c r="D85" s="611" t="s">
        <v>3899</v>
      </c>
      <c r="E85" s="613">
        <v>1625</v>
      </c>
      <c r="F85" s="613">
        <v>0</v>
      </c>
      <c r="G85" s="610" t="s">
        <v>5015</v>
      </c>
      <c r="H85" s="610" t="str">
        <f t="shared" si="3"/>
        <v>'PIZON', '2', '1625', '0');</v>
      </c>
      <c r="I85" s="610" t="str">
        <f t="shared" si="4"/>
        <v>INSERT INTO equipos_2 (NOMBRE, ID_TIPO_EQUIPO, TARIFA_DIA, VALOR) VALUE ('PIZON', '2', '1625', '0');</v>
      </c>
    </row>
    <row r="86" spans="1:9">
      <c r="A86" s="612">
        <f t="shared" si="5"/>
        <v>85</v>
      </c>
      <c r="B86" s="614" t="s">
        <v>4142</v>
      </c>
      <c r="C86" s="614">
        <v>2</v>
      </c>
      <c r="D86" s="611" t="s">
        <v>3899</v>
      </c>
      <c r="E86" s="613">
        <v>75000</v>
      </c>
      <c r="F86" s="613">
        <v>0</v>
      </c>
      <c r="G86" s="610" t="s">
        <v>5015</v>
      </c>
      <c r="H86" s="610" t="str">
        <f t="shared" si="3"/>
        <v>'PLANTA ELECTRICA', '2', '75000', '0');</v>
      </c>
      <c r="I86" s="610" t="str">
        <f t="shared" si="4"/>
        <v>INSERT INTO equipos_2 (NOMBRE, ID_TIPO_EQUIPO, TARIFA_DIA, VALOR) VALUE ('PLANTA ELECTRICA', '2', '75000', '0');</v>
      </c>
    </row>
    <row r="87" spans="1:9">
      <c r="A87" s="612">
        <f t="shared" si="5"/>
        <v>86</v>
      </c>
      <c r="B87" s="614" t="s">
        <v>3910</v>
      </c>
      <c r="C87" s="614">
        <v>1</v>
      </c>
      <c r="D87" s="611" t="s">
        <v>3907</v>
      </c>
      <c r="E87" s="613">
        <v>12000</v>
      </c>
      <c r="F87" s="613">
        <v>480000</v>
      </c>
      <c r="G87" s="610" t="s">
        <v>5015</v>
      </c>
      <c r="H87" s="610" t="str">
        <f t="shared" si="3"/>
        <v>'PONCHADORA', '1', '12000', '480000');</v>
      </c>
      <c r="I87" s="610" t="str">
        <f t="shared" si="4"/>
        <v>INSERT INTO equipos_2 (NOMBRE, ID_TIPO_EQUIPO, TARIFA_DIA, VALOR) VALUE ('PONCHADORA', '1', '12000', '480000');</v>
      </c>
    </row>
    <row r="88" spans="1:9">
      <c r="A88" s="612">
        <f t="shared" si="5"/>
        <v>87</v>
      </c>
      <c r="B88" s="614" t="s">
        <v>3911</v>
      </c>
      <c r="C88" s="614">
        <v>3</v>
      </c>
      <c r="D88" s="611" t="s">
        <v>3901</v>
      </c>
      <c r="E88" s="613">
        <v>8500</v>
      </c>
      <c r="F88" s="613">
        <v>340000</v>
      </c>
      <c r="G88" s="610" t="s">
        <v>5015</v>
      </c>
      <c r="H88" s="610" t="str">
        <f t="shared" si="3"/>
        <v>'PRETALES', '3', '8500', '340000');</v>
      </c>
      <c r="I88" s="610" t="str">
        <f t="shared" si="4"/>
        <v>INSERT INTO equipos_2 (NOMBRE, ID_TIPO_EQUIPO, TARIFA_DIA, VALOR) VALUE ('PRETALES', '3', '8500', '340000');</v>
      </c>
    </row>
    <row r="89" spans="1:9">
      <c r="A89" s="612">
        <f t="shared" si="5"/>
        <v>88</v>
      </c>
      <c r="B89" s="614" t="s">
        <v>3912</v>
      </c>
      <c r="C89" s="614">
        <v>2</v>
      </c>
      <c r="D89" s="611" t="s">
        <v>3899</v>
      </c>
      <c r="E89" s="613">
        <v>5000</v>
      </c>
      <c r="F89" s="613">
        <v>200000</v>
      </c>
      <c r="G89" s="610" t="s">
        <v>5015</v>
      </c>
      <c r="H89" s="610" t="str">
        <f t="shared" si="3"/>
        <v>'PULIDORA', '2', '5000', '200000');</v>
      </c>
      <c r="I89" s="610" t="str">
        <f t="shared" si="4"/>
        <v>INSERT INTO equipos_2 (NOMBRE, ID_TIPO_EQUIPO, TARIFA_DIA, VALOR) VALUE ('PULIDORA', '2', '5000', '200000');</v>
      </c>
    </row>
    <row r="90" spans="1:9">
      <c r="A90" s="612">
        <f t="shared" si="5"/>
        <v>89</v>
      </c>
      <c r="B90" s="614" t="s">
        <v>3922</v>
      </c>
      <c r="C90" s="614">
        <v>2</v>
      </c>
      <c r="D90" s="611" t="s">
        <v>3899</v>
      </c>
      <c r="E90" s="613">
        <v>1622.5</v>
      </c>
      <c r="F90" s="613">
        <v>64900</v>
      </c>
      <c r="G90" s="610" t="s">
        <v>5015</v>
      </c>
      <c r="H90" s="610" t="str">
        <f t="shared" si="3"/>
        <v>'REMACHADORA', '2', '1623', '64900');</v>
      </c>
      <c r="I90" s="610" t="str">
        <f t="shared" si="4"/>
        <v>INSERT INTO equipos_2 (NOMBRE, ID_TIPO_EQUIPO, TARIFA_DIA, VALOR) VALUE ('REMACHADORA', '2', '1623', '64900');</v>
      </c>
    </row>
    <row r="91" spans="1:9">
      <c r="A91" s="612">
        <f t="shared" si="5"/>
        <v>90</v>
      </c>
      <c r="B91" s="614" t="s">
        <v>3897</v>
      </c>
      <c r="C91" s="614">
        <v>4</v>
      </c>
      <c r="D91" s="611" t="s">
        <v>4101</v>
      </c>
      <c r="E91" s="613">
        <v>788800</v>
      </c>
      <c r="F91" s="613">
        <v>0</v>
      </c>
      <c r="G91" s="610" t="s">
        <v>5015</v>
      </c>
      <c r="H91" s="610" t="str">
        <f t="shared" si="3"/>
        <v>'RETROCARGADOR', '4', '788800', '0');</v>
      </c>
      <c r="I91" s="610" t="str">
        <f t="shared" si="4"/>
        <v>INSERT INTO equipos_2 (NOMBRE, ID_TIPO_EQUIPO, TARIFA_DIA, VALOR) VALUE ('RETROCARGADOR', '4', '788800', '0');</v>
      </c>
    </row>
    <row r="92" spans="1:9">
      <c r="A92" s="612">
        <f t="shared" si="5"/>
        <v>91</v>
      </c>
      <c r="B92" s="614" t="s">
        <v>4107</v>
      </c>
      <c r="C92" s="614">
        <v>2</v>
      </c>
      <c r="D92" s="611" t="s">
        <v>3899</v>
      </c>
      <c r="E92" s="613">
        <v>233.44999999999996</v>
      </c>
      <c r="F92" s="613">
        <v>9337.9999999999982</v>
      </c>
      <c r="G92" s="610" t="s">
        <v>5015</v>
      </c>
      <c r="H92" s="610" t="str">
        <f t="shared" si="3"/>
        <v>'RODILLO PROFESIONAL', '2', '233', '9338');</v>
      </c>
      <c r="I92" s="610" t="str">
        <f t="shared" si="4"/>
        <v>INSERT INTO equipos_2 (NOMBRE, ID_TIPO_EQUIPO, TARIFA_DIA, VALOR) VALUE ('RODILLO PROFESIONAL', '2', '233', '9338');</v>
      </c>
    </row>
    <row r="93" spans="1:9">
      <c r="A93" s="612">
        <f t="shared" si="5"/>
        <v>92</v>
      </c>
      <c r="B93" s="614" t="s">
        <v>3913</v>
      </c>
      <c r="C93" s="614">
        <v>2</v>
      </c>
      <c r="D93" s="611" t="s">
        <v>3899</v>
      </c>
      <c r="E93" s="613">
        <v>16250</v>
      </c>
      <c r="F93" s="613">
        <v>650000</v>
      </c>
      <c r="G93" s="610" t="s">
        <v>5015</v>
      </c>
      <c r="H93" s="610" t="str">
        <f t="shared" si="3"/>
        <v>'SACABOCADO HIDRAULICO', '2', '16250', '650000');</v>
      </c>
      <c r="I93" s="610" t="str">
        <f t="shared" si="4"/>
        <v>INSERT INTO equipos_2 (NOMBRE, ID_TIPO_EQUIPO, TARIFA_DIA, VALOR) VALUE ('SACABOCADO HIDRAULICO', '2', '16250', '650000');</v>
      </c>
    </row>
    <row r="94" spans="1:9">
      <c r="A94" s="612">
        <f t="shared" si="5"/>
        <v>93</v>
      </c>
      <c r="B94" s="614" t="s">
        <v>4156</v>
      </c>
      <c r="C94" s="614">
        <v>1</v>
      </c>
      <c r="D94" s="611" t="s">
        <v>3907</v>
      </c>
      <c r="E94" s="613">
        <v>3256.125</v>
      </c>
      <c r="F94" s="613">
        <v>130245</v>
      </c>
      <c r="G94" s="610" t="s">
        <v>5015</v>
      </c>
      <c r="H94" s="610" t="str">
        <f t="shared" si="3"/>
        <v>'SONDA ELECTRICA 30MTS', '1', '3256', '130245');</v>
      </c>
      <c r="I94" s="610" t="str">
        <f t="shared" si="4"/>
        <v>INSERT INTO equipos_2 (NOMBRE, ID_TIPO_EQUIPO, TARIFA_DIA, VALOR) VALUE ('SONDA ELECTRICA 30MTS', '1', '3256', '130245');</v>
      </c>
    </row>
    <row r="95" spans="1:9">
      <c r="A95" s="612">
        <f t="shared" si="5"/>
        <v>94</v>
      </c>
      <c r="B95" s="614" t="s">
        <v>4155</v>
      </c>
      <c r="C95" s="614">
        <v>2</v>
      </c>
      <c r="D95" s="611" t="s">
        <v>3899</v>
      </c>
      <c r="E95" s="613">
        <v>70000</v>
      </c>
      <c r="F95" s="613">
        <v>2800000</v>
      </c>
      <c r="G95" s="610" t="s">
        <v>5015</v>
      </c>
      <c r="H95" s="610" t="str">
        <f t="shared" si="3"/>
        <v>'SONDA PESADA 200 MTS', '2', '70000', '2800000');</v>
      </c>
      <c r="I95" s="610" t="str">
        <f t="shared" si="4"/>
        <v>INSERT INTO equipos_2 (NOMBRE, ID_TIPO_EQUIPO, TARIFA_DIA, VALOR) VALUE ('SONDA PESADA 200 MTS', '2', '70000', '2800000');</v>
      </c>
    </row>
    <row r="96" spans="1:9">
      <c r="A96" s="612">
        <f t="shared" si="5"/>
        <v>95</v>
      </c>
      <c r="B96" s="614" t="s">
        <v>4132</v>
      </c>
      <c r="C96" s="614">
        <v>2</v>
      </c>
      <c r="D96" s="611" t="s">
        <v>3899</v>
      </c>
      <c r="E96" s="613">
        <v>750</v>
      </c>
      <c r="F96" s="613">
        <v>30000</v>
      </c>
      <c r="G96" s="610" t="s">
        <v>5015</v>
      </c>
      <c r="H96" s="610" t="str">
        <f t="shared" si="3"/>
        <v>'TABLON', '2', '750', '30000');</v>
      </c>
      <c r="I96" s="610" t="str">
        <f t="shared" si="4"/>
        <v>INSERT INTO equipos_2 (NOMBRE, ID_TIPO_EQUIPO, TARIFA_DIA, VALOR) VALUE ('TABLON', '2', '750', '30000');</v>
      </c>
    </row>
    <row r="97" spans="1:9">
      <c r="A97" s="612">
        <f t="shared" si="5"/>
        <v>96</v>
      </c>
      <c r="B97" s="614" t="s">
        <v>3914</v>
      </c>
      <c r="C97" s="614">
        <v>2</v>
      </c>
      <c r="D97" s="611" t="s">
        <v>3899</v>
      </c>
      <c r="E97" s="613">
        <v>6250</v>
      </c>
      <c r="F97" s="613">
        <v>250000</v>
      </c>
      <c r="G97" s="610" t="s">
        <v>5015</v>
      </c>
      <c r="H97" s="610" t="str">
        <f t="shared" si="3"/>
        <v>'TALADRO', '2', '6250', '250000');</v>
      </c>
      <c r="I97" s="610" t="str">
        <f t="shared" si="4"/>
        <v>INSERT INTO equipos_2 (NOMBRE, ID_TIPO_EQUIPO, TARIFA_DIA, VALOR) VALUE ('TALADRO', '2', '6250', '250000');</v>
      </c>
    </row>
    <row r="98" spans="1:9">
      <c r="A98" s="612">
        <f t="shared" si="5"/>
        <v>97</v>
      </c>
      <c r="B98" s="614" t="s">
        <v>3941</v>
      </c>
      <c r="C98" s="614">
        <v>2</v>
      </c>
      <c r="D98" s="611" t="s">
        <v>3899</v>
      </c>
      <c r="E98" s="613">
        <v>12500</v>
      </c>
      <c r="F98" s="613">
        <v>500000</v>
      </c>
      <c r="G98" s="610" t="s">
        <v>5015</v>
      </c>
      <c r="H98" s="610" t="str">
        <f t="shared" si="3"/>
        <v>'TALADRO PERCUTOR', '2', '12500', '500000');</v>
      </c>
      <c r="I98" s="610" t="str">
        <f t="shared" si="4"/>
        <v>INSERT INTO equipos_2 (NOMBRE, ID_TIPO_EQUIPO, TARIFA_DIA, VALOR) VALUE ('TALADRO PERCUTOR', '2', '12500', '500000');</v>
      </c>
    </row>
    <row r="99" spans="1:9">
      <c r="A99" s="612">
        <f t="shared" si="5"/>
        <v>98</v>
      </c>
      <c r="B99" s="614" t="s">
        <v>3918</v>
      </c>
      <c r="C99" s="614">
        <v>2</v>
      </c>
      <c r="D99" s="611" t="s">
        <v>3899</v>
      </c>
      <c r="E99" s="613">
        <v>21375</v>
      </c>
      <c r="F99" s="613">
        <v>855000</v>
      </c>
      <c r="G99" s="610" t="s">
        <v>5015</v>
      </c>
      <c r="H99" s="610" t="str">
        <f t="shared" si="3"/>
        <v>'TRIPODE', '2', '21375', '855000');</v>
      </c>
      <c r="I99" s="610" t="str">
        <f t="shared" si="4"/>
        <v>INSERT INTO equipos_2 (NOMBRE, ID_TIPO_EQUIPO, TARIFA_DIA, VALOR) VALUE ('TRIPODE', '2', '21375', '855000');</v>
      </c>
    </row>
    <row r="100" spans="1:9">
      <c r="A100" s="612">
        <f t="shared" si="5"/>
        <v>99</v>
      </c>
      <c r="B100" s="614" t="s">
        <v>4149</v>
      </c>
      <c r="C100" s="614">
        <v>2</v>
      </c>
      <c r="D100" s="611" t="s">
        <v>3899</v>
      </c>
      <c r="E100" s="613">
        <v>20000</v>
      </c>
      <c r="F100" s="613">
        <v>0</v>
      </c>
      <c r="G100" s="610" t="s">
        <v>5015</v>
      </c>
      <c r="H100" s="610" t="str">
        <f t="shared" si="3"/>
        <v>'TROZADORA DE METAL', '2', '20000', '0');</v>
      </c>
      <c r="I100" s="610" t="str">
        <f t="shared" si="4"/>
        <v>INSERT INTO equipos_2 (NOMBRE, ID_TIPO_EQUIPO, TARIFA_DIA, VALOR) VALUE ('TROZADORA DE METAL', '2', '20000', '0');</v>
      </c>
    </row>
    <row r="101" spans="1:9">
      <c r="A101" s="612">
        <f t="shared" si="5"/>
        <v>100</v>
      </c>
      <c r="B101" s="614" t="s">
        <v>4145</v>
      </c>
      <c r="C101" s="614">
        <v>2</v>
      </c>
      <c r="D101" s="611" t="s">
        <v>3899</v>
      </c>
      <c r="E101" s="613">
        <v>68000</v>
      </c>
      <c r="F101" s="613">
        <v>0</v>
      </c>
      <c r="G101" s="610" t="s">
        <v>5015</v>
      </c>
      <c r="H101" s="610" t="str">
        <f t="shared" si="3"/>
        <v>'VIBROCOMPACTADOR TIPO CANGURO', '2', '68000', '0');</v>
      </c>
      <c r="I101" s="610" t="str">
        <f t="shared" si="4"/>
        <v>INSERT INTO equipos_2 (NOMBRE, ID_TIPO_EQUIPO, TARIFA_DIA, VALOR) VALUE ('VIBROCOMPACTADOR TIPO CANGURO', '2', '68000', '0');</v>
      </c>
    </row>
    <row r="102" spans="1:9">
      <c r="A102" s="612">
        <f t="shared" si="5"/>
        <v>101</v>
      </c>
      <c r="B102" s="614" t="s">
        <v>3896</v>
      </c>
      <c r="C102" s="614">
        <v>4</v>
      </c>
      <c r="D102" s="611" t="s">
        <v>4101</v>
      </c>
      <c r="E102" s="613">
        <v>300000</v>
      </c>
      <c r="F102" s="613">
        <v>0</v>
      </c>
      <c r="G102" s="610" t="s">
        <v>5015</v>
      </c>
      <c r="H102" s="610" t="str">
        <f t="shared" si="3"/>
        <v>'VOLQUETA', '4', '300000', '0');</v>
      </c>
      <c r="I102" s="610" t="str">
        <f t="shared" si="4"/>
        <v>INSERT INTO equipos_2 (NOMBRE, ID_TIPO_EQUIPO, TARIFA_DIA, VALOR) VALUE ('VOLQUETA', '4', '300000', '0');</v>
      </c>
    </row>
    <row r="103" spans="1:9">
      <c r="A103" s="612">
        <f t="shared" si="5"/>
        <v>102</v>
      </c>
      <c r="B103" s="614" t="s">
        <v>3919</v>
      </c>
      <c r="C103" s="614">
        <v>1</v>
      </c>
      <c r="D103" s="611" t="s">
        <v>3907</v>
      </c>
      <c r="E103" s="613">
        <v>7837.5</v>
      </c>
      <c r="F103" s="613">
        <v>313500</v>
      </c>
      <c r="G103" s="610" t="s">
        <v>5015</v>
      </c>
      <c r="H103" s="610" t="str">
        <f t="shared" si="3"/>
        <v>'ZUNCHADORA', '1', '7838', '313500');</v>
      </c>
      <c r="I103" s="610" t="str">
        <f t="shared" si="4"/>
        <v>INSERT INTO equipos_2 (NOMBRE, ID_TIPO_EQUIPO, TARIFA_DIA, VALOR) VALUE ('ZUNCHADORA', '1', '7838', '313500');</v>
      </c>
    </row>
  </sheetData>
  <autoFilter ref="A1:I103" xr:uid="{00000000-0001-0000-0600-000000000000}"/>
  <sortState xmlns:xlrd2="http://schemas.microsoft.com/office/spreadsheetml/2017/richdata2" ref="B2:G103">
    <sortCondition ref="B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I80"/>
  <sheetViews>
    <sheetView zoomScale="77" zoomScaleNormal="77" workbookViewId="0">
      <pane xSplit="1" ySplit="14" topLeftCell="B15" activePane="bottomRight" state="frozen"/>
      <selection activeCell="A1696" sqref="A1696:G1696"/>
      <selection pane="topRight" activeCell="A1696" sqref="A1696:G1696"/>
      <selection pane="bottomLeft" activeCell="A1696" sqref="A1696:G1696"/>
      <selection pane="bottomRight" activeCell="A1696" sqref="A1696:G1696"/>
    </sheetView>
  </sheetViews>
  <sheetFormatPr baseColWidth="10" defaultRowHeight="14.4"/>
  <cols>
    <col min="1" max="1" width="38.33203125" customWidth="1"/>
    <col min="2" max="2" width="55.33203125" customWidth="1"/>
    <col min="3" max="3" width="33.33203125" customWidth="1"/>
    <col min="4" max="4" width="8.44140625" customWidth="1"/>
    <col min="5" max="5" width="22.6640625" customWidth="1"/>
    <col min="6" max="6" width="24.44140625" customWidth="1"/>
    <col min="7" max="7" width="43.6640625" customWidth="1"/>
    <col min="9" max="9" width="3.44140625" customWidth="1"/>
  </cols>
  <sheetData>
    <row r="1" spans="1:9" ht="15" thickBot="1">
      <c r="A1" s="558" t="s">
        <v>4239</v>
      </c>
      <c r="B1" s="559"/>
      <c r="C1" s="219" t="s">
        <v>4240</v>
      </c>
      <c r="D1" s="219"/>
      <c r="E1" s="219" t="s">
        <v>4241</v>
      </c>
      <c r="F1" s="219" t="s">
        <v>4242</v>
      </c>
      <c r="G1" s="219" t="s">
        <v>4243</v>
      </c>
    </row>
    <row r="2" spans="1:9">
      <c r="A2" s="219" t="s">
        <v>4244</v>
      </c>
      <c r="B2" s="220"/>
      <c r="C2" s="221" t="s">
        <v>4245</v>
      </c>
      <c r="D2" s="221"/>
      <c r="E2" s="222">
        <f>+G24</f>
        <v>55405.21</v>
      </c>
      <c r="F2" s="222">
        <f>+E2/30</f>
        <v>1846.8403333333333</v>
      </c>
      <c r="G2" s="223">
        <f>+E2*B12</f>
        <v>387836.47</v>
      </c>
    </row>
    <row r="3" spans="1:9">
      <c r="A3" s="221" t="s">
        <v>4246</v>
      </c>
      <c r="B3" s="224"/>
      <c r="C3" s="221" t="s">
        <v>4247</v>
      </c>
      <c r="D3" s="221"/>
      <c r="E3" s="222">
        <f>+G36</f>
        <v>0</v>
      </c>
      <c r="F3" s="222">
        <f t="shared" ref="F3:F10" si="0">+E3/30</f>
        <v>0</v>
      </c>
      <c r="G3" s="223">
        <f>+E3/B12</f>
        <v>0</v>
      </c>
    </row>
    <row r="4" spans="1:9">
      <c r="A4" s="221" t="s">
        <v>4248</v>
      </c>
      <c r="B4" s="224"/>
      <c r="C4" s="221" t="s">
        <v>4249</v>
      </c>
      <c r="D4" s="221"/>
      <c r="E4" s="222">
        <f>+G43</f>
        <v>80126.666666666672</v>
      </c>
      <c r="F4" s="222">
        <f t="shared" si="0"/>
        <v>2670.8888888888891</v>
      </c>
      <c r="G4" s="223">
        <f>+E4*B12</f>
        <v>560886.66666666674</v>
      </c>
    </row>
    <row r="5" spans="1:9">
      <c r="A5" s="221" t="s">
        <v>4250</v>
      </c>
      <c r="B5" s="224"/>
      <c r="C5" s="221" t="s">
        <v>4251</v>
      </c>
      <c r="D5" s="221"/>
      <c r="E5" s="222">
        <f>+G50</f>
        <v>19337.5</v>
      </c>
      <c r="F5" s="222">
        <f t="shared" si="0"/>
        <v>644.58333333333337</v>
      </c>
      <c r="G5" s="225">
        <f>+E5/B12</f>
        <v>2762.5</v>
      </c>
    </row>
    <row r="6" spans="1:9">
      <c r="A6" s="221" t="s">
        <v>4252</v>
      </c>
      <c r="B6" s="224"/>
      <c r="C6" s="221" t="s">
        <v>4253</v>
      </c>
      <c r="D6" s="221"/>
      <c r="E6" s="222">
        <f>+G55</f>
        <v>0</v>
      </c>
      <c r="F6" s="222">
        <f t="shared" si="0"/>
        <v>0</v>
      </c>
      <c r="G6" s="223">
        <f>+E6/B12</f>
        <v>0</v>
      </c>
    </row>
    <row r="7" spans="1:9">
      <c r="A7" s="221" t="s">
        <v>4254</v>
      </c>
      <c r="B7" s="224"/>
      <c r="C7" s="221" t="s">
        <v>4255</v>
      </c>
      <c r="D7" s="221"/>
      <c r="E7" s="222">
        <f>+G61</f>
        <v>65629.491666666669</v>
      </c>
      <c r="F7" s="222">
        <f t="shared" si="0"/>
        <v>2187.6497222222224</v>
      </c>
      <c r="G7" s="223">
        <f>+E7/B12</f>
        <v>9375.6416666666664</v>
      </c>
    </row>
    <row r="8" spans="1:9">
      <c r="A8" s="221" t="s">
        <v>4256</v>
      </c>
      <c r="B8" s="226">
        <f>+G12</f>
        <v>2927208.8350000004</v>
      </c>
      <c r="C8" s="221" t="s">
        <v>4257</v>
      </c>
      <c r="D8" s="221"/>
      <c r="E8" s="222">
        <f>+G66</f>
        <v>0</v>
      </c>
      <c r="F8" s="222">
        <f t="shared" si="0"/>
        <v>0</v>
      </c>
      <c r="G8" s="225">
        <f>+E8/B12</f>
        <v>0</v>
      </c>
    </row>
    <row r="9" spans="1:9">
      <c r="A9" s="221" t="s">
        <v>4258</v>
      </c>
      <c r="B9" s="227"/>
      <c r="C9" s="221" t="s">
        <v>4259</v>
      </c>
      <c r="D9" s="221"/>
      <c r="E9" s="222">
        <f>+G71</f>
        <v>0</v>
      </c>
      <c r="F9" s="222">
        <f t="shared" si="0"/>
        <v>0</v>
      </c>
      <c r="G9" s="223">
        <f>+E9/B12</f>
        <v>0</v>
      </c>
    </row>
    <row r="10" spans="1:9">
      <c r="A10" s="221" t="s">
        <v>4260</v>
      </c>
      <c r="B10" s="227"/>
      <c r="C10" s="221" t="s">
        <v>4261</v>
      </c>
      <c r="D10" s="221"/>
      <c r="E10" s="222">
        <f>+G78</f>
        <v>104125</v>
      </c>
      <c r="F10" s="222">
        <f t="shared" si="0"/>
        <v>3470.8333333333335</v>
      </c>
      <c r="G10" s="223">
        <f>+E10/B12</f>
        <v>14875</v>
      </c>
    </row>
    <row r="11" spans="1:9" ht="15" thickBot="1">
      <c r="A11" s="221" t="s">
        <v>4262</v>
      </c>
      <c r="B11" s="227"/>
      <c r="C11" s="228" t="s">
        <v>4263</v>
      </c>
      <c r="D11" s="228"/>
      <c r="E11" s="229">
        <f>+G80</f>
        <v>324623.86833333335</v>
      </c>
      <c r="F11" s="229">
        <f>SUM(F2:F10)</f>
        <v>10820.795611111111</v>
      </c>
      <c r="G11" s="230">
        <f>SUM(G2:G10)</f>
        <v>975736.27833333344</v>
      </c>
    </row>
    <row r="12" spans="1:9" ht="18">
      <c r="A12" s="221" t="s">
        <v>4264</v>
      </c>
      <c r="B12" s="231">
        <v>7</v>
      </c>
      <c r="C12" s="560" t="s">
        <v>4265</v>
      </c>
      <c r="D12" s="561"/>
      <c r="E12" s="561"/>
      <c r="F12" s="562"/>
      <c r="G12" s="566">
        <f>+G11*B13</f>
        <v>2927208.8350000004</v>
      </c>
    </row>
    <row r="13" spans="1:9" ht="18.600000000000001" thickBot="1">
      <c r="A13" s="228" t="s">
        <v>4266</v>
      </c>
      <c r="B13" s="232">
        <v>3</v>
      </c>
      <c r="C13" s="563"/>
      <c r="D13" s="564"/>
      <c r="E13" s="564"/>
      <c r="F13" s="565"/>
      <c r="G13" s="567"/>
    </row>
    <row r="14" spans="1:9" ht="30" customHeight="1" thickBot="1">
      <c r="A14" s="233" t="s">
        <v>4212</v>
      </c>
      <c r="B14" s="233" t="s">
        <v>4267</v>
      </c>
      <c r="C14" s="233" t="s">
        <v>4268</v>
      </c>
      <c r="D14" s="233"/>
      <c r="E14" s="233" t="s">
        <v>4097</v>
      </c>
      <c r="F14" s="233" t="s">
        <v>4269</v>
      </c>
      <c r="G14" s="233" t="s">
        <v>4270</v>
      </c>
    </row>
    <row r="16" spans="1:9">
      <c r="A16" s="556" t="s">
        <v>4271</v>
      </c>
      <c r="B16" s="234" t="s">
        <v>4272</v>
      </c>
      <c r="C16" s="235" t="s">
        <v>4273</v>
      </c>
      <c r="D16" s="235" t="s">
        <v>4274</v>
      </c>
      <c r="E16" s="236">
        <f t="shared" ref="E16:E23" si="1">IF((ISBLANK(D16)),0,I16)</f>
        <v>15708</v>
      </c>
      <c r="F16" s="237">
        <f>+E16*1.19</f>
        <v>18692.52</v>
      </c>
      <c r="G16" s="237">
        <f>+F16/12</f>
        <v>1557.71</v>
      </c>
      <c r="I16" s="238">
        <v>15708</v>
      </c>
    </row>
    <row r="17" spans="1:9">
      <c r="A17" s="556"/>
      <c r="B17" s="1" t="s">
        <v>4275</v>
      </c>
      <c r="C17" s="239">
        <v>2</v>
      </c>
      <c r="D17" s="239" t="s">
        <v>4274</v>
      </c>
      <c r="E17" s="236">
        <f t="shared" si="1"/>
        <v>4500</v>
      </c>
      <c r="F17" s="240">
        <f t="shared" ref="F17:F24" si="2">+E17*1.19</f>
        <v>5355</v>
      </c>
      <c r="G17" s="240">
        <f>+F17*C17</f>
        <v>10710</v>
      </c>
      <c r="I17" s="238">
        <v>4500</v>
      </c>
    </row>
    <row r="18" spans="1:9">
      <c r="A18" s="556"/>
      <c r="B18" s="1" t="s">
        <v>4276</v>
      </c>
      <c r="C18" s="239">
        <v>2</v>
      </c>
      <c r="D18" s="239" t="s">
        <v>4274</v>
      </c>
      <c r="E18" s="236">
        <f t="shared" si="1"/>
        <v>4500</v>
      </c>
      <c r="F18" s="240">
        <f t="shared" si="2"/>
        <v>5355</v>
      </c>
      <c r="G18" s="240">
        <f t="shared" ref="G18:G20" si="3">+F18*C18</f>
        <v>10710</v>
      </c>
      <c r="I18" s="238">
        <v>4500</v>
      </c>
    </row>
    <row r="19" spans="1:9">
      <c r="A19" s="556"/>
      <c r="B19" s="1" t="s">
        <v>4277</v>
      </c>
      <c r="C19" s="239">
        <v>1</v>
      </c>
      <c r="D19" s="239" t="s">
        <v>4274</v>
      </c>
      <c r="E19" s="236">
        <f t="shared" si="1"/>
        <v>2000</v>
      </c>
      <c r="F19" s="240">
        <f t="shared" si="2"/>
        <v>2380</v>
      </c>
      <c r="G19" s="240">
        <f t="shared" si="3"/>
        <v>2380</v>
      </c>
      <c r="I19" s="238">
        <v>2000</v>
      </c>
    </row>
    <row r="20" spans="1:9">
      <c r="A20" s="556"/>
      <c r="B20" s="1" t="s">
        <v>4278</v>
      </c>
      <c r="C20" s="239">
        <v>5</v>
      </c>
      <c r="D20" s="239" t="s">
        <v>4274</v>
      </c>
      <c r="E20" s="236">
        <f t="shared" si="1"/>
        <v>1150</v>
      </c>
      <c r="F20" s="240">
        <f t="shared" si="2"/>
        <v>1368.5</v>
      </c>
      <c r="G20" s="240">
        <f t="shared" si="3"/>
        <v>6842.5</v>
      </c>
      <c r="I20" s="238">
        <v>1150</v>
      </c>
    </row>
    <row r="21" spans="1:9">
      <c r="A21" s="556"/>
      <c r="B21" s="234" t="s">
        <v>4279</v>
      </c>
      <c r="C21" s="235" t="s">
        <v>4280</v>
      </c>
      <c r="D21" s="235"/>
      <c r="E21" s="236">
        <f t="shared" si="1"/>
        <v>0</v>
      </c>
      <c r="F21" s="237">
        <f t="shared" si="2"/>
        <v>0</v>
      </c>
      <c r="G21" s="237">
        <f>+F21/3</f>
        <v>0</v>
      </c>
      <c r="I21" s="238">
        <v>7200</v>
      </c>
    </row>
    <row r="22" spans="1:9">
      <c r="A22" s="556"/>
      <c r="B22" s="1" t="s">
        <v>4281</v>
      </c>
      <c r="C22" s="239">
        <v>2</v>
      </c>
      <c r="D22" s="239" t="s">
        <v>4274</v>
      </c>
      <c r="E22" s="236">
        <f t="shared" si="1"/>
        <v>6000</v>
      </c>
      <c r="F22" s="240">
        <f t="shared" si="2"/>
        <v>7140</v>
      </c>
      <c r="G22" s="240">
        <f>+F22*C22</f>
        <v>14280</v>
      </c>
      <c r="I22" s="238">
        <v>6000</v>
      </c>
    </row>
    <row r="23" spans="1:9">
      <c r="A23" s="556"/>
      <c r="B23" s="1" t="s">
        <v>4282</v>
      </c>
      <c r="C23" s="239">
        <v>1</v>
      </c>
      <c r="D23" s="239" t="s">
        <v>4274</v>
      </c>
      <c r="E23" s="236">
        <f t="shared" si="1"/>
        <v>7500</v>
      </c>
      <c r="F23" s="240">
        <f t="shared" si="2"/>
        <v>8925</v>
      </c>
      <c r="G23" s="240">
        <f>+F23*C23</f>
        <v>8925</v>
      </c>
      <c r="I23" s="238">
        <v>7500</v>
      </c>
    </row>
    <row r="24" spans="1:9">
      <c r="A24" s="556"/>
      <c r="B24" s="557" t="s">
        <v>4283</v>
      </c>
      <c r="C24" s="557"/>
      <c r="D24" s="241"/>
      <c r="E24" s="242">
        <f>SUM(E16:E23)</f>
        <v>41358</v>
      </c>
      <c r="F24" s="242">
        <f t="shared" si="2"/>
        <v>49216.02</v>
      </c>
      <c r="G24" s="243">
        <f>SUM(G16:G23)</f>
        <v>55405.21</v>
      </c>
      <c r="I24" s="238">
        <v>48558</v>
      </c>
    </row>
    <row r="25" spans="1:9">
      <c r="C25" s="244"/>
      <c r="D25" s="244"/>
      <c r="E25" s="176"/>
      <c r="F25" s="176"/>
      <c r="G25" s="176"/>
      <c r="I25" s="238"/>
    </row>
    <row r="26" spans="1:9">
      <c r="A26" s="556" t="s">
        <v>4284</v>
      </c>
      <c r="B26" s="245" t="s">
        <v>4285</v>
      </c>
      <c r="C26" s="246" t="s">
        <v>4273</v>
      </c>
      <c r="D26" s="246"/>
      <c r="E26" s="236">
        <f t="shared" ref="E26:E35" si="4">IF((ISBLANK(D26)),0,I26)</f>
        <v>0</v>
      </c>
      <c r="F26" s="247">
        <f>+E26*1.19</f>
        <v>0</v>
      </c>
      <c r="G26" s="240">
        <f>+F26/12</f>
        <v>0</v>
      </c>
      <c r="I26" s="238">
        <v>34000</v>
      </c>
    </row>
    <row r="27" spans="1:9">
      <c r="A27" s="556"/>
      <c r="B27" s="248" t="s">
        <v>4286</v>
      </c>
      <c r="C27" s="239">
        <v>2</v>
      </c>
      <c r="D27" s="239"/>
      <c r="E27" s="236">
        <f t="shared" si="4"/>
        <v>0</v>
      </c>
      <c r="F27" s="240">
        <f t="shared" ref="F27:F36" si="5">+E27*1.19</f>
        <v>0</v>
      </c>
      <c r="G27" s="240">
        <f>+F27*C27</f>
        <v>0</v>
      </c>
      <c r="I27" s="238">
        <v>26000</v>
      </c>
    </row>
    <row r="28" spans="1:9">
      <c r="A28" s="556"/>
      <c r="B28" s="245" t="s">
        <v>4287</v>
      </c>
      <c r="C28" s="246" t="s">
        <v>4288</v>
      </c>
      <c r="D28" s="246"/>
      <c r="E28" s="236">
        <f t="shared" si="4"/>
        <v>0</v>
      </c>
      <c r="F28" s="247">
        <f t="shared" si="5"/>
        <v>0</v>
      </c>
      <c r="G28" s="240">
        <f>+F28/2</f>
        <v>0</v>
      </c>
      <c r="I28" s="238">
        <v>6500</v>
      </c>
    </row>
    <row r="29" spans="1:9">
      <c r="A29" s="556"/>
      <c r="B29" s="245" t="s">
        <v>4289</v>
      </c>
      <c r="C29" s="246" t="s">
        <v>4280</v>
      </c>
      <c r="D29" s="246"/>
      <c r="E29" s="236">
        <f t="shared" si="4"/>
        <v>0</v>
      </c>
      <c r="F29" s="247">
        <f t="shared" si="5"/>
        <v>0</v>
      </c>
      <c r="G29" s="240">
        <f>+F29/3</f>
        <v>0</v>
      </c>
      <c r="I29" s="238">
        <v>20196</v>
      </c>
    </row>
    <row r="30" spans="1:9">
      <c r="A30" s="556"/>
      <c r="B30" s="245" t="s">
        <v>4290</v>
      </c>
      <c r="C30" s="246" t="s">
        <v>4273</v>
      </c>
      <c r="D30" s="246"/>
      <c r="E30" s="236">
        <f t="shared" si="4"/>
        <v>0</v>
      </c>
      <c r="F30" s="247">
        <f t="shared" si="5"/>
        <v>0</v>
      </c>
      <c r="G30" s="240">
        <f>+F30/12</f>
        <v>0</v>
      </c>
      <c r="I30" s="238">
        <v>23000</v>
      </c>
    </row>
    <row r="31" spans="1:9">
      <c r="A31" s="556"/>
      <c r="B31" s="245" t="s">
        <v>4291</v>
      </c>
      <c r="C31" s="246" t="s">
        <v>4273</v>
      </c>
      <c r="D31" s="246"/>
      <c r="E31" s="236">
        <f t="shared" si="4"/>
        <v>0</v>
      </c>
      <c r="F31" s="247">
        <f t="shared" si="5"/>
        <v>0</v>
      </c>
      <c r="G31" s="240">
        <f>+F31/12</f>
        <v>0</v>
      </c>
      <c r="I31" s="238">
        <v>15000</v>
      </c>
    </row>
    <row r="32" spans="1:9">
      <c r="A32" s="556"/>
      <c r="B32" s="245" t="s">
        <v>4292</v>
      </c>
      <c r="C32" s="246" t="s">
        <v>4273</v>
      </c>
      <c r="D32" s="246"/>
      <c r="E32" s="236">
        <f t="shared" si="4"/>
        <v>0</v>
      </c>
      <c r="F32" s="247">
        <f t="shared" si="5"/>
        <v>0</v>
      </c>
      <c r="G32" s="240">
        <f>+F32/12</f>
        <v>0</v>
      </c>
      <c r="I32" s="238">
        <v>50490</v>
      </c>
    </row>
    <row r="33" spans="1:9">
      <c r="A33" s="556"/>
      <c r="B33" s="245" t="s">
        <v>4293</v>
      </c>
      <c r="C33" s="246" t="s">
        <v>4294</v>
      </c>
      <c r="D33" s="249"/>
      <c r="E33" s="236">
        <f t="shared" si="4"/>
        <v>0</v>
      </c>
      <c r="F33" s="250">
        <f t="shared" si="5"/>
        <v>0</v>
      </c>
      <c r="G33" s="251">
        <f>+F33/6</f>
        <v>0</v>
      </c>
      <c r="I33" s="238">
        <v>17952</v>
      </c>
    </row>
    <row r="34" spans="1:9">
      <c r="A34" s="556"/>
      <c r="B34" s="245" t="s">
        <v>4295</v>
      </c>
      <c r="C34" s="246" t="s">
        <v>4273</v>
      </c>
      <c r="D34" s="249"/>
      <c r="E34" s="236">
        <f t="shared" si="4"/>
        <v>0</v>
      </c>
      <c r="F34" s="250">
        <f t="shared" si="5"/>
        <v>0</v>
      </c>
      <c r="G34" s="251">
        <f>+F34/12</f>
        <v>0</v>
      </c>
      <c r="I34" s="238">
        <v>18513</v>
      </c>
    </row>
    <row r="35" spans="1:9">
      <c r="A35" s="556"/>
      <c r="B35" s="245" t="s">
        <v>4296</v>
      </c>
      <c r="C35" s="246" t="s">
        <v>4273</v>
      </c>
      <c r="D35" s="249"/>
      <c r="E35" s="236">
        <f t="shared" si="4"/>
        <v>0</v>
      </c>
      <c r="F35" s="250">
        <f t="shared" si="5"/>
        <v>0</v>
      </c>
      <c r="G35" s="251">
        <f>+F35/12</f>
        <v>0</v>
      </c>
      <c r="I35" s="238">
        <v>40000</v>
      </c>
    </row>
    <row r="36" spans="1:9">
      <c r="A36" s="556"/>
      <c r="B36" s="557" t="s">
        <v>4297</v>
      </c>
      <c r="C36" s="557"/>
      <c r="D36" s="241"/>
      <c r="E36" s="242">
        <f>SUM(E26:E35)</f>
        <v>0</v>
      </c>
      <c r="F36" s="242">
        <f t="shared" si="5"/>
        <v>0</v>
      </c>
      <c r="G36" s="243">
        <f>SUM(G26:G33)</f>
        <v>0</v>
      </c>
      <c r="I36" s="238">
        <v>251651</v>
      </c>
    </row>
    <row r="37" spans="1:9">
      <c r="C37" s="244"/>
      <c r="D37" s="244"/>
      <c r="E37" s="176"/>
      <c r="F37" s="176"/>
      <c r="G37" s="176"/>
      <c r="I37" s="238"/>
    </row>
    <row r="38" spans="1:9">
      <c r="A38" s="568" t="s">
        <v>4298</v>
      </c>
      <c r="B38" s="252" t="s">
        <v>4299</v>
      </c>
      <c r="C38" s="246" t="s">
        <v>4300</v>
      </c>
      <c r="D38" s="246" t="s">
        <v>4274</v>
      </c>
      <c r="E38" s="236">
        <f>IF((ISBLANK(D38)),0,I38)</f>
        <v>28000</v>
      </c>
      <c r="F38" s="247">
        <f>+E38*1.19</f>
        <v>33320</v>
      </c>
      <c r="G38" s="240">
        <f>+F38/3</f>
        <v>11106.666666666666</v>
      </c>
      <c r="I38" s="238">
        <v>28000</v>
      </c>
    </row>
    <row r="39" spans="1:9">
      <c r="A39" s="569"/>
      <c r="B39" s="252" t="s">
        <v>4301</v>
      </c>
      <c r="C39" s="246" t="s">
        <v>4300</v>
      </c>
      <c r="D39" s="246" t="s">
        <v>4274</v>
      </c>
      <c r="E39" s="236">
        <f>IF((ISBLANK(D39)),0,I39)</f>
        <v>32000</v>
      </c>
      <c r="F39" s="247">
        <f>+E39*1.19</f>
        <v>38080</v>
      </c>
      <c r="G39" s="240">
        <f>+F39/3</f>
        <v>12693.333333333334</v>
      </c>
      <c r="I39" s="238">
        <v>32000</v>
      </c>
    </row>
    <row r="40" spans="1:9">
      <c r="A40" s="569"/>
      <c r="B40" s="252" t="s">
        <v>4302</v>
      </c>
      <c r="C40" s="246" t="s">
        <v>4300</v>
      </c>
      <c r="D40" s="246" t="s">
        <v>4274</v>
      </c>
      <c r="E40" s="236">
        <f>IF((ISBLANK(D40)),0,I40)</f>
        <v>26000</v>
      </c>
      <c r="F40" s="247">
        <f t="shared" ref="F40:F42" si="6">+E40*1.19</f>
        <v>30940</v>
      </c>
      <c r="G40" s="240">
        <f t="shared" ref="G40:G42" si="7">+F40/3</f>
        <v>10313.333333333334</v>
      </c>
      <c r="I40" s="238">
        <v>26000</v>
      </c>
    </row>
    <row r="41" spans="1:9">
      <c r="A41" s="569"/>
      <c r="B41" s="252" t="s">
        <v>4303</v>
      </c>
      <c r="C41" s="246" t="s">
        <v>4300</v>
      </c>
      <c r="D41" s="246" t="s">
        <v>4274</v>
      </c>
      <c r="E41" s="236">
        <f>IF((ISBLANK(D41)),0,I41)</f>
        <v>26000</v>
      </c>
      <c r="F41" s="247">
        <f t="shared" si="6"/>
        <v>30940</v>
      </c>
      <c r="G41" s="240">
        <f t="shared" si="7"/>
        <v>10313.333333333334</v>
      </c>
      <c r="I41" s="238">
        <v>26000</v>
      </c>
    </row>
    <row r="42" spans="1:9">
      <c r="A42" s="569"/>
      <c r="B42" s="252" t="s">
        <v>4304</v>
      </c>
      <c r="C42" s="246" t="s">
        <v>4305</v>
      </c>
      <c r="D42" s="246" t="s">
        <v>4274</v>
      </c>
      <c r="E42" s="236">
        <f>IF((ISBLANK(D42)),0,I42)</f>
        <v>90000</v>
      </c>
      <c r="F42" s="247">
        <f t="shared" si="6"/>
        <v>107100</v>
      </c>
      <c r="G42" s="240">
        <f t="shared" si="7"/>
        <v>35700</v>
      </c>
      <c r="I42" s="238">
        <v>90000</v>
      </c>
    </row>
    <row r="43" spans="1:9">
      <c r="A43" s="570"/>
      <c r="B43" s="571" t="s">
        <v>4306</v>
      </c>
      <c r="C43" s="572"/>
      <c r="D43" s="253"/>
      <c r="E43" s="242">
        <f>SUM(E38:E42)</f>
        <v>202000</v>
      </c>
      <c r="F43" s="242">
        <f>SUM(F38:F42)</f>
        <v>240380</v>
      </c>
      <c r="G43" s="243">
        <f>SUM(G38:G42)</f>
        <v>80126.666666666672</v>
      </c>
      <c r="I43" s="238">
        <v>202000</v>
      </c>
    </row>
    <row r="44" spans="1:9">
      <c r="A44" s="1"/>
      <c r="B44" s="1"/>
      <c r="C44" s="239"/>
      <c r="D44" s="239"/>
      <c r="E44" s="254"/>
      <c r="F44" s="254"/>
      <c r="G44" s="240"/>
      <c r="I44" s="238"/>
    </row>
    <row r="45" spans="1:9">
      <c r="A45" s="568" t="s">
        <v>4307</v>
      </c>
      <c r="B45" s="252" t="s">
        <v>4308</v>
      </c>
      <c r="C45" s="246" t="s">
        <v>4309</v>
      </c>
      <c r="D45" s="246" t="s">
        <v>4274</v>
      </c>
      <c r="E45" s="236">
        <f>IF((ISBLANK(D45)),0,I45)</f>
        <v>140000</v>
      </c>
      <c r="F45" s="247">
        <f>+E45*1.19</f>
        <v>166600</v>
      </c>
      <c r="G45" s="240">
        <f>+F45/12</f>
        <v>13883.333333333334</v>
      </c>
      <c r="I45" s="238">
        <v>140000</v>
      </c>
    </row>
    <row r="46" spans="1:9">
      <c r="A46" s="569"/>
      <c r="B46" s="255" t="s">
        <v>4310</v>
      </c>
      <c r="C46" s="256">
        <v>1</v>
      </c>
      <c r="D46" s="256"/>
      <c r="E46" s="236">
        <f>IF((ISBLANK(D46)),0,I46)</f>
        <v>0</v>
      </c>
      <c r="F46" s="257">
        <f t="shared" ref="F46:F50" si="8">+E46*1.19</f>
        <v>0</v>
      </c>
      <c r="G46" s="240">
        <f>+F46*C46</f>
        <v>0</v>
      </c>
      <c r="I46" s="238">
        <v>55000</v>
      </c>
    </row>
    <row r="47" spans="1:9">
      <c r="A47" s="569"/>
      <c r="B47" s="252" t="s">
        <v>4311</v>
      </c>
      <c r="C47" s="246" t="s">
        <v>4309</v>
      </c>
      <c r="D47" s="246" t="s">
        <v>4274</v>
      </c>
      <c r="E47" s="236">
        <f>IF((ISBLANK(D47)),0,I47)</f>
        <v>55000</v>
      </c>
      <c r="F47" s="257">
        <f t="shared" si="8"/>
        <v>65450</v>
      </c>
      <c r="G47" s="240">
        <f>+F47/12</f>
        <v>5454.166666666667</v>
      </c>
      <c r="I47" s="238">
        <v>55000</v>
      </c>
    </row>
    <row r="48" spans="1:9">
      <c r="A48" s="569"/>
      <c r="B48" s="1" t="s">
        <v>4312</v>
      </c>
      <c r="C48" s="239">
        <v>1</v>
      </c>
      <c r="D48" s="239"/>
      <c r="E48" s="236">
        <f>IF((ISBLANK(D48)),0,I48)</f>
        <v>0</v>
      </c>
      <c r="F48" s="240">
        <f t="shared" si="8"/>
        <v>0</v>
      </c>
      <c r="G48" s="240">
        <f>+F48*C48</f>
        <v>0</v>
      </c>
      <c r="I48" s="238">
        <v>30000</v>
      </c>
    </row>
    <row r="49" spans="1:9">
      <c r="A49" s="569"/>
      <c r="B49" s="1" t="s">
        <v>4313</v>
      </c>
      <c r="C49" s="239">
        <v>1</v>
      </c>
      <c r="D49" s="239"/>
      <c r="E49" s="236">
        <f>IF((ISBLANK(D49)),0,I49)</f>
        <v>0</v>
      </c>
      <c r="F49" s="240">
        <f t="shared" si="8"/>
        <v>0</v>
      </c>
      <c r="G49" s="240">
        <f>+F49*C49</f>
        <v>0</v>
      </c>
      <c r="I49" s="238">
        <v>41500</v>
      </c>
    </row>
    <row r="50" spans="1:9">
      <c r="A50" s="570"/>
      <c r="B50" s="571" t="s">
        <v>4314</v>
      </c>
      <c r="C50" s="572"/>
      <c r="D50" s="253"/>
      <c r="E50" s="242">
        <f>SUM(E45:E49)</f>
        <v>195000</v>
      </c>
      <c r="F50" s="242">
        <f t="shared" si="8"/>
        <v>232050</v>
      </c>
      <c r="G50" s="243">
        <f>SUM(G45:G49)</f>
        <v>19337.5</v>
      </c>
      <c r="I50" s="238">
        <v>321500</v>
      </c>
    </row>
    <row r="51" spans="1:9">
      <c r="A51" s="1"/>
      <c r="B51" s="1"/>
      <c r="C51" s="239"/>
      <c r="D51" s="239"/>
      <c r="E51" s="254"/>
      <c r="F51" s="254"/>
      <c r="G51" s="240"/>
      <c r="I51" s="238"/>
    </row>
    <row r="52" spans="1:9">
      <c r="A52" s="568" t="s">
        <v>4315</v>
      </c>
      <c r="B52" s="252" t="s">
        <v>4316</v>
      </c>
      <c r="C52" s="246" t="s">
        <v>4309</v>
      </c>
      <c r="D52" s="246"/>
      <c r="E52" s="236">
        <f>IF((ISBLANK(D52)),0,I52)</f>
        <v>0</v>
      </c>
      <c r="F52" s="240">
        <f>+E52*1.19</f>
        <v>0</v>
      </c>
      <c r="G52" s="240">
        <f>+F52/12</f>
        <v>0</v>
      </c>
      <c r="I52" s="238">
        <v>180000</v>
      </c>
    </row>
    <row r="53" spans="1:9">
      <c r="A53" s="569"/>
      <c r="B53" s="252" t="s">
        <v>4317</v>
      </c>
      <c r="C53" s="246" t="s">
        <v>4309</v>
      </c>
      <c r="D53" s="246"/>
      <c r="E53" s="236">
        <f>IF((ISBLANK(D53)),0,I53)</f>
        <v>0</v>
      </c>
      <c r="F53" s="240">
        <f t="shared" ref="F53:F55" si="9">+E53*1.19</f>
        <v>0</v>
      </c>
      <c r="G53" s="240">
        <f t="shared" ref="G53:G54" si="10">+F53/12</f>
        <v>0</v>
      </c>
      <c r="I53" s="238">
        <v>500000</v>
      </c>
    </row>
    <row r="54" spans="1:9">
      <c r="A54" s="569"/>
      <c r="B54" s="252" t="s">
        <v>4318</v>
      </c>
      <c r="C54" s="246" t="s">
        <v>4309</v>
      </c>
      <c r="D54" s="246"/>
      <c r="E54" s="236">
        <f>IF((ISBLANK(D54)),0,I54)</f>
        <v>0</v>
      </c>
      <c r="F54" s="240">
        <f t="shared" si="9"/>
        <v>0</v>
      </c>
      <c r="G54" s="240">
        <f t="shared" si="10"/>
        <v>0</v>
      </c>
      <c r="I54" s="238">
        <v>150000</v>
      </c>
    </row>
    <row r="55" spans="1:9">
      <c r="A55" s="570"/>
      <c r="B55" s="571" t="s">
        <v>4319</v>
      </c>
      <c r="C55" s="572"/>
      <c r="D55" s="253"/>
      <c r="E55" s="242">
        <f>SUM(E52:E54)</f>
        <v>0</v>
      </c>
      <c r="F55" s="242">
        <f t="shared" si="9"/>
        <v>0</v>
      </c>
      <c r="G55" s="243">
        <f>SUM(G52:G54)</f>
        <v>0</v>
      </c>
      <c r="I55" s="238">
        <v>830000</v>
      </c>
    </row>
    <row r="56" spans="1:9">
      <c r="A56" s="1"/>
      <c r="B56" s="1"/>
      <c r="C56" s="239"/>
      <c r="D56" s="239"/>
      <c r="E56" s="254"/>
      <c r="F56" s="254"/>
      <c r="G56" s="240"/>
      <c r="I56" s="238"/>
    </row>
    <row r="57" spans="1:9">
      <c r="A57" s="568" t="s">
        <v>4320</v>
      </c>
      <c r="B57" s="252" t="s">
        <v>4321</v>
      </c>
      <c r="C57" s="246" t="s">
        <v>4273</v>
      </c>
      <c r="D57" s="246" t="s">
        <v>4605</v>
      </c>
      <c r="E57" s="236">
        <f>IF((ISBLANK(D57)),0,I57)</f>
        <v>264000</v>
      </c>
      <c r="F57" s="240">
        <f>+E57*1.19</f>
        <v>314160</v>
      </c>
      <c r="G57" s="240">
        <f>+F57/12</f>
        <v>26180</v>
      </c>
      <c r="I57" s="238">
        <v>264000</v>
      </c>
    </row>
    <row r="58" spans="1:9">
      <c r="A58" s="569"/>
      <c r="B58" s="252" t="s">
        <v>4322</v>
      </c>
      <c r="C58" s="246" t="s">
        <v>4273</v>
      </c>
      <c r="D58" s="246" t="s">
        <v>4605</v>
      </c>
      <c r="E58" s="236">
        <f>IF((ISBLANK(D58)),0,I58)</f>
        <v>180000</v>
      </c>
      <c r="F58" s="240">
        <f t="shared" ref="F58:F61" si="11">+E58*1.19</f>
        <v>214200</v>
      </c>
      <c r="G58" s="240">
        <f t="shared" ref="G58:G60" si="12">+F58/12</f>
        <v>17850</v>
      </c>
      <c r="I58" s="238">
        <v>180000</v>
      </c>
    </row>
    <row r="59" spans="1:9">
      <c r="A59" s="569"/>
      <c r="B59" s="252" t="s">
        <v>4323</v>
      </c>
      <c r="C59" s="246" t="s">
        <v>4273</v>
      </c>
      <c r="D59" s="246" t="s">
        <v>4605</v>
      </c>
      <c r="E59" s="236">
        <f>IF((ISBLANK(D59)),0,I59)</f>
        <v>117810</v>
      </c>
      <c r="F59" s="240">
        <f t="shared" si="11"/>
        <v>140193.9</v>
      </c>
      <c r="G59" s="240">
        <f t="shared" si="12"/>
        <v>11682.824999999999</v>
      </c>
      <c r="I59" s="238">
        <v>117810</v>
      </c>
    </row>
    <row r="60" spans="1:9">
      <c r="A60" s="569"/>
      <c r="B60" s="252" t="s">
        <v>4324</v>
      </c>
      <c r="C60" s="246" t="s">
        <v>4273</v>
      </c>
      <c r="D60" s="246" t="s">
        <v>4605</v>
      </c>
      <c r="E60" s="236">
        <f>IF((ISBLANK(D60)),0,I60)</f>
        <v>100000</v>
      </c>
      <c r="F60" s="240">
        <f t="shared" si="11"/>
        <v>119000</v>
      </c>
      <c r="G60" s="240">
        <f t="shared" si="12"/>
        <v>9916.6666666666661</v>
      </c>
      <c r="I60" s="238">
        <v>100000</v>
      </c>
    </row>
    <row r="61" spans="1:9">
      <c r="A61" s="570"/>
      <c r="B61" s="571" t="s">
        <v>4325</v>
      </c>
      <c r="C61" s="572"/>
      <c r="D61" s="253"/>
      <c r="E61" s="242">
        <f>SUM(E57:E60)</f>
        <v>661810</v>
      </c>
      <c r="F61" s="242">
        <f t="shared" si="11"/>
        <v>787553.89999999991</v>
      </c>
      <c r="G61" s="243">
        <f>SUM(G57:G60)</f>
        <v>65629.491666666669</v>
      </c>
      <c r="I61" s="238">
        <v>661810</v>
      </c>
    </row>
    <row r="62" spans="1:9">
      <c r="A62" s="1"/>
      <c r="B62" s="1"/>
      <c r="C62" s="239"/>
      <c r="D62" s="239"/>
      <c r="E62" s="5"/>
      <c r="F62" s="5"/>
      <c r="G62" s="5"/>
      <c r="I62" s="238"/>
    </row>
    <row r="63" spans="1:9">
      <c r="A63" s="568" t="s">
        <v>4326</v>
      </c>
      <c r="B63" s="252" t="s">
        <v>4327</v>
      </c>
      <c r="C63" s="246" t="s">
        <v>4273</v>
      </c>
      <c r="D63" s="246"/>
      <c r="E63" s="236">
        <f>IF((ISBLANK(D63)),0,I63)</f>
        <v>0</v>
      </c>
      <c r="F63" s="240">
        <f>+E63*1.19</f>
        <v>0</v>
      </c>
      <c r="G63" s="240">
        <f>+F63/12</f>
        <v>0</v>
      </c>
      <c r="I63" s="238">
        <v>200000</v>
      </c>
    </row>
    <row r="64" spans="1:9">
      <c r="A64" s="569"/>
      <c r="B64" s="252" t="s">
        <v>4328</v>
      </c>
      <c r="C64" s="246" t="s">
        <v>4273</v>
      </c>
      <c r="D64" s="246"/>
      <c r="E64" s="236">
        <f>IF((ISBLANK(D64)),0,I64)</f>
        <v>0</v>
      </c>
      <c r="F64" s="240">
        <f>+E64*1.19</f>
        <v>0</v>
      </c>
      <c r="G64" s="240">
        <f t="shared" ref="G64:G65" si="13">+F64/12</f>
        <v>0</v>
      </c>
      <c r="I64" s="238">
        <v>20000</v>
      </c>
    </row>
    <row r="65" spans="1:9">
      <c r="A65" s="569"/>
      <c r="B65" s="252" t="s">
        <v>4329</v>
      </c>
      <c r="C65" s="246" t="s">
        <v>4273</v>
      </c>
      <c r="D65" s="246"/>
      <c r="E65" s="236">
        <f>IF((ISBLANK(D65)),0,I65)</f>
        <v>0</v>
      </c>
      <c r="F65" s="240">
        <f t="shared" ref="F65" si="14">+E65*1.19</f>
        <v>0</v>
      </c>
      <c r="G65" s="240">
        <f t="shared" si="13"/>
        <v>0</v>
      </c>
      <c r="I65" s="238">
        <v>100000</v>
      </c>
    </row>
    <row r="66" spans="1:9">
      <c r="A66" s="570"/>
      <c r="B66" s="571" t="s">
        <v>4330</v>
      </c>
      <c r="C66" s="572"/>
      <c r="D66" s="253"/>
      <c r="E66" s="242">
        <f>SUM(E63:E65)</f>
        <v>0</v>
      </c>
      <c r="F66" s="242">
        <f>SUM(F63:F65)</f>
        <v>0</v>
      </c>
      <c r="G66" s="243">
        <f>SUM(G63:G65)</f>
        <v>0</v>
      </c>
      <c r="I66" s="238">
        <v>320000</v>
      </c>
    </row>
    <row r="67" spans="1:9">
      <c r="A67" s="1"/>
      <c r="B67" s="1"/>
      <c r="C67" s="5"/>
      <c r="D67" s="5"/>
      <c r="E67" s="240"/>
      <c r="F67" s="240"/>
      <c r="G67" s="240"/>
      <c r="I67" s="238"/>
    </row>
    <row r="68" spans="1:9">
      <c r="A68" s="568" t="s">
        <v>4331</v>
      </c>
      <c r="B68" s="252" t="s">
        <v>4332</v>
      </c>
      <c r="C68" s="258" t="s">
        <v>4273</v>
      </c>
      <c r="D68" s="258"/>
      <c r="E68" s="236">
        <f>IF((ISBLANK(D68)),0,I68)</f>
        <v>0</v>
      </c>
      <c r="F68" s="240">
        <f>+E68*1.19</f>
        <v>0</v>
      </c>
      <c r="G68" s="240">
        <f>+F68/12</f>
        <v>0</v>
      </c>
      <c r="I68" s="238">
        <v>200000</v>
      </c>
    </row>
    <row r="69" spans="1:9">
      <c r="A69" s="569"/>
      <c r="B69" s="252" t="s">
        <v>4333</v>
      </c>
      <c r="C69" s="258" t="s">
        <v>4273</v>
      </c>
      <c r="D69" s="258"/>
      <c r="E69" s="236">
        <f>IF((ISBLANK(D69)),0,I69)</f>
        <v>0</v>
      </c>
      <c r="F69" s="240">
        <f t="shared" ref="F69:F71" si="15">+E69*1.19</f>
        <v>0</v>
      </c>
      <c r="G69" s="240">
        <f t="shared" ref="G69:G70" si="16">+F69/12</f>
        <v>0</v>
      </c>
      <c r="I69" s="238">
        <v>200000</v>
      </c>
    </row>
    <row r="70" spans="1:9">
      <c r="A70" s="569"/>
      <c r="B70" s="252" t="s">
        <v>4334</v>
      </c>
      <c r="C70" s="258" t="s">
        <v>4273</v>
      </c>
      <c r="D70" s="258"/>
      <c r="E70" s="236">
        <f>IF((ISBLANK(D70)),0,I70)</f>
        <v>0</v>
      </c>
      <c r="F70" s="240">
        <f t="shared" si="15"/>
        <v>0</v>
      </c>
      <c r="G70" s="240">
        <f t="shared" si="16"/>
        <v>0</v>
      </c>
      <c r="I70" s="238">
        <v>200000</v>
      </c>
    </row>
    <row r="71" spans="1:9">
      <c r="A71" s="570"/>
      <c r="B71" s="571" t="s">
        <v>4335</v>
      </c>
      <c r="C71" s="572"/>
      <c r="D71" s="253"/>
      <c r="E71" s="242">
        <f>SUM(E68:E70)</f>
        <v>0</v>
      </c>
      <c r="F71" s="242">
        <f t="shared" si="15"/>
        <v>0</v>
      </c>
      <c r="G71" s="236">
        <f>SUM(G68:G70)</f>
        <v>0</v>
      </c>
      <c r="I71" s="238">
        <v>600000</v>
      </c>
    </row>
    <row r="72" spans="1:9">
      <c r="A72" s="1"/>
      <c r="B72" s="1"/>
      <c r="C72" s="5"/>
      <c r="D72" s="5"/>
      <c r="E72" s="240"/>
      <c r="F72" s="240"/>
      <c r="G72" s="240"/>
      <c r="I72" s="238"/>
    </row>
    <row r="73" spans="1:9">
      <c r="A73" s="568" t="s">
        <v>4336</v>
      </c>
      <c r="B73" s="252" t="s">
        <v>4337</v>
      </c>
      <c r="C73" s="258" t="s">
        <v>4338</v>
      </c>
      <c r="D73" s="258" t="s">
        <v>4274</v>
      </c>
      <c r="E73" s="236">
        <f>IF((ISBLANK(D73)),0,I73)</f>
        <v>3000000</v>
      </c>
      <c r="F73" s="240">
        <f>+E73*1.19</f>
        <v>3570000</v>
      </c>
      <c r="G73" s="240">
        <f>+F73/36</f>
        <v>99166.666666666672</v>
      </c>
      <c r="I73" s="238">
        <v>3000000</v>
      </c>
    </row>
    <row r="74" spans="1:9">
      <c r="A74" s="569"/>
      <c r="B74" s="252" t="s">
        <v>4339</v>
      </c>
      <c r="C74" s="258" t="s">
        <v>4273</v>
      </c>
      <c r="D74" s="258"/>
      <c r="E74" s="236">
        <f>IF((ISBLANK(D74)),0,I74)</f>
        <v>0</v>
      </c>
      <c r="F74" s="240">
        <f t="shared" ref="F74:F77" si="17">+E74*1.19</f>
        <v>0</v>
      </c>
      <c r="G74" s="240">
        <f t="shared" ref="G74:G77" si="18">+F74/12</f>
        <v>0</v>
      </c>
      <c r="I74" s="238">
        <v>120000</v>
      </c>
    </row>
    <row r="75" spans="1:9">
      <c r="A75" s="569"/>
      <c r="B75" s="252" t="s">
        <v>4340</v>
      </c>
      <c r="C75" s="258" t="s">
        <v>4273</v>
      </c>
      <c r="D75" s="258"/>
      <c r="E75" s="236">
        <f>IF((ISBLANK(D75)),0,I75)</f>
        <v>0</v>
      </c>
      <c r="F75" s="240">
        <f t="shared" si="17"/>
        <v>0</v>
      </c>
      <c r="G75" s="240">
        <f t="shared" si="18"/>
        <v>0</v>
      </c>
      <c r="I75" s="238">
        <v>100000</v>
      </c>
    </row>
    <row r="76" spans="1:9">
      <c r="A76" s="569"/>
      <c r="B76" s="252" t="s">
        <v>4341</v>
      </c>
      <c r="C76" s="258" t="s">
        <v>4273</v>
      </c>
      <c r="D76" s="258" t="s">
        <v>4274</v>
      </c>
      <c r="E76" s="236">
        <f>IF((ISBLANK(D76)),0,I76)</f>
        <v>50000</v>
      </c>
      <c r="F76" s="240">
        <f t="shared" si="17"/>
        <v>59500</v>
      </c>
      <c r="G76" s="240">
        <f t="shared" si="18"/>
        <v>4958.333333333333</v>
      </c>
      <c r="I76" s="238">
        <v>50000</v>
      </c>
    </row>
    <row r="77" spans="1:9">
      <c r="A77" s="569"/>
      <c r="B77" s="252" t="s">
        <v>4342</v>
      </c>
      <c r="C77" s="258" t="s">
        <v>4273</v>
      </c>
      <c r="D77" s="258"/>
      <c r="E77" s="236">
        <f>IF((ISBLANK(D77)),0,I77)</f>
        <v>0</v>
      </c>
      <c r="F77" s="240">
        <f t="shared" si="17"/>
        <v>0</v>
      </c>
      <c r="G77" s="240">
        <f t="shared" si="18"/>
        <v>0</v>
      </c>
      <c r="I77" s="238">
        <v>100000</v>
      </c>
    </row>
    <row r="78" spans="1:9">
      <c r="A78" s="570"/>
      <c r="B78" s="571" t="s">
        <v>4343</v>
      </c>
      <c r="C78" s="572"/>
      <c r="D78" s="253"/>
      <c r="E78" s="242">
        <f>SUM(E73:E77)</f>
        <v>3050000</v>
      </c>
      <c r="F78" s="242">
        <f>SUM(F73:F77)</f>
        <v>3629500</v>
      </c>
      <c r="G78" s="236">
        <f>SUM(G73:G77)</f>
        <v>104125</v>
      </c>
      <c r="I78" s="238">
        <v>3370000</v>
      </c>
    </row>
    <row r="80" spans="1:9">
      <c r="A80" s="573" t="s">
        <v>4344</v>
      </c>
      <c r="B80" s="573"/>
      <c r="C80" s="573"/>
      <c r="D80" s="573"/>
      <c r="E80" s="573"/>
      <c r="F80" s="573"/>
      <c r="G80" s="243">
        <f>+SUM(G24,G36,G43,G50,G55,G61,G66,G71,G78)</f>
        <v>324623.86833333335</v>
      </c>
    </row>
  </sheetData>
  <mergeCells count="22">
    <mergeCell ref="A73:A78"/>
    <mergeCell ref="B78:C78"/>
    <mergeCell ref="A80:F80"/>
    <mergeCell ref="A57:A61"/>
    <mergeCell ref="B61:C61"/>
    <mergeCell ref="A63:A66"/>
    <mergeCell ref="B66:C66"/>
    <mergeCell ref="A68:A71"/>
    <mergeCell ref="B71:C71"/>
    <mergeCell ref="A38:A43"/>
    <mergeCell ref="B43:C43"/>
    <mergeCell ref="A45:A50"/>
    <mergeCell ref="B50:C50"/>
    <mergeCell ref="A52:A55"/>
    <mergeCell ref="B55:C55"/>
    <mergeCell ref="A26:A36"/>
    <mergeCell ref="B36:C36"/>
    <mergeCell ref="A1:B1"/>
    <mergeCell ref="C12:F13"/>
    <mergeCell ref="G12:G13"/>
    <mergeCell ref="A16:A24"/>
    <mergeCell ref="B24:C24"/>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2:U20"/>
  <sheetViews>
    <sheetView topLeftCell="A4" workbookViewId="0">
      <selection activeCell="A1696" sqref="A1696:G1696"/>
    </sheetView>
  </sheetViews>
  <sheetFormatPr baseColWidth="10" defaultRowHeight="14.4"/>
  <cols>
    <col min="1" max="1" width="2.44140625" customWidth="1"/>
    <col min="2" max="2" width="18.109375" bestFit="1" customWidth="1"/>
    <col min="6" max="6" width="13.33203125" customWidth="1"/>
    <col min="8" max="10" width="12" customWidth="1"/>
    <col min="11" max="13" width="10.88671875" customWidth="1"/>
    <col min="17" max="17" width="19" customWidth="1"/>
  </cols>
  <sheetData>
    <row r="2" spans="2:21" ht="15" customHeight="1">
      <c r="B2" s="576" t="s">
        <v>4345</v>
      </c>
      <c r="C2" s="576"/>
      <c r="D2" s="576"/>
      <c r="E2" s="576"/>
      <c r="F2" s="576"/>
      <c r="G2" s="576"/>
      <c r="H2" s="576"/>
      <c r="I2" s="576"/>
      <c r="J2" s="576"/>
      <c r="K2" s="576"/>
      <c r="L2" s="576"/>
      <c r="M2" s="576"/>
      <c r="N2" s="576"/>
      <c r="O2" s="576"/>
      <c r="P2" s="576"/>
      <c r="Q2" s="576"/>
      <c r="R2" s="576"/>
      <c r="S2" s="576"/>
      <c r="T2" s="576"/>
      <c r="U2" s="576"/>
    </row>
    <row r="3" spans="2:21" ht="15" customHeight="1">
      <c r="B3" s="576"/>
      <c r="C3" s="576"/>
      <c r="D3" s="576"/>
      <c r="E3" s="576"/>
      <c r="F3" s="576"/>
      <c r="G3" s="576"/>
      <c r="H3" s="576"/>
      <c r="I3" s="576"/>
      <c r="J3" s="576"/>
      <c r="K3" s="576"/>
      <c r="L3" s="576"/>
      <c r="M3" s="576"/>
      <c r="N3" s="576"/>
      <c r="O3" s="576"/>
      <c r="P3" s="576"/>
      <c r="Q3" s="576"/>
      <c r="R3" s="576"/>
      <c r="S3" s="576"/>
      <c r="T3" s="576"/>
      <c r="U3" s="576"/>
    </row>
    <row r="4" spans="2:21" ht="57.6">
      <c r="B4" s="577" t="s">
        <v>4346</v>
      </c>
      <c r="C4" s="577" t="s">
        <v>4347</v>
      </c>
      <c r="D4" s="577" t="s">
        <v>4348</v>
      </c>
      <c r="E4" s="579" t="s">
        <v>4349</v>
      </c>
      <c r="F4" s="579" t="s">
        <v>4350</v>
      </c>
      <c r="G4" s="581" t="s">
        <v>4349</v>
      </c>
      <c r="H4" s="259" t="s">
        <v>4351</v>
      </c>
      <c r="I4" s="581" t="s">
        <v>4350</v>
      </c>
      <c r="J4" s="583" t="s">
        <v>4349</v>
      </c>
      <c r="K4" s="260" t="s">
        <v>4352</v>
      </c>
      <c r="L4" s="583" t="s">
        <v>4350</v>
      </c>
      <c r="M4" s="585" t="s">
        <v>4349</v>
      </c>
      <c r="N4" s="261" t="s">
        <v>4353</v>
      </c>
      <c r="O4" s="585" t="s">
        <v>4354</v>
      </c>
      <c r="P4" s="587" t="s">
        <v>4349</v>
      </c>
      <c r="Q4" s="262" t="s">
        <v>4355</v>
      </c>
      <c r="R4" s="587" t="s">
        <v>4350</v>
      </c>
      <c r="S4" s="574" t="s">
        <v>4349</v>
      </c>
      <c r="T4" s="263" t="s">
        <v>4356</v>
      </c>
      <c r="U4" s="574" t="s">
        <v>4357</v>
      </c>
    </row>
    <row r="5" spans="2:21">
      <c r="B5" s="578"/>
      <c r="C5" s="578"/>
      <c r="D5" s="578"/>
      <c r="E5" s="580"/>
      <c r="F5" s="580"/>
      <c r="G5" s="582"/>
      <c r="H5" s="264">
        <v>0.35</v>
      </c>
      <c r="I5" s="582"/>
      <c r="J5" s="584"/>
      <c r="K5" s="265">
        <v>1.25</v>
      </c>
      <c r="L5" s="584"/>
      <c r="M5" s="586"/>
      <c r="N5" s="266">
        <v>1.75</v>
      </c>
      <c r="O5" s="586"/>
      <c r="P5" s="588"/>
      <c r="Q5" s="267">
        <v>2.1</v>
      </c>
      <c r="R5" s="588"/>
      <c r="S5" s="575"/>
      <c r="T5" s="268">
        <v>2.5</v>
      </c>
      <c r="U5" s="575"/>
    </row>
    <row r="6" spans="2:21">
      <c r="B6" s="1" t="s">
        <v>4358</v>
      </c>
      <c r="C6" s="240">
        <f>2000000*1.47</f>
        <v>2940000</v>
      </c>
      <c r="D6" s="240">
        <f t="shared" ref="D6:D10" si="0">+(C6/30)/8</f>
        <v>12250</v>
      </c>
      <c r="E6" s="240">
        <v>48</v>
      </c>
      <c r="F6" s="269">
        <f>E6*D6</f>
        <v>588000</v>
      </c>
      <c r="G6" s="240"/>
      <c r="H6" s="240">
        <f>+D6*$H$5</f>
        <v>4287.5</v>
      </c>
      <c r="I6" s="240">
        <f>+G6*H6</f>
        <v>0</v>
      </c>
      <c r="J6" s="240"/>
      <c r="K6" s="240">
        <f>+D6*$K$5</f>
        <v>15312.5</v>
      </c>
      <c r="L6" s="240">
        <f>+K6*J6</f>
        <v>0</v>
      </c>
      <c r="M6" s="240">
        <v>16</v>
      </c>
      <c r="N6" s="240">
        <f>+D6*$N$5</f>
        <v>21437.5</v>
      </c>
      <c r="O6" s="240">
        <f>+N6*M6</f>
        <v>343000</v>
      </c>
      <c r="P6" s="240"/>
      <c r="Q6" s="240">
        <f>+D6*$Q$5</f>
        <v>25725</v>
      </c>
      <c r="R6" s="240">
        <f>+Q6*P6</f>
        <v>0</v>
      </c>
      <c r="S6" s="240"/>
      <c r="T6" s="240">
        <f>+D6*$T$5</f>
        <v>30625</v>
      </c>
      <c r="U6" s="240">
        <f>+T6*S6</f>
        <v>0</v>
      </c>
    </row>
    <row r="7" spans="2:21" ht="16.5" customHeight="1">
      <c r="B7" s="1" t="s">
        <v>4359</v>
      </c>
      <c r="C7" s="240">
        <f>1400000*1.47</f>
        <v>2058000</v>
      </c>
      <c r="D7" s="240">
        <f t="shared" si="0"/>
        <v>8575</v>
      </c>
      <c r="E7" s="240">
        <f>8*4*6</f>
        <v>192</v>
      </c>
      <c r="F7" s="269">
        <f t="shared" ref="F7:F10" si="1">E7*D7</f>
        <v>1646400</v>
      </c>
      <c r="G7" s="240"/>
      <c r="H7" s="240">
        <f>+D7*$H$5</f>
        <v>3001.25</v>
      </c>
      <c r="I7" s="240">
        <f>+G7*H7</f>
        <v>0</v>
      </c>
      <c r="J7" s="240"/>
      <c r="K7" s="240">
        <f>+D7*$K$5</f>
        <v>10718.75</v>
      </c>
      <c r="L7" s="240">
        <f>+K7*J7</f>
        <v>0</v>
      </c>
      <c r="M7" s="240">
        <f>8*4*2</f>
        <v>64</v>
      </c>
      <c r="N7" s="240">
        <f>+D7*$N$5</f>
        <v>15006.25</v>
      </c>
      <c r="O7" s="240">
        <f>+N7*M7</f>
        <v>960400</v>
      </c>
      <c r="P7" s="240"/>
      <c r="Q7" s="240">
        <f>+D7*$Q$5</f>
        <v>18007.5</v>
      </c>
      <c r="R7" s="240">
        <f>+Q7*P7</f>
        <v>0</v>
      </c>
      <c r="S7" s="240"/>
      <c r="T7" s="240">
        <f>+D7*$T$5</f>
        <v>21437.5</v>
      </c>
      <c r="U7" s="240">
        <f>+T7*S7</f>
        <v>0</v>
      </c>
    </row>
    <row r="8" spans="2:21" ht="16.5" customHeight="1">
      <c r="B8" s="1" t="s">
        <v>4360</v>
      </c>
      <c r="C8" s="240">
        <f>980000*1.47</f>
        <v>1440600</v>
      </c>
      <c r="D8" s="240">
        <f t="shared" si="0"/>
        <v>6002.5</v>
      </c>
      <c r="E8" s="240"/>
      <c r="F8" s="269">
        <f t="shared" si="1"/>
        <v>0</v>
      </c>
      <c r="G8" s="240"/>
      <c r="H8" s="240">
        <f>+D8*$H$5</f>
        <v>2100.875</v>
      </c>
      <c r="I8" s="240">
        <f>+G8*H8</f>
        <v>0</v>
      </c>
      <c r="J8" s="240"/>
      <c r="K8" s="240">
        <f>+D8*$K$5</f>
        <v>7503.125</v>
      </c>
      <c r="L8" s="240">
        <f t="shared" ref="L8:L10" si="2">+K8*J8</f>
        <v>0</v>
      </c>
      <c r="M8" s="240"/>
      <c r="N8" s="240">
        <f>+D8*$N$5</f>
        <v>10504.375</v>
      </c>
      <c r="O8" s="240">
        <f t="shared" ref="O8:O10" si="3">+N8*M8</f>
        <v>0</v>
      </c>
      <c r="P8" s="240"/>
      <c r="Q8" s="240">
        <f>+D8*$Q$5</f>
        <v>12605.25</v>
      </c>
      <c r="R8" s="240">
        <f t="shared" ref="R8:R10" si="4">+Q8*P8</f>
        <v>0</v>
      </c>
      <c r="S8" s="240"/>
      <c r="T8" s="240">
        <f>+D8*$T$5</f>
        <v>15006.25</v>
      </c>
      <c r="U8" s="240">
        <f t="shared" ref="U8:U10" si="5">+T8*S8</f>
        <v>0</v>
      </c>
    </row>
    <row r="9" spans="2:21" ht="15.75" customHeight="1">
      <c r="B9" s="1" t="s">
        <v>4361</v>
      </c>
      <c r="C9" s="240">
        <f>800000*1.47</f>
        <v>1176000</v>
      </c>
      <c r="D9" s="240">
        <f t="shared" si="0"/>
        <v>4900</v>
      </c>
      <c r="E9" s="240"/>
      <c r="F9" s="269">
        <f t="shared" si="1"/>
        <v>0</v>
      </c>
      <c r="G9" s="240"/>
      <c r="H9" s="240">
        <f>+D9*$H$5</f>
        <v>1715</v>
      </c>
      <c r="I9" s="240">
        <f>+G9*H9</f>
        <v>0</v>
      </c>
      <c r="J9" s="240"/>
      <c r="K9" s="240">
        <f>+D9*$K$5</f>
        <v>6125</v>
      </c>
      <c r="L9" s="240">
        <f t="shared" si="2"/>
        <v>0</v>
      </c>
      <c r="M9" s="240"/>
      <c r="N9" s="240">
        <f>+D9*$N$5</f>
        <v>8575</v>
      </c>
      <c r="O9" s="240">
        <f t="shared" si="3"/>
        <v>0</v>
      </c>
      <c r="P9" s="240"/>
      <c r="Q9" s="240">
        <f>+D9*$Q$5</f>
        <v>10290</v>
      </c>
      <c r="R9" s="240">
        <f t="shared" si="4"/>
        <v>0</v>
      </c>
      <c r="S9" s="240"/>
      <c r="T9" s="240">
        <f>+D9*$T$5</f>
        <v>12250</v>
      </c>
      <c r="U9" s="240">
        <f t="shared" si="5"/>
        <v>0</v>
      </c>
    </row>
    <row r="10" spans="2:21" ht="16.5" customHeight="1">
      <c r="B10" s="1" t="s">
        <v>4206</v>
      </c>
      <c r="C10" s="240">
        <f>800000*1.47</f>
        <v>1176000</v>
      </c>
      <c r="D10" s="240">
        <f t="shared" si="0"/>
        <v>4900</v>
      </c>
      <c r="E10" s="240">
        <f>8*6</f>
        <v>48</v>
      </c>
      <c r="F10" s="269">
        <f t="shared" si="1"/>
        <v>235200</v>
      </c>
      <c r="G10" s="240"/>
      <c r="H10" s="240">
        <f>+D10*$H$5</f>
        <v>1715</v>
      </c>
      <c r="I10" s="240">
        <f>+G10*H10</f>
        <v>0</v>
      </c>
      <c r="J10" s="240"/>
      <c r="K10" s="240">
        <f>+D10*$K$5</f>
        <v>6125</v>
      </c>
      <c r="L10" s="240">
        <f t="shared" si="2"/>
        <v>0</v>
      </c>
      <c r="M10" s="240">
        <f>8*2</f>
        <v>16</v>
      </c>
      <c r="N10" s="240">
        <f>+D10*$N$5</f>
        <v>8575</v>
      </c>
      <c r="O10" s="240">
        <f t="shared" si="3"/>
        <v>137200</v>
      </c>
      <c r="P10" s="240"/>
      <c r="Q10" s="240">
        <f>+D10*$Q$5</f>
        <v>10290</v>
      </c>
      <c r="R10" s="240">
        <f t="shared" si="4"/>
        <v>0</v>
      </c>
      <c r="S10" s="240"/>
      <c r="T10" s="240">
        <f>+D10*$T$5</f>
        <v>12250</v>
      </c>
      <c r="U10" s="240">
        <f t="shared" si="5"/>
        <v>0</v>
      </c>
    </row>
    <row r="11" spans="2:21">
      <c r="C11" s="176"/>
      <c r="F11" s="270">
        <f>SUM(F6:F10)</f>
        <v>2469600</v>
      </c>
      <c r="I11" s="271">
        <f>SUM(I6:I10)</f>
        <v>0</v>
      </c>
      <c r="L11" s="272">
        <f>SUM(L6:L10)</f>
        <v>0</v>
      </c>
      <c r="O11" s="273">
        <f>SUM(O6:O10)</f>
        <v>1440600</v>
      </c>
      <c r="R11" s="274">
        <f>SUM(R6:R10)</f>
        <v>0</v>
      </c>
      <c r="U11" s="275">
        <f>SUM(U6:U10)</f>
        <v>0</v>
      </c>
    </row>
    <row r="12" spans="2:21">
      <c r="C12" s="176"/>
      <c r="F12" s="276"/>
    </row>
    <row r="13" spans="2:21">
      <c r="C13" s="176"/>
    </row>
    <row r="14" spans="2:21">
      <c r="B14" s="590" t="s">
        <v>4351</v>
      </c>
      <c r="C14" s="589" t="s">
        <v>4362</v>
      </c>
      <c r="D14" s="589"/>
      <c r="E14" s="589"/>
      <c r="F14" s="589"/>
      <c r="G14" s="589"/>
      <c r="H14" s="589"/>
      <c r="I14" s="589"/>
      <c r="J14" s="589"/>
      <c r="K14" s="589"/>
      <c r="L14" s="589"/>
    </row>
    <row r="15" spans="2:21">
      <c r="B15" s="590"/>
      <c r="C15" s="589"/>
      <c r="D15" s="589"/>
      <c r="E15" s="589"/>
      <c r="F15" s="589"/>
      <c r="G15" s="589"/>
      <c r="H15" s="589"/>
      <c r="I15" s="589"/>
      <c r="J15" s="589"/>
      <c r="K15" s="589"/>
      <c r="L15" s="589"/>
      <c r="Q15" s="120"/>
    </row>
    <row r="16" spans="2:21">
      <c r="B16" s="591" t="s">
        <v>4352</v>
      </c>
      <c r="C16" s="589" t="s">
        <v>4363</v>
      </c>
      <c r="D16" s="589"/>
      <c r="E16" s="589"/>
      <c r="F16" s="589"/>
      <c r="G16" s="589"/>
      <c r="H16" s="589"/>
      <c r="I16" s="589"/>
      <c r="J16" s="589"/>
      <c r="K16" s="589"/>
      <c r="L16" s="589"/>
    </row>
    <row r="17" spans="2:12">
      <c r="B17" s="591"/>
      <c r="C17" s="589"/>
      <c r="D17" s="589"/>
      <c r="E17" s="589"/>
      <c r="F17" s="589"/>
      <c r="G17" s="589"/>
      <c r="H17" s="589"/>
      <c r="I17" s="589"/>
      <c r="J17" s="589"/>
      <c r="K17" s="589"/>
      <c r="L17" s="589"/>
    </row>
    <row r="18" spans="2:12">
      <c r="B18" s="261" t="s">
        <v>4364</v>
      </c>
      <c r="C18" s="589" t="s">
        <v>4365</v>
      </c>
      <c r="D18" s="589"/>
      <c r="E18" s="589"/>
      <c r="F18" s="589"/>
      <c r="G18" s="589"/>
      <c r="H18" s="589"/>
      <c r="I18" s="589"/>
      <c r="J18" s="589"/>
      <c r="K18" s="589"/>
      <c r="L18" s="589"/>
    </row>
    <row r="19" spans="2:12" ht="83.25" customHeight="1">
      <c r="B19" s="262" t="s">
        <v>4366</v>
      </c>
      <c r="C19" s="589" t="s">
        <v>4367</v>
      </c>
      <c r="D19" s="589"/>
      <c r="E19" s="589"/>
      <c r="F19" s="589"/>
      <c r="G19" s="589"/>
      <c r="H19" s="589"/>
      <c r="I19" s="589"/>
      <c r="J19" s="589"/>
      <c r="K19" s="589"/>
      <c r="L19" s="589"/>
    </row>
    <row r="20" spans="2:12" ht="76.5" customHeight="1">
      <c r="B20" s="263" t="s">
        <v>4356</v>
      </c>
      <c r="C20" s="589" t="s">
        <v>4368</v>
      </c>
      <c r="D20" s="589"/>
      <c r="E20" s="589"/>
      <c r="F20" s="589"/>
      <c r="G20" s="589"/>
      <c r="H20" s="589"/>
      <c r="I20" s="589"/>
      <c r="J20" s="589"/>
      <c r="K20" s="589"/>
      <c r="L20" s="589"/>
    </row>
  </sheetData>
  <mergeCells count="23">
    <mergeCell ref="C20:L20"/>
    <mergeCell ref="B14:B15"/>
    <mergeCell ref="C14:L15"/>
    <mergeCell ref="B16:B17"/>
    <mergeCell ref="C16:L17"/>
    <mergeCell ref="C18:L18"/>
    <mergeCell ref="C19:L19"/>
    <mergeCell ref="U4:U5"/>
    <mergeCell ref="B2:U3"/>
    <mergeCell ref="B4:B5"/>
    <mergeCell ref="C4:C5"/>
    <mergeCell ref="D4:D5"/>
    <mergeCell ref="E4:E5"/>
    <mergeCell ref="F4:F5"/>
    <mergeCell ref="G4:G5"/>
    <mergeCell ref="I4:I5"/>
    <mergeCell ref="J4:J5"/>
    <mergeCell ref="L4:L5"/>
    <mergeCell ref="M4:M5"/>
    <mergeCell ref="O4:O5"/>
    <mergeCell ref="P4:P5"/>
    <mergeCell ref="R4:R5"/>
    <mergeCell ref="S4:S5"/>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BF2F1-67EF-4260-A08C-0BA0E6AAAECC}">
  <sheetPr>
    <tabColor theme="1"/>
  </sheetPr>
  <dimension ref="A1:L51"/>
  <sheetViews>
    <sheetView zoomScale="90" zoomScaleNormal="90" workbookViewId="0">
      <selection activeCell="A2" sqref="A2:XFD2"/>
    </sheetView>
  </sheetViews>
  <sheetFormatPr baseColWidth="10" defaultColWidth="11.44140625" defaultRowHeight="13.8"/>
  <cols>
    <col min="1" max="1" width="23.5546875" style="387" bestFit="1" customWidth="1"/>
    <col min="2" max="2" width="20.44140625" style="387" customWidth="1"/>
    <col min="3" max="3" width="29.5546875" style="387" customWidth="1"/>
    <col min="4" max="4" width="23.5546875" style="387" customWidth="1"/>
    <col min="5" max="5" width="27.109375" style="387" customWidth="1"/>
    <col min="6" max="6" width="23.88671875" style="387" customWidth="1"/>
    <col min="7" max="8" width="15" style="387" customWidth="1"/>
    <col min="9" max="10" width="11.44140625" style="387"/>
    <col min="11" max="11" width="27.5546875" style="387" bestFit="1" customWidth="1"/>
    <col min="12" max="12" width="31" style="387" bestFit="1" customWidth="1"/>
    <col min="13" max="16384" width="11.44140625" style="387"/>
  </cols>
  <sheetData>
    <row r="1" spans="1:12">
      <c r="A1" s="385" t="s">
        <v>4845</v>
      </c>
      <c r="B1" s="386" t="s">
        <v>4836</v>
      </c>
      <c r="C1" s="386" t="s">
        <v>4837</v>
      </c>
      <c r="D1" s="386" t="s">
        <v>4838</v>
      </c>
      <c r="E1" s="386" t="s">
        <v>4839</v>
      </c>
      <c r="F1" s="386" t="s">
        <v>4840</v>
      </c>
      <c r="G1" s="385"/>
      <c r="H1" s="385"/>
      <c r="I1" s="385"/>
      <c r="J1" s="385"/>
      <c r="K1" s="385" t="s">
        <v>4846</v>
      </c>
      <c r="L1" s="385" t="s">
        <v>4847</v>
      </c>
    </row>
    <row r="2" spans="1:12">
      <c r="A2" s="387" t="s">
        <v>4848</v>
      </c>
      <c r="B2" s="388">
        <v>0.1</v>
      </c>
      <c r="C2" s="388">
        <v>0.15</v>
      </c>
      <c r="D2" s="389">
        <v>0.01</v>
      </c>
      <c r="E2" s="388">
        <v>0.08</v>
      </c>
      <c r="F2" s="390">
        <v>0.03</v>
      </c>
      <c r="K2" s="387" t="s">
        <v>4849</v>
      </c>
      <c r="L2" s="387" t="s">
        <v>4850</v>
      </c>
    </row>
    <row r="3" spans="1:12">
      <c r="A3" s="387" t="s">
        <v>4851</v>
      </c>
      <c r="B3" s="388">
        <v>0.1</v>
      </c>
      <c r="C3" s="388">
        <v>0.1</v>
      </c>
      <c r="D3" s="389">
        <v>0.01</v>
      </c>
      <c r="E3" s="388">
        <v>0</v>
      </c>
      <c r="F3" s="389">
        <v>0.03</v>
      </c>
      <c r="K3" s="387" t="s">
        <v>4852</v>
      </c>
      <c r="L3" s="387" t="s">
        <v>4853</v>
      </c>
    </row>
    <row r="4" spans="1:12">
      <c r="A4" s="387" t="s">
        <v>4854</v>
      </c>
      <c r="B4" s="388">
        <v>7.0000000000000007E-2</v>
      </c>
      <c r="C4" s="388">
        <v>0.1</v>
      </c>
      <c r="D4" s="389">
        <v>0.01</v>
      </c>
      <c r="E4" s="391">
        <v>0</v>
      </c>
      <c r="F4" s="390">
        <v>0.03</v>
      </c>
      <c r="K4" s="387" t="s">
        <v>4855</v>
      </c>
      <c r="L4" s="387" t="s">
        <v>4856</v>
      </c>
    </row>
    <row r="5" spans="1:12">
      <c r="A5" s="387" t="s">
        <v>4857</v>
      </c>
      <c r="B5" s="388">
        <v>0.1</v>
      </c>
      <c r="C5" s="388">
        <v>0.1</v>
      </c>
      <c r="D5" s="389">
        <v>0.01</v>
      </c>
      <c r="E5" s="391">
        <v>0</v>
      </c>
      <c r="F5" s="390">
        <v>0.03</v>
      </c>
      <c r="K5" s="387" t="s">
        <v>4858</v>
      </c>
    </row>
    <row r="6" spans="1:12">
      <c r="A6" s="387" t="s">
        <v>4859</v>
      </c>
      <c r="B6" s="388">
        <v>7.0000000000000007E-2</v>
      </c>
      <c r="C6" s="388">
        <v>7.0000000000000007E-2</v>
      </c>
      <c r="D6" s="389">
        <v>0.01</v>
      </c>
      <c r="E6" s="391">
        <v>0</v>
      </c>
      <c r="F6" s="390">
        <v>0.03</v>
      </c>
      <c r="K6" s="387" t="s">
        <v>4860</v>
      </c>
    </row>
    <row r="7" spans="1:12">
      <c r="A7" s="387" t="s">
        <v>4861</v>
      </c>
      <c r="B7" s="388">
        <v>0.1</v>
      </c>
      <c r="C7" s="388">
        <v>0.1</v>
      </c>
      <c r="D7" s="389">
        <v>0.01</v>
      </c>
      <c r="E7" s="391">
        <v>0</v>
      </c>
      <c r="F7" s="390">
        <v>0.03</v>
      </c>
      <c r="K7" s="387" t="s">
        <v>4862</v>
      </c>
    </row>
    <row r="8" spans="1:12">
      <c r="A8" s="387" t="s">
        <v>4863</v>
      </c>
      <c r="B8" s="388">
        <v>7.0000000000000007E-2</v>
      </c>
      <c r="C8" s="388">
        <v>0.1</v>
      </c>
      <c r="D8" s="389">
        <v>0.01</v>
      </c>
      <c r="E8" s="391">
        <v>0</v>
      </c>
      <c r="F8" s="390">
        <v>0.03</v>
      </c>
      <c r="K8" s="387" t="s">
        <v>4864</v>
      </c>
    </row>
    <row r="9" spans="1:12">
      <c r="A9" s="387" t="s">
        <v>4865</v>
      </c>
      <c r="B9" s="388">
        <v>0.1</v>
      </c>
      <c r="C9" s="388">
        <v>0.1</v>
      </c>
      <c r="D9" s="389">
        <v>0.01</v>
      </c>
      <c r="E9" s="391">
        <v>0</v>
      </c>
      <c r="F9" s="390">
        <v>0.03</v>
      </c>
    </row>
    <row r="10" spans="1:12">
      <c r="A10" s="387" t="s">
        <v>4866</v>
      </c>
      <c r="B10" s="388">
        <v>0.1</v>
      </c>
      <c r="C10" s="388">
        <v>0.1</v>
      </c>
      <c r="D10" s="389">
        <v>0.01</v>
      </c>
      <c r="E10" s="388">
        <v>0</v>
      </c>
      <c r="F10" s="390">
        <v>0.03</v>
      </c>
    </row>
    <row r="11" spans="1:12">
      <c r="A11" s="387" t="s">
        <v>4867</v>
      </c>
      <c r="B11" s="388">
        <v>0.1</v>
      </c>
      <c r="C11" s="388">
        <v>0.15</v>
      </c>
      <c r="D11" s="389">
        <v>0.01</v>
      </c>
      <c r="E11" s="388">
        <v>0.08</v>
      </c>
      <c r="F11" s="390">
        <v>0.03</v>
      </c>
    </row>
    <row r="12" spans="1:12">
      <c r="A12" s="387" t="s">
        <v>4868</v>
      </c>
      <c r="B12" s="388">
        <v>7.0000000000000007E-2</v>
      </c>
      <c r="C12" s="388">
        <v>7.0000000000000007E-2</v>
      </c>
      <c r="D12" s="389">
        <v>0.01</v>
      </c>
      <c r="E12" s="388">
        <v>0</v>
      </c>
      <c r="F12" s="390">
        <v>0.03</v>
      </c>
    </row>
    <row r="13" spans="1:12">
      <c r="A13" s="387" t="s">
        <v>4821</v>
      </c>
      <c r="B13" s="379"/>
      <c r="C13" s="379"/>
      <c r="D13" s="379"/>
      <c r="E13" s="379"/>
      <c r="F13" s="379"/>
    </row>
    <row r="14" spans="1:12">
      <c r="A14" s="387" t="s">
        <v>4822</v>
      </c>
      <c r="B14" s="379"/>
      <c r="C14" s="379"/>
      <c r="D14" s="379"/>
      <c r="E14" s="379"/>
      <c r="F14" s="379"/>
    </row>
    <row r="15" spans="1:12">
      <c r="A15" s="387" t="s">
        <v>4869</v>
      </c>
      <c r="B15" s="388">
        <v>0.1</v>
      </c>
      <c r="C15" s="388">
        <v>0.15</v>
      </c>
      <c r="D15" s="389">
        <v>0.01</v>
      </c>
      <c r="E15" s="388">
        <v>0</v>
      </c>
      <c r="F15" s="390">
        <v>0.03</v>
      </c>
    </row>
    <row r="16" spans="1:12">
      <c r="A16" s="387" t="s">
        <v>4870</v>
      </c>
      <c r="B16" s="388">
        <v>0.1</v>
      </c>
      <c r="C16" s="388">
        <v>0.15</v>
      </c>
      <c r="D16" s="389">
        <v>0.01</v>
      </c>
      <c r="E16" s="388">
        <v>0.08</v>
      </c>
      <c r="F16" s="390">
        <v>0.03</v>
      </c>
    </row>
    <row r="17" spans="1:7">
      <c r="A17" s="387" t="s">
        <v>4871</v>
      </c>
      <c r="B17" s="388">
        <v>7.0000000000000007E-2</v>
      </c>
      <c r="C17" s="388">
        <v>0.1</v>
      </c>
      <c r="D17" s="389">
        <v>0.01</v>
      </c>
      <c r="E17" s="388">
        <v>0</v>
      </c>
      <c r="F17" s="390">
        <v>0.03</v>
      </c>
    </row>
    <row r="18" spans="1:7">
      <c r="A18" s="387" t="s">
        <v>4872</v>
      </c>
      <c r="B18" s="388">
        <v>0.08</v>
      </c>
      <c r="C18" s="388">
        <v>0.1</v>
      </c>
      <c r="D18" s="389">
        <v>0.01</v>
      </c>
      <c r="E18" s="388">
        <v>0</v>
      </c>
      <c r="F18" s="390">
        <v>0.03</v>
      </c>
    </row>
    <row r="19" spans="1:7">
      <c r="A19" s="387" t="s">
        <v>4873</v>
      </c>
      <c r="B19" s="388">
        <v>0.1</v>
      </c>
      <c r="C19" s="388">
        <v>0.1</v>
      </c>
      <c r="D19" s="389">
        <v>0.01</v>
      </c>
      <c r="E19" s="388">
        <v>0</v>
      </c>
      <c r="F19" s="390">
        <v>0.03</v>
      </c>
    </row>
    <row r="20" spans="1:7">
      <c r="A20" s="387" t="s">
        <v>4874</v>
      </c>
      <c r="B20" s="388">
        <v>0.1</v>
      </c>
      <c r="C20" s="388">
        <v>0.15</v>
      </c>
      <c r="D20" s="389">
        <v>0.01</v>
      </c>
      <c r="E20" s="388">
        <v>0.08</v>
      </c>
      <c r="F20" s="390">
        <v>0.03</v>
      </c>
    </row>
    <row r="21" spans="1:7">
      <c r="A21" s="387" t="s">
        <v>4875</v>
      </c>
      <c r="B21" s="379"/>
      <c r="C21" s="379"/>
      <c r="D21" s="379"/>
      <c r="E21" s="379"/>
      <c r="F21" s="379"/>
    </row>
    <row r="22" spans="1:7">
      <c r="A22" s="387" t="s">
        <v>4876</v>
      </c>
      <c r="B22" s="388">
        <v>0.1</v>
      </c>
      <c r="C22" s="388">
        <v>0.1</v>
      </c>
      <c r="D22" s="389">
        <v>0.01</v>
      </c>
      <c r="E22" s="388">
        <v>0</v>
      </c>
      <c r="F22" s="390">
        <v>0.03</v>
      </c>
    </row>
    <row r="23" spans="1:7">
      <c r="A23" s="387" t="s">
        <v>4877</v>
      </c>
      <c r="B23" s="388">
        <v>7.0000000000000007E-2</v>
      </c>
      <c r="C23" s="388">
        <v>0.1</v>
      </c>
      <c r="D23" s="389">
        <v>0.01</v>
      </c>
      <c r="E23" s="388">
        <v>0</v>
      </c>
      <c r="F23" s="390">
        <v>0.03</v>
      </c>
    </row>
    <row r="24" spans="1:7">
      <c r="A24" s="387" t="s">
        <v>4878</v>
      </c>
      <c r="B24" s="379"/>
      <c r="C24" s="379"/>
      <c r="D24" s="379"/>
      <c r="E24" s="379"/>
      <c r="F24" s="379"/>
    </row>
    <row r="25" spans="1:7">
      <c r="A25" s="387" t="s">
        <v>4879</v>
      </c>
      <c r="B25" s="388">
        <v>0.02</v>
      </c>
      <c r="C25" s="388">
        <v>0.03</v>
      </c>
      <c r="D25" s="388">
        <v>0.01</v>
      </c>
      <c r="E25" s="388">
        <v>0.02</v>
      </c>
      <c r="F25" s="388">
        <v>0.02</v>
      </c>
      <c r="G25" s="392"/>
    </row>
    <row r="26" spans="1:7">
      <c r="A26" s="387" t="s">
        <v>4880</v>
      </c>
      <c r="B26" s="388">
        <v>0.08</v>
      </c>
      <c r="C26" s="388">
        <v>0.08</v>
      </c>
      <c r="D26" s="389">
        <v>0.01</v>
      </c>
      <c r="E26" s="388">
        <v>0</v>
      </c>
      <c r="F26" s="390">
        <v>0.03</v>
      </c>
    </row>
    <row r="27" spans="1:7">
      <c r="A27" s="387" t="s">
        <v>4398</v>
      </c>
      <c r="B27" s="379"/>
      <c r="C27" s="379"/>
      <c r="D27" s="379"/>
      <c r="E27" s="379"/>
      <c r="F27" s="379"/>
    </row>
    <row r="28" spans="1:7">
      <c r="A28" s="387" t="s">
        <v>4881</v>
      </c>
      <c r="B28" s="388">
        <v>5.3999999999999999E-2</v>
      </c>
      <c r="C28" s="388">
        <v>0.15</v>
      </c>
      <c r="D28" s="388">
        <v>0.05</v>
      </c>
      <c r="E28" s="388">
        <v>0.03</v>
      </c>
      <c r="F28" s="388">
        <v>3.3000000000000002E-2</v>
      </c>
    </row>
    <row r="29" spans="1:7">
      <c r="A29" s="387" t="s">
        <v>4769</v>
      </c>
      <c r="B29" s="379"/>
      <c r="C29" s="379"/>
      <c r="D29" s="379"/>
      <c r="E29" s="379"/>
      <c r="F29" s="379"/>
    </row>
    <row r="30" spans="1:7">
      <c r="A30" s="387" t="s">
        <v>4882</v>
      </c>
      <c r="B30" s="388">
        <v>7.0000000000000007E-2</v>
      </c>
      <c r="C30" s="388">
        <v>0.15</v>
      </c>
      <c r="D30" s="389">
        <v>0.01</v>
      </c>
      <c r="E30" s="391">
        <v>0.08</v>
      </c>
      <c r="F30" s="390">
        <v>0.03</v>
      </c>
    </row>
    <row r="31" spans="1:7">
      <c r="A31" s="387" t="s">
        <v>4883</v>
      </c>
      <c r="B31" s="388">
        <v>0.1</v>
      </c>
      <c r="C31" s="388">
        <v>0.15</v>
      </c>
      <c r="D31" s="389">
        <v>0.01</v>
      </c>
      <c r="E31" s="388">
        <v>0</v>
      </c>
      <c r="F31" s="390">
        <v>0.03</v>
      </c>
    </row>
    <row r="32" spans="1:7">
      <c r="A32" s="387" t="s">
        <v>4781</v>
      </c>
      <c r="B32" s="388">
        <v>0.1</v>
      </c>
      <c r="C32" s="388">
        <v>0.1</v>
      </c>
      <c r="D32" s="389">
        <v>0.01</v>
      </c>
      <c r="E32" s="388">
        <v>0</v>
      </c>
      <c r="F32" s="390">
        <v>0.03</v>
      </c>
    </row>
    <row r="33" spans="1:6">
      <c r="A33" s="387" t="s">
        <v>4884</v>
      </c>
      <c r="B33" s="388">
        <v>0.1</v>
      </c>
      <c r="C33" s="388">
        <v>0.15</v>
      </c>
      <c r="D33" s="389">
        <v>0.01</v>
      </c>
      <c r="E33" s="388">
        <v>0</v>
      </c>
      <c r="F33" s="390">
        <v>0.03</v>
      </c>
    </row>
    <row r="34" spans="1:6">
      <c r="A34" s="387" t="s">
        <v>4731</v>
      </c>
      <c r="B34" s="388">
        <v>0.1</v>
      </c>
      <c r="C34" s="388">
        <v>0.1</v>
      </c>
      <c r="D34" s="389">
        <v>0.01</v>
      </c>
      <c r="E34" s="388">
        <v>0</v>
      </c>
      <c r="F34" s="390">
        <v>0.03</v>
      </c>
    </row>
    <row r="35" spans="1:6">
      <c r="A35" s="387" t="s">
        <v>4885</v>
      </c>
      <c r="B35" s="388">
        <v>0.05</v>
      </c>
      <c r="C35" s="388">
        <v>0.1</v>
      </c>
      <c r="D35" s="389">
        <v>0.01</v>
      </c>
      <c r="E35" s="388">
        <v>0</v>
      </c>
      <c r="F35" s="390">
        <v>0.03</v>
      </c>
    </row>
    <row r="36" spans="1:6">
      <c r="A36" s="387" t="s">
        <v>4886</v>
      </c>
      <c r="B36" s="388">
        <v>0.1</v>
      </c>
      <c r="C36" s="388">
        <v>0.1</v>
      </c>
      <c r="D36" s="389">
        <v>0.01</v>
      </c>
      <c r="E36" s="388">
        <v>0</v>
      </c>
      <c r="F36" s="390">
        <v>0.03</v>
      </c>
    </row>
    <row r="37" spans="1:6">
      <c r="A37" s="387" t="s">
        <v>4887</v>
      </c>
      <c r="B37" s="388">
        <v>7.0000000000000007E-2</v>
      </c>
      <c r="C37" s="388">
        <v>0.09</v>
      </c>
      <c r="D37" s="389">
        <v>0.01</v>
      </c>
      <c r="E37" s="388">
        <v>0</v>
      </c>
      <c r="F37" s="390">
        <v>0.03</v>
      </c>
    </row>
    <row r="38" spans="1:6">
      <c r="A38" s="387" t="s">
        <v>4888</v>
      </c>
    </row>
    <row r="39" spans="1:6">
      <c r="A39" s="387" t="s">
        <v>4889</v>
      </c>
      <c r="B39" s="388">
        <v>0.1</v>
      </c>
      <c r="C39" s="388">
        <v>0.1</v>
      </c>
      <c r="D39" s="389">
        <v>0.01</v>
      </c>
      <c r="E39" s="388">
        <v>0</v>
      </c>
      <c r="F39" s="390">
        <v>0.03</v>
      </c>
    </row>
    <row r="40" spans="1:6">
      <c r="A40" s="387" t="s">
        <v>4890</v>
      </c>
    </row>
    <row r="41" spans="1:6">
      <c r="A41" s="387" t="s">
        <v>4835</v>
      </c>
    </row>
    <row r="42" spans="1:6">
      <c r="A42" s="387" t="s">
        <v>4891</v>
      </c>
      <c r="B42" s="388">
        <v>0.05</v>
      </c>
      <c r="C42" s="388">
        <v>0.1</v>
      </c>
      <c r="D42" s="389">
        <v>0.01</v>
      </c>
      <c r="E42" s="388">
        <v>0</v>
      </c>
      <c r="F42" s="390">
        <v>0.03</v>
      </c>
    </row>
    <row r="43" spans="1:6">
      <c r="A43" s="387" t="s">
        <v>4892</v>
      </c>
      <c r="B43" s="388">
        <v>0.1</v>
      </c>
      <c r="C43" s="388">
        <v>0.1</v>
      </c>
      <c r="D43" s="389">
        <v>0.01</v>
      </c>
      <c r="E43" s="388">
        <v>0</v>
      </c>
      <c r="F43" s="390">
        <v>0.03</v>
      </c>
    </row>
    <row r="44" spans="1:6">
      <c r="A44" s="387" t="s">
        <v>4893</v>
      </c>
    </row>
    <row r="45" spans="1:6">
      <c r="A45" s="387" t="s">
        <v>4894</v>
      </c>
      <c r="B45" s="388">
        <v>0.1</v>
      </c>
      <c r="C45" s="388">
        <v>0.15</v>
      </c>
      <c r="D45" s="389">
        <v>0.01</v>
      </c>
      <c r="E45" s="388">
        <v>0</v>
      </c>
      <c r="F45" s="390">
        <v>0.03</v>
      </c>
    </row>
    <row r="46" spans="1:6">
      <c r="A46" s="387" t="s">
        <v>4895</v>
      </c>
      <c r="B46" s="388">
        <v>7.0000000000000007E-2</v>
      </c>
      <c r="C46" s="388">
        <v>0.1</v>
      </c>
      <c r="D46" s="389">
        <v>0.01</v>
      </c>
      <c r="E46" s="388">
        <v>0</v>
      </c>
      <c r="F46" s="390">
        <v>0.03</v>
      </c>
    </row>
    <row r="47" spans="1:6">
      <c r="A47" s="387" t="s">
        <v>4896</v>
      </c>
      <c r="B47" s="388">
        <v>0.1</v>
      </c>
      <c r="C47" s="388">
        <v>0.1</v>
      </c>
      <c r="D47" s="389">
        <v>0.01</v>
      </c>
      <c r="E47" s="388">
        <v>0</v>
      </c>
      <c r="F47" s="390">
        <v>0.03</v>
      </c>
    </row>
    <row r="48" spans="1:6">
      <c r="A48" s="387" t="s">
        <v>4897</v>
      </c>
      <c r="B48" s="388">
        <v>0.1</v>
      </c>
      <c r="C48" s="388">
        <v>0.13</v>
      </c>
      <c r="D48" s="389">
        <v>0.01</v>
      </c>
      <c r="E48" s="388">
        <v>0</v>
      </c>
      <c r="F48" s="390">
        <v>0.03</v>
      </c>
    </row>
    <row r="49" spans="1:6">
      <c r="A49" s="387" t="s">
        <v>4898</v>
      </c>
    </row>
    <row r="50" spans="1:6">
      <c r="A50" s="387" t="s">
        <v>4899</v>
      </c>
    </row>
    <row r="51" spans="1:6">
      <c r="A51" s="387" t="s">
        <v>4900</v>
      </c>
      <c r="B51" s="388">
        <v>0.1</v>
      </c>
      <c r="C51" s="388">
        <v>0.1</v>
      </c>
      <c r="D51" s="389">
        <v>0.01</v>
      </c>
      <c r="E51" s="388">
        <v>0</v>
      </c>
      <c r="F51" s="390">
        <v>0.03</v>
      </c>
    </row>
  </sheetData>
  <sheetProtection algorithmName="SHA-512" hashValue="P0ZAx1AS+ivQLPFiyjKgib+kQZcw6cGWL2jvr59m5bbHZPtnFE4KlrAc0qlb4K+Gk8F31PplL216H5Nd9KSiFQ==" saltValue="M+4e9cHdklNKa9iszuu8dA==" spinCount="100000" sheet="1" formatCells="0" formatColumns="0" formatRows="0" insertColumns="0" insertRows="0" insertHyperlinks="0" deleteColumns="0" deleteRows="0" sort="0" autoFilter="0" pivotTables="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C7769-BC53-41F8-9D27-08C5802FE46C}">
  <dimension ref="A1:J51"/>
  <sheetViews>
    <sheetView tabSelected="1" workbookViewId="0">
      <selection activeCell="E2" sqref="E2:I22"/>
    </sheetView>
  </sheetViews>
  <sheetFormatPr baseColWidth="10" defaultRowHeight="13.8"/>
  <cols>
    <col min="1" max="3" width="11.5546875" style="610"/>
    <col min="4" max="4" width="19.21875" style="610" bestFit="1" customWidth="1"/>
    <col min="5" max="5" width="16.44140625" style="624" bestFit="1" customWidth="1"/>
    <col min="6" max="6" width="23.88671875" style="624" bestFit="1" customWidth="1"/>
    <col min="7" max="7" width="17.33203125" style="624" bestFit="1" customWidth="1"/>
    <col min="8" max="8" width="23.6640625" style="624" bestFit="1" customWidth="1"/>
    <col min="9" max="9" width="19.21875" style="624" bestFit="1" customWidth="1"/>
    <col min="10" max="10" width="7.44140625" style="627" bestFit="1" customWidth="1"/>
    <col min="11" max="16384" width="11.5546875" style="610"/>
  </cols>
  <sheetData>
    <row r="1" spans="1:10">
      <c r="A1" s="619" t="s">
        <v>5028</v>
      </c>
      <c r="B1" s="619" t="s">
        <v>5029</v>
      </c>
      <c r="C1" s="619" t="s">
        <v>5030</v>
      </c>
      <c r="D1" s="619" t="s">
        <v>4845</v>
      </c>
      <c r="E1" s="621" t="s">
        <v>4836</v>
      </c>
      <c r="F1" s="621" t="s">
        <v>4837</v>
      </c>
      <c r="G1" s="621" t="s">
        <v>4838</v>
      </c>
      <c r="H1" s="621" t="s">
        <v>4839</v>
      </c>
      <c r="I1" s="621" t="s">
        <v>4840</v>
      </c>
      <c r="J1" s="625" t="s">
        <v>5010</v>
      </c>
    </row>
    <row r="2" spans="1:10">
      <c r="A2" s="620">
        <v>41</v>
      </c>
      <c r="B2" s="620">
        <v>54</v>
      </c>
      <c r="C2" s="620">
        <v>3</v>
      </c>
      <c r="D2" s="620" t="s">
        <v>4848</v>
      </c>
      <c r="E2" s="622">
        <v>0.1</v>
      </c>
      <c r="F2" s="622">
        <v>0.15</v>
      </c>
      <c r="G2" s="623">
        <v>0.01</v>
      </c>
      <c r="H2" s="622">
        <v>0.08</v>
      </c>
      <c r="I2" s="623">
        <v>0.03</v>
      </c>
      <c r="J2" s="626" t="str">
        <f>"UPDATE municipios_visitas_2 SET COSTO_INGENIERIA = '"&amp;E2*100&amp;"', COSTO_ADMIN_OBRA = '"&amp;F2*100&amp;"', COSTO_INSPECTOR = '"&amp;G2*100&amp;"', COSTO_INTERVENTORIA = '"&amp;H2*100&amp;"', COSTO_FINANCIERO = '"&amp;I2*100&amp;"' WHERE ID_TABLA = '"&amp;A2&amp;"';"</f>
        <v>UPDATE municipios_visitas_2 SET COSTO_INGENIERIA = '10', COSTO_ADMIN_OBRA = '15', COSTO_INSPECTOR = '1', COSTO_INTERVENTORIA = '8', COSTO_FINANCIERO = '3' WHERE ID_TABLA = '41';</v>
      </c>
    </row>
    <row r="3" spans="1:10">
      <c r="A3" s="620">
        <v>42</v>
      </c>
      <c r="B3" s="620">
        <v>7</v>
      </c>
      <c r="C3" s="620">
        <v>148</v>
      </c>
      <c r="D3" s="620" t="s">
        <v>4851</v>
      </c>
      <c r="E3" s="622">
        <v>0.1</v>
      </c>
      <c r="F3" s="622">
        <v>0.1</v>
      </c>
      <c r="G3" s="623">
        <v>0.01</v>
      </c>
      <c r="H3" s="622">
        <v>0</v>
      </c>
      <c r="I3" s="623">
        <v>0.03</v>
      </c>
      <c r="J3" s="626" t="str">
        <f t="shared" ref="J3:J51" si="0">"UPDATE municipios_visitas_2 SET COSTO_INGENIERIA = '"&amp;E3*100&amp;"', COSTO_ADMIN_OBRA = '"&amp;F3*100&amp;"', COSTO_INSPECTOR = '"&amp;G3*100&amp;"', COSTO_INTERVENTORIA = '"&amp;H3*100&amp;"', COSTO_FINANCIERO = '"&amp;I3*100&amp;"' WHERE ID_TABLA = '"&amp;A3&amp;"';"</f>
        <v>UPDATE municipios_visitas_2 SET COSTO_INGENIERIA = '10', COSTO_ADMIN_OBRA = '10', COSTO_INSPECTOR = '1', COSTO_INTERVENTORIA = '0', COSTO_FINANCIERO = '3' WHERE ID_TABLA = '42';</v>
      </c>
    </row>
    <row r="4" spans="1:10">
      <c r="A4" s="620">
        <v>6</v>
      </c>
      <c r="B4" s="620">
        <v>7</v>
      </c>
      <c r="C4" s="620">
        <v>149</v>
      </c>
      <c r="D4" s="620" t="s">
        <v>4854</v>
      </c>
      <c r="E4" s="622">
        <v>7.0000000000000007E-2</v>
      </c>
      <c r="F4" s="622">
        <v>0.1</v>
      </c>
      <c r="G4" s="623">
        <v>0.01</v>
      </c>
      <c r="H4" s="622">
        <v>0</v>
      </c>
      <c r="I4" s="623">
        <v>0.03</v>
      </c>
      <c r="J4" s="626" t="str">
        <f t="shared" si="0"/>
        <v>UPDATE municipios_visitas_2 SET COSTO_INGENIERIA = '7', COSTO_ADMIN_OBRA = '10', COSTO_INSPECTOR = '1', COSTO_INTERVENTORIA = '0', COSTO_FINANCIERO = '3' WHERE ID_TABLA = '6';</v>
      </c>
    </row>
    <row r="5" spans="1:10">
      <c r="A5" s="620">
        <v>15</v>
      </c>
      <c r="B5" s="620">
        <v>1</v>
      </c>
      <c r="C5" s="620">
        <v>2</v>
      </c>
      <c r="D5" s="620" t="s">
        <v>4857</v>
      </c>
      <c r="E5" s="622">
        <v>0.1</v>
      </c>
      <c r="F5" s="622">
        <v>0.1</v>
      </c>
      <c r="G5" s="623">
        <v>0.01</v>
      </c>
      <c r="H5" s="622">
        <v>0</v>
      </c>
      <c r="I5" s="623">
        <v>0.03</v>
      </c>
      <c r="J5" s="626" t="str">
        <f t="shared" si="0"/>
        <v>UPDATE municipios_visitas_2 SET COSTO_INGENIERIA = '10', COSTO_ADMIN_OBRA = '10', COSTO_INSPECTOR = '1', COSTO_INTERVENTORIA = '0', COSTO_FINANCIERO = '3' WHERE ID_TABLA = '15';</v>
      </c>
    </row>
    <row r="6" spans="1:10">
      <c r="A6" s="620">
        <v>16</v>
      </c>
      <c r="B6" s="620">
        <v>1</v>
      </c>
      <c r="C6" s="620">
        <v>4</v>
      </c>
      <c r="D6" s="620" t="s">
        <v>4859</v>
      </c>
      <c r="E6" s="622">
        <v>7.0000000000000007E-2</v>
      </c>
      <c r="F6" s="622">
        <v>7.0000000000000007E-2</v>
      </c>
      <c r="G6" s="623">
        <v>0.01</v>
      </c>
      <c r="H6" s="622">
        <v>0</v>
      </c>
      <c r="I6" s="623">
        <v>0.03</v>
      </c>
      <c r="J6" s="626" t="str">
        <f t="shared" si="0"/>
        <v>UPDATE municipios_visitas_2 SET COSTO_INGENIERIA = '7', COSTO_ADMIN_OBRA = '7', COSTO_INSPECTOR = '1', COSTO_INTERVENTORIA = '0', COSTO_FINANCIERO = '3' WHERE ID_TABLA = '16';</v>
      </c>
    </row>
    <row r="7" spans="1:10">
      <c r="A7" s="620">
        <v>17</v>
      </c>
      <c r="B7" s="620">
        <v>1</v>
      </c>
      <c r="C7" s="620">
        <v>6</v>
      </c>
      <c r="D7" s="620" t="s">
        <v>4861</v>
      </c>
      <c r="E7" s="622">
        <v>0.1</v>
      </c>
      <c r="F7" s="622">
        <v>0.1</v>
      </c>
      <c r="G7" s="623">
        <v>0.01</v>
      </c>
      <c r="H7" s="622">
        <v>0</v>
      </c>
      <c r="I7" s="623">
        <v>0.03</v>
      </c>
      <c r="J7" s="626" t="str">
        <f t="shared" si="0"/>
        <v>UPDATE municipios_visitas_2 SET COSTO_INGENIERIA = '10', COSTO_ADMIN_OBRA = '10', COSTO_INSPECTOR = '1', COSTO_INTERVENTORIA = '0', COSTO_FINANCIERO = '3' WHERE ID_TABLA = '17';</v>
      </c>
    </row>
    <row r="8" spans="1:10">
      <c r="A8" s="620">
        <v>7</v>
      </c>
      <c r="B8" s="620">
        <v>7</v>
      </c>
      <c r="C8" s="620">
        <v>152</v>
      </c>
      <c r="D8" s="620" t="s">
        <v>4863</v>
      </c>
      <c r="E8" s="622">
        <v>7.0000000000000007E-2</v>
      </c>
      <c r="F8" s="622">
        <v>0.1</v>
      </c>
      <c r="G8" s="623">
        <v>0.01</v>
      </c>
      <c r="H8" s="622">
        <v>0</v>
      </c>
      <c r="I8" s="623">
        <v>0.03</v>
      </c>
      <c r="J8" s="626" t="str">
        <f t="shared" si="0"/>
        <v>UPDATE municipios_visitas_2 SET COSTO_INGENIERIA = '7', COSTO_ADMIN_OBRA = '10', COSTO_INSPECTOR = '1', COSTO_INTERVENTORIA = '0', COSTO_FINANCIERO = '3' WHERE ID_TABLA = '7';</v>
      </c>
    </row>
    <row r="9" spans="1:10">
      <c r="A9" s="620">
        <v>18</v>
      </c>
      <c r="B9" s="620">
        <v>1</v>
      </c>
      <c r="C9" s="620">
        <v>7</v>
      </c>
      <c r="D9" s="620" t="s">
        <v>4865</v>
      </c>
      <c r="E9" s="622">
        <v>0.1</v>
      </c>
      <c r="F9" s="622">
        <v>0.1</v>
      </c>
      <c r="G9" s="623">
        <v>0.01</v>
      </c>
      <c r="H9" s="622">
        <v>0</v>
      </c>
      <c r="I9" s="623">
        <v>0.03</v>
      </c>
      <c r="J9" s="626" t="str">
        <f t="shared" si="0"/>
        <v>UPDATE municipios_visitas_2 SET COSTO_INGENIERIA = '10', COSTO_ADMIN_OBRA = '10', COSTO_INSPECTOR = '1', COSTO_INTERVENTORIA = '0', COSTO_FINANCIERO = '3' WHERE ID_TABLA = '18';</v>
      </c>
    </row>
    <row r="10" spans="1:10">
      <c r="A10" s="620">
        <v>21</v>
      </c>
      <c r="B10" s="620">
        <v>1</v>
      </c>
      <c r="C10" s="620">
        <v>13</v>
      </c>
      <c r="D10" s="620" t="s">
        <v>4866</v>
      </c>
      <c r="E10" s="622">
        <v>0.1</v>
      </c>
      <c r="F10" s="622">
        <v>0.1</v>
      </c>
      <c r="G10" s="623">
        <v>0.01</v>
      </c>
      <c r="H10" s="622">
        <v>0</v>
      </c>
      <c r="I10" s="623">
        <v>0.03</v>
      </c>
      <c r="J10" s="626" t="str">
        <f t="shared" si="0"/>
        <v>UPDATE municipios_visitas_2 SET COSTO_INGENIERIA = '10', COSTO_ADMIN_OBRA = '10', COSTO_INSPECTOR = '1', COSTO_INTERVENTORIA = '0', COSTO_FINANCIERO = '3' WHERE ID_TABLA = '21';</v>
      </c>
    </row>
    <row r="11" spans="1:10">
      <c r="A11" s="620">
        <v>8</v>
      </c>
      <c r="B11" s="620">
        <v>7</v>
      </c>
      <c r="C11" s="620">
        <v>153</v>
      </c>
      <c r="D11" s="620" t="s">
        <v>4867</v>
      </c>
      <c r="E11" s="622">
        <v>0.1</v>
      </c>
      <c r="F11" s="622">
        <v>0.15</v>
      </c>
      <c r="G11" s="623">
        <v>0.01</v>
      </c>
      <c r="H11" s="622">
        <v>0.08</v>
      </c>
      <c r="I11" s="623">
        <v>0.03</v>
      </c>
      <c r="J11" s="626" t="str">
        <f t="shared" si="0"/>
        <v>UPDATE municipios_visitas_2 SET COSTO_INGENIERIA = '10', COSTO_ADMIN_OBRA = '15', COSTO_INSPECTOR = '1', COSTO_INTERVENTORIA = '8', COSTO_FINANCIERO = '3' WHERE ID_TABLA = '8';</v>
      </c>
    </row>
    <row r="12" spans="1:10">
      <c r="A12" s="620">
        <v>9</v>
      </c>
      <c r="B12" s="620">
        <v>7</v>
      </c>
      <c r="C12" s="620">
        <v>154</v>
      </c>
      <c r="D12" s="620" t="s">
        <v>4868</v>
      </c>
      <c r="E12" s="622">
        <v>7.0000000000000007E-2</v>
      </c>
      <c r="F12" s="622">
        <v>7.0000000000000007E-2</v>
      </c>
      <c r="G12" s="623">
        <v>0.01</v>
      </c>
      <c r="H12" s="622">
        <v>0</v>
      </c>
      <c r="I12" s="623">
        <v>0.03</v>
      </c>
      <c r="J12" s="626" t="str">
        <f t="shared" si="0"/>
        <v>UPDATE municipios_visitas_2 SET COSTO_INGENIERIA = '7', COSTO_ADMIN_OBRA = '7', COSTO_INSPECTOR = '1', COSTO_INTERVENTORIA = '0', COSTO_FINANCIERO = '3' WHERE ID_TABLA = '9';</v>
      </c>
    </row>
    <row r="13" spans="1:10">
      <c r="A13" s="620">
        <v>19</v>
      </c>
      <c r="B13" s="620">
        <v>1</v>
      </c>
      <c r="C13" s="620">
        <v>10</v>
      </c>
      <c r="D13" s="620" t="s">
        <v>4821</v>
      </c>
      <c r="E13" s="622">
        <v>0</v>
      </c>
      <c r="F13" s="622">
        <v>0</v>
      </c>
      <c r="G13" s="623">
        <v>0</v>
      </c>
      <c r="H13" s="622">
        <v>0</v>
      </c>
      <c r="I13" s="623">
        <v>0</v>
      </c>
      <c r="J13" s="626" t="str">
        <f t="shared" si="0"/>
        <v>UPDATE municipios_visitas_2 SET COSTO_INGENIERIA = '0', COSTO_ADMIN_OBRA = '0', COSTO_INSPECTOR = '0', COSTO_INTERVENTORIA = '0', COSTO_FINANCIERO = '0' WHERE ID_TABLA = '19';</v>
      </c>
    </row>
    <row r="14" spans="1:10">
      <c r="A14" s="620">
        <v>20</v>
      </c>
      <c r="B14" s="620">
        <v>1</v>
      </c>
      <c r="C14" s="620">
        <v>11</v>
      </c>
      <c r="D14" s="620" t="s">
        <v>4822</v>
      </c>
      <c r="E14" s="622">
        <v>0</v>
      </c>
      <c r="F14" s="622">
        <v>0</v>
      </c>
      <c r="G14" s="623">
        <v>0</v>
      </c>
      <c r="H14" s="622">
        <v>0</v>
      </c>
      <c r="I14" s="623">
        <v>0</v>
      </c>
      <c r="J14" s="626" t="str">
        <f t="shared" si="0"/>
        <v>UPDATE municipios_visitas_2 SET COSTO_INGENIERIA = '0', COSTO_ADMIN_OBRA = '0', COSTO_INSPECTOR = '0', COSTO_INTERVENTORIA = '0', COSTO_FINANCIERO = '0' WHERE ID_TABLA = '20';</v>
      </c>
    </row>
    <row r="15" spans="1:10">
      <c r="A15" s="620">
        <v>43</v>
      </c>
      <c r="B15" s="620">
        <v>54</v>
      </c>
      <c r="C15" s="620">
        <v>206</v>
      </c>
      <c r="D15" s="620" t="s">
        <v>4869</v>
      </c>
      <c r="E15" s="622">
        <v>0.1</v>
      </c>
      <c r="F15" s="622">
        <v>0.15</v>
      </c>
      <c r="G15" s="623">
        <v>0.01</v>
      </c>
      <c r="H15" s="622">
        <v>0</v>
      </c>
      <c r="I15" s="623">
        <v>0.03</v>
      </c>
      <c r="J15" s="626" t="str">
        <f t="shared" si="0"/>
        <v>UPDATE municipios_visitas_2 SET COSTO_INGENIERIA = '10', COSTO_ADMIN_OBRA = '15', COSTO_INSPECTOR = '1', COSTO_INTERVENTORIA = '0', COSTO_FINANCIERO = '3' WHERE ID_TABLA = '43';</v>
      </c>
    </row>
    <row r="16" spans="1:10">
      <c r="A16" s="620">
        <v>10</v>
      </c>
      <c r="B16" s="620">
        <v>7</v>
      </c>
      <c r="C16" s="620">
        <v>155</v>
      </c>
      <c r="D16" s="620" t="s">
        <v>4870</v>
      </c>
      <c r="E16" s="622">
        <v>0.1</v>
      </c>
      <c r="F16" s="622">
        <v>0.15</v>
      </c>
      <c r="G16" s="623">
        <v>0.01</v>
      </c>
      <c r="H16" s="622">
        <v>0.08</v>
      </c>
      <c r="I16" s="623">
        <v>0.03</v>
      </c>
      <c r="J16" s="626" t="str">
        <f t="shared" si="0"/>
        <v>UPDATE municipios_visitas_2 SET COSTO_INGENIERIA = '10', COSTO_ADMIN_OBRA = '15', COSTO_INSPECTOR = '1', COSTO_INTERVENTORIA = '8', COSTO_FINANCIERO = '3' WHERE ID_TABLA = '10';</v>
      </c>
    </row>
    <row r="17" spans="1:10">
      <c r="A17" s="620">
        <v>11</v>
      </c>
      <c r="B17" s="620">
        <v>7</v>
      </c>
      <c r="C17" s="620">
        <v>156</v>
      </c>
      <c r="D17" s="620" t="s">
        <v>4871</v>
      </c>
      <c r="E17" s="622">
        <v>7.0000000000000007E-2</v>
      </c>
      <c r="F17" s="622">
        <v>0.1</v>
      </c>
      <c r="G17" s="623">
        <v>0.01</v>
      </c>
      <c r="H17" s="622">
        <v>0</v>
      </c>
      <c r="I17" s="623">
        <v>0.03</v>
      </c>
      <c r="J17" s="626" t="str">
        <f t="shared" si="0"/>
        <v>UPDATE municipios_visitas_2 SET COSTO_INGENIERIA = '7', COSTO_ADMIN_OBRA = '10', COSTO_INSPECTOR = '1', COSTO_INTERVENTORIA = '0', COSTO_FINANCIERO = '3' WHERE ID_TABLA = '11';</v>
      </c>
    </row>
    <row r="18" spans="1:10">
      <c r="A18" s="620">
        <v>12</v>
      </c>
      <c r="B18" s="620">
        <v>7</v>
      </c>
      <c r="C18" s="620">
        <v>157</v>
      </c>
      <c r="D18" s="620" t="s">
        <v>4872</v>
      </c>
      <c r="E18" s="622">
        <v>0.08</v>
      </c>
      <c r="F18" s="622">
        <v>0.1</v>
      </c>
      <c r="G18" s="623">
        <v>0.01</v>
      </c>
      <c r="H18" s="622">
        <v>0</v>
      </c>
      <c r="I18" s="623">
        <v>0.03</v>
      </c>
      <c r="J18" s="626" t="str">
        <f t="shared" si="0"/>
        <v>UPDATE municipios_visitas_2 SET COSTO_INGENIERIA = '8', COSTO_ADMIN_OBRA = '10', COSTO_INSPECTOR = '1', COSTO_INTERVENTORIA = '0', COSTO_FINANCIERO = '3' WHERE ID_TABLA = '12';</v>
      </c>
    </row>
    <row r="19" spans="1:10">
      <c r="A19" s="620">
        <v>39</v>
      </c>
      <c r="B19" s="620">
        <v>25</v>
      </c>
      <c r="C19" s="620">
        <v>269</v>
      </c>
      <c r="D19" s="620" t="s">
        <v>4873</v>
      </c>
      <c r="E19" s="622">
        <v>0.1</v>
      </c>
      <c r="F19" s="622">
        <v>0.1</v>
      </c>
      <c r="G19" s="623">
        <v>0.01</v>
      </c>
      <c r="H19" s="622">
        <v>0</v>
      </c>
      <c r="I19" s="623">
        <v>0.03</v>
      </c>
      <c r="J19" s="626" t="str">
        <f t="shared" si="0"/>
        <v>UPDATE municipios_visitas_2 SET COSTO_INGENIERIA = '10', COSTO_ADMIN_OBRA = '10', COSTO_INSPECTOR = '1', COSTO_INTERVENTORIA = '0', COSTO_FINANCIERO = '3' WHERE ID_TABLA = '39';</v>
      </c>
    </row>
    <row r="20" spans="1:10">
      <c r="A20" s="620">
        <v>45</v>
      </c>
      <c r="B20" s="620">
        <v>7</v>
      </c>
      <c r="C20" s="620">
        <v>295</v>
      </c>
      <c r="D20" s="620" t="s">
        <v>4874</v>
      </c>
      <c r="E20" s="622">
        <v>0.1</v>
      </c>
      <c r="F20" s="622">
        <v>0.15</v>
      </c>
      <c r="G20" s="623">
        <v>0.01</v>
      </c>
      <c r="H20" s="622">
        <v>0.08</v>
      </c>
      <c r="I20" s="623">
        <v>0.03</v>
      </c>
      <c r="J20" s="626" t="str">
        <f t="shared" si="0"/>
        <v>UPDATE municipios_visitas_2 SET COSTO_INGENIERIA = '10', COSTO_ADMIN_OBRA = '15', COSTO_INSPECTOR = '1', COSTO_INTERVENTORIA = '8', COSTO_FINANCIERO = '3' WHERE ID_TABLA = '45';</v>
      </c>
    </row>
    <row r="21" spans="1:10">
      <c r="A21" s="620">
        <v>22</v>
      </c>
      <c r="B21" s="620">
        <v>1</v>
      </c>
      <c r="C21" s="620">
        <v>16</v>
      </c>
      <c r="D21" s="620" t="s">
        <v>4875</v>
      </c>
      <c r="E21" s="622">
        <v>0</v>
      </c>
      <c r="F21" s="622">
        <v>0</v>
      </c>
      <c r="G21" s="623">
        <v>0</v>
      </c>
      <c r="H21" s="622">
        <v>0</v>
      </c>
      <c r="I21" s="623">
        <v>0</v>
      </c>
      <c r="J21" s="626" t="str">
        <f t="shared" si="0"/>
        <v>UPDATE municipios_visitas_2 SET COSTO_INGENIERIA = '0', COSTO_ADMIN_OBRA = '0', COSTO_INSPECTOR = '0', COSTO_INTERVENTORIA = '0', COSTO_FINANCIERO = '0' WHERE ID_TABLA = '22';</v>
      </c>
    </row>
    <row r="22" spans="1:10">
      <c r="A22" s="620">
        <v>13</v>
      </c>
      <c r="B22" s="620">
        <v>7</v>
      </c>
      <c r="C22" s="620">
        <v>161</v>
      </c>
      <c r="D22" s="620" t="s">
        <v>4876</v>
      </c>
      <c r="E22" s="622">
        <v>0.1</v>
      </c>
      <c r="F22" s="622">
        <v>0.1</v>
      </c>
      <c r="G22" s="623">
        <v>0.01</v>
      </c>
      <c r="H22" s="622">
        <v>0</v>
      </c>
      <c r="I22" s="623">
        <v>0.03</v>
      </c>
      <c r="J22" s="626" t="str">
        <f t="shared" si="0"/>
        <v>UPDATE municipios_visitas_2 SET COSTO_INGENIERIA = '10', COSTO_ADMIN_OBRA = '10', COSTO_INSPECTOR = '1', COSTO_INTERVENTORIA = '0', COSTO_FINANCIERO = '3' WHERE ID_TABLA = '13';</v>
      </c>
    </row>
    <row r="23" spans="1:10">
      <c r="A23" s="620">
        <v>14</v>
      </c>
      <c r="B23" s="620">
        <v>7</v>
      </c>
      <c r="C23" s="620">
        <v>163</v>
      </c>
      <c r="D23" s="620" t="s">
        <v>4877</v>
      </c>
      <c r="E23" s="622">
        <v>7.0000000000000007E-2</v>
      </c>
      <c r="F23" s="622">
        <v>0.1</v>
      </c>
      <c r="G23" s="623">
        <v>0.01</v>
      </c>
      <c r="H23" s="622">
        <v>0</v>
      </c>
      <c r="I23" s="623">
        <v>0.03</v>
      </c>
      <c r="J23" s="626" t="str">
        <f t="shared" si="0"/>
        <v>UPDATE municipios_visitas_2 SET COSTO_INGENIERIA = '7', COSTO_ADMIN_OBRA = '10', COSTO_INSPECTOR = '1', COSTO_INTERVENTORIA = '0', COSTO_FINANCIERO = '3' WHERE ID_TABLA = '14';</v>
      </c>
    </row>
    <row r="24" spans="1:10">
      <c r="A24" s="620">
        <v>23</v>
      </c>
      <c r="B24" s="620">
        <v>1</v>
      </c>
      <c r="C24" s="620">
        <v>98</v>
      </c>
      <c r="D24" s="620" t="s">
        <v>4878</v>
      </c>
      <c r="E24" s="622">
        <v>0</v>
      </c>
      <c r="F24" s="622">
        <v>0</v>
      </c>
      <c r="G24" s="623">
        <v>0</v>
      </c>
      <c r="H24" s="622">
        <v>0</v>
      </c>
      <c r="I24" s="623">
        <v>0</v>
      </c>
      <c r="J24" s="626" t="str">
        <f t="shared" si="0"/>
        <v>UPDATE municipios_visitas_2 SET COSTO_INGENIERIA = '0', COSTO_ADMIN_OBRA = '0', COSTO_INSPECTOR = '0', COSTO_INTERVENTORIA = '0', COSTO_FINANCIERO = '0' WHERE ID_TABLA = '23';</v>
      </c>
    </row>
    <row r="25" spans="1:10">
      <c r="A25" s="620">
        <v>24</v>
      </c>
      <c r="B25" s="620">
        <v>1</v>
      </c>
      <c r="C25" s="620">
        <v>19</v>
      </c>
      <c r="D25" s="620" t="s">
        <v>4879</v>
      </c>
      <c r="E25" s="622">
        <v>0.02</v>
      </c>
      <c r="F25" s="622">
        <v>0.03</v>
      </c>
      <c r="G25" s="623">
        <v>0.01</v>
      </c>
      <c r="H25" s="622">
        <v>0.02</v>
      </c>
      <c r="I25" s="623">
        <v>0.02</v>
      </c>
      <c r="J25" s="626" t="str">
        <f t="shared" si="0"/>
        <v>UPDATE municipios_visitas_2 SET COSTO_INGENIERIA = '2', COSTO_ADMIN_OBRA = '3', COSTO_INSPECTOR = '1', COSTO_INTERVENTORIA = '2', COSTO_FINANCIERO = '2' WHERE ID_TABLA = '24';</v>
      </c>
    </row>
    <row r="26" spans="1:10">
      <c r="A26" s="620">
        <v>25</v>
      </c>
      <c r="B26" s="620">
        <v>1</v>
      </c>
      <c r="C26" s="620">
        <v>20</v>
      </c>
      <c r="D26" s="620" t="s">
        <v>4880</v>
      </c>
      <c r="E26" s="622">
        <v>0.08</v>
      </c>
      <c r="F26" s="622">
        <v>0.08</v>
      </c>
      <c r="G26" s="623">
        <v>0.01</v>
      </c>
      <c r="H26" s="622">
        <v>0</v>
      </c>
      <c r="I26" s="623">
        <v>0.03</v>
      </c>
      <c r="J26" s="626" t="str">
        <f t="shared" si="0"/>
        <v>UPDATE municipios_visitas_2 SET COSTO_INGENIERIA = '8', COSTO_ADMIN_OBRA = '8', COSTO_INSPECTOR = '1', COSTO_INTERVENTORIA = '0', COSTO_FINANCIERO = '3' WHERE ID_TABLA = '25';</v>
      </c>
    </row>
    <row r="27" spans="1:10">
      <c r="A27" s="620">
        <v>26</v>
      </c>
      <c r="B27" s="620">
        <v>1</v>
      </c>
      <c r="C27" s="620">
        <v>21</v>
      </c>
      <c r="D27" s="620" t="s">
        <v>4398</v>
      </c>
      <c r="E27" s="622">
        <v>0</v>
      </c>
      <c r="F27" s="622">
        <v>0</v>
      </c>
      <c r="G27" s="623">
        <v>0</v>
      </c>
      <c r="H27" s="622">
        <v>0</v>
      </c>
      <c r="I27" s="623">
        <v>0</v>
      </c>
      <c r="J27" s="626" t="str">
        <f t="shared" si="0"/>
        <v>UPDATE municipios_visitas_2 SET COSTO_INGENIERIA = '0', COSTO_ADMIN_OBRA = '0', COSTO_INSPECTOR = '0', COSTO_INTERVENTORIA = '0', COSTO_FINANCIERO = '0' WHERE ID_TABLA = '26';</v>
      </c>
    </row>
    <row r="28" spans="1:10">
      <c r="A28" s="620">
        <v>53</v>
      </c>
      <c r="B28" s="620">
        <v>41</v>
      </c>
      <c r="C28" s="620">
        <v>1</v>
      </c>
      <c r="D28" s="620" t="s">
        <v>4881</v>
      </c>
      <c r="E28" s="622">
        <v>5.3999999999999999E-2</v>
      </c>
      <c r="F28" s="622">
        <v>0.15</v>
      </c>
      <c r="G28" s="623">
        <v>0.05</v>
      </c>
      <c r="H28" s="622">
        <v>0.03</v>
      </c>
      <c r="I28" s="623">
        <v>3.3000000000000002E-2</v>
      </c>
      <c r="J28" s="626" t="str">
        <f t="shared" si="0"/>
        <v>UPDATE municipios_visitas_2 SET COSTO_INGENIERIA = '5,4', COSTO_ADMIN_OBRA = '15', COSTO_INSPECTOR = '5', COSTO_INTERVENTORIA = '3', COSTO_FINANCIERO = '3,3' WHERE ID_TABLA = '53';</v>
      </c>
    </row>
    <row r="29" spans="1:10">
      <c r="A29" s="620">
        <v>2</v>
      </c>
      <c r="B29" s="620">
        <v>6</v>
      </c>
      <c r="C29" s="620">
        <v>201</v>
      </c>
      <c r="D29" s="620" t="s">
        <v>4769</v>
      </c>
      <c r="E29" s="622">
        <v>0</v>
      </c>
      <c r="F29" s="622">
        <v>0</v>
      </c>
      <c r="G29" s="623">
        <v>0</v>
      </c>
      <c r="H29" s="622">
        <v>0</v>
      </c>
      <c r="I29" s="623">
        <v>0</v>
      </c>
      <c r="J29" s="626" t="str">
        <f t="shared" si="0"/>
        <v>UPDATE municipios_visitas_2 SET COSTO_INGENIERIA = '0', COSTO_ADMIN_OBRA = '0', COSTO_INSPECTOR = '0', COSTO_INTERVENTORIA = '0', COSTO_FINANCIERO = '0' WHERE ID_TABLA = '2';</v>
      </c>
    </row>
    <row r="30" spans="1:10">
      <c r="A30" s="620">
        <v>46</v>
      </c>
      <c r="B30" s="620">
        <v>54</v>
      </c>
      <c r="C30" s="620">
        <v>498</v>
      </c>
      <c r="D30" s="620" t="s">
        <v>4882</v>
      </c>
      <c r="E30" s="622">
        <v>7.0000000000000007E-2</v>
      </c>
      <c r="F30" s="622">
        <v>0.15</v>
      </c>
      <c r="G30" s="623">
        <v>0.01</v>
      </c>
      <c r="H30" s="622">
        <v>0.08</v>
      </c>
      <c r="I30" s="623">
        <v>0.03</v>
      </c>
      <c r="J30" s="626" t="str">
        <f t="shared" si="0"/>
        <v>UPDATE municipios_visitas_2 SET COSTO_INGENIERIA = '7', COSTO_ADMIN_OBRA = '15', COSTO_INSPECTOR = '1', COSTO_INTERVENTORIA = '8', COSTO_FINANCIERO = '3' WHERE ID_TABLA = '46';</v>
      </c>
    </row>
    <row r="31" spans="1:10">
      <c r="A31" s="620">
        <v>47</v>
      </c>
      <c r="B31" s="620">
        <v>54</v>
      </c>
      <c r="C31" s="620">
        <v>518</v>
      </c>
      <c r="D31" s="620" t="s">
        <v>4883</v>
      </c>
      <c r="E31" s="622">
        <v>0.1</v>
      </c>
      <c r="F31" s="622">
        <v>0.15</v>
      </c>
      <c r="G31" s="623">
        <v>0.01</v>
      </c>
      <c r="H31" s="622">
        <v>0</v>
      </c>
      <c r="I31" s="623">
        <v>0.03</v>
      </c>
      <c r="J31" s="626" t="str">
        <f t="shared" si="0"/>
        <v>UPDATE municipios_visitas_2 SET COSTO_INGENIERIA = '10', COSTO_ADMIN_OBRA = '15', COSTO_INSPECTOR = '1', COSTO_INTERVENTORIA = '0', COSTO_FINANCIERO = '3' WHERE ID_TABLA = '47';</v>
      </c>
    </row>
    <row r="32" spans="1:10">
      <c r="A32" s="620">
        <v>40</v>
      </c>
      <c r="B32" s="620">
        <v>41</v>
      </c>
      <c r="C32" s="620">
        <v>551</v>
      </c>
      <c r="D32" s="620" t="s">
        <v>4781</v>
      </c>
      <c r="E32" s="622">
        <v>0.1</v>
      </c>
      <c r="F32" s="622">
        <v>0.1</v>
      </c>
      <c r="G32" s="623">
        <v>0.01</v>
      </c>
      <c r="H32" s="622">
        <v>0</v>
      </c>
      <c r="I32" s="623">
        <v>0.03</v>
      </c>
      <c r="J32" s="626" t="str">
        <f t="shared" si="0"/>
        <v>UPDATE municipios_visitas_2 SET COSTO_INGENIERIA = '10', COSTO_ADMIN_OBRA = '10', COSTO_INSPECTOR = '1', COSTO_INTERVENTORIA = '0', COSTO_FINANCIERO = '3' WHERE ID_TABLA = '40';</v>
      </c>
    </row>
    <row r="33" spans="1:10">
      <c r="A33" s="620">
        <v>48</v>
      </c>
      <c r="B33" s="620">
        <v>54</v>
      </c>
      <c r="C33" s="620">
        <v>553</v>
      </c>
      <c r="D33" s="620" t="s">
        <v>4884</v>
      </c>
      <c r="E33" s="622">
        <v>0.1</v>
      </c>
      <c r="F33" s="622">
        <v>0.15</v>
      </c>
      <c r="G33" s="623">
        <v>0.01</v>
      </c>
      <c r="H33" s="622">
        <v>0</v>
      </c>
      <c r="I33" s="623">
        <v>0.03</v>
      </c>
      <c r="J33" s="626" t="str">
        <f t="shared" si="0"/>
        <v>UPDATE municipios_visitas_2 SET COSTO_INGENIERIA = '10', COSTO_ADMIN_OBRA = '15', COSTO_INSPECTOR = '1', COSTO_INTERVENTORIA = '0', COSTO_FINANCIERO = '3' WHERE ID_TABLA = '48';</v>
      </c>
    </row>
    <row r="34" spans="1:10">
      <c r="A34" s="620">
        <v>3</v>
      </c>
      <c r="B34" s="620">
        <v>8</v>
      </c>
      <c r="C34" s="620">
        <v>182</v>
      </c>
      <c r="D34" s="620" t="s">
        <v>4731</v>
      </c>
      <c r="E34" s="622">
        <v>0.1</v>
      </c>
      <c r="F34" s="622">
        <v>0.1</v>
      </c>
      <c r="G34" s="623">
        <v>0.01</v>
      </c>
      <c r="H34" s="622">
        <v>0</v>
      </c>
      <c r="I34" s="623">
        <v>0.03</v>
      </c>
      <c r="J34" s="626" t="str">
        <f t="shared" si="0"/>
        <v>UPDATE municipios_visitas_2 SET COSTO_INGENIERIA = '10', COSTO_ADMIN_OBRA = '10', COSTO_INSPECTOR = '1', COSTO_INTERVENTORIA = '0', COSTO_FINANCIERO = '3' WHERE ID_TABLA = '3';</v>
      </c>
    </row>
    <row r="35" spans="1:10">
      <c r="A35" s="620">
        <v>27</v>
      </c>
      <c r="B35" s="620">
        <v>1</v>
      </c>
      <c r="C35" s="620">
        <v>28</v>
      </c>
      <c r="D35" s="620" t="s">
        <v>4885</v>
      </c>
      <c r="E35" s="622">
        <v>0.05</v>
      </c>
      <c r="F35" s="622">
        <v>0.1</v>
      </c>
      <c r="G35" s="623">
        <v>0.01</v>
      </c>
      <c r="H35" s="622">
        <v>0</v>
      </c>
      <c r="I35" s="623">
        <v>0.03</v>
      </c>
      <c r="J35" s="626" t="str">
        <f t="shared" si="0"/>
        <v>UPDATE municipios_visitas_2 SET COSTO_INGENIERIA = '5', COSTO_ADMIN_OBRA = '10', COSTO_INSPECTOR = '1', COSTO_INTERVENTORIA = '0', COSTO_FINANCIERO = '3' WHERE ID_TABLA = '27';</v>
      </c>
    </row>
    <row r="36" spans="1:10">
      <c r="A36" s="620">
        <v>28</v>
      </c>
      <c r="B36" s="620">
        <v>1</v>
      </c>
      <c r="C36" s="620">
        <v>30</v>
      </c>
      <c r="D36" s="620" t="s">
        <v>4886</v>
      </c>
      <c r="E36" s="622">
        <v>0.1</v>
      </c>
      <c r="F36" s="622">
        <v>0.1</v>
      </c>
      <c r="G36" s="623">
        <v>0.01</v>
      </c>
      <c r="H36" s="622">
        <v>0</v>
      </c>
      <c r="I36" s="623">
        <v>0.03</v>
      </c>
      <c r="J36" s="626" t="str">
        <f t="shared" si="0"/>
        <v>UPDATE municipios_visitas_2 SET COSTO_INGENIERIA = '10', COSTO_ADMIN_OBRA = '10', COSTO_INSPECTOR = '1', COSTO_INTERVENTORIA = '0', COSTO_FINANCIERO = '3' WHERE ID_TABLA = '28';</v>
      </c>
    </row>
    <row r="37" spans="1:10">
      <c r="A37" s="620">
        <v>44</v>
      </c>
      <c r="B37" s="620">
        <v>54</v>
      </c>
      <c r="C37" s="620">
        <v>1</v>
      </c>
      <c r="D37" s="620" t="s">
        <v>4887</v>
      </c>
      <c r="E37" s="622">
        <v>7.0000000000000007E-2</v>
      </c>
      <c r="F37" s="622">
        <v>0.09</v>
      </c>
      <c r="G37" s="623">
        <v>0.01</v>
      </c>
      <c r="H37" s="622">
        <v>0</v>
      </c>
      <c r="I37" s="623">
        <v>0.03</v>
      </c>
      <c r="J37" s="626" t="str">
        <f t="shared" si="0"/>
        <v>UPDATE municipios_visitas_2 SET COSTO_INGENIERIA = '7', COSTO_ADMIN_OBRA = '9', COSTO_INSPECTOR = '1', COSTO_INTERVENTORIA = '0', COSTO_FINANCIERO = '3' WHERE ID_TABLA = '44';</v>
      </c>
    </row>
    <row r="38" spans="1:10">
      <c r="A38" s="620">
        <v>4</v>
      </c>
      <c r="B38" s="620">
        <v>8</v>
      </c>
      <c r="C38" s="620">
        <v>183</v>
      </c>
      <c r="D38" s="620" t="s">
        <v>4888</v>
      </c>
      <c r="E38" s="622">
        <v>0</v>
      </c>
      <c r="F38" s="622">
        <v>0</v>
      </c>
      <c r="G38" s="623">
        <v>0</v>
      </c>
      <c r="H38" s="622">
        <v>0</v>
      </c>
      <c r="I38" s="623">
        <v>0</v>
      </c>
      <c r="J38" s="626" t="str">
        <f t="shared" si="0"/>
        <v>UPDATE municipios_visitas_2 SET COSTO_INGENIERIA = '0', COSTO_ADMIN_OBRA = '0', COSTO_INSPECTOR = '0', COSTO_INTERVENTORIA = '0', COSTO_FINANCIERO = '0' WHERE ID_TABLA = '4';</v>
      </c>
    </row>
    <row r="39" spans="1:10">
      <c r="A39" s="620">
        <v>29</v>
      </c>
      <c r="B39" s="620">
        <v>1</v>
      </c>
      <c r="C39" s="620">
        <v>32</v>
      </c>
      <c r="D39" s="620" t="s">
        <v>4889</v>
      </c>
      <c r="E39" s="622">
        <v>0.1</v>
      </c>
      <c r="F39" s="622">
        <v>0.1</v>
      </c>
      <c r="G39" s="623">
        <v>0.01</v>
      </c>
      <c r="H39" s="622">
        <v>0</v>
      </c>
      <c r="I39" s="623">
        <v>0.03</v>
      </c>
      <c r="J39" s="626" t="str">
        <f t="shared" si="0"/>
        <v>UPDATE municipios_visitas_2 SET COSTO_INGENIERIA = '10', COSTO_ADMIN_OBRA = '10', COSTO_INSPECTOR = '1', COSTO_INTERVENTORIA = '0', COSTO_FINANCIERO = '3' WHERE ID_TABLA = '29';</v>
      </c>
    </row>
    <row r="40" spans="1:10">
      <c r="A40" s="620">
        <v>30</v>
      </c>
      <c r="B40" s="620">
        <v>1</v>
      </c>
      <c r="C40" s="620">
        <v>33</v>
      </c>
      <c r="D40" s="620" t="s">
        <v>4890</v>
      </c>
      <c r="E40" s="622">
        <v>0</v>
      </c>
      <c r="F40" s="622">
        <v>0</v>
      </c>
      <c r="G40" s="623">
        <v>0</v>
      </c>
      <c r="H40" s="622">
        <v>0</v>
      </c>
      <c r="I40" s="623">
        <v>0</v>
      </c>
      <c r="J40" s="626" t="str">
        <f t="shared" si="0"/>
        <v>UPDATE municipios_visitas_2 SET COSTO_INGENIERIA = '0', COSTO_ADMIN_OBRA = '0', COSTO_INSPECTOR = '0', COSTO_INTERVENTORIA = '0', COSTO_FINANCIERO = '0' WHERE ID_TABLA = '30';</v>
      </c>
    </row>
    <row r="41" spans="1:10">
      <c r="A41" s="620">
        <v>1</v>
      </c>
      <c r="B41" s="620">
        <v>3</v>
      </c>
      <c r="C41" s="620">
        <v>92</v>
      </c>
      <c r="D41" s="620" t="s">
        <v>4835</v>
      </c>
      <c r="E41" s="622">
        <v>0</v>
      </c>
      <c r="F41" s="622">
        <v>0</v>
      </c>
      <c r="G41" s="623">
        <v>0</v>
      </c>
      <c r="H41" s="622">
        <v>0</v>
      </c>
      <c r="I41" s="623">
        <v>0</v>
      </c>
      <c r="J41" s="626" t="str">
        <f t="shared" si="0"/>
        <v>UPDATE municipios_visitas_2 SET COSTO_INGENIERIA = '0', COSTO_ADMIN_OBRA = '0', COSTO_INSPECTOR = '0', COSTO_INTERVENTORIA = '0', COSTO_FINANCIERO = '0' WHERE ID_TABLA = '1';</v>
      </c>
    </row>
    <row r="42" spans="1:10">
      <c r="A42" s="620">
        <v>31</v>
      </c>
      <c r="B42" s="620">
        <v>1</v>
      </c>
      <c r="C42" s="620">
        <v>36</v>
      </c>
      <c r="D42" s="620" t="s">
        <v>4891</v>
      </c>
      <c r="E42" s="622">
        <v>0.05</v>
      </c>
      <c r="F42" s="622">
        <v>0.1</v>
      </c>
      <c r="G42" s="623">
        <v>0.01</v>
      </c>
      <c r="H42" s="622">
        <v>0</v>
      </c>
      <c r="I42" s="623">
        <v>0.03</v>
      </c>
      <c r="J42" s="626" t="str">
        <f t="shared" si="0"/>
        <v>UPDATE municipios_visitas_2 SET COSTO_INGENIERIA = '5', COSTO_ADMIN_OBRA = '10', COSTO_INSPECTOR = '1', COSTO_INTERVENTORIA = '0', COSTO_FINANCIERO = '3' WHERE ID_TABLA = '31';</v>
      </c>
    </row>
    <row r="43" spans="1:10">
      <c r="A43" s="620">
        <v>51</v>
      </c>
      <c r="B43" s="620">
        <v>54</v>
      </c>
      <c r="C43" s="620">
        <v>720</v>
      </c>
      <c r="D43" s="620" t="s">
        <v>4892</v>
      </c>
      <c r="E43" s="622">
        <v>0.1</v>
      </c>
      <c r="F43" s="622">
        <v>0.1</v>
      </c>
      <c r="G43" s="623">
        <v>0.01</v>
      </c>
      <c r="H43" s="622">
        <v>0</v>
      </c>
      <c r="I43" s="623">
        <v>0.03</v>
      </c>
      <c r="J43" s="626" t="str">
        <f t="shared" si="0"/>
        <v>UPDATE municipios_visitas_2 SET COSTO_INGENIERIA = '10', COSTO_ADMIN_OBRA = '10', COSTO_INSPECTOR = '1', COSTO_INTERVENTORIA = '0', COSTO_FINANCIERO = '3' WHERE ID_TABLA = '51';</v>
      </c>
    </row>
    <row r="44" spans="1:10">
      <c r="A44" s="620">
        <v>32</v>
      </c>
      <c r="B44" s="620">
        <v>1</v>
      </c>
      <c r="C44" s="620">
        <v>40</v>
      </c>
      <c r="D44" s="620" t="s">
        <v>4893</v>
      </c>
      <c r="E44" s="622">
        <v>0</v>
      </c>
      <c r="F44" s="622">
        <v>0</v>
      </c>
      <c r="G44" s="623">
        <v>0</v>
      </c>
      <c r="H44" s="622">
        <v>0</v>
      </c>
      <c r="I44" s="623">
        <v>0</v>
      </c>
      <c r="J44" s="626" t="str">
        <f t="shared" si="0"/>
        <v>UPDATE municipios_visitas_2 SET COSTO_INGENIERIA = '0', COSTO_ADMIN_OBRA = '0', COSTO_INSPECTOR = '0', COSTO_INTERVENTORIA = '0', COSTO_FINANCIERO = '0' WHERE ID_TABLA = '32';</v>
      </c>
    </row>
    <row r="45" spans="1:10">
      <c r="A45" s="620">
        <v>49</v>
      </c>
      <c r="B45" s="620">
        <v>54</v>
      </c>
      <c r="C45" s="620">
        <v>810</v>
      </c>
      <c r="D45" s="620" t="s">
        <v>4894</v>
      </c>
      <c r="E45" s="622">
        <v>0.1</v>
      </c>
      <c r="F45" s="622">
        <v>0.15</v>
      </c>
      <c r="G45" s="623">
        <v>0.01</v>
      </c>
      <c r="H45" s="622">
        <v>0</v>
      </c>
      <c r="I45" s="623">
        <v>0.03</v>
      </c>
      <c r="J45" s="626" t="str">
        <f t="shared" si="0"/>
        <v>UPDATE municipios_visitas_2 SET COSTO_INGENIERIA = '10', COSTO_ADMIN_OBRA = '15', COSTO_INSPECTOR = '1', COSTO_INTERVENTORIA = '0', COSTO_FINANCIERO = '3' WHERE ID_TABLA = '49';</v>
      </c>
    </row>
    <row r="46" spans="1:10">
      <c r="A46" s="620">
        <v>33</v>
      </c>
      <c r="B46" s="620">
        <v>1</v>
      </c>
      <c r="C46" s="620">
        <v>42</v>
      </c>
      <c r="D46" s="620" t="s">
        <v>4895</v>
      </c>
      <c r="E46" s="622">
        <v>7.0000000000000007E-2</v>
      </c>
      <c r="F46" s="622">
        <v>0.1</v>
      </c>
      <c r="G46" s="623">
        <v>0.01</v>
      </c>
      <c r="H46" s="622">
        <v>0</v>
      </c>
      <c r="I46" s="623">
        <v>0.03</v>
      </c>
      <c r="J46" s="626" t="str">
        <f t="shared" si="0"/>
        <v>UPDATE municipios_visitas_2 SET COSTO_INGENIERIA = '7', COSTO_ADMIN_OBRA = '10', COSTO_INSPECTOR = '1', COSTO_INTERVENTORIA = '0', COSTO_FINANCIERO = '3' WHERE ID_TABLA = '33';</v>
      </c>
    </row>
    <row r="47" spans="1:10">
      <c r="A47" s="620">
        <v>34</v>
      </c>
      <c r="B47" s="620">
        <v>1</v>
      </c>
      <c r="C47" s="620">
        <v>43</v>
      </c>
      <c r="D47" s="620" t="s">
        <v>4896</v>
      </c>
      <c r="E47" s="622">
        <v>0.1</v>
      </c>
      <c r="F47" s="622">
        <v>0.1</v>
      </c>
      <c r="G47" s="623">
        <v>0.01</v>
      </c>
      <c r="H47" s="622">
        <v>0</v>
      </c>
      <c r="I47" s="623">
        <v>0.03</v>
      </c>
      <c r="J47" s="626" t="str">
        <f t="shared" si="0"/>
        <v>UPDATE municipios_visitas_2 SET COSTO_INGENIERIA = '10', COSTO_ADMIN_OBRA = '10', COSTO_INSPECTOR = '1', COSTO_INTERVENTORIA = '0', COSTO_FINANCIERO = '3' WHERE ID_TABLA = '34';</v>
      </c>
    </row>
    <row r="48" spans="1:10">
      <c r="A48" s="620">
        <v>50</v>
      </c>
      <c r="B48" s="620">
        <v>25</v>
      </c>
      <c r="C48" s="620">
        <v>843</v>
      </c>
      <c r="D48" s="620" t="s">
        <v>4897</v>
      </c>
      <c r="E48" s="622">
        <v>0.1</v>
      </c>
      <c r="F48" s="622">
        <v>0.13</v>
      </c>
      <c r="G48" s="623">
        <v>0.01</v>
      </c>
      <c r="H48" s="622">
        <v>0</v>
      </c>
      <c r="I48" s="623">
        <v>0.03</v>
      </c>
      <c r="J48" s="626" t="str">
        <f t="shared" si="0"/>
        <v>UPDATE municipios_visitas_2 SET COSTO_INGENIERIA = '10', COSTO_ADMIN_OBRA = '13', COSTO_INSPECTOR = '1', COSTO_INTERVENTORIA = '0', COSTO_FINANCIERO = '3' WHERE ID_TABLA = '50';</v>
      </c>
    </row>
    <row r="49" spans="1:10">
      <c r="A49" s="620">
        <v>5</v>
      </c>
      <c r="B49" s="620">
        <v>8</v>
      </c>
      <c r="C49" s="620">
        <v>185</v>
      </c>
      <c r="D49" s="620" t="s">
        <v>4898</v>
      </c>
      <c r="E49" s="622">
        <v>0</v>
      </c>
      <c r="F49" s="622">
        <v>0</v>
      </c>
      <c r="G49" s="623">
        <v>0</v>
      </c>
      <c r="H49" s="622">
        <v>0</v>
      </c>
      <c r="I49" s="623">
        <v>0</v>
      </c>
      <c r="J49" s="626" t="str">
        <f t="shared" si="0"/>
        <v>UPDATE municipios_visitas_2 SET COSTO_INGENIERIA = '0', COSTO_ADMIN_OBRA = '0', COSTO_INSPECTOR = '0', COSTO_INTERVENTORIA = '0', COSTO_FINANCIERO = '0' WHERE ID_TABLA = '5';</v>
      </c>
    </row>
    <row r="50" spans="1:10">
      <c r="A50" s="620">
        <v>52</v>
      </c>
      <c r="B50" s="620">
        <v>54</v>
      </c>
      <c r="C50" s="620">
        <v>874</v>
      </c>
      <c r="D50" s="620" t="s">
        <v>4899</v>
      </c>
      <c r="E50" s="622">
        <v>0</v>
      </c>
      <c r="F50" s="622">
        <v>0</v>
      </c>
      <c r="G50" s="623">
        <v>0</v>
      </c>
      <c r="H50" s="622">
        <v>0</v>
      </c>
      <c r="I50" s="623">
        <v>0</v>
      </c>
      <c r="J50" s="626" t="str">
        <f t="shared" si="0"/>
        <v>UPDATE municipios_visitas_2 SET COSTO_INGENIERIA = '0', COSTO_ADMIN_OBRA = '0', COSTO_INSPECTOR = '0', COSTO_INTERVENTORIA = '0', COSTO_FINANCIERO = '0' WHERE ID_TABLA = '52';</v>
      </c>
    </row>
    <row r="51" spans="1:10">
      <c r="A51" s="620">
        <v>35</v>
      </c>
      <c r="B51" s="620">
        <v>1</v>
      </c>
      <c r="C51" s="620">
        <v>44</v>
      </c>
      <c r="D51" s="620" t="s">
        <v>4900</v>
      </c>
      <c r="E51" s="622">
        <v>0.1</v>
      </c>
      <c r="F51" s="622">
        <v>0.1</v>
      </c>
      <c r="G51" s="623">
        <v>0.01</v>
      </c>
      <c r="H51" s="622">
        <v>0</v>
      </c>
      <c r="I51" s="623">
        <v>0.03</v>
      </c>
      <c r="J51" s="626" t="str">
        <f t="shared" si="0"/>
        <v>UPDATE municipios_visitas_2 SET COSTO_INGENIERIA = '10', COSTO_ADMIN_OBRA = '10', COSTO_INSPECTOR = '1', COSTO_INTERVENTORIA = '0', COSTO_FINANCIERO = '3' WHERE ID_TABLA = '35';</v>
      </c>
    </row>
  </sheetData>
  <autoFilter ref="A1:J51" xr:uid="{F4EC7769-BC53-41F8-9D27-08C5802FE46C}"/>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B2:L18"/>
  <sheetViews>
    <sheetView workbookViewId="0">
      <selection activeCell="C4" sqref="C4"/>
    </sheetView>
  </sheetViews>
  <sheetFormatPr baseColWidth="10" defaultRowHeight="14.4"/>
  <cols>
    <col min="2" max="2" width="35.6640625" customWidth="1"/>
    <col min="3" max="3" width="38.88671875" customWidth="1"/>
    <col min="4" max="4" width="22.5546875" customWidth="1"/>
    <col min="5" max="5" width="26.88671875" customWidth="1"/>
    <col min="6" max="6" width="46.109375" customWidth="1"/>
    <col min="7" max="7" width="43.88671875" customWidth="1"/>
    <col min="8" max="8" width="17" customWidth="1"/>
    <col min="10" max="10" width="14.88671875" customWidth="1"/>
  </cols>
  <sheetData>
    <row r="2" spans="2:12">
      <c r="B2" s="282" t="s">
        <v>4397</v>
      </c>
      <c r="C2" s="282" t="s">
        <v>4399</v>
      </c>
      <c r="D2" s="282" t="s">
        <v>4369</v>
      </c>
      <c r="E2" s="282" t="s">
        <v>4370</v>
      </c>
      <c r="F2" s="282" t="s">
        <v>4371</v>
      </c>
      <c r="G2" s="282" t="s">
        <v>4374</v>
      </c>
      <c r="H2" s="592" t="s">
        <v>4384</v>
      </c>
      <c r="I2" s="592"/>
      <c r="J2" s="592" t="s">
        <v>4385</v>
      </c>
      <c r="K2" s="592"/>
      <c r="L2" s="282" t="s">
        <v>4386</v>
      </c>
    </row>
    <row r="3" spans="2:12">
      <c r="B3" s="282" t="s">
        <v>4398</v>
      </c>
      <c r="C3" s="282" t="s">
        <v>8</v>
      </c>
      <c r="D3" s="283"/>
      <c r="E3" s="282"/>
      <c r="F3" s="284"/>
      <c r="G3" s="282" t="s">
        <v>4372</v>
      </c>
      <c r="H3" s="282" t="s">
        <v>4387</v>
      </c>
      <c r="I3" s="285">
        <v>0.11</v>
      </c>
      <c r="J3" s="282" t="s">
        <v>4392</v>
      </c>
      <c r="K3" s="282">
        <f>10/1000</f>
        <v>0.01</v>
      </c>
      <c r="L3" s="285">
        <v>0.15</v>
      </c>
    </row>
    <row r="4" spans="2:12">
      <c r="B4" s="282" t="s">
        <v>4731</v>
      </c>
      <c r="C4" s="282" t="s">
        <v>4400</v>
      </c>
      <c r="D4" s="283"/>
      <c r="E4" s="282"/>
      <c r="F4" s="284"/>
      <c r="G4" s="282" t="s">
        <v>4376</v>
      </c>
      <c r="H4" s="282" t="s">
        <v>4388</v>
      </c>
      <c r="I4" s="285">
        <v>0.04</v>
      </c>
      <c r="J4" s="282" t="s">
        <v>4393</v>
      </c>
      <c r="K4" s="282">
        <f>8/1000</f>
        <v>8.0000000000000002E-3</v>
      </c>
      <c r="L4" s="282"/>
    </row>
    <row r="5" spans="2:12">
      <c r="B5" s="282" t="s">
        <v>4766</v>
      </c>
      <c r="C5" s="282" t="s">
        <v>4732</v>
      </c>
      <c r="D5" s="283"/>
      <c r="E5" s="282"/>
      <c r="F5" s="284"/>
      <c r="G5" s="282" t="s">
        <v>4375</v>
      </c>
      <c r="H5" s="282" t="s">
        <v>4389</v>
      </c>
      <c r="I5" s="285">
        <v>0.04</v>
      </c>
      <c r="J5" s="282"/>
      <c r="K5" s="282"/>
      <c r="L5" s="282"/>
    </row>
    <row r="6" spans="2:12">
      <c r="B6" s="282" t="s">
        <v>4768</v>
      </c>
      <c r="C6" s="282" t="s">
        <v>4903</v>
      </c>
      <c r="D6" s="283"/>
      <c r="E6" s="282"/>
      <c r="F6" s="284"/>
      <c r="G6" s="282" t="s">
        <v>4373</v>
      </c>
      <c r="H6" s="282" t="s">
        <v>4390</v>
      </c>
      <c r="I6" s="286">
        <v>2.5000000000000001E-2</v>
      </c>
      <c r="J6" s="282"/>
      <c r="K6" s="282"/>
      <c r="L6" s="282"/>
    </row>
    <row r="7" spans="2:12">
      <c r="B7" s="282" t="s">
        <v>4769</v>
      </c>
      <c r="C7" s="282" t="s">
        <v>4732</v>
      </c>
      <c r="D7" s="283"/>
      <c r="E7" s="282"/>
      <c r="F7" s="284"/>
      <c r="G7" s="282" t="s">
        <v>4377</v>
      </c>
      <c r="H7" s="282" t="s">
        <v>4391</v>
      </c>
      <c r="I7" s="285">
        <v>0.02</v>
      </c>
      <c r="J7" s="282"/>
      <c r="K7" s="282"/>
      <c r="L7" s="282"/>
    </row>
    <row r="8" spans="2:12">
      <c r="B8" s="282" t="s">
        <v>4781</v>
      </c>
      <c r="C8" s="282" t="s">
        <v>4732</v>
      </c>
      <c r="D8" s="283"/>
      <c r="E8" s="282"/>
      <c r="F8" s="284"/>
      <c r="G8" s="282" t="s">
        <v>4378</v>
      </c>
      <c r="H8" s="282"/>
      <c r="I8" s="282"/>
      <c r="J8" s="282"/>
      <c r="K8" s="282"/>
      <c r="L8" s="282"/>
    </row>
    <row r="9" spans="2:12">
      <c r="B9" s="282" t="s">
        <v>4788</v>
      </c>
      <c r="C9" s="282" t="s">
        <v>4789</v>
      </c>
      <c r="D9" s="283"/>
      <c r="E9" s="282"/>
      <c r="F9" s="284"/>
      <c r="G9" s="282" t="s">
        <v>4379</v>
      </c>
      <c r="H9" s="282"/>
      <c r="I9" s="282"/>
      <c r="J9" s="282"/>
      <c r="K9" s="282"/>
      <c r="L9" s="282"/>
    </row>
    <row r="10" spans="2:12">
      <c r="B10" s="282" t="s">
        <v>4791</v>
      </c>
      <c r="C10" s="282" t="s">
        <v>4400</v>
      </c>
      <c r="D10" s="283"/>
      <c r="E10" s="282"/>
      <c r="F10" s="284"/>
      <c r="G10" s="282"/>
      <c r="H10" s="282"/>
      <c r="I10" s="282"/>
      <c r="J10" s="282"/>
      <c r="K10" s="282"/>
      <c r="L10" s="282"/>
    </row>
    <row r="11" spans="2:12">
      <c r="B11" s="282" t="s">
        <v>4821</v>
      </c>
      <c r="C11" s="282" t="s">
        <v>4400</v>
      </c>
      <c r="D11" s="283"/>
      <c r="E11" s="282"/>
      <c r="F11" s="284"/>
      <c r="G11" s="282"/>
      <c r="H11" s="282"/>
      <c r="I11" s="282"/>
      <c r="J11" s="282"/>
      <c r="K11" s="282"/>
      <c r="L11" s="282"/>
    </row>
    <row r="12" spans="2:12">
      <c r="B12" s="282" t="s">
        <v>4822</v>
      </c>
      <c r="C12" s="282" t="s">
        <v>4400</v>
      </c>
      <c r="D12" s="283"/>
      <c r="E12" s="282"/>
      <c r="F12" s="284"/>
      <c r="G12" s="282"/>
      <c r="H12" s="282"/>
      <c r="I12" s="282"/>
      <c r="J12" s="282"/>
      <c r="K12" s="282"/>
      <c r="L12" s="282"/>
    </row>
    <row r="13" spans="2:12">
      <c r="B13" s="282" t="s">
        <v>4835</v>
      </c>
      <c r="C13" s="282" t="s">
        <v>4400</v>
      </c>
      <c r="D13" s="283"/>
      <c r="E13" s="282"/>
      <c r="F13" s="284"/>
      <c r="G13" s="282"/>
      <c r="H13" s="282"/>
      <c r="I13" s="282"/>
      <c r="J13" s="282"/>
      <c r="K13" s="282"/>
      <c r="L13" s="282"/>
    </row>
    <row r="14" spans="2:12">
      <c r="B14" s="282"/>
      <c r="C14" s="282"/>
      <c r="D14" s="283"/>
      <c r="E14" s="282"/>
      <c r="F14" s="284"/>
      <c r="G14" s="282"/>
      <c r="H14" s="282"/>
      <c r="I14" s="282"/>
      <c r="J14" s="282"/>
      <c r="K14" s="282"/>
      <c r="L14" s="282"/>
    </row>
    <row r="15" spans="2:12">
      <c r="B15" s="282"/>
      <c r="C15" s="282"/>
      <c r="D15" s="283"/>
      <c r="E15" s="282"/>
      <c r="F15" s="284"/>
      <c r="G15" s="282"/>
      <c r="H15" s="282"/>
      <c r="I15" s="282"/>
      <c r="J15" s="282"/>
      <c r="K15" s="282"/>
      <c r="L15" s="282"/>
    </row>
    <row r="16" spans="2:12">
      <c r="B16" s="282"/>
      <c r="C16" s="282"/>
      <c r="D16" s="283"/>
      <c r="E16" s="282"/>
      <c r="F16" s="284"/>
      <c r="G16" s="282"/>
      <c r="H16" s="282"/>
      <c r="I16" s="282"/>
      <c r="J16" s="282"/>
      <c r="K16" s="282"/>
      <c r="L16" s="282"/>
    </row>
    <row r="17" spans="2:6">
      <c r="B17" s="330"/>
      <c r="C17" s="330"/>
      <c r="D17" s="331"/>
      <c r="F17" s="332"/>
    </row>
    <row r="18" spans="2:6">
      <c r="B18" s="330"/>
      <c r="C18" s="330"/>
      <c r="D18" s="331"/>
      <c r="F18" s="332"/>
    </row>
  </sheetData>
  <mergeCells count="2">
    <mergeCell ref="H2:I2"/>
    <mergeCell ref="J2:K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D4:I16"/>
  <sheetViews>
    <sheetView workbookViewId="0">
      <selection activeCell="E22" sqref="E22"/>
    </sheetView>
  </sheetViews>
  <sheetFormatPr baseColWidth="10" defaultRowHeight="14.4"/>
  <sheetData>
    <row r="4" spans="4:9">
      <c r="D4" s="370" t="s">
        <v>4751</v>
      </c>
      <c r="E4" s="371"/>
      <c r="F4" s="371"/>
      <c r="G4" s="371"/>
      <c r="H4" s="371"/>
      <c r="I4" s="372"/>
    </row>
    <row r="5" spans="4:9">
      <c r="D5" s="370" t="s">
        <v>4752</v>
      </c>
      <c r="E5" s="371"/>
      <c r="F5" s="371"/>
      <c r="G5" s="371"/>
      <c r="H5" s="371"/>
      <c r="I5" s="372"/>
    </row>
    <row r="6" spans="4:9">
      <c r="D6" s="370" t="s">
        <v>4753</v>
      </c>
      <c r="E6" s="371"/>
      <c r="F6" s="371"/>
      <c r="G6" s="371"/>
      <c r="H6" s="371"/>
      <c r="I6" s="372"/>
    </row>
    <row r="7" spans="4:9">
      <c r="D7" s="370" t="s">
        <v>4754</v>
      </c>
      <c r="E7" s="371"/>
      <c r="F7" s="371"/>
      <c r="G7" s="371"/>
      <c r="H7" s="371"/>
      <c r="I7" s="372"/>
    </row>
    <row r="8" spans="4:9">
      <c r="D8" s="370" t="s">
        <v>4755</v>
      </c>
      <c r="E8" s="371" t="s">
        <v>4755</v>
      </c>
      <c r="F8" s="371" t="s">
        <v>4755</v>
      </c>
      <c r="G8" s="371" t="s">
        <v>4755</v>
      </c>
      <c r="H8" s="371" t="s">
        <v>4755</v>
      </c>
      <c r="I8" s="372" t="s">
        <v>4755</v>
      </c>
    </row>
    <row r="9" spans="4:9">
      <c r="D9" s="370" t="s">
        <v>4756</v>
      </c>
      <c r="E9" s="371" t="s">
        <v>4756</v>
      </c>
      <c r="F9" s="371" t="s">
        <v>4756</v>
      </c>
      <c r="G9" s="371" t="s">
        <v>4756</v>
      </c>
      <c r="H9" s="371" t="s">
        <v>4756</v>
      </c>
      <c r="I9" s="372" t="s">
        <v>4756</v>
      </c>
    </row>
    <row r="10" spans="4:9">
      <c r="D10" s="370" t="s">
        <v>4757</v>
      </c>
      <c r="E10" s="371" t="s">
        <v>4757</v>
      </c>
      <c r="F10" s="371" t="s">
        <v>4757</v>
      </c>
      <c r="G10" s="371" t="s">
        <v>4757</v>
      </c>
      <c r="H10" s="371" t="s">
        <v>4757</v>
      </c>
      <c r="I10" s="372" t="s">
        <v>4757</v>
      </c>
    </row>
    <row r="11" spans="4:9">
      <c r="D11" s="370" t="s">
        <v>4758</v>
      </c>
      <c r="E11" s="371" t="s">
        <v>4758</v>
      </c>
      <c r="F11" s="371" t="s">
        <v>4758</v>
      </c>
      <c r="G11" s="371" t="s">
        <v>4758</v>
      </c>
      <c r="H11" s="371" t="s">
        <v>4758</v>
      </c>
      <c r="I11" s="372" t="s">
        <v>4758</v>
      </c>
    </row>
    <row r="12" spans="4:9">
      <c r="D12" s="370" t="s">
        <v>4759</v>
      </c>
      <c r="E12" s="371" t="s">
        <v>4759</v>
      </c>
      <c r="F12" s="371" t="s">
        <v>4759</v>
      </c>
      <c r="G12" s="371" t="s">
        <v>4759</v>
      </c>
      <c r="H12" s="371" t="s">
        <v>4759</v>
      </c>
      <c r="I12" s="372" t="s">
        <v>4759</v>
      </c>
    </row>
    <row r="13" spans="4:9">
      <c r="D13" s="370" t="s">
        <v>4760</v>
      </c>
      <c r="E13" s="371" t="s">
        <v>4760</v>
      </c>
      <c r="F13" s="371" t="s">
        <v>4760</v>
      </c>
      <c r="G13" s="371" t="s">
        <v>4760</v>
      </c>
      <c r="H13" s="371" t="s">
        <v>4760</v>
      </c>
      <c r="I13" s="372" t="s">
        <v>4760</v>
      </c>
    </row>
    <row r="14" spans="4:9">
      <c r="D14" s="370" t="s">
        <v>4761</v>
      </c>
      <c r="E14" s="371" t="s">
        <v>4761</v>
      </c>
      <c r="F14" s="371" t="s">
        <v>4761</v>
      </c>
      <c r="G14" s="371" t="s">
        <v>4761</v>
      </c>
      <c r="H14" s="371" t="s">
        <v>4761</v>
      </c>
      <c r="I14" s="372" t="s">
        <v>4761</v>
      </c>
    </row>
    <row r="15" spans="4:9">
      <c r="D15" s="370" t="s">
        <v>4762</v>
      </c>
      <c r="E15" s="371" t="s">
        <v>4762</v>
      </c>
      <c r="F15" s="371" t="s">
        <v>4762</v>
      </c>
      <c r="G15" s="371" t="s">
        <v>4762</v>
      </c>
      <c r="H15" s="371" t="s">
        <v>4762</v>
      </c>
      <c r="I15" s="372" t="s">
        <v>4762</v>
      </c>
    </row>
    <row r="16" spans="4:9">
      <c r="D16" s="370" t="s">
        <v>4763</v>
      </c>
      <c r="E16" s="371" t="s">
        <v>4763</v>
      </c>
      <c r="F16" s="371" t="s">
        <v>4763</v>
      </c>
      <c r="G16" s="371" t="s">
        <v>4763</v>
      </c>
      <c r="H16" s="371" t="s">
        <v>4763</v>
      </c>
      <c r="I16" s="372" t="s">
        <v>4763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81">
    <tabColor rgb="FFFF0000"/>
  </sheetPr>
  <dimension ref="B1:J1434"/>
  <sheetViews>
    <sheetView showGridLines="0" topLeftCell="A229" workbookViewId="0">
      <selection activeCell="C724" sqref="C724"/>
    </sheetView>
  </sheetViews>
  <sheetFormatPr baseColWidth="10" defaultColWidth="11.44140625" defaultRowHeight="14.4"/>
  <cols>
    <col min="1" max="2" width="11.44140625" style="9"/>
    <col min="3" max="3" width="72.33203125" style="9" customWidth="1"/>
    <col min="4" max="4" width="12" style="9" customWidth="1"/>
    <col min="5" max="5" width="9.5546875" style="9" customWidth="1"/>
    <col min="6" max="6" width="17.6640625" style="9" customWidth="1"/>
    <col min="7" max="7" width="12" style="9" hidden="1" customWidth="1"/>
    <col min="8" max="10" width="11.44140625" style="9" hidden="1" customWidth="1"/>
    <col min="11" max="11" width="11.44140625" style="9" customWidth="1"/>
    <col min="12" max="16384" width="11.44140625" style="9"/>
  </cols>
  <sheetData>
    <row r="1" spans="2:6">
      <c r="B1" s="8" t="s">
        <v>6</v>
      </c>
      <c r="C1" s="8" t="s">
        <v>7</v>
      </c>
      <c r="D1" s="8" t="s">
        <v>6</v>
      </c>
      <c r="E1" s="8" t="s">
        <v>0</v>
      </c>
      <c r="F1" s="8" t="s">
        <v>2</v>
      </c>
    </row>
    <row r="2" spans="2:6">
      <c r="B2" s="8"/>
      <c r="C2" s="10" t="s">
        <v>8</v>
      </c>
      <c r="D2" s="10"/>
      <c r="E2" s="11" t="s">
        <v>8</v>
      </c>
      <c r="F2" s="12">
        <v>0</v>
      </c>
    </row>
    <row r="3" spans="2:6">
      <c r="B3" s="8" t="s">
        <v>9</v>
      </c>
      <c r="C3" s="13" t="s">
        <v>10</v>
      </c>
      <c r="D3" s="8" t="s">
        <v>11</v>
      </c>
      <c r="E3" s="14" t="s">
        <v>12</v>
      </c>
      <c r="F3" s="15">
        <v>18400</v>
      </c>
    </row>
    <row r="4" spans="2:6">
      <c r="B4" s="8" t="s">
        <v>13</v>
      </c>
      <c r="C4" s="13" t="s">
        <v>14</v>
      </c>
      <c r="D4" s="8" t="s">
        <v>15</v>
      </c>
      <c r="E4" s="14" t="s">
        <v>12</v>
      </c>
      <c r="F4" s="15">
        <v>27000</v>
      </c>
    </row>
    <row r="5" spans="2:6">
      <c r="B5" s="8" t="s">
        <v>16</v>
      </c>
      <c r="C5" s="13" t="s">
        <v>17</v>
      </c>
      <c r="D5" s="8" t="s">
        <v>18</v>
      </c>
      <c r="E5" s="14" t="s">
        <v>12</v>
      </c>
      <c r="F5" s="15">
        <v>36000</v>
      </c>
    </row>
    <row r="6" spans="2:6">
      <c r="B6" s="8" t="s">
        <v>19</v>
      </c>
      <c r="C6" s="16" t="s">
        <v>20</v>
      </c>
      <c r="D6" s="8" t="s">
        <v>21</v>
      </c>
      <c r="E6" s="14" t="s">
        <v>12</v>
      </c>
      <c r="F6" s="17">
        <v>2200</v>
      </c>
    </row>
    <row r="7" spans="2:6">
      <c r="B7" s="8" t="s">
        <v>22</v>
      </c>
      <c r="C7" s="18" t="s">
        <v>23</v>
      </c>
      <c r="D7" s="8" t="s">
        <v>24</v>
      </c>
      <c r="E7" s="19" t="s">
        <v>12</v>
      </c>
      <c r="F7" s="20">
        <v>45000</v>
      </c>
    </row>
    <row r="8" spans="2:6">
      <c r="B8" s="8" t="s">
        <v>25</v>
      </c>
      <c r="C8" s="18" t="s">
        <v>26</v>
      </c>
      <c r="D8" s="8" t="s">
        <v>27</v>
      </c>
      <c r="E8" s="19" t="s">
        <v>12</v>
      </c>
      <c r="F8" s="20">
        <v>2450</v>
      </c>
    </row>
    <row r="9" spans="2:6">
      <c r="B9" s="8" t="s">
        <v>28</v>
      </c>
      <c r="C9" s="18" t="s">
        <v>29</v>
      </c>
      <c r="D9" s="8" t="s">
        <v>30</v>
      </c>
      <c r="E9" s="19" t="s">
        <v>12</v>
      </c>
      <c r="F9" s="20">
        <v>300000</v>
      </c>
    </row>
    <row r="10" spans="2:6">
      <c r="B10" s="8" t="s">
        <v>31</v>
      </c>
      <c r="C10" s="18" t="s">
        <v>32</v>
      </c>
      <c r="D10" s="8" t="s">
        <v>33</v>
      </c>
      <c r="E10" s="19" t="s">
        <v>12</v>
      </c>
      <c r="F10" s="20">
        <v>235000</v>
      </c>
    </row>
    <row r="11" spans="2:6">
      <c r="B11" s="8" t="s">
        <v>34</v>
      </c>
      <c r="C11" s="18" t="s">
        <v>35</v>
      </c>
      <c r="D11" s="8" t="s">
        <v>36</v>
      </c>
      <c r="E11" s="19" t="s">
        <v>12</v>
      </c>
      <c r="F11" s="20">
        <v>120000</v>
      </c>
    </row>
    <row r="12" spans="2:6">
      <c r="B12" s="8" t="s">
        <v>37</v>
      </c>
      <c r="C12" s="18" t="s">
        <v>38</v>
      </c>
      <c r="D12" s="8" t="s">
        <v>39</v>
      </c>
      <c r="E12" s="19" t="s">
        <v>12</v>
      </c>
      <c r="F12" s="20">
        <v>330000</v>
      </c>
    </row>
    <row r="13" spans="2:6">
      <c r="B13" s="8" t="s">
        <v>40</v>
      </c>
      <c r="C13" s="18" t="s">
        <v>41</v>
      </c>
      <c r="D13" s="8" t="s">
        <v>42</v>
      </c>
      <c r="E13" s="19" t="s">
        <v>12</v>
      </c>
      <c r="F13" s="20">
        <v>175000</v>
      </c>
    </row>
    <row r="14" spans="2:6">
      <c r="B14" s="8" t="s">
        <v>43</v>
      </c>
      <c r="C14" s="18" t="s">
        <v>44</v>
      </c>
      <c r="D14" s="8" t="s">
        <v>45</v>
      </c>
      <c r="E14" s="19" t="s">
        <v>46</v>
      </c>
      <c r="F14" s="20">
        <v>140000</v>
      </c>
    </row>
    <row r="15" spans="2:6">
      <c r="B15" s="8" t="s">
        <v>47</v>
      </c>
      <c r="C15" s="18" t="s">
        <v>48</v>
      </c>
      <c r="D15" s="8" t="s">
        <v>49</v>
      </c>
      <c r="E15" s="19" t="s">
        <v>12</v>
      </c>
      <c r="F15" s="20">
        <v>2181.2639999999997</v>
      </c>
    </row>
    <row r="16" spans="2:6">
      <c r="B16" s="8" t="s">
        <v>50</v>
      </c>
      <c r="C16" s="18" t="s">
        <v>51</v>
      </c>
      <c r="D16" s="8" t="s">
        <v>52</v>
      </c>
      <c r="E16" s="19" t="s">
        <v>12</v>
      </c>
      <c r="F16" s="20">
        <v>788.56799999999987</v>
      </c>
    </row>
    <row r="17" spans="2:6">
      <c r="B17" s="8" t="s">
        <v>53</v>
      </c>
      <c r="C17" s="18" t="s">
        <v>54</v>
      </c>
      <c r="D17" s="8" t="s">
        <v>55</v>
      </c>
      <c r="E17" s="19" t="s">
        <v>12</v>
      </c>
      <c r="F17" s="20">
        <v>788.56799999999987</v>
      </c>
    </row>
    <row r="18" spans="2:6">
      <c r="B18" s="8" t="s">
        <v>56</v>
      </c>
      <c r="C18" s="18" t="s">
        <v>57</v>
      </c>
      <c r="D18" s="8" t="s">
        <v>58</v>
      </c>
      <c r="E18" s="19" t="s">
        <v>12</v>
      </c>
      <c r="F18" s="20">
        <v>3334.5359999999996</v>
      </c>
    </row>
    <row r="19" spans="2:6">
      <c r="B19" s="8" t="s">
        <v>59</v>
      </c>
      <c r="C19" s="18" t="s">
        <v>60</v>
      </c>
      <c r="D19" s="8" t="s">
        <v>61</v>
      </c>
      <c r="E19" s="19" t="s">
        <v>12</v>
      </c>
      <c r="F19" s="20">
        <v>11415.096</v>
      </c>
    </row>
    <row r="20" spans="2:6">
      <c r="B20" s="8" t="s">
        <v>62</v>
      </c>
      <c r="C20" s="18" t="s">
        <v>63</v>
      </c>
      <c r="D20" s="8" t="s">
        <v>64</v>
      </c>
      <c r="E20" s="19" t="s">
        <v>12</v>
      </c>
      <c r="F20" s="20">
        <v>800</v>
      </c>
    </row>
    <row r="21" spans="2:6">
      <c r="B21" s="8" t="s">
        <v>65</v>
      </c>
      <c r="C21" s="18" t="s">
        <v>66</v>
      </c>
      <c r="D21" s="8" t="s">
        <v>67</v>
      </c>
      <c r="E21" s="19" t="s">
        <v>12</v>
      </c>
      <c r="F21" s="20">
        <v>441</v>
      </c>
    </row>
    <row r="22" spans="2:6">
      <c r="B22" s="8" t="s">
        <v>68</v>
      </c>
      <c r="C22" s="18" t="s">
        <v>69</v>
      </c>
      <c r="D22" s="8" t="s">
        <v>70</v>
      </c>
      <c r="E22" s="19">
        <v>0</v>
      </c>
      <c r="F22" s="20">
        <v>20625.96</v>
      </c>
    </row>
    <row r="23" spans="2:6">
      <c r="B23" s="8" t="s">
        <v>71</v>
      </c>
      <c r="C23" s="18" t="s">
        <v>72</v>
      </c>
      <c r="D23" s="8" t="s">
        <v>73</v>
      </c>
      <c r="E23" s="19" t="s">
        <v>12</v>
      </c>
      <c r="F23" s="20">
        <v>2443.8879999999995</v>
      </c>
    </row>
    <row r="24" spans="2:6">
      <c r="B24" s="8" t="s">
        <v>74</v>
      </c>
      <c r="C24" s="18" t="s">
        <v>75</v>
      </c>
      <c r="D24" s="8" t="s">
        <v>76</v>
      </c>
      <c r="E24" s="19" t="s">
        <v>12</v>
      </c>
      <c r="F24" s="20">
        <v>2086.3759999999997</v>
      </c>
    </row>
    <row r="25" spans="2:6">
      <c r="B25" s="8" t="s">
        <v>77</v>
      </c>
      <c r="C25" s="18" t="s">
        <v>78</v>
      </c>
      <c r="D25" s="8" t="s">
        <v>79</v>
      </c>
      <c r="E25" s="19" t="s">
        <v>12</v>
      </c>
      <c r="F25" s="20">
        <v>851.09199999999987</v>
      </c>
    </row>
    <row r="26" spans="2:6">
      <c r="B26" s="8" t="s">
        <v>80</v>
      </c>
      <c r="C26" s="18" t="s">
        <v>81</v>
      </c>
      <c r="D26" s="8" t="s">
        <v>82</v>
      </c>
      <c r="E26" s="19" t="s">
        <v>12</v>
      </c>
      <c r="F26" s="20">
        <v>346.83999999999992</v>
      </c>
    </row>
    <row r="27" spans="2:6">
      <c r="B27" s="8" t="s">
        <v>83</v>
      </c>
      <c r="C27" s="18" t="s">
        <v>84</v>
      </c>
      <c r="D27" s="8" t="s">
        <v>85</v>
      </c>
      <c r="E27" s="19" t="s">
        <v>12</v>
      </c>
      <c r="F27" s="20">
        <v>3544.4379999999996</v>
      </c>
    </row>
    <row r="28" spans="2:6">
      <c r="B28" s="8" t="s">
        <v>86</v>
      </c>
      <c r="C28" s="18" t="s">
        <v>87</v>
      </c>
      <c r="D28" s="8" t="s">
        <v>88</v>
      </c>
      <c r="E28" s="19" t="s">
        <v>12</v>
      </c>
      <c r="F28" s="20">
        <v>12232.779999999997</v>
      </c>
    </row>
    <row r="29" spans="2:6">
      <c r="B29" s="8" t="s">
        <v>89</v>
      </c>
      <c r="C29" s="18" t="s">
        <v>90</v>
      </c>
      <c r="D29" s="8" t="s">
        <v>91</v>
      </c>
      <c r="E29" s="19" t="s">
        <v>12</v>
      </c>
      <c r="F29" s="20">
        <v>461.56399999999991</v>
      </c>
    </row>
    <row r="30" spans="2:6">
      <c r="B30" s="8" t="s">
        <v>92</v>
      </c>
      <c r="C30" s="18" t="s">
        <v>93</v>
      </c>
      <c r="D30" s="8" t="s">
        <v>94</v>
      </c>
      <c r="E30" s="19" t="s">
        <v>12</v>
      </c>
      <c r="F30" s="20">
        <v>16816.056</v>
      </c>
    </row>
    <row r="31" spans="2:6">
      <c r="B31" s="8" t="s">
        <v>95</v>
      </c>
      <c r="C31" s="18" t="s">
        <v>96</v>
      </c>
      <c r="D31" s="8" t="s">
        <v>97</v>
      </c>
      <c r="E31" s="19" t="s">
        <v>98</v>
      </c>
      <c r="F31" s="20">
        <v>35</v>
      </c>
    </row>
    <row r="32" spans="2:6">
      <c r="B32" s="8" t="s">
        <v>99</v>
      </c>
      <c r="C32" s="18" t="s">
        <v>100</v>
      </c>
      <c r="D32" s="8" t="s">
        <v>101</v>
      </c>
      <c r="E32" s="19" t="s">
        <v>12</v>
      </c>
      <c r="F32" s="20">
        <v>6750</v>
      </c>
    </row>
    <row r="33" spans="2:6">
      <c r="B33" s="8" t="s">
        <v>102</v>
      </c>
      <c r="C33" s="18" t="s">
        <v>103</v>
      </c>
      <c r="D33" s="8" t="s">
        <v>104</v>
      </c>
      <c r="E33" s="19" t="s">
        <v>12</v>
      </c>
      <c r="F33" s="20">
        <v>55000</v>
      </c>
    </row>
    <row r="34" spans="2:6">
      <c r="B34" s="8" t="s">
        <v>105</v>
      </c>
      <c r="C34" s="18" t="s">
        <v>106</v>
      </c>
      <c r="D34" s="8" t="s">
        <v>107</v>
      </c>
      <c r="E34" s="19" t="s">
        <v>12</v>
      </c>
      <c r="F34" s="20">
        <v>49500.000000000007</v>
      </c>
    </row>
    <row r="35" spans="2:6">
      <c r="B35" s="8" t="s">
        <v>108</v>
      </c>
      <c r="C35" s="18" t="s">
        <v>109</v>
      </c>
      <c r="D35" s="8" t="s">
        <v>110</v>
      </c>
      <c r="E35" s="19" t="s">
        <v>12</v>
      </c>
      <c r="F35" s="20">
        <v>46200.000000000007</v>
      </c>
    </row>
    <row r="36" spans="2:6">
      <c r="B36" s="8" t="s">
        <v>111</v>
      </c>
      <c r="C36" s="18" t="s">
        <v>112</v>
      </c>
      <c r="D36" s="8" t="s">
        <v>113</v>
      </c>
      <c r="E36" s="19" t="s">
        <v>12</v>
      </c>
      <c r="F36" s="20">
        <v>55000.000000000007</v>
      </c>
    </row>
    <row r="37" spans="2:6">
      <c r="B37" s="8" t="s">
        <v>114</v>
      </c>
      <c r="C37" s="18" t="s">
        <v>115</v>
      </c>
      <c r="D37" s="8" t="s">
        <v>116</v>
      </c>
      <c r="E37" s="19" t="s">
        <v>12</v>
      </c>
      <c r="F37" s="20">
        <v>33000</v>
      </c>
    </row>
    <row r="38" spans="2:6">
      <c r="B38" s="8" t="s">
        <v>117</v>
      </c>
      <c r="C38" s="18" t="s">
        <v>118</v>
      </c>
      <c r="D38" s="8" t="s">
        <v>119</v>
      </c>
      <c r="E38" s="19" t="s">
        <v>12</v>
      </c>
      <c r="F38" s="20">
        <v>60000</v>
      </c>
    </row>
    <row r="39" spans="2:6">
      <c r="B39" s="8" t="s">
        <v>120</v>
      </c>
      <c r="C39" s="18" t="s">
        <v>121</v>
      </c>
      <c r="D39" s="8" t="s">
        <v>122</v>
      </c>
      <c r="E39" s="19" t="s">
        <v>12</v>
      </c>
      <c r="F39" s="20">
        <v>66000</v>
      </c>
    </row>
    <row r="40" spans="2:6">
      <c r="B40" s="8" t="s">
        <v>123</v>
      </c>
      <c r="C40" s="18" t="s">
        <v>124</v>
      </c>
      <c r="D40" s="8" t="s">
        <v>125</v>
      </c>
      <c r="E40" s="19" t="s">
        <v>12</v>
      </c>
      <c r="F40" s="20">
        <v>66001</v>
      </c>
    </row>
    <row r="41" spans="2:6">
      <c r="B41" s="8" t="s">
        <v>126</v>
      </c>
      <c r="C41" s="18" t="s">
        <v>127</v>
      </c>
      <c r="D41" s="8" t="s">
        <v>128</v>
      </c>
      <c r="E41" s="19" t="s">
        <v>12</v>
      </c>
      <c r="F41" s="20">
        <v>44000</v>
      </c>
    </row>
    <row r="42" spans="2:6">
      <c r="B42" s="8" t="s">
        <v>129</v>
      </c>
      <c r="C42" s="21" t="s">
        <v>130</v>
      </c>
      <c r="D42" s="8" t="s">
        <v>131</v>
      </c>
      <c r="E42" s="19" t="s">
        <v>12</v>
      </c>
      <c r="F42" s="22">
        <v>1150</v>
      </c>
    </row>
    <row r="43" spans="2:6">
      <c r="B43" s="8" t="s">
        <v>132</v>
      </c>
      <c r="C43" s="21" t="s">
        <v>133</v>
      </c>
      <c r="D43" s="8" t="s">
        <v>134</v>
      </c>
      <c r="E43" s="19" t="s">
        <v>12</v>
      </c>
      <c r="F43" s="22">
        <v>1500</v>
      </c>
    </row>
    <row r="44" spans="2:6">
      <c r="B44" s="8" t="s">
        <v>135</v>
      </c>
      <c r="C44" s="21" t="s">
        <v>136</v>
      </c>
      <c r="D44" s="8" t="s">
        <v>137</v>
      </c>
      <c r="E44" s="19" t="s">
        <v>12</v>
      </c>
      <c r="F44" s="22">
        <v>1050</v>
      </c>
    </row>
    <row r="45" spans="2:6">
      <c r="B45" s="8" t="s">
        <v>138</v>
      </c>
      <c r="C45" s="21" t="s">
        <v>139</v>
      </c>
      <c r="D45" s="8" t="s">
        <v>140</v>
      </c>
      <c r="E45" s="19" t="s">
        <v>12</v>
      </c>
      <c r="F45" s="22">
        <v>3000</v>
      </c>
    </row>
    <row r="46" spans="2:6">
      <c r="B46" s="8" t="s">
        <v>141</v>
      </c>
      <c r="C46" s="18" t="s">
        <v>142</v>
      </c>
      <c r="D46" s="8" t="s">
        <v>143</v>
      </c>
      <c r="E46" s="19" t="s">
        <v>12</v>
      </c>
      <c r="F46" s="20">
        <v>7800</v>
      </c>
    </row>
    <row r="47" spans="2:6">
      <c r="B47" s="8" t="s">
        <v>144</v>
      </c>
      <c r="C47" s="18" t="s">
        <v>145</v>
      </c>
      <c r="D47" s="8" t="s">
        <v>146</v>
      </c>
      <c r="E47" s="23" t="s">
        <v>12</v>
      </c>
      <c r="F47" s="20">
        <v>9500</v>
      </c>
    </row>
    <row r="48" spans="2:6">
      <c r="B48" s="8" t="s">
        <v>147</v>
      </c>
      <c r="C48" s="24" t="s">
        <v>148</v>
      </c>
      <c r="D48" s="8" t="s">
        <v>149</v>
      </c>
      <c r="E48" s="19" t="s">
        <v>12</v>
      </c>
      <c r="F48" s="20">
        <v>49500.000000000007</v>
      </c>
    </row>
    <row r="49" spans="2:6">
      <c r="B49" s="8" t="s">
        <v>150</v>
      </c>
      <c r="C49" s="24" t="s">
        <v>151</v>
      </c>
      <c r="D49" s="8" t="s">
        <v>152</v>
      </c>
      <c r="E49" s="23" t="s">
        <v>12</v>
      </c>
      <c r="F49" s="20">
        <v>52800.000000000007</v>
      </c>
    </row>
    <row r="50" spans="2:6">
      <c r="B50" s="8" t="s">
        <v>153</v>
      </c>
      <c r="C50" s="24" t="s">
        <v>154</v>
      </c>
      <c r="D50" s="8" t="s">
        <v>155</v>
      </c>
      <c r="E50" s="19" t="s">
        <v>12</v>
      </c>
      <c r="F50" s="20">
        <v>2864.4</v>
      </c>
    </row>
    <row r="51" spans="2:6">
      <c r="B51" s="8" t="s">
        <v>156</v>
      </c>
      <c r="C51" s="18" t="s">
        <v>157</v>
      </c>
      <c r="D51" s="8" t="s">
        <v>158</v>
      </c>
      <c r="E51" s="19" t="s">
        <v>159</v>
      </c>
      <c r="F51" s="20">
        <v>25000</v>
      </c>
    </row>
    <row r="52" spans="2:6">
      <c r="B52" s="8" t="s">
        <v>160</v>
      </c>
      <c r="C52" s="24" t="s">
        <v>161</v>
      </c>
      <c r="D52" s="8" t="s">
        <v>162</v>
      </c>
      <c r="E52" s="19" t="s">
        <v>163</v>
      </c>
      <c r="F52" s="20">
        <v>1627.2619199999999</v>
      </c>
    </row>
    <row r="53" spans="2:6">
      <c r="B53" s="8" t="s">
        <v>164</v>
      </c>
      <c r="C53" s="24" t="s">
        <v>165</v>
      </c>
      <c r="D53" s="8" t="s">
        <v>166</v>
      </c>
      <c r="E53" s="19" t="s">
        <v>163</v>
      </c>
      <c r="F53" s="20">
        <v>1000.0475999999999</v>
      </c>
    </row>
    <row r="54" spans="2:6">
      <c r="B54" s="8" t="s">
        <v>167</v>
      </c>
      <c r="C54" s="25" t="s">
        <v>168</v>
      </c>
      <c r="D54" s="8" t="s">
        <v>169</v>
      </c>
      <c r="E54" s="19" t="s">
        <v>170</v>
      </c>
      <c r="F54" s="20">
        <v>1627.2619199999997</v>
      </c>
    </row>
    <row r="55" spans="2:6">
      <c r="B55" s="8" t="s">
        <v>171</v>
      </c>
      <c r="C55" s="25" t="s">
        <v>172</v>
      </c>
      <c r="D55" s="8" t="s">
        <v>173</v>
      </c>
      <c r="E55" s="19" t="s">
        <v>170</v>
      </c>
      <c r="F55" s="20">
        <v>1000.0476</v>
      </c>
    </row>
    <row r="56" spans="2:6">
      <c r="B56" s="8" t="s">
        <v>174</v>
      </c>
      <c r="C56" s="24" t="s">
        <v>175</v>
      </c>
      <c r="D56" s="8" t="s">
        <v>176</v>
      </c>
      <c r="E56" s="19" t="s">
        <v>163</v>
      </c>
      <c r="F56" s="20">
        <v>1712.7028799999998</v>
      </c>
    </row>
    <row r="57" spans="2:6">
      <c r="B57" s="8" t="s">
        <v>177</v>
      </c>
      <c r="C57" s="24" t="s">
        <v>178</v>
      </c>
      <c r="D57" s="8" t="s">
        <v>179</v>
      </c>
      <c r="E57" s="19" t="s">
        <v>163</v>
      </c>
      <c r="F57" s="20">
        <v>1052.4772799999998</v>
      </c>
    </row>
    <row r="58" spans="2:6">
      <c r="B58" s="8" t="s">
        <v>180</v>
      </c>
      <c r="C58" s="24" t="s">
        <v>181</v>
      </c>
      <c r="D58" s="8" t="s">
        <v>182</v>
      </c>
      <c r="E58" s="19" t="s">
        <v>163</v>
      </c>
      <c r="F58" s="20">
        <v>736.92827999999997</v>
      </c>
    </row>
    <row r="59" spans="2:6">
      <c r="B59" s="8" t="s">
        <v>183</v>
      </c>
      <c r="C59" s="24" t="s">
        <v>184</v>
      </c>
      <c r="D59" s="8" t="s">
        <v>185</v>
      </c>
      <c r="E59" s="19" t="s">
        <v>163</v>
      </c>
      <c r="F59" s="20">
        <v>2500</v>
      </c>
    </row>
    <row r="60" spans="2:6">
      <c r="B60" s="8" t="s">
        <v>186</v>
      </c>
      <c r="C60" s="24" t="s">
        <v>187</v>
      </c>
      <c r="D60" s="8" t="s">
        <v>188</v>
      </c>
      <c r="E60" s="19" t="s">
        <v>170</v>
      </c>
      <c r="F60" s="20">
        <v>1627.2928223999997</v>
      </c>
    </row>
    <row r="61" spans="2:6">
      <c r="B61" s="8" t="s">
        <v>189</v>
      </c>
      <c r="C61" s="24" t="s">
        <v>190</v>
      </c>
      <c r="D61" s="8" t="s">
        <v>191</v>
      </c>
      <c r="E61" s="19" t="s">
        <v>170</v>
      </c>
      <c r="F61" s="20">
        <v>1627.2928223999997</v>
      </c>
    </row>
    <row r="62" spans="2:6">
      <c r="B62" s="8" t="s">
        <v>192</v>
      </c>
      <c r="C62" s="24" t="s">
        <v>193</v>
      </c>
      <c r="D62" s="8" t="s">
        <v>194</v>
      </c>
      <c r="E62" s="19" t="s">
        <v>170</v>
      </c>
      <c r="F62" s="20">
        <v>1627.2928223999997</v>
      </c>
    </row>
    <row r="63" spans="2:6">
      <c r="B63" s="8" t="s">
        <v>195</v>
      </c>
      <c r="C63" s="24" t="s">
        <v>196</v>
      </c>
      <c r="D63" s="8" t="s">
        <v>197</v>
      </c>
      <c r="E63" s="19" t="s">
        <v>170</v>
      </c>
      <c r="F63" s="20">
        <v>1627.2928223999997</v>
      </c>
    </row>
    <row r="64" spans="2:6">
      <c r="B64" s="8" t="s">
        <v>198</v>
      </c>
      <c r="C64" s="24" t="s">
        <v>199</v>
      </c>
      <c r="D64" s="8" t="s">
        <v>200</v>
      </c>
      <c r="E64" s="19" t="s">
        <v>170</v>
      </c>
      <c r="F64" s="20">
        <v>1627.2928223999997</v>
      </c>
    </row>
    <row r="65" spans="2:6">
      <c r="B65" s="8" t="s">
        <v>201</v>
      </c>
      <c r="C65" s="24" t="s">
        <v>202</v>
      </c>
      <c r="D65" s="8" t="s">
        <v>203</v>
      </c>
      <c r="E65" s="19" t="s">
        <v>170</v>
      </c>
      <c r="F65" s="20">
        <v>999.99173439999993</v>
      </c>
    </row>
    <row r="66" spans="2:6">
      <c r="B66" s="8" t="s">
        <v>204</v>
      </c>
      <c r="C66" s="24" t="s">
        <v>205</v>
      </c>
      <c r="D66" s="8" t="s">
        <v>206</v>
      </c>
      <c r="E66" s="19" t="s">
        <v>170</v>
      </c>
      <c r="F66" s="20">
        <v>999.99173439999993</v>
      </c>
    </row>
    <row r="67" spans="2:6">
      <c r="B67" s="8" t="s">
        <v>207</v>
      </c>
      <c r="C67" s="24" t="s">
        <v>208</v>
      </c>
      <c r="D67" s="8" t="s">
        <v>209</v>
      </c>
      <c r="E67" s="19" t="s">
        <v>170</v>
      </c>
      <c r="F67" s="20">
        <v>999.99173439999993</v>
      </c>
    </row>
    <row r="68" spans="2:6">
      <c r="B68" s="8" t="s">
        <v>210</v>
      </c>
      <c r="C68" s="24" t="s">
        <v>211</v>
      </c>
      <c r="D68" s="8" t="s">
        <v>212</v>
      </c>
      <c r="E68" s="19" t="s">
        <v>170</v>
      </c>
      <c r="F68" s="20">
        <v>999.99173439999993</v>
      </c>
    </row>
    <row r="69" spans="2:6">
      <c r="B69" s="8" t="s">
        <v>213</v>
      </c>
      <c r="C69" s="24" t="s">
        <v>214</v>
      </c>
      <c r="D69" s="8" t="s">
        <v>215</v>
      </c>
      <c r="E69" s="19" t="s">
        <v>170</v>
      </c>
      <c r="F69" s="20">
        <v>999.99173439999993</v>
      </c>
    </row>
    <row r="70" spans="2:6">
      <c r="B70" s="8" t="s">
        <v>216</v>
      </c>
      <c r="C70" s="24" t="s">
        <v>217</v>
      </c>
      <c r="D70" s="8" t="s">
        <v>218</v>
      </c>
      <c r="E70" s="19" t="s">
        <v>170</v>
      </c>
      <c r="F70" s="20">
        <v>999.99173439999993</v>
      </c>
    </row>
    <row r="71" spans="2:6">
      <c r="B71" s="8" t="s">
        <v>219</v>
      </c>
      <c r="C71" s="24" t="s">
        <v>220</v>
      </c>
      <c r="D71" s="8" t="s">
        <v>221</v>
      </c>
      <c r="E71" s="19" t="s">
        <v>170</v>
      </c>
      <c r="F71" s="20">
        <v>736.92827999999997</v>
      </c>
    </row>
    <row r="72" spans="2:6">
      <c r="B72" s="8" t="s">
        <v>222</v>
      </c>
      <c r="C72" s="24" t="s">
        <v>223</v>
      </c>
      <c r="D72" s="8" t="s">
        <v>224</v>
      </c>
      <c r="E72" s="19" t="s">
        <v>170</v>
      </c>
      <c r="F72" s="20">
        <v>2586.6944863999997</v>
      </c>
    </row>
    <row r="73" spans="2:6">
      <c r="B73" s="8" t="s">
        <v>225</v>
      </c>
      <c r="C73" s="18" t="s">
        <v>226</v>
      </c>
      <c r="D73" s="8" t="s">
        <v>227</v>
      </c>
      <c r="E73" s="19" t="s">
        <v>12</v>
      </c>
      <c r="F73" s="20">
        <v>500</v>
      </c>
    </row>
    <row r="74" spans="2:6">
      <c r="B74" s="8" t="s">
        <v>228</v>
      </c>
      <c r="C74" s="24" t="s">
        <v>229</v>
      </c>
      <c r="D74" s="8" t="s">
        <v>230</v>
      </c>
      <c r="E74" s="19" t="s">
        <v>12</v>
      </c>
      <c r="F74" s="20">
        <v>129.92000000000002</v>
      </c>
    </row>
    <row r="75" spans="2:6">
      <c r="B75" s="8" t="s">
        <v>231</v>
      </c>
      <c r="C75" s="24" t="s">
        <v>232</v>
      </c>
      <c r="D75" s="8" t="s">
        <v>233</v>
      </c>
      <c r="E75" s="19" t="s">
        <v>12</v>
      </c>
      <c r="F75" s="20">
        <v>24.640000000000004</v>
      </c>
    </row>
    <row r="76" spans="2:6">
      <c r="B76" s="8" t="s">
        <v>234</v>
      </c>
      <c r="C76" s="24" t="s">
        <v>235</v>
      </c>
      <c r="D76" s="8" t="s">
        <v>236</v>
      </c>
      <c r="E76" s="19" t="s">
        <v>12</v>
      </c>
      <c r="F76" s="20">
        <v>67.2</v>
      </c>
    </row>
    <row r="77" spans="2:6">
      <c r="B77" s="8" t="s">
        <v>237</v>
      </c>
      <c r="C77" s="24" t="s">
        <v>238</v>
      </c>
      <c r="D77" s="8" t="s">
        <v>239</v>
      </c>
      <c r="E77" s="19" t="s">
        <v>12</v>
      </c>
      <c r="F77" s="20">
        <v>150</v>
      </c>
    </row>
    <row r="78" spans="2:6">
      <c r="B78" s="8" t="s">
        <v>240</v>
      </c>
      <c r="C78" s="18" t="s">
        <v>241</v>
      </c>
      <c r="D78" s="8" t="s">
        <v>242</v>
      </c>
      <c r="E78" s="19" t="s">
        <v>12</v>
      </c>
      <c r="F78" s="20">
        <v>22500</v>
      </c>
    </row>
    <row r="79" spans="2:6">
      <c r="B79" s="8" t="s">
        <v>243</v>
      </c>
      <c r="C79" s="18" t="s">
        <v>244</v>
      </c>
      <c r="D79" s="8" t="s">
        <v>245</v>
      </c>
      <c r="E79" s="19" t="s">
        <v>12</v>
      </c>
      <c r="F79" s="20">
        <v>87500</v>
      </c>
    </row>
    <row r="80" spans="2:6">
      <c r="B80" s="8" t="s">
        <v>246</v>
      </c>
      <c r="C80" s="26" t="s">
        <v>247</v>
      </c>
      <c r="D80" s="8" t="s">
        <v>248</v>
      </c>
      <c r="E80" s="19" t="s">
        <v>12</v>
      </c>
      <c r="F80" s="20">
        <v>891.00000000000011</v>
      </c>
    </row>
    <row r="81" spans="2:6">
      <c r="B81" s="8" t="s">
        <v>249</v>
      </c>
      <c r="C81" s="18" t="s">
        <v>250</v>
      </c>
      <c r="D81" s="8" t="s">
        <v>251</v>
      </c>
      <c r="E81" s="19" t="s">
        <v>12</v>
      </c>
      <c r="F81" s="20">
        <v>450</v>
      </c>
    </row>
    <row r="82" spans="2:6">
      <c r="B82" s="8" t="s">
        <v>252</v>
      </c>
      <c r="C82" s="26" t="s">
        <v>253</v>
      </c>
      <c r="D82" s="8" t="s">
        <v>254</v>
      </c>
      <c r="E82" s="19" t="s">
        <v>12</v>
      </c>
      <c r="F82" s="20">
        <v>150</v>
      </c>
    </row>
    <row r="83" spans="2:6">
      <c r="B83" s="8" t="s">
        <v>255</v>
      </c>
      <c r="C83" s="18" t="s">
        <v>256</v>
      </c>
      <c r="D83" s="8" t="s">
        <v>257</v>
      </c>
      <c r="E83" s="19" t="s">
        <v>12</v>
      </c>
      <c r="F83" s="20">
        <v>0</v>
      </c>
    </row>
    <row r="84" spans="2:6">
      <c r="B84" s="8" t="s">
        <v>258</v>
      </c>
      <c r="C84" s="18" t="s">
        <v>259</v>
      </c>
      <c r="D84" s="8" t="s">
        <v>260</v>
      </c>
      <c r="E84" s="19" t="s">
        <v>12</v>
      </c>
      <c r="F84" s="20">
        <v>0</v>
      </c>
    </row>
    <row r="85" spans="2:6">
      <c r="B85" s="8" t="s">
        <v>261</v>
      </c>
      <c r="C85" s="18" t="s">
        <v>262</v>
      </c>
      <c r="D85" s="8" t="s">
        <v>263</v>
      </c>
      <c r="E85" s="19" t="s">
        <v>12</v>
      </c>
      <c r="F85" s="20">
        <v>45000</v>
      </c>
    </row>
    <row r="86" spans="2:6">
      <c r="B86" s="8" t="s">
        <v>264</v>
      </c>
      <c r="C86" s="18" t="s">
        <v>265</v>
      </c>
      <c r="D86" s="8" t="s">
        <v>266</v>
      </c>
      <c r="E86" s="19" t="s">
        <v>12</v>
      </c>
      <c r="F86" s="20">
        <v>32000</v>
      </c>
    </row>
    <row r="87" spans="2:6">
      <c r="B87" s="8" t="s">
        <v>267</v>
      </c>
      <c r="C87" s="26" t="s">
        <v>268</v>
      </c>
      <c r="D87" s="8" t="s">
        <v>269</v>
      </c>
      <c r="E87" s="19" t="s">
        <v>12</v>
      </c>
      <c r="F87" s="20">
        <v>23316</v>
      </c>
    </row>
    <row r="88" spans="2:6">
      <c r="B88" s="8" t="s">
        <v>270</v>
      </c>
      <c r="C88" s="26" t="s">
        <v>271</v>
      </c>
      <c r="D88" s="8" t="s">
        <v>272</v>
      </c>
      <c r="E88" s="19" t="s">
        <v>12</v>
      </c>
      <c r="F88" s="20">
        <v>5500</v>
      </c>
    </row>
    <row r="89" spans="2:6">
      <c r="B89" s="8" t="s">
        <v>273</v>
      </c>
      <c r="C89" s="18" t="s">
        <v>274</v>
      </c>
      <c r="D89" s="8" t="s">
        <v>275</v>
      </c>
      <c r="E89" s="19" t="s">
        <v>12</v>
      </c>
      <c r="F89" s="20">
        <v>100</v>
      </c>
    </row>
    <row r="90" spans="2:6">
      <c r="B90" s="8" t="s">
        <v>276</v>
      </c>
      <c r="C90" s="24" t="s">
        <v>277</v>
      </c>
      <c r="D90" s="8" t="s">
        <v>278</v>
      </c>
      <c r="E90" s="19" t="s">
        <v>12</v>
      </c>
      <c r="F90" s="20">
        <v>1000</v>
      </c>
    </row>
    <row r="91" spans="2:6">
      <c r="B91" s="8" t="s">
        <v>279</v>
      </c>
      <c r="C91" s="24" t="s">
        <v>280</v>
      </c>
      <c r="D91" s="8" t="s">
        <v>281</v>
      </c>
      <c r="E91" s="19" t="s">
        <v>12</v>
      </c>
      <c r="F91" s="20">
        <v>1000</v>
      </c>
    </row>
    <row r="92" spans="2:6">
      <c r="B92" s="8" t="s">
        <v>282</v>
      </c>
      <c r="C92" s="27" t="s">
        <v>283</v>
      </c>
      <c r="D92" s="8" t="s">
        <v>284</v>
      </c>
      <c r="E92" s="19" t="s">
        <v>12</v>
      </c>
      <c r="F92" s="20">
        <v>1000</v>
      </c>
    </row>
    <row r="93" spans="2:6">
      <c r="B93" s="8" t="s">
        <v>285</v>
      </c>
      <c r="C93" s="24" t="s">
        <v>286</v>
      </c>
      <c r="D93" s="8" t="s">
        <v>287</v>
      </c>
      <c r="E93" s="19" t="s">
        <v>12</v>
      </c>
      <c r="F93" s="20">
        <v>300</v>
      </c>
    </row>
    <row r="94" spans="2:6">
      <c r="B94" s="8" t="s">
        <v>288</v>
      </c>
      <c r="C94" s="24" t="s">
        <v>289</v>
      </c>
      <c r="D94" s="8" t="s">
        <v>290</v>
      </c>
      <c r="E94" s="19" t="s">
        <v>12</v>
      </c>
      <c r="F94" s="20">
        <v>800.4</v>
      </c>
    </row>
    <row r="95" spans="2:6">
      <c r="B95" s="8" t="s">
        <v>291</v>
      </c>
      <c r="C95" s="18" t="s">
        <v>292</v>
      </c>
      <c r="D95" s="8" t="s">
        <v>293</v>
      </c>
      <c r="E95" s="19" t="s">
        <v>159</v>
      </c>
      <c r="F95" s="20">
        <v>15000</v>
      </c>
    </row>
    <row r="96" spans="2:6">
      <c r="B96" s="8" t="s">
        <v>294</v>
      </c>
      <c r="C96" s="18" t="s">
        <v>295</v>
      </c>
      <c r="D96" s="8" t="s">
        <v>296</v>
      </c>
      <c r="E96" s="19" t="s">
        <v>12</v>
      </c>
      <c r="F96" s="20">
        <v>118950</v>
      </c>
    </row>
    <row r="97" spans="2:6">
      <c r="B97" s="8" t="s">
        <v>297</v>
      </c>
      <c r="C97" s="25" t="s">
        <v>298</v>
      </c>
      <c r="D97" s="8" t="s">
        <v>299</v>
      </c>
      <c r="E97" s="19" t="s">
        <v>12</v>
      </c>
      <c r="F97" s="20">
        <v>303030</v>
      </c>
    </row>
    <row r="98" spans="2:6">
      <c r="B98" s="8" t="s">
        <v>300</v>
      </c>
      <c r="C98" s="25" t="s">
        <v>301</v>
      </c>
      <c r="D98" s="8" t="s">
        <v>302</v>
      </c>
      <c r="E98" s="19" t="s">
        <v>12</v>
      </c>
      <c r="F98" s="20">
        <v>303030</v>
      </c>
    </row>
    <row r="99" spans="2:6">
      <c r="B99" s="8" t="s">
        <v>303</v>
      </c>
      <c r="C99" s="25" t="s">
        <v>304</v>
      </c>
      <c r="D99" s="8" t="s">
        <v>305</v>
      </c>
      <c r="E99" s="19" t="s">
        <v>12</v>
      </c>
      <c r="F99" s="20">
        <v>311935</v>
      </c>
    </row>
    <row r="100" spans="2:6">
      <c r="B100" s="8" t="s">
        <v>306</v>
      </c>
      <c r="C100" s="25" t="s">
        <v>307</v>
      </c>
      <c r="D100" s="8" t="s">
        <v>308</v>
      </c>
      <c r="E100" s="19" t="s">
        <v>12</v>
      </c>
      <c r="F100" s="20">
        <v>311935</v>
      </c>
    </row>
    <row r="101" spans="2:6">
      <c r="B101" s="8" t="s">
        <v>309</v>
      </c>
      <c r="C101" s="25" t="s">
        <v>310</v>
      </c>
      <c r="D101" s="8" t="s">
        <v>311</v>
      </c>
      <c r="E101" s="19" t="s">
        <v>12</v>
      </c>
      <c r="F101" s="20">
        <v>311935</v>
      </c>
    </row>
    <row r="102" spans="2:6">
      <c r="B102" s="8" t="s">
        <v>312</v>
      </c>
      <c r="C102" s="25" t="s">
        <v>313</v>
      </c>
      <c r="D102" s="8" t="s">
        <v>314</v>
      </c>
      <c r="E102" s="19" t="s">
        <v>12</v>
      </c>
      <c r="F102" s="20">
        <v>311935</v>
      </c>
    </row>
    <row r="103" spans="2:6">
      <c r="B103" s="8" t="s">
        <v>315</v>
      </c>
      <c r="C103" s="25" t="s">
        <v>316</v>
      </c>
      <c r="D103" s="8" t="s">
        <v>317</v>
      </c>
      <c r="E103" s="19" t="s">
        <v>12</v>
      </c>
      <c r="F103" s="20">
        <v>311935</v>
      </c>
    </row>
    <row r="104" spans="2:6">
      <c r="B104" s="8" t="s">
        <v>318</v>
      </c>
      <c r="C104" s="25" t="s">
        <v>319</v>
      </c>
      <c r="D104" s="8" t="s">
        <v>320</v>
      </c>
      <c r="E104" s="19" t="s">
        <v>12</v>
      </c>
      <c r="F104" s="20">
        <v>359710</v>
      </c>
    </row>
    <row r="105" spans="2:6">
      <c r="B105" s="8" t="s">
        <v>321</v>
      </c>
      <c r="C105" s="25" t="s">
        <v>322</v>
      </c>
      <c r="D105" s="8" t="s">
        <v>323</v>
      </c>
      <c r="E105" s="19" t="s">
        <v>12</v>
      </c>
      <c r="F105" s="20">
        <v>386295</v>
      </c>
    </row>
    <row r="106" spans="2:6">
      <c r="B106" s="8" t="s">
        <v>324</v>
      </c>
      <c r="C106" s="25" t="s">
        <v>325</v>
      </c>
      <c r="D106" s="8" t="s">
        <v>326</v>
      </c>
      <c r="E106" s="19" t="s">
        <v>12</v>
      </c>
      <c r="F106" s="20">
        <v>431340</v>
      </c>
    </row>
    <row r="107" spans="2:6">
      <c r="B107" s="8" t="s">
        <v>327</v>
      </c>
      <c r="C107" s="25" t="s">
        <v>328</v>
      </c>
      <c r="D107" s="8" t="s">
        <v>329</v>
      </c>
      <c r="E107" s="19" t="s">
        <v>12</v>
      </c>
      <c r="F107" s="20">
        <v>532350</v>
      </c>
    </row>
    <row r="108" spans="2:6">
      <c r="B108" s="8" t="s">
        <v>330</v>
      </c>
      <c r="C108" s="25" t="s">
        <v>331</v>
      </c>
      <c r="D108" s="8" t="s">
        <v>332</v>
      </c>
      <c r="E108" s="19" t="s">
        <v>12</v>
      </c>
      <c r="F108" s="20">
        <v>556920</v>
      </c>
    </row>
    <row r="109" spans="2:6">
      <c r="B109" s="8" t="s">
        <v>333</v>
      </c>
      <c r="C109" s="25" t="s">
        <v>334</v>
      </c>
      <c r="D109" s="8" t="s">
        <v>335</v>
      </c>
      <c r="E109" s="19" t="s">
        <v>12</v>
      </c>
      <c r="F109" s="20">
        <v>786955</v>
      </c>
    </row>
    <row r="110" spans="2:6">
      <c r="B110" s="8" t="s">
        <v>336</v>
      </c>
      <c r="C110" s="25" t="s">
        <v>337</v>
      </c>
      <c r="D110" s="8" t="s">
        <v>338</v>
      </c>
      <c r="E110" s="19" t="s">
        <v>12</v>
      </c>
      <c r="F110" s="20">
        <v>6959.9999999999991</v>
      </c>
    </row>
    <row r="111" spans="2:6">
      <c r="B111" s="8" t="s">
        <v>339</v>
      </c>
      <c r="C111" s="18" t="s">
        <v>340</v>
      </c>
      <c r="D111" s="8" t="s">
        <v>341</v>
      </c>
      <c r="E111" s="19" t="s">
        <v>12</v>
      </c>
      <c r="F111" s="20">
        <v>35000</v>
      </c>
    </row>
    <row r="112" spans="2:6">
      <c r="B112" s="8" t="s">
        <v>342</v>
      </c>
      <c r="C112" s="18" t="s">
        <v>343</v>
      </c>
      <c r="D112" s="8" t="s">
        <v>344</v>
      </c>
      <c r="E112" s="19" t="s">
        <v>12</v>
      </c>
      <c r="F112" s="20">
        <v>58000</v>
      </c>
    </row>
    <row r="113" spans="2:6">
      <c r="B113" s="8" t="s">
        <v>345</v>
      </c>
      <c r="C113" s="18" t="s">
        <v>346</v>
      </c>
      <c r="D113" s="8" t="s">
        <v>347</v>
      </c>
      <c r="E113" s="19" t="s">
        <v>12</v>
      </c>
      <c r="F113" s="20">
        <v>65000</v>
      </c>
    </row>
    <row r="114" spans="2:6">
      <c r="B114" s="8" t="s">
        <v>348</v>
      </c>
      <c r="C114" s="26" t="s">
        <v>349</v>
      </c>
      <c r="D114" s="8" t="s">
        <v>350</v>
      </c>
      <c r="E114" s="19" t="s">
        <v>12</v>
      </c>
      <c r="F114" s="20">
        <v>103693.56</v>
      </c>
    </row>
    <row r="115" spans="2:6">
      <c r="B115" s="8" t="s">
        <v>351</v>
      </c>
      <c r="C115" s="26" t="s">
        <v>352</v>
      </c>
      <c r="D115" s="8" t="s">
        <v>353</v>
      </c>
      <c r="E115" s="19" t="s">
        <v>12</v>
      </c>
      <c r="F115" s="20">
        <v>37780.04</v>
      </c>
    </row>
    <row r="116" spans="2:6">
      <c r="B116" s="8" t="s">
        <v>354</v>
      </c>
      <c r="C116" s="18" t="s">
        <v>355</v>
      </c>
      <c r="D116" s="8" t="s">
        <v>356</v>
      </c>
      <c r="E116" s="19" t="s">
        <v>12</v>
      </c>
      <c r="F116" s="20">
        <v>48000</v>
      </c>
    </row>
    <row r="117" spans="2:6">
      <c r="B117" s="8" t="s">
        <v>357</v>
      </c>
      <c r="C117" s="28" t="s">
        <v>358</v>
      </c>
      <c r="D117" s="8" t="s">
        <v>359</v>
      </c>
      <c r="E117" s="19" t="s">
        <v>12</v>
      </c>
      <c r="F117" s="20">
        <v>40000</v>
      </c>
    </row>
    <row r="118" spans="2:6">
      <c r="B118" s="8" t="s">
        <v>360</v>
      </c>
      <c r="C118" s="29" t="s">
        <v>361</v>
      </c>
      <c r="D118" s="8" t="s">
        <v>362</v>
      </c>
      <c r="E118" s="19" t="s">
        <v>12</v>
      </c>
      <c r="F118" s="20">
        <v>28930</v>
      </c>
    </row>
    <row r="119" spans="2:6">
      <c r="B119" s="8" t="s">
        <v>363</v>
      </c>
      <c r="C119" s="30" t="s">
        <v>364</v>
      </c>
      <c r="D119" s="8" t="s">
        <v>365</v>
      </c>
      <c r="E119" s="19" t="s">
        <v>12</v>
      </c>
      <c r="F119" s="20">
        <v>34985</v>
      </c>
    </row>
    <row r="120" spans="2:6">
      <c r="B120" s="8" t="s">
        <v>366</v>
      </c>
      <c r="C120" s="26" t="s">
        <v>367</v>
      </c>
      <c r="D120" s="8" t="s">
        <v>368</v>
      </c>
      <c r="E120" s="19" t="s">
        <v>12</v>
      </c>
      <c r="F120" s="20">
        <v>34104</v>
      </c>
    </row>
    <row r="121" spans="2:6">
      <c r="B121" s="8" t="s">
        <v>369</v>
      </c>
      <c r="C121" s="18" t="s">
        <v>370</v>
      </c>
      <c r="D121" s="8" t="s">
        <v>371</v>
      </c>
      <c r="E121" s="19" t="s">
        <v>12</v>
      </c>
      <c r="F121" s="20">
        <v>30000</v>
      </c>
    </row>
    <row r="122" spans="2:6">
      <c r="B122" s="8" t="s">
        <v>372</v>
      </c>
      <c r="C122" s="18" t="s">
        <v>373</v>
      </c>
      <c r="D122" s="8" t="s">
        <v>374</v>
      </c>
      <c r="E122" s="19" t="s">
        <v>12</v>
      </c>
      <c r="F122" s="20">
        <v>17342</v>
      </c>
    </row>
    <row r="123" spans="2:6">
      <c r="B123" s="8" t="s">
        <v>375</v>
      </c>
      <c r="C123" s="26" t="s">
        <v>376</v>
      </c>
      <c r="D123" s="8" t="s">
        <v>377</v>
      </c>
      <c r="E123" s="19" t="s">
        <v>12</v>
      </c>
      <c r="F123" s="20">
        <v>916.4</v>
      </c>
    </row>
    <row r="124" spans="2:6">
      <c r="B124" s="8" t="s">
        <v>378</v>
      </c>
      <c r="C124" s="18" t="s">
        <v>379</v>
      </c>
      <c r="D124" s="8" t="s">
        <v>380</v>
      </c>
      <c r="E124" s="19" t="s">
        <v>12</v>
      </c>
      <c r="F124" s="20">
        <v>77082</v>
      </c>
    </row>
    <row r="125" spans="2:6">
      <c r="B125" s="8" t="s">
        <v>381</v>
      </c>
      <c r="C125" s="18" t="s">
        <v>382</v>
      </c>
      <c r="D125" s="8" t="s">
        <v>383</v>
      </c>
      <c r="E125" s="19" t="s">
        <v>12</v>
      </c>
      <c r="F125" s="20">
        <v>47793.159999999996</v>
      </c>
    </row>
    <row r="126" spans="2:6">
      <c r="B126" s="8" t="s">
        <v>384</v>
      </c>
      <c r="C126" s="31" t="s">
        <v>385</v>
      </c>
      <c r="D126" s="8" t="s">
        <v>386</v>
      </c>
      <c r="E126" s="19" t="s">
        <v>12</v>
      </c>
      <c r="F126" s="20">
        <v>72275</v>
      </c>
    </row>
    <row r="127" spans="2:6">
      <c r="B127" s="8" t="s">
        <v>387</v>
      </c>
      <c r="C127" s="31" t="s">
        <v>388</v>
      </c>
      <c r="D127" s="8" t="s">
        <v>389</v>
      </c>
      <c r="E127" s="19" t="s">
        <v>12</v>
      </c>
      <c r="F127" s="20">
        <v>91808.2</v>
      </c>
    </row>
    <row r="128" spans="2:6">
      <c r="B128" s="8" t="s">
        <v>390</v>
      </c>
      <c r="C128" s="18" t="s">
        <v>391</v>
      </c>
      <c r="D128" s="8" t="s">
        <v>392</v>
      </c>
      <c r="E128" s="19" t="s">
        <v>12</v>
      </c>
      <c r="F128" s="20">
        <v>105079.76</v>
      </c>
    </row>
    <row r="129" spans="2:6">
      <c r="B129" s="8" t="s">
        <v>393</v>
      </c>
      <c r="C129" s="18" t="s">
        <v>394</v>
      </c>
      <c r="D129" s="8" t="s">
        <v>395</v>
      </c>
      <c r="E129" s="19" t="s">
        <v>12</v>
      </c>
      <c r="F129" s="20">
        <v>34300</v>
      </c>
    </row>
    <row r="130" spans="2:6">
      <c r="B130" s="8" t="s">
        <v>396</v>
      </c>
      <c r="C130" s="25" t="s">
        <v>397</v>
      </c>
      <c r="D130" s="8" t="s">
        <v>398</v>
      </c>
      <c r="E130" s="19" t="s">
        <v>12</v>
      </c>
      <c r="F130" s="20">
        <v>85000</v>
      </c>
    </row>
    <row r="131" spans="2:6">
      <c r="B131" s="8" t="s">
        <v>399</v>
      </c>
      <c r="C131" s="25" t="s">
        <v>400</v>
      </c>
      <c r="D131" s="8" t="s">
        <v>401</v>
      </c>
      <c r="E131" s="19" t="s">
        <v>12</v>
      </c>
      <c r="F131" s="20">
        <v>50000</v>
      </c>
    </row>
    <row r="132" spans="2:6">
      <c r="B132" s="8" t="s">
        <v>402</v>
      </c>
      <c r="C132" s="25" t="s">
        <v>403</v>
      </c>
      <c r="D132" s="8" t="s">
        <v>404</v>
      </c>
      <c r="E132" s="19" t="s">
        <v>12</v>
      </c>
      <c r="F132" s="20">
        <v>98000</v>
      </c>
    </row>
    <row r="133" spans="2:6">
      <c r="B133" s="8" t="s">
        <v>405</v>
      </c>
      <c r="C133" s="25" t="s">
        <v>406</v>
      </c>
      <c r="D133" s="8" t="s">
        <v>407</v>
      </c>
      <c r="E133" s="19" t="s">
        <v>12</v>
      </c>
      <c r="F133" s="20">
        <v>12000</v>
      </c>
    </row>
    <row r="134" spans="2:6">
      <c r="B134" s="8" t="s">
        <v>408</v>
      </c>
      <c r="C134" s="25" t="s">
        <v>409</v>
      </c>
      <c r="D134" s="8" t="s">
        <v>410</v>
      </c>
      <c r="E134" s="19" t="s">
        <v>12</v>
      </c>
      <c r="F134" s="20">
        <v>18000</v>
      </c>
    </row>
    <row r="135" spans="2:6">
      <c r="B135" s="8" t="s">
        <v>411</v>
      </c>
      <c r="C135" s="25" t="s">
        <v>412</v>
      </c>
      <c r="D135" s="8" t="s">
        <v>413</v>
      </c>
      <c r="E135" s="19" t="s">
        <v>12</v>
      </c>
      <c r="F135" s="20">
        <v>27000</v>
      </c>
    </row>
    <row r="136" spans="2:6">
      <c r="B136" s="8" t="s">
        <v>414</v>
      </c>
      <c r="C136" s="25" t="s">
        <v>415</v>
      </c>
      <c r="D136" s="8" t="s">
        <v>416</v>
      </c>
      <c r="E136" s="19" t="s">
        <v>12</v>
      </c>
      <c r="F136" s="20">
        <v>195000</v>
      </c>
    </row>
    <row r="137" spans="2:6">
      <c r="B137" s="8" t="s">
        <v>417</v>
      </c>
      <c r="C137" s="25" t="s">
        <v>418</v>
      </c>
      <c r="D137" s="8" t="s">
        <v>419</v>
      </c>
      <c r="E137" s="19" t="s">
        <v>12</v>
      </c>
      <c r="F137" s="20">
        <v>215000</v>
      </c>
    </row>
    <row r="138" spans="2:6">
      <c r="B138" s="8" t="s">
        <v>420</v>
      </c>
      <c r="C138" s="25" t="s">
        <v>421</v>
      </c>
      <c r="D138" s="8" t="s">
        <v>422</v>
      </c>
      <c r="E138" s="19" t="s">
        <v>12</v>
      </c>
      <c r="F138" s="20">
        <v>120000</v>
      </c>
    </row>
    <row r="139" spans="2:6">
      <c r="B139" s="8" t="s">
        <v>423</v>
      </c>
      <c r="C139" s="25" t="s">
        <v>424</v>
      </c>
      <c r="D139" s="8" t="s">
        <v>425</v>
      </c>
      <c r="E139" s="19" t="s">
        <v>12</v>
      </c>
      <c r="F139" s="20">
        <v>175000</v>
      </c>
    </row>
    <row r="140" spans="2:6">
      <c r="B140" s="8" t="s">
        <v>426</v>
      </c>
      <c r="C140" s="25" t="s">
        <v>427</v>
      </c>
      <c r="D140" s="8" t="s">
        <v>428</v>
      </c>
      <c r="E140" s="19" t="s">
        <v>12</v>
      </c>
      <c r="F140" s="20">
        <v>10780</v>
      </c>
    </row>
    <row r="141" spans="2:6">
      <c r="B141" s="8" t="s">
        <v>429</v>
      </c>
      <c r="C141" s="25" t="s">
        <v>430</v>
      </c>
      <c r="D141" s="8" t="s">
        <v>431</v>
      </c>
      <c r="E141" s="19" t="s">
        <v>12</v>
      </c>
      <c r="F141" s="20">
        <v>16280.000000000002</v>
      </c>
    </row>
    <row r="142" spans="2:6">
      <c r="B142" s="8" t="s">
        <v>432</v>
      </c>
      <c r="C142" s="25" t="s">
        <v>433</v>
      </c>
      <c r="D142" s="8" t="s">
        <v>434</v>
      </c>
      <c r="E142" s="19" t="s">
        <v>12</v>
      </c>
      <c r="F142" s="20">
        <v>28999.999999999996</v>
      </c>
    </row>
    <row r="143" spans="2:6">
      <c r="B143" s="8" t="s">
        <v>435</v>
      </c>
      <c r="C143" s="18" t="s">
        <v>436</v>
      </c>
      <c r="D143" s="8" t="s">
        <v>437</v>
      </c>
      <c r="E143" s="19" t="s">
        <v>12</v>
      </c>
      <c r="F143" s="20">
        <v>8137</v>
      </c>
    </row>
    <row r="144" spans="2:6">
      <c r="B144" s="8" t="s">
        <v>438</v>
      </c>
      <c r="C144" s="18" t="s">
        <v>439</v>
      </c>
      <c r="D144" s="8" t="s">
        <v>440</v>
      </c>
      <c r="E144" s="19" t="s">
        <v>12</v>
      </c>
      <c r="F144" s="20">
        <v>40000</v>
      </c>
    </row>
    <row r="145" spans="2:6">
      <c r="B145" s="8" t="s">
        <v>441</v>
      </c>
      <c r="C145" s="24" t="s">
        <v>442</v>
      </c>
      <c r="D145" s="8" t="s">
        <v>443</v>
      </c>
      <c r="E145" s="19" t="s">
        <v>12</v>
      </c>
      <c r="F145" s="20">
        <v>114000</v>
      </c>
    </row>
    <row r="146" spans="2:6">
      <c r="B146" s="8" t="s">
        <v>444</v>
      </c>
      <c r="C146" s="24" t="s">
        <v>445</v>
      </c>
      <c r="D146" s="8" t="s">
        <v>446</v>
      </c>
      <c r="E146" s="19" t="s">
        <v>12</v>
      </c>
      <c r="F146" s="20">
        <v>59000</v>
      </c>
    </row>
    <row r="147" spans="2:6">
      <c r="B147" s="8" t="s">
        <v>447</v>
      </c>
      <c r="C147" s="18" t="s">
        <v>448</v>
      </c>
      <c r="D147" s="8" t="s">
        <v>449</v>
      </c>
      <c r="E147" s="19" t="s">
        <v>12</v>
      </c>
      <c r="F147" s="20">
        <v>110000</v>
      </c>
    </row>
    <row r="148" spans="2:6">
      <c r="B148" s="8" t="s">
        <v>450</v>
      </c>
      <c r="C148" s="18" t="s">
        <v>451</v>
      </c>
      <c r="D148" s="8" t="s">
        <v>452</v>
      </c>
      <c r="E148" s="19" t="s">
        <v>12</v>
      </c>
      <c r="F148" s="20">
        <v>45240</v>
      </c>
    </row>
    <row r="149" spans="2:6">
      <c r="B149" s="8" t="s">
        <v>453</v>
      </c>
      <c r="C149" s="18" t="s">
        <v>454</v>
      </c>
      <c r="D149" s="8" t="s">
        <v>455</v>
      </c>
      <c r="E149" s="19" t="s">
        <v>12</v>
      </c>
      <c r="F149" s="20">
        <v>79460</v>
      </c>
    </row>
    <row r="150" spans="2:6">
      <c r="B150" s="8" t="s">
        <v>456</v>
      </c>
      <c r="C150" s="18" t="s">
        <v>457</v>
      </c>
      <c r="D150" s="8" t="s">
        <v>458</v>
      </c>
      <c r="E150" s="19" t="s">
        <v>12</v>
      </c>
      <c r="F150" s="20">
        <v>10985</v>
      </c>
    </row>
    <row r="151" spans="2:6">
      <c r="B151" s="8" t="s">
        <v>459</v>
      </c>
      <c r="C151" s="18" t="s">
        <v>460</v>
      </c>
      <c r="D151" s="8" t="s">
        <v>461</v>
      </c>
      <c r="E151" s="19" t="s">
        <v>12</v>
      </c>
      <c r="F151" s="20">
        <v>125000</v>
      </c>
    </row>
    <row r="152" spans="2:6">
      <c r="B152" s="8" t="s">
        <v>462</v>
      </c>
      <c r="C152" s="18" t="s">
        <v>463</v>
      </c>
      <c r="D152" s="8" t="s">
        <v>464</v>
      </c>
      <c r="E152" s="19" t="s">
        <v>12</v>
      </c>
      <c r="F152" s="20">
        <v>37351.999999999993</v>
      </c>
    </row>
    <row r="153" spans="2:6">
      <c r="B153" s="8" t="s">
        <v>465</v>
      </c>
      <c r="C153" s="18" t="s">
        <v>466</v>
      </c>
      <c r="D153" s="8" t="s">
        <v>467</v>
      </c>
      <c r="E153" s="19" t="s">
        <v>12</v>
      </c>
      <c r="F153" s="20">
        <v>2000</v>
      </c>
    </row>
    <row r="154" spans="2:6">
      <c r="B154" s="8" t="s">
        <v>468</v>
      </c>
      <c r="C154" s="26" t="s">
        <v>469</v>
      </c>
      <c r="D154" s="8" t="s">
        <v>470</v>
      </c>
      <c r="E154" s="19" t="s">
        <v>12</v>
      </c>
      <c r="F154" s="20">
        <v>0</v>
      </c>
    </row>
    <row r="155" spans="2:6">
      <c r="B155" s="8" t="s">
        <v>471</v>
      </c>
      <c r="C155" s="18" t="s">
        <v>472</v>
      </c>
      <c r="D155" s="8" t="s">
        <v>473</v>
      </c>
      <c r="E155" s="19" t="s">
        <v>12</v>
      </c>
      <c r="F155" s="20">
        <v>15000</v>
      </c>
    </row>
    <row r="156" spans="2:6">
      <c r="B156" s="8" t="s">
        <v>474</v>
      </c>
      <c r="C156" s="24" t="s">
        <v>475</v>
      </c>
      <c r="D156" s="8" t="s">
        <v>476</v>
      </c>
      <c r="E156" s="19" t="s">
        <v>12</v>
      </c>
      <c r="F156" s="20">
        <v>7935</v>
      </c>
    </row>
    <row r="157" spans="2:6">
      <c r="B157" s="8" t="s">
        <v>477</v>
      </c>
      <c r="C157" s="24" t="s">
        <v>478</v>
      </c>
      <c r="D157" s="8" t="s">
        <v>479</v>
      </c>
      <c r="E157" s="19" t="s">
        <v>12</v>
      </c>
      <c r="F157" s="20">
        <v>0</v>
      </c>
    </row>
    <row r="158" spans="2:6">
      <c r="B158" s="8" t="s">
        <v>480</v>
      </c>
      <c r="C158" s="24" t="s">
        <v>481</v>
      </c>
      <c r="D158" s="8" t="s">
        <v>482</v>
      </c>
      <c r="E158" s="19" t="s">
        <v>12</v>
      </c>
      <c r="F158" s="20">
        <v>0</v>
      </c>
    </row>
    <row r="159" spans="2:6">
      <c r="B159" s="8" t="s">
        <v>483</v>
      </c>
      <c r="C159" s="24" t="s">
        <v>484</v>
      </c>
      <c r="D159" s="8" t="s">
        <v>485</v>
      </c>
      <c r="E159" s="19" t="s">
        <v>12</v>
      </c>
      <c r="F159" s="20">
        <v>0</v>
      </c>
    </row>
    <row r="160" spans="2:6">
      <c r="B160" s="8" t="s">
        <v>486</v>
      </c>
      <c r="C160" s="24" t="s">
        <v>487</v>
      </c>
      <c r="D160" s="8" t="s">
        <v>488</v>
      </c>
      <c r="E160" s="19" t="s">
        <v>12</v>
      </c>
      <c r="F160" s="20">
        <v>15422.400000000003</v>
      </c>
    </row>
    <row r="161" spans="2:6">
      <c r="B161" s="8" t="s">
        <v>489</v>
      </c>
      <c r="C161" s="24" t="s">
        <v>490</v>
      </c>
      <c r="D161" s="8" t="s">
        <v>491</v>
      </c>
      <c r="E161" s="19" t="s">
        <v>12</v>
      </c>
      <c r="F161" s="20">
        <v>38304.000000000007</v>
      </c>
    </row>
    <row r="162" spans="2:6">
      <c r="B162" s="8" t="s">
        <v>492</v>
      </c>
      <c r="C162" s="24" t="s">
        <v>493</v>
      </c>
      <c r="D162" s="8" t="s">
        <v>494</v>
      </c>
      <c r="E162" s="19" t="s">
        <v>12</v>
      </c>
      <c r="F162" s="20">
        <v>0</v>
      </c>
    </row>
    <row r="163" spans="2:6">
      <c r="B163" s="8" t="s">
        <v>495</v>
      </c>
      <c r="C163" s="24" t="s">
        <v>496</v>
      </c>
      <c r="D163" s="8" t="s">
        <v>497</v>
      </c>
      <c r="E163" s="19" t="s">
        <v>12</v>
      </c>
      <c r="F163" s="20">
        <v>0</v>
      </c>
    </row>
    <row r="164" spans="2:6">
      <c r="B164" s="8" t="s">
        <v>498</v>
      </c>
      <c r="C164" s="26" t="s">
        <v>499</v>
      </c>
      <c r="D164" s="8" t="s">
        <v>500</v>
      </c>
      <c r="E164" s="19" t="s">
        <v>12</v>
      </c>
      <c r="F164" s="20">
        <v>3711.9999999999995</v>
      </c>
    </row>
    <row r="165" spans="2:6">
      <c r="B165" s="8" t="s">
        <v>501</v>
      </c>
      <c r="C165" s="26" t="s">
        <v>502</v>
      </c>
      <c r="D165" s="8" t="s">
        <v>503</v>
      </c>
      <c r="E165" s="19" t="s">
        <v>12</v>
      </c>
      <c r="F165" s="20">
        <v>5626</v>
      </c>
    </row>
    <row r="166" spans="2:6">
      <c r="B166" s="8" t="s">
        <v>504</v>
      </c>
      <c r="C166" s="18" t="s">
        <v>505</v>
      </c>
      <c r="D166" s="8" t="s">
        <v>506</v>
      </c>
      <c r="E166" s="19" t="s">
        <v>12</v>
      </c>
      <c r="F166" s="20">
        <v>420000</v>
      </c>
    </row>
    <row r="167" spans="2:6">
      <c r="B167" s="8" t="s">
        <v>507</v>
      </c>
      <c r="C167" s="21" t="s">
        <v>508</v>
      </c>
      <c r="D167" s="8" t="s">
        <v>509</v>
      </c>
      <c r="E167" s="19" t="s">
        <v>12</v>
      </c>
      <c r="F167" s="20">
        <v>33000</v>
      </c>
    </row>
    <row r="168" spans="2:6">
      <c r="B168" s="8" t="s">
        <v>510</v>
      </c>
      <c r="C168" s="18" t="s">
        <v>511</v>
      </c>
      <c r="D168" s="8" t="s">
        <v>512</v>
      </c>
      <c r="E168" s="19" t="s">
        <v>12</v>
      </c>
      <c r="F168" s="20">
        <v>60000</v>
      </c>
    </row>
    <row r="169" spans="2:6">
      <c r="B169" s="8" t="s">
        <v>513</v>
      </c>
      <c r="C169" s="18" t="s">
        <v>514</v>
      </c>
      <c r="D169" s="8" t="s">
        <v>515</v>
      </c>
      <c r="E169" s="19" t="s">
        <v>12</v>
      </c>
      <c r="F169" s="20">
        <v>75637.799999999988</v>
      </c>
    </row>
    <row r="170" spans="2:6">
      <c r="B170" s="8" t="s">
        <v>516</v>
      </c>
      <c r="C170" s="18" t="s">
        <v>517</v>
      </c>
      <c r="D170" s="8" t="s">
        <v>518</v>
      </c>
      <c r="E170" s="19" t="s">
        <v>12</v>
      </c>
      <c r="F170" s="20">
        <v>44240.000000000007</v>
      </c>
    </row>
    <row r="171" spans="2:6">
      <c r="B171" s="8" t="s">
        <v>519</v>
      </c>
      <c r="C171" s="18" t="s">
        <v>520</v>
      </c>
      <c r="D171" s="8" t="s">
        <v>521</v>
      </c>
      <c r="E171" s="19" t="s">
        <v>12</v>
      </c>
      <c r="F171" s="20">
        <v>44800.000000000007</v>
      </c>
    </row>
    <row r="172" spans="2:6" ht="26.4">
      <c r="B172" s="8" t="s">
        <v>522</v>
      </c>
      <c r="C172" s="26" t="s">
        <v>523</v>
      </c>
      <c r="D172" s="8" t="s">
        <v>524</v>
      </c>
      <c r="E172" s="19" t="s">
        <v>12</v>
      </c>
      <c r="F172" s="20">
        <v>951521.89999999991</v>
      </c>
    </row>
    <row r="173" spans="2:6">
      <c r="B173" s="8" t="s">
        <v>525</v>
      </c>
      <c r="C173" s="18" t="s">
        <v>526</v>
      </c>
      <c r="D173" s="8" t="s">
        <v>527</v>
      </c>
      <c r="E173" s="19" t="s">
        <v>12</v>
      </c>
      <c r="F173" s="20">
        <v>12900</v>
      </c>
    </row>
    <row r="174" spans="2:6">
      <c r="B174" s="8" t="s">
        <v>528</v>
      </c>
      <c r="C174" s="18" t="s">
        <v>529</v>
      </c>
      <c r="D174" s="8" t="s">
        <v>530</v>
      </c>
      <c r="E174" s="19" t="s">
        <v>12</v>
      </c>
      <c r="F174" s="20">
        <v>33950</v>
      </c>
    </row>
    <row r="175" spans="2:6">
      <c r="B175" s="8" t="s">
        <v>531</v>
      </c>
      <c r="C175" s="18" t="s">
        <v>532</v>
      </c>
      <c r="D175" s="8" t="s">
        <v>533</v>
      </c>
      <c r="E175" s="19" t="s">
        <v>12</v>
      </c>
      <c r="F175" s="20">
        <v>33950</v>
      </c>
    </row>
    <row r="176" spans="2:6">
      <c r="B176" s="8" t="s">
        <v>534</v>
      </c>
      <c r="C176" s="18" t="s">
        <v>535</v>
      </c>
      <c r="D176" s="8" t="s">
        <v>536</v>
      </c>
      <c r="E176" s="19" t="s">
        <v>12</v>
      </c>
      <c r="F176" s="20">
        <v>33950</v>
      </c>
    </row>
    <row r="177" spans="2:6">
      <c r="B177" s="8" t="s">
        <v>537</v>
      </c>
      <c r="C177" s="18" t="s">
        <v>538</v>
      </c>
      <c r="D177" s="8" t="s">
        <v>539</v>
      </c>
      <c r="E177" s="19" t="s">
        <v>12</v>
      </c>
      <c r="F177" s="20">
        <v>44892</v>
      </c>
    </row>
    <row r="178" spans="2:6">
      <c r="B178" s="8" t="s">
        <v>540</v>
      </c>
      <c r="C178" s="18" t="s">
        <v>541</v>
      </c>
      <c r="D178" s="8" t="s">
        <v>542</v>
      </c>
      <c r="E178" s="19" t="s">
        <v>12</v>
      </c>
      <c r="F178" s="20">
        <v>44892</v>
      </c>
    </row>
    <row r="179" spans="2:6">
      <c r="B179" s="8" t="s">
        <v>543</v>
      </c>
      <c r="C179" s="18" t="s">
        <v>544</v>
      </c>
      <c r="D179" s="8" t="s">
        <v>545</v>
      </c>
      <c r="E179" s="19" t="s">
        <v>12</v>
      </c>
      <c r="F179" s="20">
        <v>74650</v>
      </c>
    </row>
    <row r="180" spans="2:6">
      <c r="B180" s="8" t="s">
        <v>546</v>
      </c>
      <c r="C180" s="18" t="s">
        <v>547</v>
      </c>
      <c r="D180" s="8" t="s">
        <v>548</v>
      </c>
      <c r="E180" s="19" t="s">
        <v>12</v>
      </c>
      <c r="F180" s="20">
        <v>160080</v>
      </c>
    </row>
    <row r="181" spans="2:6">
      <c r="B181" s="8" t="s">
        <v>549</v>
      </c>
      <c r="C181" s="18" t="s">
        <v>550</v>
      </c>
      <c r="D181" s="8" t="s">
        <v>551</v>
      </c>
      <c r="E181" s="19" t="s">
        <v>12</v>
      </c>
      <c r="F181" s="20">
        <v>640640.00000000012</v>
      </c>
    </row>
    <row r="182" spans="2:6">
      <c r="B182" s="8" t="s">
        <v>552</v>
      </c>
      <c r="C182" s="18" t="s">
        <v>553</v>
      </c>
      <c r="D182" s="8" t="s">
        <v>554</v>
      </c>
      <c r="E182" s="19" t="s">
        <v>12</v>
      </c>
      <c r="F182" s="20">
        <v>932100</v>
      </c>
    </row>
    <row r="183" spans="2:6">
      <c r="B183" s="8" t="s">
        <v>555</v>
      </c>
      <c r="C183" s="18" t="s">
        <v>556</v>
      </c>
      <c r="D183" s="8" t="s">
        <v>557</v>
      </c>
      <c r="E183" s="19" t="s">
        <v>12</v>
      </c>
      <c r="F183" s="20">
        <v>1090050</v>
      </c>
    </row>
    <row r="184" spans="2:6" ht="26.4">
      <c r="B184" s="8" t="s">
        <v>558</v>
      </c>
      <c r="C184" s="18" t="s">
        <v>559</v>
      </c>
      <c r="D184" s="8" t="s">
        <v>560</v>
      </c>
      <c r="E184" s="19" t="s">
        <v>12</v>
      </c>
      <c r="F184" s="20">
        <v>818380</v>
      </c>
    </row>
    <row r="185" spans="2:6">
      <c r="B185" s="8" t="s">
        <v>561</v>
      </c>
      <c r="C185" s="18" t="s">
        <v>562</v>
      </c>
      <c r="D185" s="8" t="s">
        <v>563</v>
      </c>
      <c r="E185" s="19" t="s">
        <v>12</v>
      </c>
      <c r="F185" s="20">
        <v>1303900</v>
      </c>
    </row>
    <row r="186" spans="2:6" ht="26.4">
      <c r="B186" s="8" t="s">
        <v>564</v>
      </c>
      <c r="C186" s="18" t="s">
        <v>565</v>
      </c>
      <c r="D186" s="8" t="s">
        <v>566</v>
      </c>
      <c r="E186" s="19" t="s">
        <v>12</v>
      </c>
      <c r="F186" s="20">
        <v>818380</v>
      </c>
    </row>
    <row r="187" spans="2:6">
      <c r="B187" s="8" t="s">
        <v>567</v>
      </c>
      <c r="C187" s="18" t="s">
        <v>568</v>
      </c>
      <c r="D187" s="8" t="s">
        <v>569</v>
      </c>
      <c r="E187" s="19" t="s">
        <v>12</v>
      </c>
      <c r="F187" s="20">
        <v>428350</v>
      </c>
    </row>
    <row r="188" spans="2:6">
      <c r="B188" s="8" t="s">
        <v>570</v>
      </c>
      <c r="C188" s="18" t="s">
        <v>571</v>
      </c>
      <c r="D188" s="8" t="s">
        <v>572</v>
      </c>
      <c r="E188" s="19" t="s">
        <v>12</v>
      </c>
      <c r="F188" s="20">
        <v>388020</v>
      </c>
    </row>
    <row r="189" spans="2:6">
      <c r="B189" s="8" t="s">
        <v>573</v>
      </c>
      <c r="C189" s="18" t="s">
        <v>574</v>
      </c>
      <c r="D189" s="8" t="s">
        <v>575</v>
      </c>
      <c r="E189" s="19" t="s">
        <v>12</v>
      </c>
      <c r="F189" s="20">
        <v>478400</v>
      </c>
    </row>
    <row r="190" spans="2:6">
      <c r="B190" s="8" t="s">
        <v>576</v>
      </c>
      <c r="C190" s="18" t="s">
        <v>577</v>
      </c>
      <c r="D190" s="8" t="s">
        <v>578</v>
      </c>
      <c r="E190" s="19" t="s">
        <v>12</v>
      </c>
      <c r="F190" s="20">
        <v>478400</v>
      </c>
    </row>
    <row r="191" spans="2:6" ht="26.4">
      <c r="B191" s="8" t="s">
        <v>579</v>
      </c>
      <c r="C191" s="18" t="s">
        <v>580</v>
      </c>
      <c r="D191" s="8" t="s">
        <v>581</v>
      </c>
      <c r="E191" s="19" t="s">
        <v>12</v>
      </c>
      <c r="F191" s="20">
        <v>156975</v>
      </c>
    </row>
    <row r="192" spans="2:6">
      <c r="B192" s="8" t="s">
        <v>582</v>
      </c>
      <c r="C192" s="18" t="s">
        <v>583</v>
      </c>
      <c r="D192" s="8" t="s">
        <v>584</v>
      </c>
      <c r="E192" s="19" t="s">
        <v>12</v>
      </c>
      <c r="F192" s="20">
        <v>156975</v>
      </c>
    </row>
    <row r="193" spans="2:6">
      <c r="B193" s="8" t="s">
        <v>585</v>
      </c>
      <c r="C193" s="18" t="s">
        <v>586</v>
      </c>
      <c r="D193" s="8" t="s">
        <v>587</v>
      </c>
      <c r="E193" s="19" t="s">
        <v>12</v>
      </c>
      <c r="F193" s="20">
        <v>156975</v>
      </c>
    </row>
    <row r="194" spans="2:6" ht="26.4">
      <c r="B194" s="8" t="s">
        <v>588</v>
      </c>
      <c r="C194" s="18" t="s">
        <v>589</v>
      </c>
      <c r="D194" s="8" t="s">
        <v>590</v>
      </c>
      <c r="E194" s="19" t="s">
        <v>12</v>
      </c>
      <c r="F194" s="20">
        <v>1690000</v>
      </c>
    </row>
    <row r="195" spans="2:6">
      <c r="B195" s="8" t="s">
        <v>591</v>
      </c>
      <c r="C195" s="18" t="s">
        <v>592</v>
      </c>
      <c r="D195" s="8" t="s">
        <v>593</v>
      </c>
      <c r="E195" s="19" t="s">
        <v>12</v>
      </c>
      <c r="F195" s="20">
        <v>0</v>
      </c>
    </row>
    <row r="196" spans="2:6">
      <c r="B196" s="8" t="s">
        <v>594</v>
      </c>
      <c r="C196" s="18" t="s">
        <v>595</v>
      </c>
      <c r="D196" s="8" t="s">
        <v>596</v>
      </c>
      <c r="E196" s="19" t="s">
        <v>12</v>
      </c>
      <c r="F196" s="20">
        <v>258000</v>
      </c>
    </row>
    <row r="197" spans="2:6">
      <c r="B197" s="8" t="s">
        <v>597</v>
      </c>
      <c r="C197" s="18" t="s">
        <v>4108</v>
      </c>
      <c r="D197" s="8" t="s">
        <v>598</v>
      </c>
      <c r="E197" s="19" t="s">
        <v>12</v>
      </c>
      <c r="F197" s="20">
        <v>201000</v>
      </c>
    </row>
    <row r="198" spans="2:6">
      <c r="B198" s="8" t="s">
        <v>599</v>
      </c>
      <c r="C198" s="18" t="s">
        <v>4109</v>
      </c>
      <c r="D198" s="8" t="s">
        <v>600</v>
      </c>
      <c r="E198" s="19" t="s">
        <v>12</v>
      </c>
      <c r="F198" s="20">
        <v>201000</v>
      </c>
    </row>
    <row r="199" spans="2:6">
      <c r="B199" s="8" t="s">
        <v>601</v>
      </c>
      <c r="C199" s="18" t="s">
        <v>4110</v>
      </c>
      <c r="D199" s="8" t="s">
        <v>602</v>
      </c>
      <c r="E199" s="19" t="s">
        <v>12</v>
      </c>
      <c r="F199" s="20">
        <v>201000</v>
      </c>
    </row>
    <row r="200" spans="2:6">
      <c r="B200" s="8" t="s">
        <v>603</v>
      </c>
      <c r="C200" s="18" t="s">
        <v>4111</v>
      </c>
      <c r="D200" s="8" t="s">
        <v>604</v>
      </c>
      <c r="E200" s="19" t="s">
        <v>12</v>
      </c>
      <c r="F200" s="20">
        <v>201000</v>
      </c>
    </row>
    <row r="201" spans="2:6">
      <c r="B201" s="8" t="s">
        <v>605</v>
      </c>
      <c r="C201" s="18" t="s">
        <v>4112</v>
      </c>
      <c r="D201" s="8" t="s">
        <v>606</v>
      </c>
      <c r="E201" s="19" t="s">
        <v>12</v>
      </c>
      <c r="F201" s="20">
        <v>201000</v>
      </c>
    </row>
    <row r="202" spans="2:6">
      <c r="B202" s="8" t="s">
        <v>607</v>
      </c>
      <c r="C202" s="18" t="s">
        <v>608</v>
      </c>
      <c r="D202" s="8" t="s">
        <v>609</v>
      </c>
      <c r="E202" s="19" t="s">
        <v>12</v>
      </c>
      <c r="F202" s="20">
        <v>258000</v>
      </c>
    </row>
    <row r="203" spans="2:6">
      <c r="B203" s="8" t="s">
        <v>610</v>
      </c>
      <c r="C203" s="18" t="s">
        <v>4113</v>
      </c>
      <c r="D203" s="8" t="s">
        <v>611</v>
      </c>
      <c r="E203" s="19" t="s">
        <v>12</v>
      </c>
      <c r="F203" s="20">
        <v>554000</v>
      </c>
    </row>
    <row r="204" spans="2:6">
      <c r="B204" s="8" t="s">
        <v>612</v>
      </c>
      <c r="C204" s="18" t="s">
        <v>4114</v>
      </c>
      <c r="D204" s="8" t="s">
        <v>613</v>
      </c>
      <c r="E204" s="19" t="s">
        <v>12</v>
      </c>
      <c r="F204" s="20">
        <v>554000</v>
      </c>
    </row>
    <row r="205" spans="2:6">
      <c r="B205" s="8" t="s">
        <v>614</v>
      </c>
      <c r="C205" s="18" t="s">
        <v>4115</v>
      </c>
      <c r="D205" s="8" t="s">
        <v>615</v>
      </c>
      <c r="E205" s="19" t="s">
        <v>12</v>
      </c>
      <c r="F205" s="20">
        <v>554000</v>
      </c>
    </row>
    <row r="206" spans="2:6">
      <c r="B206" s="8" t="s">
        <v>616</v>
      </c>
      <c r="C206" s="18" t="s">
        <v>4116</v>
      </c>
      <c r="D206" s="8" t="s">
        <v>617</v>
      </c>
      <c r="E206" s="19" t="s">
        <v>12</v>
      </c>
      <c r="F206" s="20">
        <v>693000</v>
      </c>
    </row>
    <row r="207" spans="2:6">
      <c r="B207" s="8" t="s">
        <v>618</v>
      </c>
      <c r="C207" s="21" t="s">
        <v>619</v>
      </c>
      <c r="D207" s="8" t="s">
        <v>620</v>
      </c>
      <c r="E207" s="19" t="s">
        <v>12</v>
      </c>
      <c r="F207" s="20">
        <v>315000</v>
      </c>
    </row>
    <row r="208" spans="2:6">
      <c r="B208" s="8" t="s">
        <v>621</v>
      </c>
      <c r="C208" s="21" t="s">
        <v>622</v>
      </c>
      <c r="D208" s="8" t="s">
        <v>623</v>
      </c>
      <c r="E208" s="19" t="s">
        <v>12</v>
      </c>
      <c r="F208" s="20">
        <v>675000</v>
      </c>
    </row>
    <row r="209" spans="2:6">
      <c r="B209" s="8" t="s">
        <v>624</v>
      </c>
      <c r="C209" s="21" t="s">
        <v>625</v>
      </c>
      <c r="D209" s="8" t="s">
        <v>626</v>
      </c>
      <c r="E209" s="19" t="s">
        <v>12</v>
      </c>
      <c r="F209" s="20">
        <v>245000</v>
      </c>
    </row>
    <row r="210" spans="2:6">
      <c r="B210" s="8" t="s">
        <v>627</v>
      </c>
      <c r="C210" s="21" t="s">
        <v>628</v>
      </c>
      <c r="D210" s="8" t="s">
        <v>629</v>
      </c>
      <c r="E210" s="19" t="s">
        <v>12</v>
      </c>
      <c r="F210" s="20">
        <v>24500</v>
      </c>
    </row>
    <row r="211" spans="2:6">
      <c r="B211" s="8" t="s">
        <v>630</v>
      </c>
      <c r="C211" s="21" t="s">
        <v>631</v>
      </c>
      <c r="D211" s="8" t="s">
        <v>632</v>
      </c>
      <c r="E211" s="19" t="s">
        <v>12</v>
      </c>
      <c r="F211" s="20">
        <v>675000</v>
      </c>
    </row>
    <row r="212" spans="2:6">
      <c r="B212" s="8" t="s">
        <v>633</v>
      </c>
      <c r="C212" s="21" t="s">
        <v>634</v>
      </c>
      <c r="D212" s="8" t="s">
        <v>635</v>
      </c>
      <c r="E212" s="19" t="s">
        <v>12</v>
      </c>
      <c r="F212" s="20">
        <v>245000</v>
      </c>
    </row>
    <row r="213" spans="2:6">
      <c r="B213" s="8" t="s">
        <v>636</v>
      </c>
      <c r="C213" s="21" t="s">
        <v>637</v>
      </c>
      <c r="D213" s="8" t="s">
        <v>638</v>
      </c>
      <c r="E213" s="19" t="s">
        <v>12</v>
      </c>
      <c r="F213" s="20">
        <v>245000</v>
      </c>
    </row>
    <row r="214" spans="2:6">
      <c r="B214" s="8" t="s">
        <v>639</v>
      </c>
      <c r="C214" s="21" t="s">
        <v>640</v>
      </c>
      <c r="D214" s="8" t="s">
        <v>641</v>
      </c>
      <c r="E214" s="19" t="s">
        <v>12</v>
      </c>
      <c r="F214" s="20">
        <v>245000</v>
      </c>
    </row>
    <row r="215" spans="2:6">
      <c r="B215" s="8" t="s">
        <v>642</v>
      </c>
      <c r="C215" s="21" t="s">
        <v>643</v>
      </c>
      <c r="D215" s="8" t="s">
        <v>644</v>
      </c>
      <c r="E215" s="19" t="s">
        <v>12</v>
      </c>
      <c r="F215" s="20">
        <v>245000</v>
      </c>
    </row>
    <row r="216" spans="2:6">
      <c r="B216" s="8" t="s">
        <v>645</v>
      </c>
      <c r="C216" s="21" t="s">
        <v>646</v>
      </c>
      <c r="D216" s="8" t="s">
        <v>647</v>
      </c>
      <c r="E216" s="19" t="s">
        <v>12</v>
      </c>
      <c r="F216" s="20">
        <v>315000</v>
      </c>
    </row>
    <row r="217" spans="2:6">
      <c r="B217" s="8" t="s">
        <v>648</v>
      </c>
      <c r="C217" s="18" t="s">
        <v>649</v>
      </c>
      <c r="D217" s="8" t="s">
        <v>650</v>
      </c>
      <c r="E217" s="19" t="s">
        <v>12</v>
      </c>
      <c r="F217" s="20">
        <v>432055</v>
      </c>
    </row>
    <row r="218" spans="2:6">
      <c r="B218" s="8" t="s">
        <v>651</v>
      </c>
      <c r="C218" s="18" t="s">
        <v>652</v>
      </c>
      <c r="D218" s="8" t="s">
        <v>653</v>
      </c>
      <c r="E218" s="19" t="s">
        <v>12</v>
      </c>
      <c r="F218" s="20">
        <v>14300</v>
      </c>
    </row>
    <row r="219" spans="2:6">
      <c r="B219" s="8" t="s">
        <v>654</v>
      </c>
      <c r="C219" s="31" t="s">
        <v>655</v>
      </c>
      <c r="D219" s="8" t="s">
        <v>656</v>
      </c>
      <c r="E219" s="19" t="s">
        <v>12</v>
      </c>
      <c r="F219" s="20">
        <v>105791.99999999999</v>
      </c>
    </row>
    <row r="220" spans="2:6">
      <c r="B220" s="8" t="s">
        <v>657</v>
      </c>
      <c r="C220" s="31" t="s">
        <v>658</v>
      </c>
      <c r="D220" s="8" t="s">
        <v>659</v>
      </c>
      <c r="E220" s="19" t="s">
        <v>12</v>
      </c>
      <c r="F220" s="20">
        <v>105791.99999999999</v>
      </c>
    </row>
    <row r="221" spans="2:6">
      <c r="B221" s="8" t="s">
        <v>660</v>
      </c>
      <c r="C221" s="31" t="s">
        <v>661</v>
      </c>
      <c r="D221" s="8" t="s">
        <v>662</v>
      </c>
      <c r="E221" s="19" t="s">
        <v>12</v>
      </c>
      <c r="F221" s="20">
        <v>27950</v>
      </c>
    </row>
    <row r="222" spans="2:6">
      <c r="B222" s="8" t="s">
        <v>663</v>
      </c>
      <c r="C222" s="31" t="s">
        <v>664</v>
      </c>
      <c r="D222" s="8" t="s">
        <v>665</v>
      </c>
      <c r="E222" s="19" t="s">
        <v>12</v>
      </c>
      <c r="F222" s="20">
        <v>19488</v>
      </c>
    </row>
    <row r="223" spans="2:6">
      <c r="B223" s="8" t="s">
        <v>666</v>
      </c>
      <c r="C223" s="31" t="s">
        <v>667</v>
      </c>
      <c r="D223" s="8" t="s">
        <v>668</v>
      </c>
      <c r="E223" s="19" t="s">
        <v>12</v>
      </c>
      <c r="F223" s="20">
        <v>100100</v>
      </c>
    </row>
    <row r="224" spans="2:6">
      <c r="B224" s="8" t="s">
        <v>669</v>
      </c>
      <c r="C224" s="31" t="s">
        <v>670</v>
      </c>
      <c r="D224" s="8" t="s">
        <v>671</v>
      </c>
      <c r="E224" s="19" t="s">
        <v>12</v>
      </c>
      <c r="F224" s="20">
        <v>32711.999999999996</v>
      </c>
    </row>
    <row r="225" spans="2:6">
      <c r="B225" s="8" t="s">
        <v>672</v>
      </c>
      <c r="C225" s="21" t="s">
        <v>673</v>
      </c>
      <c r="D225" s="8" t="s">
        <v>674</v>
      </c>
      <c r="E225" s="19" t="s">
        <v>170</v>
      </c>
      <c r="F225" s="20">
        <v>19000</v>
      </c>
    </row>
    <row r="226" spans="2:6">
      <c r="B226" s="8" t="s">
        <v>675</v>
      </c>
      <c r="C226" s="21" t="s">
        <v>676</v>
      </c>
      <c r="D226" s="8" t="s">
        <v>677</v>
      </c>
      <c r="E226" s="19" t="s">
        <v>170</v>
      </c>
      <c r="F226" s="20">
        <v>19000</v>
      </c>
    </row>
    <row r="227" spans="2:6">
      <c r="B227" s="8" t="s">
        <v>678</v>
      </c>
      <c r="C227" s="21" t="s">
        <v>679</v>
      </c>
      <c r="D227" s="8" t="s">
        <v>680</v>
      </c>
      <c r="E227" s="19" t="s">
        <v>170</v>
      </c>
      <c r="F227" s="20">
        <v>19000</v>
      </c>
    </row>
    <row r="228" spans="2:6">
      <c r="B228" s="8" t="s">
        <v>681</v>
      </c>
      <c r="C228" s="21" t="s">
        <v>682</v>
      </c>
      <c r="D228" s="8" t="s">
        <v>683</v>
      </c>
      <c r="E228" s="19" t="s">
        <v>170</v>
      </c>
      <c r="F228" s="20">
        <v>22000</v>
      </c>
    </row>
    <row r="229" spans="2:6">
      <c r="B229" s="8" t="s">
        <v>684</v>
      </c>
      <c r="C229" s="21" t="s">
        <v>685</v>
      </c>
      <c r="D229" s="8" t="s">
        <v>686</v>
      </c>
      <c r="E229" s="19" t="s">
        <v>170</v>
      </c>
      <c r="F229" s="20">
        <v>46000</v>
      </c>
    </row>
    <row r="230" spans="2:6">
      <c r="B230" s="8" t="s">
        <v>687</v>
      </c>
      <c r="C230" s="21" t="s">
        <v>688</v>
      </c>
      <c r="D230" s="8" t="s">
        <v>689</v>
      </c>
      <c r="E230" s="19" t="s">
        <v>170</v>
      </c>
      <c r="F230" s="20">
        <v>46000</v>
      </c>
    </row>
    <row r="231" spans="2:6">
      <c r="B231" s="8" t="s">
        <v>690</v>
      </c>
      <c r="C231" s="21" t="s">
        <v>691</v>
      </c>
      <c r="D231" s="8" t="s">
        <v>692</v>
      </c>
      <c r="E231" s="19" t="s">
        <v>170</v>
      </c>
      <c r="F231" s="20">
        <v>46000</v>
      </c>
    </row>
    <row r="232" spans="2:6">
      <c r="B232" s="8" t="s">
        <v>693</v>
      </c>
      <c r="C232" s="21" t="s">
        <v>694</v>
      </c>
      <c r="D232" s="8" t="s">
        <v>695</v>
      </c>
      <c r="E232" s="19" t="s">
        <v>170</v>
      </c>
      <c r="F232" s="20">
        <v>46000</v>
      </c>
    </row>
    <row r="233" spans="2:6">
      <c r="B233" s="8" t="s">
        <v>696</v>
      </c>
      <c r="C233" s="21" t="s">
        <v>697</v>
      </c>
      <c r="D233" s="8" t="s">
        <v>698</v>
      </c>
      <c r="E233" s="19" t="s">
        <v>170</v>
      </c>
      <c r="F233" s="20">
        <v>46000</v>
      </c>
    </row>
    <row r="234" spans="2:6">
      <c r="B234" s="8" t="s">
        <v>699</v>
      </c>
      <c r="C234" s="21" t="s">
        <v>700</v>
      </c>
      <c r="D234" s="8" t="s">
        <v>701</v>
      </c>
      <c r="E234" s="19" t="s">
        <v>170</v>
      </c>
      <c r="F234" s="20">
        <v>46000</v>
      </c>
    </row>
    <row r="235" spans="2:6">
      <c r="B235" s="8" t="s">
        <v>702</v>
      </c>
      <c r="C235" s="21" t="s">
        <v>703</v>
      </c>
      <c r="D235" s="8" t="s">
        <v>704</v>
      </c>
      <c r="E235" s="19" t="s">
        <v>170</v>
      </c>
      <c r="F235" s="20">
        <v>46000</v>
      </c>
    </row>
    <row r="236" spans="2:6">
      <c r="B236" s="8" t="s">
        <v>705</v>
      </c>
      <c r="C236" s="21" t="s">
        <v>706</v>
      </c>
      <c r="D236" s="8" t="s">
        <v>707</v>
      </c>
      <c r="E236" s="19" t="s">
        <v>170</v>
      </c>
      <c r="F236" s="20">
        <v>46000</v>
      </c>
    </row>
    <row r="237" spans="2:6">
      <c r="B237" s="8" t="s">
        <v>708</v>
      </c>
      <c r="C237" s="21" t="s">
        <v>709</v>
      </c>
      <c r="D237" s="8" t="s">
        <v>710</v>
      </c>
      <c r="E237" s="19" t="s">
        <v>170</v>
      </c>
      <c r="F237" s="20">
        <v>79000</v>
      </c>
    </row>
    <row r="238" spans="2:6">
      <c r="B238" s="8" t="s">
        <v>711</v>
      </c>
      <c r="C238" s="21" t="s">
        <v>712</v>
      </c>
      <c r="D238" s="8" t="s">
        <v>713</v>
      </c>
      <c r="E238" s="19" t="s">
        <v>170</v>
      </c>
      <c r="F238" s="20">
        <v>79000</v>
      </c>
    </row>
    <row r="239" spans="2:6">
      <c r="B239" s="8" t="s">
        <v>714</v>
      </c>
      <c r="C239" s="21" t="s">
        <v>715</v>
      </c>
      <c r="D239" s="8" t="s">
        <v>716</v>
      </c>
      <c r="E239" s="19" t="s">
        <v>170</v>
      </c>
      <c r="F239" s="20">
        <v>79000</v>
      </c>
    </row>
    <row r="240" spans="2:6">
      <c r="B240" s="8" t="s">
        <v>717</v>
      </c>
      <c r="C240" s="21" t="s">
        <v>718</v>
      </c>
      <c r="D240" s="8" t="s">
        <v>719</v>
      </c>
      <c r="E240" s="19" t="s">
        <v>170</v>
      </c>
      <c r="F240" s="20">
        <v>44000</v>
      </c>
    </row>
    <row r="241" spans="2:6">
      <c r="B241" s="8" t="s">
        <v>720</v>
      </c>
      <c r="C241" s="21" t="s">
        <v>721</v>
      </c>
      <c r="D241" s="8" t="s">
        <v>722</v>
      </c>
      <c r="E241" s="19" t="s">
        <v>170</v>
      </c>
      <c r="F241" s="20">
        <v>28000</v>
      </c>
    </row>
    <row r="242" spans="2:6">
      <c r="B242" s="8" t="s">
        <v>723</v>
      </c>
      <c r="C242" s="21" t="s">
        <v>724</v>
      </c>
      <c r="D242" s="8" t="s">
        <v>725</v>
      </c>
      <c r="E242" s="19" t="s">
        <v>12</v>
      </c>
      <c r="F242" s="20">
        <v>47000</v>
      </c>
    </row>
    <row r="243" spans="2:6">
      <c r="B243" s="8" t="s">
        <v>726</v>
      </c>
      <c r="C243" s="21" t="s">
        <v>727</v>
      </c>
      <c r="D243" s="8" t="s">
        <v>728</v>
      </c>
      <c r="E243" s="19" t="s">
        <v>170</v>
      </c>
      <c r="F243" s="20">
        <v>71000</v>
      </c>
    </row>
    <row r="244" spans="2:6">
      <c r="B244" s="8" t="s">
        <v>729</v>
      </c>
      <c r="C244" s="21" t="s">
        <v>730</v>
      </c>
      <c r="D244" s="8" t="s">
        <v>731</v>
      </c>
      <c r="E244" s="19" t="s">
        <v>170</v>
      </c>
      <c r="F244" s="20">
        <v>156000</v>
      </c>
    </row>
    <row r="245" spans="2:6">
      <c r="B245" s="8" t="s">
        <v>732</v>
      </c>
      <c r="C245" s="21" t="s">
        <v>733</v>
      </c>
      <c r="D245" s="8" t="s">
        <v>734</v>
      </c>
      <c r="E245" s="19" t="s">
        <v>170</v>
      </c>
      <c r="F245" s="20">
        <v>139000</v>
      </c>
    </row>
    <row r="246" spans="2:6">
      <c r="B246" s="8" t="s">
        <v>735</v>
      </c>
      <c r="C246" s="21" t="s">
        <v>736</v>
      </c>
      <c r="D246" s="8" t="s">
        <v>737</v>
      </c>
      <c r="E246" s="19" t="s">
        <v>170</v>
      </c>
      <c r="F246" s="20">
        <v>669000</v>
      </c>
    </row>
    <row r="247" spans="2:6">
      <c r="B247" s="8" t="s">
        <v>738</v>
      </c>
      <c r="C247" s="21" t="s">
        <v>739</v>
      </c>
      <c r="D247" s="8" t="s">
        <v>740</v>
      </c>
      <c r="E247" s="19" t="s">
        <v>170</v>
      </c>
      <c r="F247" s="20">
        <v>669000</v>
      </c>
    </row>
    <row r="248" spans="2:6">
      <c r="B248" s="8" t="s">
        <v>741</v>
      </c>
      <c r="C248" s="21" t="s">
        <v>742</v>
      </c>
      <c r="D248" s="8" t="s">
        <v>743</v>
      </c>
      <c r="E248" s="19" t="s">
        <v>170</v>
      </c>
      <c r="F248" s="20">
        <v>747000</v>
      </c>
    </row>
    <row r="249" spans="2:6">
      <c r="B249" s="8" t="s">
        <v>744</v>
      </c>
      <c r="C249" s="21" t="s">
        <v>745</v>
      </c>
      <c r="D249" s="8" t="s">
        <v>746</v>
      </c>
      <c r="E249" s="19" t="s">
        <v>170</v>
      </c>
      <c r="F249" s="20">
        <v>747000</v>
      </c>
    </row>
    <row r="250" spans="2:6">
      <c r="B250" s="8" t="s">
        <v>747</v>
      </c>
      <c r="C250" s="21" t="s">
        <v>748</v>
      </c>
      <c r="D250" s="8" t="s">
        <v>749</v>
      </c>
      <c r="E250" s="19" t="s">
        <v>170</v>
      </c>
      <c r="F250" s="20">
        <v>6500</v>
      </c>
    </row>
    <row r="251" spans="2:6">
      <c r="B251" s="8" t="s">
        <v>750</v>
      </c>
      <c r="C251" s="21" t="s">
        <v>751</v>
      </c>
      <c r="D251" s="8" t="s">
        <v>752</v>
      </c>
      <c r="E251" s="19" t="s">
        <v>170</v>
      </c>
      <c r="F251" s="20">
        <v>98000</v>
      </c>
    </row>
    <row r="252" spans="2:6">
      <c r="B252" s="8" t="s">
        <v>753</v>
      </c>
      <c r="C252" s="21" t="s">
        <v>754</v>
      </c>
      <c r="D252" s="8" t="s">
        <v>755</v>
      </c>
      <c r="E252" s="19" t="s">
        <v>170</v>
      </c>
      <c r="F252" s="20">
        <v>232645</v>
      </c>
    </row>
    <row r="253" spans="2:6">
      <c r="B253" s="8" t="s">
        <v>756</v>
      </c>
      <c r="C253" s="21" t="s">
        <v>757</v>
      </c>
      <c r="D253" s="8" t="s">
        <v>758</v>
      </c>
      <c r="E253" s="19" t="s">
        <v>170</v>
      </c>
      <c r="F253" s="20">
        <v>1144000</v>
      </c>
    </row>
    <row r="254" spans="2:6">
      <c r="B254" s="8" t="s">
        <v>759</v>
      </c>
      <c r="C254" s="21" t="s">
        <v>760</v>
      </c>
      <c r="D254" s="8" t="s">
        <v>761</v>
      </c>
      <c r="E254" s="19" t="s">
        <v>170</v>
      </c>
      <c r="F254" s="20">
        <v>2036000</v>
      </c>
    </row>
    <row r="255" spans="2:6">
      <c r="B255" s="8" t="s">
        <v>762</v>
      </c>
      <c r="C255" s="27" t="s">
        <v>763</v>
      </c>
      <c r="D255" s="8" t="s">
        <v>764</v>
      </c>
      <c r="E255" s="19" t="s">
        <v>170</v>
      </c>
      <c r="F255" s="20">
        <v>5428.3360000000002</v>
      </c>
    </row>
    <row r="256" spans="2:6">
      <c r="B256" s="8" t="s">
        <v>765</v>
      </c>
      <c r="C256" s="24" t="s">
        <v>766</v>
      </c>
      <c r="D256" s="8" t="s">
        <v>767</v>
      </c>
      <c r="E256" s="19" t="s">
        <v>170</v>
      </c>
      <c r="F256" s="20">
        <v>4032.6239999999998</v>
      </c>
    </row>
    <row r="257" spans="2:6">
      <c r="B257" s="8" t="s">
        <v>768</v>
      </c>
      <c r="C257" s="24" t="s">
        <v>769</v>
      </c>
      <c r="D257" s="8" t="s">
        <v>770</v>
      </c>
      <c r="E257" s="19" t="s">
        <v>170</v>
      </c>
      <c r="F257" s="20">
        <v>2970.5279999999998</v>
      </c>
    </row>
    <row r="258" spans="2:6">
      <c r="B258" s="8" t="s">
        <v>771</v>
      </c>
      <c r="C258" s="24" t="s">
        <v>772</v>
      </c>
      <c r="D258" s="8" t="s">
        <v>773</v>
      </c>
      <c r="E258" s="19" t="s">
        <v>170</v>
      </c>
      <c r="F258" s="20">
        <v>1868.992</v>
      </c>
    </row>
    <row r="259" spans="2:6">
      <c r="B259" s="8" t="s">
        <v>774</v>
      </c>
      <c r="C259" s="27" t="s">
        <v>775</v>
      </c>
      <c r="D259" s="8" t="s">
        <v>776</v>
      </c>
      <c r="E259" s="19" t="s">
        <v>170</v>
      </c>
      <c r="F259" s="20">
        <v>12705.268</v>
      </c>
    </row>
    <row r="260" spans="2:6">
      <c r="B260" s="8" t="s">
        <v>777</v>
      </c>
      <c r="C260" s="24" t="s">
        <v>778</v>
      </c>
      <c r="D260" s="8" t="s">
        <v>779</v>
      </c>
      <c r="E260" s="19" t="s">
        <v>170</v>
      </c>
      <c r="F260" s="20">
        <v>8531.0479999999989</v>
      </c>
    </row>
    <row r="261" spans="2:6">
      <c r="B261" s="8" t="s">
        <v>780</v>
      </c>
      <c r="C261" s="24" t="s">
        <v>781</v>
      </c>
      <c r="D261" s="8" t="s">
        <v>782</v>
      </c>
      <c r="E261" s="19" t="s">
        <v>170</v>
      </c>
      <c r="F261" s="20">
        <v>6902.4639999999999</v>
      </c>
    </row>
    <row r="262" spans="2:6">
      <c r="B262" s="8" t="s">
        <v>783</v>
      </c>
      <c r="C262" s="24" t="s">
        <v>784</v>
      </c>
      <c r="D262" s="8" t="s">
        <v>785</v>
      </c>
      <c r="E262" s="19" t="s">
        <v>170</v>
      </c>
      <c r="F262" s="20">
        <v>3637.2960000000003</v>
      </c>
    </row>
    <row r="263" spans="2:6">
      <c r="B263" s="8" t="s">
        <v>786</v>
      </c>
      <c r="C263" s="24" t="s">
        <v>787</v>
      </c>
      <c r="D263" s="8" t="s">
        <v>788</v>
      </c>
      <c r="E263" s="19" t="s">
        <v>170</v>
      </c>
      <c r="F263" s="20">
        <v>2428.1120000000001</v>
      </c>
    </row>
    <row r="264" spans="2:6">
      <c r="B264" s="8" t="s">
        <v>789</v>
      </c>
      <c r="C264" s="24" t="s">
        <v>790</v>
      </c>
      <c r="D264" s="8" t="s">
        <v>791</v>
      </c>
      <c r="E264" s="19" t="s">
        <v>170</v>
      </c>
      <c r="F264" s="20">
        <v>1821.1079999999999</v>
      </c>
    </row>
    <row r="265" spans="2:6">
      <c r="B265" s="8" t="s">
        <v>792</v>
      </c>
      <c r="C265" s="24" t="s">
        <v>793</v>
      </c>
      <c r="D265" s="8" t="s">
        <v>794</v>
      </c>
      <c r="E265" s="19" t="s">
        <v>170</v>
      </c>
      <c r="F265" s="20">
        <v>16746.147999999997</v>
      </c>
    </row>
    <row r="266" spans="2:6">
      <c r="B266" s="8" t="s">
        <v>795</v>
      </c>
      <c r="C266" s="24" t="s">
        <v>796</v>
      </c>
      <c r="D266" s="8" t="s">
        <v>797</v>
      </c>
      <c r="E266" s="19" t="s">
        <v>170</v>
      </c>
      <c r="F266" s="20">
        <v>10963.259999999998</v>
      </c>
    </row>
    <row r="267" spans="2:6">
      <c r="B267" s="8" t="s">
        <v>798</v>
      </c>
      <c r="C267" s="24" t="s">
        <v>799</v>
      </c>
      <c r="D267" s="8" t="s">
        <v>800</v>
      </c>
      <c r="E267" s="19" t="s">
        <v>170</v>
      </c>
      <c r="F267" s="20">
        <v>8090.348</v>
      </c>
    </row>
    <row r="268" spans="2:6">
      <c r="B268" s="8" t="s">
        <v>801</v>
      </c>
      <c r="C268" s="24" t="s">
        <v>802</v>
      </c>
      <c r="D268" s="8" t="s">
        <v>803</v>
      </c>
      <c r="E268" s="19" t="s">
        <v>170</v>
      </c>
      <c r="F268" s="20">
        <v>6058.4479999999994</v>
      </c>
    </row>
    <row r="269" spans="2:6">
      <c r="B269" s="8" t="s">
        <v>804</v>
      </c>
      <c r="C269" s="24" t="s">
        <v>805</v>
      </c>
      <c r="D269" s="8" t="s">
        <v>806</v>
      </c>
      <c r="E269" s="19" t="s">
        <v>170</v>
      </c>
      <c r="F269" s="20">
        <v>4345.3599999999997</v>
      </c>
    </row>
    <row r="270" spans="2:6">
      <c r="B270" s="8" t="s">
        <v>807</v>
      </c>
      <c r="C270" s="24" t="s">
        <v>808</v>
      </c>
      <c r="D270" s="8" t="s">
        <v>809</v>
      </c>
      <c r="E270" s="19" t="s">
        <v>170</v>
      </c>
      <c r="F270" s="20">
        <v>2854.0639999999999</v>
      </c>
    </row>
    <row r="271" spans="2:6">
      <c r="B271" s="8" t="s">
        <v>810</v>
      </c>
      <c r="C271" s="24" t="s">
        <v>811</v>
      </c>
      <c r="D271" s="8" t="s">
        <v>812</v>
      </c>
      <c r="E271" s="19" t="s">
        <v>170</v>
      </c>
      <c r="F271" s="20">
        <v>2320.5679999999998</v>
      </c>
    </row>
    <row r="272" spans="2:6">
      <c r="B272" s="8" t="s">
        <v>813</v>
      </c>
      <c r="C272" s="24" t="s">
        <v>814</v>
      </c>
      <c r="D272" s="8" t="s">
        <v>815</v>
      </c>
      <c r="E272" s="19" t="s">
        <v>170</v>
      </c>
      <c r="F272" s="20">
        <v>22632.063999999998</v>
      </c>
    </row>
    <row r="273" spans="2:6">
      <c r="B273" s="8" t="s">
        <v>816</v>
      </c>
      <c r="C273" s="24" t="s">
        <v>817</v>
      </c>
      <c r="D273" s="8" t="s">
        <v>818</v>
      </c>
      <c r="E273" s="19" t="s">
        <v>170</v>
      </c>
      <c r="F273" s="20">
        <v>14613.679999999998</v>
      </c>
    </row>
    <row r="274" spans="2:6">
      <c r="B274" s="8" t="s">
        <v>819</v>
      </c>
      <c r="C274" s="32" t="s">
        <v>820</v>
      </c>
      <c r="D274" s="8" t="s">
        <v>821</v>
      </c>
      <c r="E274" s="19" t="s">
        <v>12</v>
      </c>
      <c r="F274" s="20">
        <v>314865.75999999995</v>
      </c>
    </row>
    <row r="275" spans="2:6">
      <c r="B275" s="8" t="s">
        <v>822</v>
      </c>
      <c r="C275" s="24" t="s">
        <v>823</v>
      </c>
      <c r="D275" s="8" t="s">
        <v>824</v>
      </c>
      <c r="E275" s="19" t="s">
        <v>170</v>
      </c>
      <c r="F275" s="20">
        <v>2507.9199999999996</v>
      </c>
    </row>
    <row r="276" spans="2:6">
      <c r="B276" s="8" t="s">
        <v>825</v>
      </c>
      <c r="C276" s="24" t="s">
        <v>826</v>
      </c>
      <c r="D276" s="8" t="s">
        <v>827</v>
      </c>
      <c r="E276" s="19" t="s">
        <v>170</v>
      </c>
      <c r="F276" s="20">
        <v>1614.1399999999999</v>
      </c>
    </row>
    <row r="277" spans="2:6">
      <c r="B277" s="8" t="s">
        <v>828</v>
      </c>
      <c r="C277" s="24" t="s">
        <v>829</v>
      </c>
      <c r="D277" s="8" t="s">
        <v>830</v>
      </c>
      <c r="E277" s="19" t="s">
        <v>170</v>
      </c>
      <c r="F277" s="20">
        <v>2512.0959999999995</v>
      </c>
    </row>
    <row r="278" spans="2:6">
      <c r="B278" s="8" t="s">
        <v>831</v>
      </c>
      <c r="C278" s="24" t="s">
        <v>832</v>
      </c>
      <c r="D278" s="8" t="s">
        <v>833</v>
      </c>
      <c r="E278" s="19" t="s">
        <v>170</v>
      </c>
      <c r="F278" s="20">
        <v>863.96800000000007</v>
      </c>
    </row>
    <row r="279" spans="2:6">
      <c r="B279" s="8" t="s">
        <v>834</v>
      </c>
      <c r="C279" s="24" t="s">
        <v>835</v>
      </c>
      <c r="D279" s="8" t="s">
        <v>836</v>
      </c>
      <c r="E279" s="19" t="s">
        <v>170</v>
      </c>
      <c r="F279" s="20">
        <v>5000</v>
      </c>
    </row>
    <row r="280" spans="2:6">
      <c r="B280" s="8" t="s">
        <v>837</v>
      </c>
      <c r="C280" s="24" t="s">
        <v>838</v>
      </c>
      <c r="D280" s="8" t="s">
        <v>839</v>
      </c>
      <c r="E280" s="19" t="s">
        <v>170</v>
      </c>
      <c r="F280" s="20">
        <v>5800</v>
      </c>
    </row>
    <row r="281" spans="2:6">
      <c r="B281" s="8" t="s">
        <v>840</v>
      </c>
      <c r="C281" s="18" t="s">
        <v>841</v>
      </c>
      <c r="D281" s="8" t="s">
        <v>842</v>
      </c>
      <c r="E281" s="19" t="s">
        <v>170</v>
      </c>
      <c r="F281" s="20">
        <v>2700</v>
      </c>
    </row>
    <row r="282" spans="2:6">
      <c r="B282" s="8" t="s">
        <v>843</v>
      </c>
      <c r="C282" s="18" t="s">
        <v>844</v>
      </c>
      <c r="D282" s="8" t="s">
        <v>845</v>
      </c>
      <c r="E282" s="19" t="s">
        <v>170</v>
      </c>
      <c r="F282" s="20">
        <v>22300</v>
      </c>
    </row>
    <row r="283" spans="2:6">
      <c r="B283" s="8" t="s">
        <v>846</v>
      </c>
      <c r="C283" s="18" t="s">
        <v>847</v>
      </c>
      <c r="D283" s="8" t="s">
        <v>848</v>
      </c>
      <c r="E283" s="19" t="s">
        <v>170</v>
      </c>
      <c r="F283" s="20">
        <v>0</v>
      </c>
    </row>
    <row r="284" spans="2:6">
      <c r="B284" s="8" t="s">
        <v>849</v>
      </c>
      <c r="C284" s="18" t="s">
        <v>850</v>
      </c>
      <c r="D284" s="8" t="s">
        <v>851</v>
      </c>
      <c r="E284" s="19" t="s">
        <v>170</v>
      </c>
      <c r="F284" s="20">
        <v>2500</v>
      </c>
    </row>
    <row r="285" spans="2:6">
      <c r="B285" s="8" t="s">
        <v>852</v>
      </c>
      <c r="C285" s="18" t="s">
        <v>853</v>
      </c>
      <c r="D285" s="8" t="s">
        <v>854</v>
      </c>
      <c r="E285" s="19" t="s">
        <v>170</v>
      </c>
      <c r="F285" s="20">
        <v>10852.458299999998</v>
      </c>
    </row>
    <row r="286" spans="2:6">
      <c r="B286" s="8" t="s">
        <v>855</v>
      </c>
      <c r="C286" s="25" t="s">
        <v>856</v>
      </c>
      <c r="D286" s="8" t="s">
        <v>857</v>
      </c>
      <c r="E286" s="19" t="s">
        <v>170</v>
      </c>
      <c r="F286" s="20">
        <v>2049.6121199999998</v>
      </c>
    </row>
    <row r="287" spans="2:6">
      <c r="B287" s="8" t="s">
        <v>858</v>
      </c>
      <c r="C287" s="25" t="s">
        <v>859</v>
      </c>
      <c r="D287" s="8" t="s">
        <v>860</v>
      </c>
      <c r="E287" s="19" t="s">
        <v>170</v>
      </c>
      <c r="F287" s="20">
        <v>1423.3687199999997</v>
      </c>
    </row>
    <row r="288" spans="2:6">
      <c r="B288" s="8" t="s">
        <v>861</v>
      </c>
      <c r="C288" s="18" t="s">
        <v>862</v>
      </c>
      <c r="D288" s="8" t="s">
        <v>863</v>
      </c>
      <c r="E288" s="19" t="s">
        <v>170</v>
      </c>
      <c r="F288" s="20">
        <v>17107.610399999998</v>
      </c>
    </row>
    <row r="289" spans="2:6">
      <c r="B289" s="8" t="s">
        <v>864</v>
      </c>
      <c r="C289" s="18" t="s">
        <v>865</v>
      </c>
      <c r="D289" s="8" t="s">
        <v>866</v>
      </c>
      <c r="E289" s="19" t="s">
        <v>170</v>
      </c>
      <c r="F289" s="20">
        <v>18657.133609199998</v>
      </c>
    </row>
    <row r="290" spans="2:6">
      <c r="B290" s="8" t="s">
        <v>867</v>
      </c>
      <c r="C290" s="25" t="s">
        <v>868</v>
      </c>
      <c r="D290" s="8" t="s">
        <v>869</v>
      </c>
      <c r="E290" s="19" t="s">
        <v>170</v>
      </c>
      <c r="F290" s="20">
        <v>7071.695819999999</v>
      </c>
    </row>
    <row r="291" spans="2:6">
      <c r="B291" s="8" t="s">
        <v>870</v>
      </c>
      <c r="C291" s="25" t="s">
        <v>871</v>
      </c>
      <c r="D291" s="8" t="s">
        <v>872</v>
      </c>
      <c r="E291" s="19" t="s">
        <v>170</v>
      </c>
      <c r="F291" s="20">
        <v>33373.801633999996</v>
      </c>
    </row>
    <row r="292" spans="2:6">
      <c r="B292" s="8" t="s">
        <v>873</v>
      </c>
      <c r="C292" s="25" t="s">
        <v>874</v>
      </c>
      <c r="D292" s="8" t="s">
        <v>875</v>
      </c>
      <c r="E292" s="19" t="s">
        <v>170</v>
      </c>
      <c r="F292" s="20">
        <v>4593.90798</v>
      </c>
    </row>
    <row r="293" spans="2:6">
      <c r="B293" s="8" t="s">
        <v>876</v>
      </c>
      <c r="C293" s="25" t="s">
        <v>877</v>
      </c>
      <c r="D293" s="8" t="s">
        <v>878</v>
      </c>
      <c r="E293" s="19" t="s">
        <v>170</v>
      </c>
      <c r="F293" s="20">
        <v>3029.7558599999998</v>
      </c>
    </row>
    <row r="294" spans="2:6">
      <c r="B294" s="8" t="s">
        <v>879</v>
      </c>
      <c r="C294" s="18" t="s">
        <v>880</v>
      </c>
      <c r="D294" s="8" t="s">
        <v>881</v>
      </c>
      <c r="E294" s="19" t="s">
        <v>170</v>
      </c>
      <c r="F294" s="20">
        <v>69252</v>
      </c>
    </row>
    <row r="295" spans="2:6">
      <c r="B295" s="8" t="s">
        <v>882</v>
      </c>
      <c r="C295" s="26" t="s">
        <v>883</v>
      </c>
      <c r="D295" s="8" t="s">
        <v>884</v>
      </c>
      <c r="E295" s="19" t="s">
        <v>170</v>
      </c>
      <c r="F295" s="20">
        <v>1723.2499999999998</v>
      </c>
    </row>
    <row r="296" spans="2:6">
      <c r="B296" s="8" t="s">
        <v>885</v>
      </c>
      <c r="C296" s="24" t="s">
        <v>886</v>
      </c>
      <c r="D296" s="8" t="s">
        <v>887</v>
      </c>
      <c r="E296" s="19" t="s">
        <v>170</v>
      </c>
      <c r="F296" s="20">
        <v>2150</v>
      </c>
    </row>
    <row r="297" spans="2:6">
      <c r="B297" s="8" t="s">
        <v>888</v>
      </c>
      <c r="C297" s="18" t="s">
        <v>889</v>
      </c>
      <c r="D297" s="8" t="s">
        <v>890</v>
      </c>
      <c r="E297" s="19" t="s">
        <v>170</v>
      </c>
      <c r="F297" s="20">
        <v>9560</v>
      </c>
    </row>
    <row r="298" spans="2:6">
      <c r="B298" s="8" t="s">
        <v>891</v>
      </c>
      <c r="C298" s="18" t="s">
        <v>892</v>
      </c>
      <c r="D298" s="8" t="s">
        <v>893</v>
      </c>
      <c r="E298" s="19" t="s">
        <v>170</v>
      </c>
      <c r="F298" s="20">
        <v>13500</v>
      </c>
    </row>
    <row r="299" spans="2:6">
      <c r="B299" s="8" t="s">
        <v>894</v>
      </c>
      <c r="C299" s="18" t="s">
        <v>895</v>
      </c>
      <c r="D299" s="8" t="s">
        <v>896</v>
      </c>
      <c r="E299" s="19" t="s">
        <v>170</v>
      </c>
      <c r="F299" s="20">
        <v>16007.999999999996</v>
      </c>
    </row>
    <row r="300" spans="2:6">
      <c r="B300" s="8" t="s">
        <v>897</v>
      </c>
      <c r="C300" s="18" t="s">
        <v>4119</v>
      </c>
      <c r="D300" s="8" t="s">
        <v>898</v>
      </c>
      <c r="E300" s="19" t="s">
        <v>170</v>
      </c>
      <c r="F300" s="20">
        <v>15975</v>
      </c>
    </row>
    <row r="301" spans="2:6">
      <c r="B301" s="8" t="s">
        <v>899</v>
      </c>
      <c r="C301" s="18" t="s">
        <v>4120</v>
      </c>
      <c r="D301" s="8" t="s">
        <v>900</v>
      </c>
      <c r="E301" s="19" t="s">
        <v>170</v>
      </c>
      <c r="F301" s="20">
        <v>14450</v>
      </c>
    </row>
    <row r="302" spans="2:6">
      <c r="B302" s="8" t="s">
        <v>901</v>
      </c>
      <c r="C302" s="18" t="s">
        <v>4121</v>
      </c>
      <c r="D302" s="8" t="s">
        <v>902</v>
      </c>
      <c r="E302" s="19" t="s">
        <v>170</v>
      </c>
      <c r="F302" s="20">
        <v>8358</v>
      </c>
    </row>
    <row r="303" spans="2:6">
      <c r="B303" s="8" t="s">
        <v>903</v>
      </c>
      <c r="C303" s="24" t="s">
        <v>904</v>
      </c>
      <c r="D303" s="8" t="s">
        <v>905</v>
      </c>
      <c r="E303" s="19" t="s">
        <v>170</v>
      </c>
      <c r="F303" s="20">
        <v>76000</v>
      </c>
    </row>
    <row r="304" spans="2:6">
      <c r="B304" s="8" t="s">
        <v>906</v>
      </c>
      <c r="C304" s="24" t="s">
        <v>907</v>
      </c>
      <c r="D304" s="8" t="s">
        <v>908</v>
      </c>
      <c r="E304" s="19" t="s">
        <v>170</v>
      </c>
      <c r="F304" s="20">
        <v>17351.743999999999</v>
      </c>
    </row>
    <row r="305" spans="2:6">
      <c r="B305" s="8" t="s">
        <v>909</v>
      </c>
      <c r="C305" s="24" t="s">
        <v>910</v>
      </c>
      <c r="D305" s="8" t="s">
        <v>911</v>
      </c>
      <c r="E305" s="19" t="s">
        <v>170</v>
      </c>
      <c r="F305" s="20">
        <v>13719.552</v>
      </c>
    </row>
    <row r="306" spans="2:6">
      <c r="B306" s="8" t="s">
        <v>912</v>
      </c>
      <c r="C306" s="24" t="s">
        <v>913</v>
      </c>
      <c r="D306" s="8" t="s">
        <v>914</v>
      </c>
      <c r="E306" s="19" t="s">
        <v>170</v>
      </c>
      <c r="F306" s="20">
        <v>25879.194</v>
      </c>
    </row>
    <row r="307" spans="2:6">
      <c r="B307" s="8" t="s">
        <v>915</v>
      </c>
      <c r="C307" s="24" t="s">
        <v>916</v>
      </c>
      <c r="D307" s="8" t="s">
        <v>917</v>
      </c>
      <c r="E307" s="19" t="s">
        <v>170</v>
      </c>
      <c r="F307" s="20">
        <v>4494.42</v>
      </c>
    </row>
    <row r="308" spans="2:6">
      <c r="B308" s="8" t="s">
        <v>918</v>
      </c>
      <c r="C308" s="24" t="s">
        <v>919</v>
      </c>
      <c r="D308" s="8" t="s">
        <v>920</v>
      </c>
      <c r="E308" s="19" t="s">
        <v>170</v>
      </c>
      <c r="F308" s="20">
        <v>30500</v>
      </c>
    </row>
    <row r="309" spans="2:6">
      <c r="B309" s="8" t="s">
        <v>921</v>
      </c>
      <c r="C309" s="24" t="s">
        <v>922</v>
      </c>
      <c r="D309" s="8" t="s">
        <v>923</v>
      </c>
      <c r="E309" s="19" t="s">
        <v>170</v>
      </c>
      <c r="F309" s="20">
        <v>5600</v>
      </c>
    </row>
    <row r="310" spans="2:6">
      <c r="B310" s="8" t="s">
        <v>924</v>
      </c>
      <c r="C310" s="24" t="s">
        <v>925</v>
      </c>
      <c r="D310" s="8" t="s">
        <v>926</v>
      </c>
      <c r="E310" s="19" t="s">
        <v>170</v>
      </c>
      <c r="F310" s="20">
        <v>12500</v>
      </c>
    </row>
    <row r="311" spans="2:6">
      <c r="B311" s="8" t="s">
        <v>927</v>
      </c>
      <c r="C311" s="24" t="s">
        <v>928</v>
      </c>
      <c r="D311" s="8" t="s">
        <v>929</v>
      </c>
      <c r="E311" s="19" t="s">
        <v>170</v>
      </c>
      <c r="F311" s="20">
        <v>16000</v>
      </c>
    </row>
    <row r="312" spans="2:6">
      <c r="B312" s="8" t="s">
        <v>930</v>
      </c>
      <c r="C312" s="24" t="s">
        <v>931</v>
      </c>
      <c r="D312" s="8" t="s">
        <v>932</v>
      </c>
      <c r="E312" s="19" t="s">
        <v>170</v>
      </c>
      <c r="F312" s="20">
        <v>2839</v>
      </c>
    </row>
    <row r="313" spans="2:6">
      <c r="B313" s="8" t="s">
        <v>933</v>
      </c>
      <c r="C313" s="18" t="s">
        <v>934</v>
      </c>
      <c r="D313" s="8" t="s">
        <v>935</v>
      </c>
      <c r="E313" s="19" t="s">
        <v>170</v>
      </c>
      <c r="F313" s="20">
        <v>17930.663599199997</v>
      </c>
    </row>
    <row r="314" spans="2:6">
      <c r="B314" s="8" t="s">
        <v>936</v>
      </c>
      <c r="C314" s="18" t="s">
        <v>937</v>
      </c>
      <c r="D314" s="8" t="s">
        <v>938</v>
      </c>
      <c r="E314" s="19" t="s">
        <v>170</v>
      </c>
      <c r="F314" s="20">
        <v>2000</v>
      </c>
    </row>
    <row r="315" spans="2:6">
      <c r="B315" s="8" t="s">
        <v>939</v>
      </c>
      <c r="C315" s="18" t="s">
        <v>940</v>
      </c>
      <c r="D315" s="8" t="s">
        <v>941</v>
      </c>
      <c r="E315" s="19" t="s">
        <v>170</v>
      </c>
      <c r="F315" s="20">
        <v>2000</v>
      </c>
    </row>
    <row r="316" spans="2:6">
      <c r="B316" s="8" t="s">
        <v>942</v>
      </c>
      <c r="C316" s="18" t="s">
        <v>943</v>
      </c>
      <c r="D316" s="8" t="s">
        <v>944</v>
      </c>
      <c r="E316" s="19" t="s">
        <v>170</v>
      </c>
      <c r="F316" s="20">
        <v>2000</v>
      </c>
    </row>
    <row r="317" spans="2:6">
      <c r="B317" s="8" t="s">
        <v>945</v>
      </c>
      <c r="C317" s="18" t="s">
        <v>946</v>
      </c>
      <c r="D317" s="8" t="s">
        <v>947</v>
      </c>
      <c r="E317" s="19" t="s">
        <v>170</v>
      </c>
      <c r="F317" s="20">
        <v>2000</v>
      </c>
    </row>
    <row r="318" spans="2:6">
      <c r="B318" s="8" t="s">
        <v>948</v>
      </c>
      <c r="C318" s="18" t="s">
        <v>949</v>
      </c>
      <c r="D318" s="8" t="s">
        <v>950</v>
      </c>
      <c r="E318" s="19" t="s">
        <v>170</v>
      </c>
      <c r="F318" s="20">
        <v>2000</v>
      </c>
    </row>
    <row r="319" spans="2:6">
      <c r="B319" s="8" t="s">
        <v>951</v>
      </c>
      <c r="C319" s="18" t="s">
        <v>952</v>
      </c>
      <c r="D319" s="8" t="s">
        <v>953</v>
      </c>
      <c r="E319" s="19" t="s">
        <v>170</v>
      </c>
      <c r="F319" s="20">
        <v>2000</v>
      </c>
    </row>
    <row r="320" spans="2:6">
      <c r="B320" s="8" t="s">
        <v>954</v>
      </c>
      <c r="C320" s="18" t="s">
        <v>955</v>
      </c>
      <c r="D320" s="8" t="s">
        <v>956</v>
      </c>
      <c r="E320" s="19" t="s">
        <v>170</v>
      </c>
      <c r="F320" s="20">
        <v>1200</v>
      </c>
    </row>
    <row r="321" spans="2:6">
      <c r="B321" s="8" t="s">
        <v>957</v>
      </c>
      <c r="C321" s="18" t="s">
        <v>958</v>
      </c>
      <c r="D321" s="8" t="s">
        <v>959</v>
      </c>
      <c r="E321" s="19" t="s">
        <v>170</v>
      </c>
      <c r="F321" s="20">
        <v>1200</v>
      </c>
    </row>
    <row r="322" spans="2:6">
      <c r="B322" s="8" t="s">
        <v>960</v>
      </c>
      <c r="C322" s="18" t="s">
        <v>961</v>
      </c>
      <c r="D322" s="8" t="s">
        <v>962</v>
      </c>
      <c r="E322" s="19" t="s">
        <v>170</v>
      </c>
      <c r="F322" s="20">
        <v>1200</v>
      </c>
    </row>
    <row r="323" spans="2:6">
      <c r="B323" s="8" t="s">
        <v>963</v>
      </c>
      <c r="C323" s="18" t="s">
        <v>964</v>
      </c>
      <c r="D323" s="8" t="s">
        <v>965</v>
      </c>
      <c r="E323" s="19" t="s">
        <v>170</v>
      </c>
      <c r="F323" s="20">
        <v>1200</v>
      </c>
    </row>
    <row r="324" spans="2:6">
      <c r="B324" s="8" t="s">
        <v>966</v>
      </c>
      <c r="C324" s="18" t="s">
        <v>967</v>
      </c>
      <c r="D324" s="8" t="s">
        <v>968</v>
      </c>
      <c r="E324" s="19" t="s">
        <v>170</v>
      </c>
      <c r="F324" s="20">
        <v>1200</v>
      </c>
    </row>
    <row r="325" spans="2:6">
      <c r="B325" s="8" t="s">
        <v>969</v>
      </c>
      <c r="C325" s="18" t="s">
        <v>970</v>
      </c>
      <c r="D325" s="8" t="s">
        <v>971</v>
      </c>
      <c r="E325" s="19" t="s">
        <v>170</v>
      </c>
      <c r="F325" s="20">
        <v>1200</v>
      </c>
    </row>
    <row r="326" spans="2:6">
      <c r="B326" s="8" t="s">
        <v>972</v>
      </c>
      <c r="C326" s="18" t="s">
        <v>973</v>
      </c>
      <c r="D326" s="8" t="s">
        <v>974</v>
      </c>
      <c r="E326" s="19" t="s">
        <v>170</v>
      </c>
      <c r="F326" s="20">
        <v>900</v>
      </c>
    </row>
    <row r="327" spans="2:6">
      <c r="B327" s="8" t="s">
        <v>975</v>
      </c>
      <c r="C327" s="18" t="s">
        <v>976</v>
      </c>
      <c r="D327" s="8" t="s">
        <v>977</v>
      </c>
      <c r="E327" s="19" t="s">
        <v>170</v>
      </c>
      <c r="F327" s="20">
        <v>10983.304049599999</v>
      </c>
    </row>
    <row r="328" spans="2:6">
      <c r="B328" s="8" t="s">
        <v>978</v>
      </c>
      <c r="C328" s="18" t="s">
        <v>979</v>
      </c>
      <c r="D328" s="8" t="s">
        <v>980</v>
      </c>
      <c r="E328" s="19" t="s">
        <v>170</v>
      </c>
      <c r="F328" s="20">
        <v>7073.7422687999997</v>
      </c>
    </row>
    <row r="329" spans="2:6">
      <c r="B329" s="8" t="s">
        <v>981</v>
      </c>
      <c r="C329" s="18" t="s">
        <v>982</v>
      </c>
      <c r="D329" s="8" t="s">
        <v>983</v>
      </c>
      <c r="E329" s="19" t="s">
        <v>170</v>
      </c>
      <c r="F329" s="20">
        <v>4588.5229583999999</v>
      </c>
    </row>
    <row r="330" spans="2:6">
      <c r="B330" s="8" t="s">
        <v>984</v>
      </c>
      <c r="C330" s="18" t="s">
        <v>985</v>
      </c>
      <c r="D330" s="8" t="s">
        <v>986</v>
      </c>
      <c r="E330" s="19" t="s">
        <v>170</v>
      </c>
      <c r="F330" s="20">
        <v>3000</v>
      </c>
    </row>
    <row r="331" spans="2:6">
      <c r="B331" s="8" t="s">
        <v>987</v>
      </c>
      <c r="C331" s="18" t="s">
        <v>988</v>
      </c>
      <c r="D331" s="8" t="s">
        <v>989</v>
      </c>
      <c r="E331" s="19" t="s">
        <v>170</v>
      </c>
      <c r="F331" s="20">
        <v>22418.6338832</v>
      </c>
    </row>
    <row r="332" spans="2:6">
      <c r="B332" s="8" t="s">
        <v>990</v>
      </c>
      <c r="C332" s="24" t="s">
        <v>991</v>
      </c>
      <c r="D332" s="8" t="s">
        <v>992</v>
      </c>
      <c r="E332" s="19" t="s">
        <v>170</v>
      </c>
      <c r="F332" s="20">
        <v>43751.022132399994</v>
      </c>
    </row>
    <row r="333" spans="2:6">
      <c r="B333" s="8" t="s">
        <v>993</v>
      </c>
      <c r="C333" s="24" t="s">
        <v>994</v>
      </c>
      <c r="D333" s="8" t="s">
        <v>995</v>
      </c>
      <c r="E333" s="19" t="s">
        <v>170</v>
      </c>
      <c r="F333" s="20">
        <v>28133.531295199999</v>
      </c>
    </row>
    <row r="334" spans="2:6">
      <c r="B334" s="8" t="s">
        <v>996</v>
      </c>
      <c r="C334" s="24" t="s">
        <v>997</v>
      </c>
      <c r="D334" s="8" t="s">
        <v>998</v>
      </c>
      <c r="E334" s="19" t="s">
        <v>170</v>
      </c>
      <c r="F334" s="20">
        <v>52353.810803199995</v>
      </c>
    </row>
    <row r="335" spans="2:6">
      <c r="B335" s="8" t="s">
        <v>999</v>
      </c>
      <c r="C335" s="24" t="s">
        <v>1000</v>
      </c>
      <c r="D335" s="8" t="s">
        <v>1001</v>
      </c>
      <c r="E335" s="19" t="s">
        <v>170</v>
      </c>
      <c r="F335" s="20">
        <v>60956.138223199989</v>
      </c>
    </row>
    <row r="336" spans="2:6">
      <c r="B336" s="8" t="s">
        <v>1002</v>
      </c>
      <c r="C336" s="18" t="s">
        <v>1003</v>
      </c>
      <c r="D336" s="8" t="s">
        <v>1004</v>
      </c>
      <c r="E336" s="19" t="s">
        <v>170</v>
      </c>
      <c r="F336" s="20">
        <v>35128.860927999995</v>
      </c>
    </row>
    <row r="337" spans="2:6">
      <c r="B337" s="8" t="s">
        <v>1005</v>
      </c>
      <c r="C337" s="24" t="s">
        <v>1006</v>
      </c>
      <c r="D337" s="8" t="s">
        <v>1007</v>
      </c>
      <c r="E337" s="19" t="s">
        <v>170</v>
      </c>
      <c r="F337" s="20">
        <v>69470.366740399986</v>
      </c>
    </row>
    <row r="338" spans="2:6">
      <c r="B338" s="8" t="s">
        <v>1008</v>
      </c>
      <c r="C338" s="24" t="s">
        <v>1009</v>
      </c>
      <c r="D338" s="8" t="s">
        <v>1010</v>
      </c>
      <c r="E338" s="19" t="s">
        <v>170</v>
      </c>
      <c r="F338" s="20">
        <v>90782.921205199993</v>
      </c>
    </row>
    <row r="339" spans="2:6">
      <c r="B339" s="8" t="s">
        <v>1011</v>
      </c>
      <c r="C339" s="24" t="s">
        <v>1012</v>
      </c>
      <c r="D339" s="8" t="s">
        <v>1013</v>
      </c>
      <c r="E339" s="19" t="s">
        <v>170</v>
      </c>
      <c r="F339" s="20">
        <v>1084.5999999999999</v>
      </c>
    </row>
    <row r="340" spans="2:6">
      <c r="B340" s="8" t="s">
        <v>1014</v>
      </c>
      <c r="C340" s="24" t="s">
        <v>1015</v>
      </c>
      <c r="D340" s="8" t="s">
        <v>1016</v>
      </c>
      <c r="E340" s="19" t="s">
        <v>170</v>
      </c>
      <c r="F340" s="20">
        <v>2586.2199999999998</v>
      </c>
    </row>
    <row r="341" spans="2:6">
      <c r="B341" s="8" t="s">
        <v>1017</v>
      </c>
      <c r="C341" s="24" t="s">
        <v>1018</v>
      </c>
      <c r="D341" s="8" t="s">
        <v>1019</v>
      </c>
      <c r="E341" s="19" t="s">
        <v>170</v>
      </c>
      <c r="F341" s="20">
        <v>571.48974119999991</v>
      </c>
    </row>
    <row r="342" spans="2:6">
      <c r="B342" s="8" t="s">
        <v>1020</v>
      </c>
      <c r="C342" s="24" t="s">
        <v>1021</v>
      </c>
      <c r="D342" s="8" t="s">
        <v>1022</v>
      </c>
      <c r="E342" s="19" t="s">
        <v>170</v>
      </c>
      <c r="F342" s="20">
        <v>3570.6887999999994</v>
      </c>
    </row>
    <row r="343" spans="2:6">
      <c r="B343" s="8" t="s">
        <v>1023</v>
      </c>
      <c r="C343" s="24" t="s">
        <v>1024</v>
      </c>
      <c r="D343" s="8" t="s">
        <v>1025</v>
      </c>
      <c r="E343" s="19" t="s">
        <v>170</v>
      </c>
      <c r="F343" s="20">
        <v>2143.6799999999998</v>
      </c>
    </row>
    <row r="344" spans="2:6">
      <c r="B344" s="8" t="s">
        <v>1026</v>
      </c>
      <c r="C344" s="24" t="s">
        <v>1027</v>
      </c>
      <c r="D344" s="8" t="s">
        <v>1028</v>
      </c>
      <c r="E344" s="19" t="s">
        <v>170</v>
      </c>
      <c r="F344" s="20">
        <v>1527.4880000000001</v>
      </c>
    </row>
    <row r="345" spans="2:6">
      <c r="B345" s="8" t="s">
        <v>1029</v>
      </c>
      <c r="C345" s="24" t="s">
        <v>1030</v>
      </c>
      <c r="D345" s="8" t="s">
        <v>1031</v>
      </c>
      <c r="E345" s="19" t="s">
        <v>170</v>
      </c>
      <c r="F345" s="20">
        <v>5880.7359999999999</v>
      </c>
    </row>
    <row r="346" spans="2:6">
      <c r="B346" s="8" t="s">
        <v>1032</v>
      </c>
      <c r="C346" s="18" t="s">
        <v>1033</v>
      </c>
      <c r="D346" s="8" t="s">
        <v>1034</v>
      </c>
      <c r="E346" s="19" t="s">
        <v>170</v>
      </c>
      <c r="F346" s="20">
        <v>20253.75</v>
      </c>
    </row>
    <row r="347" spans="2:6">
      <c r="B347" s="8" t="s">
        <v>1035</v>
      </c>
      <c r="C347" s="24" t="s">
        <v>1036</v>
      </c>
      <c r="D347" s="8" t="s">
        <v>1037</v>
      </c>
      <c r="E347" s="19" t="s">
        <v>170</v>
      </c>
      <c r="F347" s="20">
        <v>12000</v>
      </c>
    </row>
    <row r="348" spans="2:6">
      <c r="B348" s="8" t="s">
        <v>1038</v>
      </c>
      <c r="C348" s="24" t="s">
        <v>1039</v>
      </c>
      <c r="D348" s="8" t="s">
        <v>1040</v>
      </c>
      <c r="E348" s="19" t="s">
        <v>170</v>
      </c>
      <c r="F348" s="20">
        <v>10875</v>
      </c>
    </row>
    <row r="349" spans="2:6">
      <c r="B349" s="8" t="s">
        <v>1041</v>
      </c>
      <c r="C349" s="24" t="s">
        <v>1042</v>
      </c>
      <c r="D349" s="8" t="s">
        <v>1043</v>
      </c>
      <c r="E349" s="19" t="s">
        <v>170</v>
      </c>
      <c r="F349" s="20">
        <v>9750</v>
      </c>
    </row>
    <row r="350" spans="2:6">
      <c r="B350" s="8" t="s">
        <v>1044</v>
      </c>
      <c r="C350" s="24" t="s">
        <v>1045</v>
      </c>
      <c r="D350" s="8" t="s">
        <v>1046</v>
      </c>
      <c r="E350" s="19" t="s">
        <v>170</v>
      </c>
      <c r="F350" s="20">
        <v>2320</v>
      </c>
    </row>
    <row r="351" spans="2:6">
      <c r="B351" s="8" t="s">
        <v>1047</v>
      </c>
      <c r="C351" s="24" t="s">
        <v>1048</v>
      </c>
      <c r="D351" s="8" t="s">
        <v>1049</v>
      </c>
      <c r="E351" s="19" t="s">
        <v>170</v>
      </c>
      <c r="F351" s="20">
        <v>55500</v>
      </c>
    </row>
    <row r="352" spans="2:6">
      <c r="B352" s="8" t="s">
        <v>1050</v>
      </c>
      <c r="C352" s="24" t="s">
        <v>1051</v>
      </c>
      <c r="D352" s="8" t="s">
        <v>1052</v>
      </c>
      <c r="E352" s="19" t="s">
        <v>170</v>
      </c>
      <c r="F352" s="20">
        <v>30000</v>
      </c>
    </row>
    <row r="353" spans="2:6">
      <c r="B353" s="8" t="s">
        <v>1053</v>
      </c>
      <c r="C353" s="24" t="s">
        <v>1054</v>
      </c>
      <c r="D353" s="8" t="s">
        <v>1055</v>
      </c>
      <c r="E353" s="19" t="s">
        <v>170</v>
      </c>
      <c r="F353" s="20">
        <v>34229.279999999999</v>
      </c>
    </row>
    <row r="354" spans="2:6">
      <c r="B354" s="8" t="s">
        <v>1056</v>
      </c>
      <c r="C354" s="24" t="s">
        <v>1057</v>
      </c>
      <c r="D354" s="8" t="s">
        <v>1058</v>
      </c>
      <c r="E354" s="19" t="s">
        <v>170</v>
      </c>
      <c r="F354" s="20">
        <v>60000</v>
      </c>
    </row>
    <row r="355" spans="2:6">
      <c r="B355" s="8" t="s">
        <v>1059</v>
      </c>
      <c r="C355" s="18" t="s">
        <v>1060</v>
      </c>
      <c r="D355" s="8" t="s">
        <v>1061</v>
      </c>
      <c r="E355" s="19" t="s">
        <v>3</v>
      </c>
      <c r="F355" s="20">
        <v>18850</v>
      </c>
    </row>
    <row r="356" spans="2:6">
      <c r="B356" s="8" t="s">
        <v>1062</v>
      </c>
      <c r="C356" s="18" t="s">
        <v>1063</v>
      </c>
      <c r="D356" s="8" t="s">
        <v>1064</v>
      </c>
      <c r="E356" s="19" t="s">
        <v>3</v>
      </c>
      <c r="F356" s="20">
        <v>21450</v>
      </c>
    </row>
    <row r="357" spans="2:6">
      <c r="B357" s="8" t="s">
        <v>1065</v>
      </c>
      <c r="C357" s="18" t="s">
        <v>1066</v>
      </c>
      <c r="D357" s="8" t="s">
        <v>1067</v>
      </c>
      <c r="E357" s="19" t="s">
        <v>3</v>
      </c>
      <c r="F357" s="20">
        <v>23000</v>
      </c>
    </row>
    <row r="358" spans="2:6">
      <c r="B358" s="8" t="s">
        <v>1068</v>
      </c>
      <c r="C358" s="26" t="s">
        <v>1069</v>
      </c>
      <c r="D358" s="8" t="s">
        <v>1070</v>
      </c>
      <c r="E358" s="19" t="s">
        <v>3</v>
      </c>
      <c r="F358" s="20">
        <v>28000</v>
      </c>
    </row>
    <row r="359" spans="2:6">
      <c r="B359" s="8" t="s">
        <v>1071</v>
      </c>
      <c r="C359" s="26" t="s">
        <v>1072</v>
      </c>
      <c r="D359" s="8" t="s">
        <v>1073</v>
      </c>
      <c r="E359" s="19" t="s">
        <v>3</v>
      </c>
      <c r="F359" s="20">
        <v>30000</v>
      </c>
    </row>
    <row r="360" spans="2:6">
      <c r="B360" s="8" t="s">
        <v>1074</v>
      </c>
      <c r="C360" s="26" t="s">
        <v>1075</v>
      </c>
      <c r="D360" s="8" t="s">
        <v>1076</v>
      </c>
      <c r="E360" s="19" t="s">
        <v>3</v>
      </c>
      <c r="F360" s="20">
        <v>120000</v>
      </c>
    </row>
    <row r="361" spans="2:6">
      <c r="B361" s="8" t="s">
        <v>1077</v>
      </c>
      <c r="C361" s="18" t="s">
        <v>1078</v>
      </c>
      <c r="D361" s="8" t="s">
        <v>1079</v>
      </c>
      <c r="E361" s="19" t="s">
        <v>3</v>
      </c>
      <c r="F361" s="20">
        <v>18560</v>
      </c>
    </row>
    <row r="362" spans="2:6">
      <c r="B362" s="8" t="s">
        <v>1080</v>
      </c>
      <c r="C362" s="18" t="s">
        <v>1081</v>
      </c>
      <c r="D362" s="8" t="s">
        <v>1082</v>
      </c>
      <c r="E362" s="19" t="s">
        <v>3</v>
      </c>
      <c r="F362" s="20">
        <v>1392</v>
      </c>
    </row>
    <row r="363" spans="2:6">
      <c r="B363" s="8" t="s">
        <v>1083</v>
      </c>
      <c r="C363" s="18" t="s">
        <v>1084</v>
      </c>
      <c r="D363" s="8" t="s">
        <v>1085</v>
      </c>
      <c r="E363" s="19" t="s">
        <v>12</v>
      </c>
      <c r="F363" s="20">
        <v>16000</v>
      </c>
    </row>
    <row r="364" spans="2:6">
      <c r="B364" s="8" t="s">
        <v>1086</v>
      </c>
      <c r="C364" s="18" t="s">
        <v>1087</v>
      </c>
      <c r="D364" s="8" t="s">
        <v>1088</v>
      </c>
      <c r="E364" s="19" t="s">
        <v>12</v>
      </c>
      <c r="F364" s="20">
        <v>2000</v>
      </c>
    </row>
    <row r="365" spans="2:6">
      <c r="B365" s="8" t="s">
        <v>1089</v>
      </c>
      <c r="C365" s="18" t="s">
        <v>1090</v>
      </c>
      <c r="D365" s="8" t="s">
        <v>1091</v>
      </c>
      <c r="E365" s="19" t="s">
        <v>3</v>
      </c>
      <c r="F365" s="20">
        <v>125000</v>
      </c>
    </row>
    <row r="366" spans="2:6">
      <c r="B366" s="8" t="s">
        <v>1092</v>
      </c>
      <c r="C366" s="18" t="s">
        <v>1093</v>
      </c>
      <c r="D366" s="8" t="s">
        <v>1094</v>
      </c>
      <c r="E366" s="19" t="s">
        <v>3</v>
      </c>
      <c r="F366" s="20">
        <v>51220</v>
      </c>
    </row>
    <row r="367" spans="2:6">
      <c r="B367" s="8" t="s">
        <v>1095</v>
      </c>
      <c r="C367" s="18" t="s">
        <v>1096</v>
      </c>
      <c r="D367" s="8" t="s">
        <v>1097</v>
      </c>
      <c r="E367" s="19" t="s">
        <v>3</v>
      </c>
      <c r="F367" s="20">
        <v>16900</v>
      </c>
    </row>
    <row r="368" spans="2:6">
      <c r="B368" s="8" t="s">
        <v>1098</v>
      </c>
      <c r="C368" s="18" t="s">
        <v>1099</v>
      </c>
      <c r="D368" s="8" t="s">
        <v>1100</v>
      </c>
      <c r="E368" s="19" t="s">
        <v>3</v>
      </c>
      <c r="F368" s="20">
        <v>23855</v>
      </c>
    </row>
    <row r="369" spans="2:6">
      <c r="B369" s="8" t="s">
        <v>1101</v>
      </c>
      <c r="C369" s="18" t="s">
        <v>1102</v>
      </c>
      <c r="D369" s="8" t="s">
        <v>1103</v>
      </c>
      <c r="E369" s="19" t="s">
        <v>3</v>
      </c>
      <c r="F369" s="20">
        <v>34840</v>
      </c>
    </row>
    <row r="370" spans="2:6">
      <c r="B370" s="8" t="s">
        <v>1104</v>
      </c>
      <c r="C370" s="18" t="s">
        <v>1105</v>
      </c>
      <c r="D370" s="8" t="s">
        <v>1106</v>
      </c>
      <c r="E370" s="19" t="s">
        <v>3</v>
      </c>
      <c r="F370" s="20">
        <v>53950</v>
      </c>
    </row>
    <row r="371" spans="2:6">
      <c r="B371" s="8" t="s">
        <v>1107</v>
      </c>
      <c r="C371" s="18" t="s">
        <v>1108</v>
      </c>
      <c r="D371" s="8" t="s">
        <v>1109</v>
      </c>
      <c r="E371" s="19" t="s">
        <v>3</v>
      </c>
      <c r="F371" s="20">
        <v>68250</v>
      </c>
    </row>
    <row r="372" spans="2:6">
      <c r="B372" s="8" t="s">
        <v>1110</v>
      </c>
      <c r="C372" s="18" t="s">
        <v>1111</v>
      </c>
      <c r="D372" s="8" t="s">
        <v>1112</v>
      </c>
      <c r="E372" s="19" t="s">
        <v>3</v>
      </c>
      <c r="F372" s="20">
        <v>80040</v>
      </c>
    </row>
    <row r="373" spans="2:6">
      <c r="B373" s="8" t="s">
        <v>1113</v>
      </c>
      <c r="C373" s="18" t="s">
        <v>1114</v>
      </c>
      <c r="D373" s="8" t="s">
        <v>1115</v>
      </c>
      <c r="E373" s="19" t="s">
        <v>3</v>
      </c>
      <c r="F373" s="20">
        <v>60000</v>
      </c>
    </row>
    <row r="374" spans="2:6">
      <c r="B374" s="8" t="s">
        <v>1116</v>
      </c>
      <c r="C374" s="18" t="s">
        <v>1117</v>
      </c>
      <c r="D374" s="8" t="s">
        <v>1118</v>
      </c>
      <c r="E374" s="19" t="s">
        <v>3</v>
      </c>
      <c r="F374" s="20">
        <v>2000</v>
      </c>
    </row>
    <row r="375" spans="2:6">
      <c r="B375" s="8" t="s">
        <v>1119</v>
      </c>
      <c r="C375" s="18" t="s">
        <v>1120</v>
      </c>
      <c r="D375" s="8" t="s">
        <v>1121</v>
      </c>
      <c r="E375" s="19" t="s">
        <v>3</v>
      </c>
      <c r="F375" s="20">
        <v>2000</v>
      </c>
    </row>
    <row r="376" spans="2:6">
      <c r="B376" s="8" t="s">
        <v>1122</v>
      </c>
      <c r="C376" s="21" t="s">
        <v>1123</v>
      </c>
      <c r="D376" s="8" t="s">
        <v>1124</v>
      </c>
      <c r="E376" s="19" t="s">
        <v>3</v>
      </c>
      <c r="F376" s="20">
        <v>282377.7</v>
      </c>
    </row>
    <row r="377" spans="2:6">
      <c r="B377" s="8" t="s">
        <v>1125</v>
      </c>
      <c r="C377" s="18" t="s">
        <v>1126</v>
      </c>
      <c r="D377" s="8" t="s">
        <v>1127</v>
      </c>
      <c r="E377" s="19" t="s">
        <v>3</v>
      </c>
      <c r="F377" s="20">
        <v>75000</v>
      </c>
    </row>
    <row r="378" spans="2:6">
      <c r="B378" s="8" t="s">
        <v>1128</v>
      </c>
      <c r="C378" s="18" t="s">
        <v>1129</v>
      </c>
      <c r="D378" s="8" t="s">
        <v>1130</v>
      </c>
      <c r="E378" s="19" t="s">
        <v>3</v>
      </c>
      <c r="F378" s="20">
        <v>1571.452</v>
      </c>
    </row>
    <row r="379" spans="2:6">
      <c r="B379" s="8" t="s">
        <v>1131</v>
      </c>
      <c r="C379" s="18" t="s">
        <v>1132</v>
      </c>
      <c r="D379" s="8" t="s">
        <v>1133</v>
      </c>
      <c r="E379" s="19" t="s">
        <v>1134</v>
      </c>
      <c r="F379" s="20">
        <v>2349.1739999999995</v>
      </c>
    </row>
    <row r="380" spans="2:6">
      <c r="B380" s="8" t="s">
        <v>1135</v>
      </c>
      <c r="C380" s="18" t="s">
        <v>1136</v>
      </c>
      <c r="D380" s="8" t="s">
        <v>1137</v>
      </c>
      <c r="E380" s="19" t="s">
        <v>3</v>
      </c>
      <c r="F380" s="20">
        <v>3500</v>
      </c>
    </row>
    <row r="381" spans="2:6">
      <c r="B381" s="8" t="s">
        <v>1138</v>
      </c>
      <c r="C381" s="18" t="s">
        <v>1139</v>
      </c>
      <c r="D381" s="8" t="s">
        <v>1140</v>
      </c>
      <c r="E381" s="19" t="s">
        <v>3</v>
      </c>
      <c r="F381" s="20">
        <v>10092</v>
      </c>
    </row>
    <row r="382" spans="2:6">
      <c r="B382" s="8" t="s">
        <v>1141</v>
      </c>
      <c r="C382" s="21" t="s">
        <v>1142</v>
      </c>
      <c r="D382" s="8" t="s">
        <v>1143</v>
      </c>
      <c r="E382" s="19" t="s">
        <v>3</v>
      </c>
      <c r="F382" s="20">
        <v>7600</v>
      </c>
    </row>
    <row r="383" spans="2:6">
      <c r="B383" s="8" t="s">
        <v>1144</v>
      </c>
      <c r="C383" s="21" t="s">
        <v>1145</v>
      </c>
      <c r="D383" s="8" t="s">
        <v>1146</v>
      </c>
      <c r="E383" s="19" t="s">
        <v>3</v>
      </c>
      <c r="F383" s="20">
        <v>12900</v>
      </c>
    </row>
    <row r="384" spans="2:6">
      <c r="B384" s="8" t="s">
        <v>1147</v>
      </c>
      <c r="C384" s="21" t="s">
        <v>1148</v>
      </c>
      <c r="D384" s="8" t="s">
        <v>1149</v>
      </c>
      <c r="E384" s="19" t="s">
        <v>3</v>
      </c>
      <c r="F384" s="20">
        <v>21250</v>
      </c>
    </row>
    <row r="385" spans="2:6">
      <c r="B385" s="8" t="s">
        <v>1150</v>
      </c>
      <c r="C385" s="21" t="s">
        <v>1151</v>
      </c>
      <c r="D385" s="8" t="s">
        <v>1152</v>
      </c>
      <c r="E385" s="19" t="s">
        <v>3</v>
      </c>
      <c r="F385" s="20">
        <v>13731</v>
      </c>
    </row>
    <row r="386" spans="2:6">
      <c r="B386" s="8" t="s">
        <v>1153</v>
      </c>
      <c r="C386" s="18" t="s">
        <v>1154</v>
      </c>
      <c r="D386" s="8" t="s">
        <v>1155</v>
      </c>
      <c r="E386" s="19" t="s">
        <v>3</v>
      </c>
      <c r="F386" s="20">
        <v>7539.9999999999991</v>
      </c>
    </row>
    <row r="387" spans="2:6">
      <c r="B387" s="8" t="s">
        <v>1156</v>
      </c>
      <c r="C387" s="18" t="s">
        <v>1157</v>
      </c>
      <c r="D387" s="8" t="s">
        <v>1158</v>
      </c>
      <c r="E387" s="19" t="s">
        <v>12</v>
      </c>
      <c r="F387" s="20">
        <v>1000</v>
      </c>
    </row>
    <row r="388" spans="2:6">
      <c r="B388" s="8" t="s">
        <v>1159</v>
      </c>
      <c r="C388" s="32" t="s">
        <v>1160</v>
      </c>
      <c r="D388" s="8" t="s">
        <v>1161</v>
      </c>
      <c r="E388" s="19" t="s">
        <v>12</v>
      </c>
      <c r="F388" s="20">
        <v>71468.759999999995</v>
      </c>
    </row>
    <row r="389" spans="2:6">
      <c r="B389" s="8" t="s">
        <v>1162</v>
      </c>
      <c r="C389" s="18" t="s">
        <v>1163</v>
      </c>
      <c r="D389" s="8" t="s">
        <v>1164</v>
      </c>
      <c r="E389" s="19" t="s">
        <v>12</v>
      </c>
      <c r="F389" s="20">
        <v>15000</v>
      </c>
    </row>
    <row r="390" spans="2:6">
      <c r="B390" s="8" t="s">
        <v>1165</v>
      </c>
      <c r="C390" s="18" t="s">
        <v>1166</v>
      </c>
      <c r="D390" s="8" t="s">
        <v>1167</v>
      </c>
      <c r="E390" s="19" t="s">
        <v>12</v>
      </c>
      <c r="F390" s="20">
        <v>20000</v>
      </c>
    </row>
    <row r="391" spans="2:6">
      <c r="B391" s="8" t="s">
        <v>1168</v>
      </c>
      <c r="C391" s="18" t="s">
        <v>1169</v>
      </c>
      <c r="D391" s="8" t="s">
        <v>1170</v>
      </c>
      <c r="E391" s="19" t="s">
        <v>12</v>
      </c>
      <c r="F391" s="20">
        <v>54028.700000000004</v>
      </c>
    </row>
    <row r="392" spans="2:6">
      <c r="B392" s="8" t="s">
        <v>1171</v>
      </c>
      <c r="C392" s="18" t="s">
        <v>1172</v>
      </c>
      <c r="D392" s="8" t="s">
        <v>1173</v>
      </c>
      <c r="E392" s="19" t="s">
        <v>12</v>
      </c>
      <c r="F392" s="20">
        <v>25650</v>
      </c>
    </row>
    <row r="393" spans="2:6">
      <c r="B393" s="8" t="s">
        <v>1174</v>
      </c>
      <c r="C393" s="18" t="s">
        <v>1175</v>
      </c>
      <c r="D393" s="8" t="s">
        <v>1176</v>
      </c>
      <c r="E393" s="19" t="s">
        <v>12</v>
      </c>
      <c r="F393" s="20">
        <v>79179.100000000006</v>
      </c>
    </row>
    <row r="394" spans="2:6">
      <c r="B394" s="8" t="s">
        <v>1177</v>
      </c>
      <c r="C394" s="18" t="s">
        <v>1178</v>
      </c>
      <c r="D394" s="8" t="s">
        <v>1179</v>
      </c>
      <c r="E394" s="19" t="s">
        <v>12</v>
      </c>
      <c r="F394" s="20">
        <v>102929.20000000001</v>
      </c>
    </row>
    <row r="395" spans="2:6">
      <c r="B395" s="8" t="s">
        <v>1180</v>
      </c>
      <c r="C395" s="18" t="s">
        <v>1181</v>
      </c>
      <c r="D395" s="8" t="s">
        <v>1182</v>
      </c>
      <c r="E395" s="19" t="s">
        <v>12</v>
      </c>
      <c r="F395" s="20">
        <v>31500</v>
      </c>
    </row>
    <row r="396" spans="2:6">
      <c r="B396" s="8" t="s">
        <v>1183</v>
      </c>
      <c r="C396" s="18" t="s">
        <v>1184</v>
      </c>
      <c r="D396" s="8" t="s">
        <v>1185</v>
      </c>
      <c r="E396" s="19" t="s">
        <v>12</v>
      </c>
      <c r="F396" s="20">
        <v>43000</v>
      </c>
    </row>
    <row r="397" spans="2:6">
      <c r="B397" s="8" t="s">
        <v>1186</v>
      </c>
      <c r="C397" s="18" t="s">
        <v>1187</v>
      </c>
      <c r="D397" s="8" t="s">
        <v>1188</v>
      </c>
      <c r="E397" s="19" t="s">
        <v>12</v>
      </c>
      <c r="F397" s="20">
        <v>1625</v>
      </c>
    </row>
    <row r="398" spans="2:6">
      <c r="B398" s="8" t="s">
        <v>1189</v>
      </c>
      <c r="C398" s="18" t="s">
        <v>1190</v>
      </c>
      <c r="D398" s="8" t="s">
        <v>1191</v>
      </c>
      <c r="E398" s="19" t="s">
        <v>12</v>
      </c>
      <c r="F398" s="20">
        <v>2405</v>
      </c>
    </row>
    <row r="399" spans="2:6">
      <c r="B399" s="8" t="s">
        <v>1192</v>
      </c>
      <c r="C399" s="18" t="s">
        <v>1193</v>
      </c>
      <c r="D399" s="8" t="s">
        <v>1194</v>
      </c>
      <c r="E399" s="19" t="s">
        <v>12</v>
      </c>
      <c r="F399" s="20">
        <v>2925</v>
      </c>
    </row>
    <row r="400" spans="2:6">
      <c r="B400" s="8" t="s">
        <v>1195</v>
      </c>
      <c r="C400" s="26" t="s">
        <v>1196</v>
      </c>
      <c r="D400" s="8" t="s">
        <v>1197</v>
      </c>
      <c r="E400" s="19" t="s">
        <v>12</v>
      </c>
      <c r="F400" s="20">
        <v>18940</v>
      </c>
    </row>
    <row r="401" spans="2:6">
      <c r="B401" s="8" t="s">
        <v>1198</v>
      </c>
      <c r="C401" s="18" t="s">
        <v>1199</v>
      </c>
      <c r="D401" s="8" t="s">
        <v>1200</v>
      </c>
      <c r="E401" s="19" t="s">
        <v>12</v>
      </c>
      <c r="F401" s="20">
        <v>2750</v>
      </c>
    </row>
    <row r="402" spans="2:6">
      <c r="B402" s="8" t="s">
        <v>1201</v>
      </c>
      <c r="C402" s="18" t="s">
        <v>1202</v>
      </c>
      <c r="D402" s="8" t="s">
        <v>1203</v>
      </c>
      <c r="E402" s="19" t="s">
        <v>12</v>
      </c>
      <c r="F402" s="20">
        <v>35000</v>
      </c>
    </row>
    <row r="403" spans="2:6">
      <c r="B403" s="8" t="s">
        <v>1204</v>
      </c>
      <c r="C403" s="18" t="s">
        <v>4123</v>
      </c>
      <c r="D403" s="8" t="s">
        <v>1205</v>
      </c>
      <c r="E403" s="19" t="s">
        <v>12</v>
      </c>
      <c r="F403" s="20">
        <v>18200</v>
      </c>
    </row>
    <row r="404" spans="2:6">
      <c r="B404" s="8" t="s">
        <v>1206</v>
      </c>
      <c r="C404" s="24" t="s">
        <v>4124</v>
      </c>
      <c r="D404" s="8" t="s">
        <v>1207</v>
      </c>
      <c r="E404" s="19" t="s">
        <v>12</v>
      </c>
      <c r="F404" s="20">
        <v>7800</v>
      </c>
    </row>
    <row r="405" spans="2:6">
      <c r="B405" s="8" t="s">
        <v>1208</v>
      </c>
      <c r="C405" s="18" t="s">
        <v>4125</v>
      </c>
      <c r="D405" s="8" t="s">
        <v>1209</v>
      </c>
      <c r="E405" s="19" t="s">
        <v>12</v>
      </c>
      <c r="F405" s="20">
        <v>24050</v>
      </c>
    </row>
    <row r="406" spans="2:6">
      <c r="B406" s="8" t="s">
        <v>1210</v>
      </c>
      <c r="C406" s="25" t="s">
        <v>4126</v>
      </c>
      <c r="D406" s="8" t="s">
        <v>1211</v>
      </c>
      <c r="E406" s="19" t="s">
        <v>12</v>
      </c>
      <c r="F406" s="20">
        <v>22000</v>
      </c>
    </row>
    <row r="407" spans="2:6">
      <c r="B407" s="8" t="s">
        <v>1212</v>
      </c>
      <c r="C407" s="25" t="s">
        <v>1213</v>
      </c>
      <c r="D407" s="8" t="s">
        <v>1214</v>
      </c>
      <c r="E407" s="19" t="s">
        <v>12</v>
      </c>
      <c r="F407" s="20">
        <v>5445000</v>
      </c>
    </row>
    <row r="408" spans="2:6">
      <c r="B408" s="8" t="s">
        <v>1215</v>
      </c>
      <c r="C408" s="31" t="s">
        <v>1216</v>
      </c>
      <c r="D408" s="8" t="s">
        <v>1217</v>
      </c>
      <c r="E408" s="19" t="s">
        <v>12</v>
      </c>
      <c r="F408" s="20">
        <v>0</v>
      </c>
    </row>
    <row r="409" spans="2:6">
      <c r="B409" s="8" t="s">
        <v>1218</v>
      </c>
      <c r="C409" s="31" t="s">
        <v>1219</v>
      </c>
      <c r="D409" s="8" t="s">
        <v>1220</v>
      </c>
      <c r="E409" s="19" t="s">
        <v>12</v>
      </c>
      <c r="F409" s="20">
        <v>0</v>
      </c>
    </row>
    <row r="410" spans="2:6">
      <c r="B410" s="8" t="s">
        <v>1221</v>
      </c>
      <c r="C410" s="33" t="s">
        <v>1222</v>
      </c>
      <c r="D410" s="8" t="s">
        <v>1223</v>
      </c>
      <c r="E410" s="19" t="s">
        <v>12</v>
      </c>
      <c r="F410" s="20">
        <v>2531552.1</v>
      </c>
    </row>
    <row r="411" spans="2:6">
      <c r="B411" s="8" t="s">
        <v>1224</v>
      </c>
      <c r="C411" s="18" t="s">
        <v>1225</v>
      </c>
      <c r="D411" s="8" t="s">
        <v>1226</v>
      </c>
      <c r="E411" s="19" t="s">
        <v>1227</v>
      </c>
      <c r="F411" s="20">
        <v>500</v>
      </c>
    </row>
    <row r="412" spans="2:6">
      <c r="B412" s="8" t="s">
        <v>1228</v>
      </c>
      <c r="C412" s="18" t="s">
        <v>1229</v>
      </c>
      <c r="D412" s="8" t="s">
        <v>1230</v>
      </c>
      <c r="E412" s="19" t="s">
        <v>12</v>
      </c>
      <c r="F412" s="20">
        <v>950000</v>
      </c>
    </row>
    <row r="413" spans="2:6">
      <c r="B413" s="8" t="s">
        <v>1231</v>
      </c>
      <c r="C413" s="18" t="s">
        <v>1232</v>
      </c>
      <c r="D413" s="8" t="s">
        <v>1233</v>
      </c>
      <c r="E413" s="19" t="s">
        <v>12</v>
      </c>
      <c r="F413" s="20">
        <v>46000</v>
      </c>
    </row>
    <row r="414" spans="2:6">
      <c r="B414" s="8" t="s">
        <v>1234</v>
      </c>
      <c r="C414" s="18" t="s">
        <v>1235</v>
      </c>
      <c r="D414" s="8" t="s">
        <v>1236</v>
      </c>
      <c r="E414" s="19" t="s">
        <v>12</v>
      </c>
      <c r="F414" s="20">
        <v>36000</v>
      </c>
    </row>
    <row r="415" spans="2:6">
      <c r="B415" s="8" t="s">
        <v>1237</v>
      </c>
      <c r="C415" s="18" t="s">
        <v>1238</v>
      </c>
      <c r="D415" s="8" t="s">
        <v>1239</v>
      </c>
      <c r="E415" s="19" t="s">
        <v>12</v>
      </c>
      <c r="F415" s="20">
        <v>150000</v>
      </c>
    </row>
    <row r="416" spans="2:6">
      <c r="B416" s="8" t="s">
        <v>1240</v>
      </c>
      <c r="C416" s="18" t="s">
        <v>1241</v>
      </c>
      <c r="D416" s="8" t="s">
        <v>1242</v>
      </c>
      <c r="E416" s="19" t="s">
        <v>12</v>
      </c>
      <c r="F416" s="20">
        <v>500</v>
      </c>
    </row>
    <row r="417" spans="2:6">
      <c r="B417" s="8" t="s">
        <v>1243</v>
      </c>
      <c r="C417" s="18" t="s">
        <v>1244</v>
      </c>
      <c r="D417" s="8" t="s">
        <v>1245</v>
      </c>
      <c r="E417" s="19" t="s">
        <v>12</v>
      </c>
      <c r="F417" s="20">
        <v>50000</v>
      </c>
    </row>
    <row r="418" spans="2:6">
      <c r="B418" s="8" t="s">
        <v>1246</v>
      </c>
      <c r="C418" s="24" t="s">
        <v>1247</v>
      </c>
      <c r="D418" s="8" t="s">
        <v>1248</v>
      </c>
      <c r="E418" s="19" t="s">
        <v>1249</v>
      </c>
      <c r="F418" s="20">
        <v>153409.99999999997</v>
      </c>
    </row>
    <row r="419" spans="2:6">
      <c r="B419" s="8" t="s">
        <v>1250</v>
      </c>
      <c r="C419" s="18" t="s">
        <v>1251</v>
      </c>
      <c r="D419" s="8" t="s">
        <v>1252</v>
      </c>
      <c r="E419" s="19" t="s">
        <v>1249</v>
      </c>
      <c r="F419" s="20">
        <v>5000</v>
      </c>
    </row>
    <row r="420" spans="2:6">
      <c r="B420" s="8" t="s">
        <v>1253</v>
      </c>
      <c r="C420" s="26" t="s">
        <v>4122</v>
      </c>
      <c r="D420" s="8" t="s">
        <v>1254</v>
      </c>
      <c r="E420" s="19" t="s">
        <v>1249</v>
      </c>
      <c r="F420" s="20">
        <v>9064.8250000000007</v>
      </c>
    </row>
    <row r="421" spans="2:6">
      <c r="B421" s="8" t="s">
        <v>1255</v>
      </c>
      <c r="C421" s="21" t="s">
        <v>1256</v>
      </c>
      <c r="D421" s="8" t="s">
        <v>1257</v>
      </c>
      <c r="E421" s="19" t="s">
        <v>1249</v>
      </c>
      <c r="F421" s="20">
        <v>45000</v>
      </c>
    </row>
    <row r="422" spans="2:6">
      <c r="B422" s="8" t="s">
        <v>1258</v>
      </c>
      <c r="C422" s="21" t="s">
        <v>1259</v>
      </c>
      <c r="D422" s="8" t="s">
        <v>1260</v>
      </c>
      <c r="E422" s="19" t="s">
        <v>1249</v>
      </c>
      <c r="F422" s="20">
        <v>75000</v>
      </c>
    </row>
    <row r="423" spans="2:6">
      <c r="B423" s="8" t="s">
        <v>1261</v>
      </c>
      <c r="C423" s="26" t="s">
        <v>1262</v>
      </c>
      <c r="D423" s="8" t="s">
        <v>1263</v>
      </c>
      <c r="E423" s="19" t="s">
        <v>1249</v>
      </c>
      <c r="F423" s="20">
        <v>1337.0500000000002</v>
      </c>
    </row>
    <row r="424" spans="2:6">
      <c r="B424" s="8" t="s">
        <v>1264</v>
      </c>
      <c r="C424" s="26" t="s">
        <v>1265</v>
      </c>
      <c r="D424" s="8" t="s">
        <v>1266</v>
      </c>
      <c r="E424" s="19" t="s">
        <v>1249</v>
      </c>
      <c r="F424" s="20">
        <v>2571.25</v>
      </c>
    </row>
    <row r="425" spans="2:6">
      <c r="B425" s="8" t="s">
        <v>1267</v>
      </c>
      <c r="C425" s="18" t="s">
        <v>1268</v>
      </c>
      <c r="D425" s="8" t="s">
        <v>1269</v>
      </c>
      <c r="E425" s="19" t="s">
        <v>12</v>
      </c>
      <c r="F425" s="20">
        <v>25400</v>
      </c>
    </row>
    <row r="426" spans="2:6">
      <c r="B426" s="8" t="s">
        <v>1270</v>
      </c>
      <c r="C426" s="18" t="s">
        <v>1271</v>
      </c>
      <c r="D426" s="8" t="s">
        <v>1272</v>
      </c>
      <c r="E426" s="19" t="s">
        <v>12</v>
      </c>
      <c r="F426" s="20">
        <v>40315</v>
      </c>
    </row>
    <row r="427" spans="2:6">
      <c r="B427" s="8" t="s">
        <v>1273</v>
      </c>
      <c r="C427" s="18" t="s">
        <v>1274</v>
      </c>
      <c r="D427" s="8" t="s">
        <v>1275</v>
      </c>
      <c r="E427" s="19" t="s">
        <v>12</v>
      </c>
      <c r="F427" s="20">
        <v>38610</v>
      </c>
    </row>
    <row r="428" spans="2:6">
      <c r="B428" s="8" t="s">
        <v>1276</v>
      </c>
      <c r="C428" s="18" t="s">
        <v>1277</v>
      </c>
      <c r="D428" s="8" t="s">
        <v>1278</v>
      </c>
      <c r="E428" s="19" t="s">
        <v>12</v>
      </c>
      <c r="F428" s="20">
        <v>70620</v>
      </c>
    </row>
    <row r="429" spans="2:6">
      <c r="B429" s="8" t="s">
        <v>1279</v>
      </c>
      <c r="C429" s="18" t="s">
        <v>1280</v>
      </c>
      <c r="D429" s="8" t="s">
        <v>1281</v>
      </c>
      <c r="E429" s="19" t="s">
        <v>12</v>
      </c>
      <c r="F429" s="20">
        <v>12460</v>
      </c>
    </row>
    <row r="430" spans="2:6">
      <c r="B430" s="8" t="s">
        <v>1282</v>
      </c>
      <c r="C430" s="18" t="s">
        <v>1283</v>
      </c>
      <c r="D430" s="8" t="s">
        <v>1284</v>
      </c>
      <c r="E430" s="19" t="s">
        <v>12</v>
      </c>
      <c r="F430" s="20">
        <v>70620</v>
      </c>
    </row>
    <row r="431" spans="2:6">
      <c r="B431" s="8" t="s">
        <v>1285</v>
      </c>
      <c r="C431" s="21" t="s">
        <v>1286</v>
      </c>
      <c r="D431" s="8" t="s">
        <v>1287</v>
      </c>
      <c r="E431" s="19" t="s">
        <v>12</v>
      </c>
      <c r="F431" s="20">
        <v>58700</v>
      </c>
    </row>
    <row r="432" spans="2:6">
      <c r="B432" s="8" t="s">
        <v>1288</v>
      </c>
      <c r="C432" s="21" t="s">
        <v>1289</v>
      </c>
      <c r="D432" s="8" t="s">
        <v>1290</v>
      </c>
      <c r="E432" s="19" t="s">
        <v>12</v>
      </c>
      <c r="F432" s="20">
        <v>70000</v>
      </c>
    </row>
    <row r="433" spans="2:6">
      <c r="B433" s="8" t="s">
        <v>1291</v>
      </c>
      <c r="C433" s="21" t="s">
        <v>1292</v>
      </c>
      <c r="D433" s="8" t="s">
        <v>1293</v>
      </c>
      <c r="E433" s="19" t="s">
        <v>12</v>
      </c>
      <c r="F433" s="20">
        <v>21240</v>
      </c>
    </row>
    <row r="434" spans="2:6">
      <c r="B434" s="8" t="s">
        <v>1294</v>
      </c>
      <c r="C434" s="21" t="s">
        <v>1295</v>
      </c>
      <c r="D434" s="8" t="s">
        <v>1296</v>
      </c>
      <c r="E434" s="19" t="s">
        <v>12</v>
      </c>
      <c r="F434" s="20">
        <v>21240</v>
      </c>
    </row>
    <row r="435" spans="2:6">
      <c r="B435" s="8" t="s">
        <v>1297</v>
      </c>
      <c r="C435" s="18" t="s">
        <v>1298</v>
      </c>
      <c r="D435" s="8" t="s">
        <v>1299</v>
      </c>
      <c r="E435" s="19" t="s">
        <v>12</v>
      </c>
      <c r="F435" s="20">
        <v>48859.199999999997</v>
      </c>
    </row>
    <row r="436" spans="2:6">
      <c r="B436" s="8" t="s">
        <v>1300</v>
      </c>
      <c r="C436" s="18" t="s">
        <v>1301</v>
      </c>
      <c r="D436" s="8" t="s">
        <v>1302</v>
      </c>
      <c r="E436" s="19" t="s">
        <v>12</v>
      </c>
      <c r="F436" s="20">
        <v>89366.399999999994</v>
      </c>
    </row>
    <row r="437" spans="2:6">
      <c r="B437" s="8" t="s">
        <v>1303</v>
      </c>
      <c r="C437" s="24" t="s">
        <v>1304</v>
      </c>
      <c r="D437" s="8" t="s">
        <v>1305</v>
      </c>
      <c r="E437" s="19" t="s">
        <v>12</v>
      </c>
      <c r="F437" s="20">
        <v>62999.999999999993</v>
      </c>
    </row>
    <row r="438" spans="2:6">
      <c r="B438" s="8" t="s">
        <v>1306</v>
      </c>
      <c r="C438" s="24" t="s">
        <v>1307</v>
      </c>
      <c r="D438" s="8" t="s">
        <v>1308</v>
      </c>
      <c r="E438" s="19" t="s">
        <v>12</v>
      </c>
      <c r="F438" s="20">
        <v>3016</v>
      </c>
    </row>
    <row r="439" spans="2:6">
      <c r="B439" s="8" t="s">
        <v>1309</v>
      </c>
      <c r="C439" s="24" t="s">
        <v>1310</v>
      </c>
      <c r="D439" s="8" t="s">
        <v>1311</v>
      </c>
      <c r="E439" s="19" t="s">
        <v>12</v>
      </c>
      <c r="F439" s="20">
        <v>38060</v>
      </c>
    </row>
    <row r="440" spans="2:6">
      <c r="B440" s="8" t="s">
        <v>1312</v>
      </c>
      <c r="C440" s="24" t="s">
        <v>1313</v>
      </c>
      <c r="D440" s="8" t="s">
        <v>1314</v>
      </c>
      <c r="E440" s="19" t="s">
        <v>12</v>
      </c>
      <c r="F440" s="20">
        <v>19813.2</v>
      </c>
    </row>
    <row r="441" spans="2:6">
      <c r="B441" s="8" t="s">
        <v>1315</v>
      </c>
      <c r="C441" s="18" t="s">
        <v>1316</v>
      </c>
      <c r="D441" s="8" t="s">
        <v>1317</v>
      </c>
      <c r="E441" s="19" t="s">
        <v>12</v>
      </c>
      <c r="F441" s="20">
        <v>2500</v>
      </c>
    </row>
    <row r="442" spans="2:6">
      <c r="B442" s="8" t="s">
        <v>1318</v>
      </c>
      <c r="C442" s="18" t="s">
        <v>1319</v>
      </c>
      <c r="D442" s="8" t="s">
        <v>1320</v>
      </c>
      <c r="E442" s="19" t="s">
        <v>12</v>
      </c>
      <c r="F442" s="20">
        <v>1500</v>
      </c>
    </row>
    <row r="443" spans="2:6">
      <c r="B443" s="8" t="s">
        <v>1321</v>
      </c>
      <c r="C443" s="18" t="s">
        <v>1322</v>
      </c>
      <c r="D443" s="8" t="s">
        <v>1323</v>
      </c>
      <c r="E443" s="19" t="s">
        <v>12</v>
      </c>
      <c r="F443" s="20">
        <v>2000</v>
      </c>
    </row>
    <row r="444" spans="2:6">
      <c r="B444" s="8" t="s">
        <v>1324</v>
      </c>
      <c r="C444" s="24" t="s">
        <v>1325</v>
      </c>
      <c r="D444" s="8" t="s">
        <v>1326</v>
      </c>
      <c r="E444" s="19" t="s">
        <v>12</v>
      </c>
      <c r="F444" s="20">
        <v>122092.88259999998</v>
      </c>
    </row>
    <row r="445" spans="2:6">
      <c r="B445" s="8" t="s">
        <v>1327</v>
      </c>
      <c r="C445" s="24" t="s">
        <v>1328</v>
      </c>
      <c r="D445" s="8" t="s">
        <v>1329</v>
      </c>
      <c r="E445" s="19" t="s">
        <v>12</v>
      </c>
      <c r="F445" s="20">
        <v>178000</v>
      </c>
    </row>
    <row r="446" spans="2:6">
      <c r="B446" s="8" t="s">
        <v>1330</v>
      </c>
      <c r="C446" s="24" t="s">
        <v>1331</v>
      </c>
      <c r="D446" s="8" t="s">
        <v>1332</v>
      </c>
      <c r="E446" s="19" t="s">
        <v>12</v>
      </c>
      <c r="F446" s="20">
        <v>195600</v>
      </c>
    </row>
    <row r="447" spans="2:6">
      <c r="B447" s="8" t="s">
        <v>1333</v>
      </c>
      <c r="C447" s="24" t="s">
        <v>1334</v>
      </c>
      <c r="D447" s="8" t="s">
        <v>1335</v>
      </c>
      <c r="E447" s="19" t="s">
        <v>12</v>
      </c>
      <c r="F447" s="20">
        <v>223578</v>
      </c>
    </row>
    <row r="448" spans="2:6">
      <c r="B448" s="8" t="s">
        <v>1336</v>
      </c>
      <c r="C448" s="24" t="s">
        <v>1337</v>
      </c>
      <c r="D448" s="8" t="s">
        <v>1338</v>
      </c>
      <c r="E448" s="19" t="s">
        <v>12</v>
      </c>
      <c r="F448" s="20">
        <v>289000</v>
      </c>
    </row>
    <row r="449" spans="2:6">
      <c r="B449" s="8" t="s">
        <v>1339</v>
      </c>
      <c r="C449" s="24" t="s">
        <v>1340</v>
      </c>
      <c r="D449" s="8" t="s">
        <v>1341</v>
      </c>
      <c r="E449" s="19" t="s">
        <v>12</v>
      </c>
      <c r="F449" s="20">
        <v>715000</v>
      </c>
    </row>
    <row r="450" spans="2:6">
      <c r="B450" s="8" t="s">
        <v>1342</v>
      </c>
      <c r="C450" s="24" t="s">
        <v>1343</v>
      </c>
      <c r="D450" s="8" t="s">
        <v>1344</v>
      </c>
      <c r="E450" s="19" t="s">
        <v>12</v>
      </c>
      <c r="F450" s="20">
        <v>617500</v>
      </c>
    </row>
    <row r="451" spans="2:6">
      <c r="B451" s="8" t="s">
        <v>1345</v>
      </c>
      <c r="C451" s="24" t="s">
        <v>1346</v>
      </c>
      <c r="D451" s="8" t="s">
        <v>1347</v>
      </c>
      <c r="E451" s="19" t="s">
        <v>12</v>
      </c>
      <c r="F451" s="20">
        <v>846799.99999999988</v>
      </c>
    </row>
    <row r="452" spans="2:6">
      <c r="B452" s="8" t="s">
        <v>1348</v>
      </c>
      <c r="C452" s="24" t="s">
        <v>1349</v>
      </c>
      <c r="D452" s="8" t="s">
        <v>1350</v>
      </c>
      <c r="E452" s="19" t="s">
        <v>12</v>
      </c>
      <c r="F452" s="20">
        <v>1250000</v>
      </c>
    </row>
    <row r="453" spans="2:6">
      <c r="B453" s="8" t="s">
        <v>1351</v>
      </c>
      <c r="C453" s="24" t="s">
        <v>1352</v>
      </c>
      <c r="D453" s="8" t="s">
        <v>1353</v>
      </c>
      <c r="E453" s="19" t="s">
        <v>12</v>
      </c>
      <c r="F453" s="20">
        <v>3190000</v>
      </c>
    </row>
    <row r="454" spans="2:6">
      <c r="B454" s="8" t="s">
        <v>1354</v>
      </c>
      <c r="C454" s="24" t="s">
        <v>1355</v>
      </c>
      <c r="D454" s="8" t="s">
        <v>1356</v>
      </c>
      <c r="E454" s="19" t="s">
        <v>12</v>
      </c>
      <c r="F454" s="20">
        <v>2459200</v>
      </c>
    </row>
    <row r="455" spans="2:6">
      <c r="B455" s="8" t="s">
        <v>1357</v>
      </c>
      <c r="C455" s="24" t="s">
        <v>1358</v>
      </c>
      <c r="D455" s="8" t="s">
        <v>1359</v>
      </c>
      <c r="E455" s="19" t="s">
        <v>12</v>
      </c>
      <c r="F455" s="20">
        <v>414004.5</v>
      </c>
    </row>
    <row r="456" spans="2:6">
      <c r="B456" s="8" t="s">
        <v>1360</v>
      </c>
      <c r="C456" s="24" t="s">
        <v>1361</v>
      </c>
      <c r="D456" s="8" t="s">
        <v>1362</v>
      </c>
      <c r="E456" s="19" t="s">
        <v>12</v>
      </c>
      <c r="F456" s="20">
        <v>115000</v>
      </c>
    </row>
    <row r="457" spans="2:6">
      <c r="B457" s="8" t="s">
        <v>1363</v>
      </c>
      <c r="C457" s="18" t="s">
        <v>1364</v>
      </c>
      <c r="D457" s="8" t="s">
        <v>1365</v>
      </c>
      <c r="E457" s="19" t="s">
        <v>12</v>
      </c>
      <c r="F457" s="20">
        <v>12080</v>
      </c>
    </row>
    <row r="458" spans="2:6">
      <c r="B458" s="8" t="s">
        <v>1366</v>
      </c>
      <c r="C458" s="18" t="s">
        <v>1367</v>
      </c>
      <c r="D458" s="8" t="s">
        <v>1368</v>
      </c>
      <c r="E458" s="19" t="s">
        <v>12</v>
      </c>
      <c r="F458" s="20">
        <v>12330</v>
      </c>
    </row>
    <row r="459" spans="2:6">
      <c r="B459" s="8" t="s">
        <v>1369</v>
      </c>
      <c r="C459" s="18" t="s">
        <v>1370</v>
      </c>
      <c r="D459" s="8" t="s">
        <v>1371</v>
      </c>
      <c r="E459" s="19" t="s">
        <v>12</v>
      </c>
      <c r="F459" s="20">
        <v>12700</v>
      </c>
    </row>
    <row r="460" spans="2:6">
      <c r="B460" s="8" t="s">
        <v>1372</v>
      </c>
      <c r="C460" s="24" t="s">
        <v>1373</v>
      </c>
      <c r="D460" s="8" t="s">
        <v>1374</v>
      </c>
      <c r="E460" s="19" t="s">
        <v>1375</v>
      </c>
      <c r="F460" s="20">
        <v>50000</v>
      </c>
    </row>
    <row r="461" spans="2:6">
      <c r="B461" s="8" t="s">
        <v>1376</v>
      </c>
      <c r="C461" s="18" t="s">
        <v>1377</v>
      </c>
      <c r="D461" s="8" t="s">
        <v>1378</v>
      </c>
      <c r="E461" s="19" t="s">
        <v>1379</v>
      </c>
      <c r="F461" s="20">
        <v>250000</v>
      </c>
    </row>
    <row r="462" spans="2:6">
      <c r="B462" s="8" t="s">
        <v>1380</v>
      </c>
      <c r="C462" s="18" t="s">
        <v>1381</v>
      </c>
      <c r="D462" s="8" t="s">
        <v>1382</v>
      </c>
      <c r="E462" s="19" t="s">
        <v>1379</v>
      </c>
      <c r="F462" s="20">
        <v>280000</v>
      </c>
    </row>
    <row r="463" spans="2:6">
      <c r="B463" s="8" t="s">
        <v>1383</v>
      </c>
      <c r="C463" s="18" t="s">
        <v>1384</v>
      </c>
      <c r="D463" s="8" t="s">
        <v>1385</v>
      </c>
      <c r="E463" s="19" t="s">
        <v>1379</v>
      </c>
      <c r="F463" s="20">
        <v>395000</v>
      </c>
    </row>
    <row r="464" spans="2:6">
      <c r="B464" s="8" t="s">
        <v>1386</v>
      </c>
      <c r="C464" s="18" t="s">
        <v>1387</v>
      </c>
      <c r="D464" s="8" t="s">
        <v>1388</v>
      </c>
      <c r="E464" s="19" t="s">
        <v>1379</v>
      </c>
      <c r="F464" s="20">
        <v>420000</v>
      </c>
    </row>
    <row r="465" spans="2:6">
      <c r="B465" s="8" t="s">
        <v>1389</v>
      </c>
      <c r="C465" s="26" t="s">
        <v>1390</v>
      </c>
      <c r="D465" s="8" t="s">
        <v>1391</v>
      </c>
      <c r="E465" s="19" t="s">
        <v>12</v>
      </c>
      <c r="F465" s="20">
        <v>176330</v>
      </c>
    </row>
    <row r="466" spans="2:6">
      <c r="B466" s="8" t="s">
        <v>1392</v>
      </c>
      <c r="C466" s="26" t="s">
        <v>1393</v>
      </c>
      <c r="D466" s="8" t="s">
        <v>1394</v>
      </c>
      <c r="E466" s="19" t="s">
        <v>12</v>
      </c>
      <c r="F466" s="20">
        <v>7539.9999999999991</v>
      </c>
    </row>
    <row r="467" spans="2:6">
      <c r="B467" s="8" t="s">
        <v>1395</v>
      </c>
      <c r="C467" s="26" t="s">
        <v>1396</v>
      </c>
      <c r="D467" s="8" t="s">
        <v>1397</v>
      </c>
      <c r="E467" s="19" t="s">
        <v>12</v>
      </c>
      <c r="F467" s="20">
        <v>110165.00000000001</v>
      </c>
    </row>
    <row r="468" spans="2:6">
      <c r="B468" s="8" t="s">
        <v>1398</v>
      </c>
      <c r="C468" s="24" t="s">
        <v>1399</v>
      </c>
      <c r="D468" s="8" t="s">
        <v>1400</v>
      </c>
      <c r="E468" s="19" t="s">
        <v>1401</v>
      </c>
      <c r="F468" s="20">
        <v>2006.336</v>
      </c>
    </row>
    <row r="469" spans="2:6">
      <c r="B469" s="8" t="s">
        <v>1402</v>
      </c>
      <c r="C469" s="24" t="s">
        <v>1403</v>
      </c>
      <c r="D469" s="8" t="s">
        <v>1404</v>
      </c>
      <c r="E469" s="19" t="s">
        <v>1401</v>
      </c>
      <c r="F469" s="20">
        <v>1291.3119999999999</v>
      </c>
    </row>
    <row r="470" spans="2:6">
      <c r="B470" s="8" t="s">
        <v>1405</v>
      </c>
      <c r="C470" s="24" t="s">
        <v>1406</v>
      </c>
      <c r="D470" s="8" t="s">
        <v>1407</v>
      </c>
      <c r="E470" s="19" t="s">
        <v>1401</v>
      </c>
      <c r="F470" s="20">
        <v>2512.0959999999995</v>
      </c>
    </row>
    <row r="471" spans="2:6">
      <c r="B471" s="8" t="s">
        <v>1408</v>
      </c>
      <c r="C471" s="24" t="s">
        <v>1409</v>
      </c>
      <c r="D471" s="8" t="s">
        <v>1410</v>
      </c>
      <c r="E471" s="19" t="s">
        <v>1401</v>
      </c>
      <c r="F471" s="20">
        <v>863.96800000000007</v>
      </c>
    </row>
    <row r="472" spans="2:6">
      <c r="B472" s="8" t="s">
        <v>1411</v>
      </c>
      <c r="C472" s="24" t="s">
        <v>1412</v>
      </c>
      <c r="D472" s="8" t="s">
        <v>1413</v>
      </c>
      <c r="E472" s="19" t="s">
        <v>1401</v>
      </c>
      <c r="F472" s="20">
        <v>2775</v>
      </c>
    </row>
    <row r="473" spans="2:6">
      <c r="B473" s="8" t="s">
        <v>1414</v>
      </c>
      <c r="C473" s="24" t="s">
        <v>1415</v>
      </c>
      <c r="D473" s="8" t="s">
        <v>1416</v>
      </c>
      <c r="E473" s="19" t="s">
        <v>1401</v>
      </c>
      <c r="F473" s="20">
        <v>32183.968000000001</v>
      </c>
    </row>
    <row r="474" spans="2:6">
      <c r="B474" s="8" t="s">
        <v>1417</v>
      </c>
      <c r="C474" s="24" t="s">
        <v>1418</v>
      </c>
      <c r="D474" s="8" t="s">
        <v>1419</v>
      </c>
      <c r="E474" s="19" t="s">
        <v>1401</v>
      </c>
      <c r="F474" s="20">
        <v>24759.504000000001</v>
      </c>
    </row>
    <row r="475" spans="2:6">
      <c r="B475" s="8" t="s">
        <v>1420</v>
      </c>
      <c r="C475" s="24" t="s">
        <v>1421</v>
      </c>
      <c r="D475" s="8" t="s">
        <v>1422</v>
      </c>
      <c r="E475" s="19" t="s">
        <v>1401</v>
      </c>
      <c r="F475" s="20">
        <v>37824.815999999999</v>
      </c>
    </row>
    <row r="476" spans="2:6">
      <c r="B476" s="8" t="s">
        <v>1423</v>
      </c>
      <c r="C476" s="24" t="s">
        <v>1424</v>
      </c>
      <c r="D476" s="8" t="s">
        <v>1425</v>
      </c>
      <c r="E476" s="19" t="s">
        <v>1401</v>
      </c>
      <c r="F476" s="20">
        <v>0</v>
      </c>
    </row>
    <row r="477" spans="2:6">
      <c r="B477" s="8" t="s">
        <v>1426</v>
      </c>
      <c r="C477" s="24" t="s">
        <v>1427</v>
      </c>
      <c r="D477" s="8" t="s">
        <v>1428</v>
      </c>
      <c r="E477" s="19" t="s">
        <v>1401</v>
      </c>
      <c r="F477" s="20">
        <v>0</v>
      </c>
    </row>
    <row r="478" spans="2:6">
      <c r="B478" s="8" t="s">
        <v>1429</v>
      </c>
      <c r="C478" s="24" t="s">
        <v>1430</v>
      </c>
      <c r="D478" s="8" t="s">
        <v>1431</v>
      </c>
      <c r="E478" s="19" t="s">
        <v>1401</v>
      </c>
      <c r="F478" s="20">
        <v>57216.767999999996</v>
      </c>
    </row>
    <row r="479" spans="2:6">
      <c r="B479" s="8" t="s">
        <v>1432</v>
      </c>
      <c r="C479" s="24" t="s">
        <v>1433</v>
      </c>
      <c r="D479" s="8" t="s">
        <v>1434</v>
      </c>
      <c r="E479" s="19" t="s">
        <v>1134</v>
      </c>
      <c r="F479" s="20">
        <v>8000</v>
      </c>
    </row>
    <row r="480" spans="2:6">
      <c r="B480" s="8" t="s">
        <v>1435</v>
      </c>
      <c r="C480" s="24" t="s">
        <v>1436</v>
      </c>
      <c r="D480" s="8" t="s">
        <v>1437</v>
      </c>
      <c r="E480" s="19" t="s">
        <v>1134</v>
      </c>
      <c r="F480" s="20">
        <v>12500</v>
      </c>
    </row>
    <row r="481" spans="2:6">
      <c r="B481" s="8" t="s">
        <v>1438</v>
      </c>
      <c r="C481" s="24" t="s">
        <v>1439</v>
      </c>
      <c r="D481" s="8" t="s">
        <v>1440</v>
      </c>
      <c r="E481" s="19" t="s">
        <v>1134</v>
      </c>
      <c r="F481" s="20">
        <v>14000</v>
      </c>
    </row>
    <row r="482" spans="2:6">
      <c r="B482" s="8" t="s">
        <v>1441</v>
      </c>
      <c r="C482" s="24" t="s">
        <v>1442</v>
      </c>
      <c r="D482" s="8" t="s">
        <v>1443</v>
      </c>
      <c r="E482" s="19" t="s">
        <v>1134</v>
      </c>
      <c r="F482" s="20">
        <v>22500</v>
      </c>
    </row>
    <row r="483" spans="2:6">
      <c r="B483" s="8" t="s">
        <v>1444</v>
      </c>
      <c r="C483" s="24" t="s">
        <v>1445</v>
      </c>
      <c r="D483" s="8" t="s">
        <v>1446</v>
      </c>
      <c r="E483" s="19" t="s">
        <v>1134</v>
      </c>
      <c r="F483" s="20">
        <v>43450</v>
      </c>
    </row>
    <row r="484" spans="2:6">
      <c r="B484" s="8" t="s">
        <v>1447</v>
      </c>
      <c r="C484" s="24" t="s">
        <v>1448</v>
      </c>
      <c r="D484" s="8" t="s">
        <v>1449</v>
      </c>
      <c r="E484" s="19" t="s">
        <v>1134</v>
      </c>
      <c r="F484" s="20">
        <v>8000</v>
      </c>
    </row>
    <row r="485" spans="2:6">
      <c r="B485" s="8" t="s">
        <v>1450</v>
      </c>
      <c r="C485" s="24" t="s">
        <v>1451</v>
      </c>
      <c r="D485" s="8" t="s">
        <v>1452</v>
      </c>
      <c r="E485" s="19" t="s">
        <v>1134</v>
      </c>
      <c r="F485" s="20">
        <v>12500</v>
      </c>
    </row>
    <row r="486" spans="2:6">
      <c r="B486" s="8" t="s">
        <v>1453</v>
      </c>
      <c r="C486" s="24" t="s">
        <v>1454</v>
      </c>
      <c r="D486" s="8" t="s">
        <v>1455</v>
      </c>
      <c r="E486" s="19" t="s">
        <v>1134</v>
      </c>
      <c r="F486" s="20">
        <v>14000</v>
      </c>
    </row>
    <row r="487" spans="2:6">
      <c r="B487" s="8" t="s">
        <v>1456</v>
      </c>
      <c r="C487" s="24" t="s">
        <v>1457</v>
      </c>
      <c r="D487" s="8" t="s">
        <v>1458</v>
      </c>
      <c r="E487" s="19" t="s">
        <v>1134</v>
      </c>
      <c r="F487" s="20">
        <v>22500</v>
      </c>
    </row>
    <row r="488" spans="2:6">
      <c r="B488" s="8" t="s">
        <v>1459</v>
      </c>
      <c r="C488" s="24" t="s">
        <v>1460</v>
      </c>
      <c r="D488" s="8" t="s">
        <v>1461</v>
      </c>
      <c r="E488" s="19" t="s">
        <v>1134</v>
      </c>
      <c r="F488" s="20">
        <v>43450</v>
      </c>
    </row>
    <row r="489" spans="2:6">
      <c r="B489" s="8" t="s">
        <v>1462</v>
      </c>
      <c r="C489" s="24" t="s">
        <v>1463</v>
      </c>
      <c r="D489" s="8" t="s">
        <v>1464</v>
      </c>
      <c r="E489" s="19" t="s">
        <v>1134</v>
      </c>
      <c r="F489" s="20">
        <v>8000</v>
      </c>
    </row>
    <row r="490" spans="2:6">
      <c r="B490" s="8" t="s">
        <v>1465</v>
      </c>
      <c r="C490" s="24" t="s">
        <v>1466</v>
      </c>
      <c r="D490" s="8" t="s">
        <v>1467</v>
      </c>
      <c r="E490" s="19" t="s">
        <v>1134</v>
      </c>
      <c r="F490" s="20">
        <v>12500</v>
      </c>
    </row>
    <row r="491" spans="2:6">
      <c r="B491" s="8" t="s">
        <v>1468</v>
      </c>
      <c r="C491" s="24" t="s">
        <v>1469</v>
      </c>
      <c r="D491" s="8" t="s">
        <v>1470</v>
      </c>
      <c r="E491" s="19" t="s">
        <v>1134</v>
      </c>
      <c r="F491" s="20">
        <v>14000</v>
      </c>
    </row>
    <row r="492" spans="2:6">
      <c r="B492" s="8" t="s">
        <v>1471</v>
      </c>
      <c r="C492" s="24" t="s">
        <v>1472</v>
      </c>
      <c r="D492" s="8" t="s">
        <v>1473</v>
      </c>
      <c r="E492" s="19" t="s">
        <v>1134</v>
      </c>
      <c r="F492" s="20">
        <v>22500</v>
      </c>
    </row>
    <row r="493" spans="2:6">
      <c r="B493" s="8" t="s">
        <v>1474</v>
      </c>
      <c r="C493" s="24" t="s">
        <v>1475</v>
      </c>
      <c r="D493" s="8" t="s">
        <v>1476</v>
      </c>
      <c r="E493" s="19" t="s">
        <v>1134</v>
      </c>
      <c r="F493" s="20">
        <v>43450</v>
      </c>
    </row>
    <row r="494" spans="2:6">
      <c r="B494" s="8" t="s">
        <v>1477</v>
      </c>
      <c r="C494" s="24" t="s">
        <v>1478</v>
      </c>
      <c r="D494" s="8" t="s">
        <v>1479</v>
      </c>
      <c r="E494" s="19" t="s">
        <v>1134</v>
      </c>
      <c r="F494" s="20">
        <v>8000</v>
      </c>
    </row>
    <row r="495" spans="2:6">
      <c r="B495" s="8" t="s">
        <v>1480</v>
      </c>
      <c r="C495" s="24" t="s">
        <v>1481</v>
      </c>
      <c r="D495" s="8" t="s">
        <v>1482</v>
      </c>
      <c r="E495" s="19" t="s">
        <v>1134</v>
      </c>
      <c r="F495" s="20">
        <v>12500</v>
      </c>
    </row>
    <row r="496" spans="2:6">
      <c r="B496" s="8" t="s">
        <v>1483</v>
      </c>
      <c r="C496" s="24" t="s">
        <v>1484</v>
      </c>
      <c r="D496" s="8" t="s">
        <v>1485</v>
      </c>
      <c r="E496" s="19" t="s">
        <v>1134</v>
      </c>
      <c r="F496" s="20">
        <v>14000</v>
      </c>
    </row>
    <row r="497" spans="2:6">
      <c r="B497" s="8" t="s">
        <v>1486</v>
      </c>
      <c r="C497" s="24" t="s">
        <v>1487</v>
      </c>
      <c r="D497" s="8" t="s">
        <v>1488</v>
      </c>
      <c r="E497" s="19" t="s">
        <v>1134</v>
      </c>
      <c r="F497" s="20">
        <v>22500</v>
      </c>
    </row>
    <row r="498" spans="2:6">
      <c r="B498" s="8" t="s">
        <v>1489</v>
      </c>
      <c r="C498" s="24" t="s">
        <v>1490</v>
      </c>
      <c r="D498" s="8" t="s">
        <v>1491</v>
      </c>
      <c r="E498" s="19" t="s">
        <v>1134</v>
      </c>
      <c r="F498" s="20">
        <v>43450</v>
      </c>
    </row>
    <row r="499" spans="2:6">
      <c r="B499" s="8" t="s">
        <v>1492</v>
      </c>
      <c r="C499" s="24" t="s">
        <v>1493</v>
      </c>
      <c r="D499" s="8" t="s">
        <v>1494</v>
      </c>
      <c r="E499" s="19" t="s">
        <v>1134</v>
      </c>
      <c r="F499" s="20">
        <v>16000</v>
      </c>
    </row>
    <row r="500" spans="2:6">
      <c r="B500" s="8" t="s">
        <v>1495</v>
      </c>
      <c r="C500" s="24" t="s">
        <v>1496</v>
      </c>
      <c r="D500" s="8" t="s">
        <v>1497</v>
      </c>
      <c r="E500" s="19" t="s">
        <v>1134</v>
      </c>
      <c r="F500" s="20">
        <v>18000</v>
      </c>
    </row>
    <row r="501" spans="2:6">
      <c r="B501" s="8" t="s">
        <v>1498</v>
      </c>
      <c r="C501" s="24" t="s">
        <v>1499</v>
      </c>
      <c r="D501" s="8" t="s">
        <v>1500</v>
      </c>
      <c r="E501" s="19" t="s">
        <v>1134</v>
      </c>
      <c r="F501" s="20">
        <v>23000</v>
      </c>
    </row>
    <row r="502" spans="2:6">
      <c r="B502" s="8" t="s">
        <v>1501</v>
      </c>
      <c r="C502" s="24" t="s">
        <v>1502</v>
      </c>
      <c r="D502" s="8" t="s">
        <v>1503</v>
      </c>
      <c r="E502" s="19" t="s">
        <v>1134</v>
      </c>
      <c r="F502" s="20">
        <v>31000</v>
      </c>
    </row>
    <row r="503" spans="2:6">
      <c r="B503" s="8" t="s">
        <v>1504</v>
      </c>
      <c r="C503" s="24" t="s">
        <v>1505</v>
      </c>
      <c r="D503" s="8" t="s">
        <v>1506</v>
      </c>
      <c r="E503" s="19" t="s">
        <v>1134</v>
      </c>
      <c r="F503" s="20">
        <v>65000</v>
      </c>
    </row>
    <row r="504" spans="2:6">
      <c r="B504" s="8" t="s">
        <v>1507</v>
      </c>
      <c r="C504" s="24" t="s">
        <v>1508</v>
      </c>
      <c r="D504" s="8" t="s">
        <v>1509</v>
      </c>
      <c r="E504" s="19" t="s">
        <v>1134</v>
      </c>
      <c r="F504" s="20">
        <v>16000</v>
      </c>
    </row>
    <row r="505" spans="2:6">
      <c r="B505" s="8" t="s">
        <v>1510</v>
      </c>
      <c r="C505" s="24" t="s">
        <v>1511</v>
      </c>
      <c r="D505" s="8" t="s">
        <v>1512</v>
      </c>
      <c r="E505" s="19" t="s">
        <v>1134</v>
      </c>
      <c r="F505" s="20">
        <v>18000</v>
      </c>
    </row>
    <row r="506" spans="2:6">
      <c r="B506" s="8" t="s">
        <v>1513</v>
      </c>
      <c r="C506" s="24" t="s">
        <v>1514</v>
      </c>
      <c r="D506" s="8" t="s">
        <v>1515</v>
      </c>
      <c r="E506" s="19" t="s">
        <v>1134</v>
      </c>
      <c r="F506" s="20">
        <v>23000</v>
      </c>
    </row>
    <row r="507" spans="2:6">
      <c r="B507" s="8" t="s">
        <v>1516</v>
      </c>
      <c r="C507" s="24" t="s">
        <v>1517</v>
      </c>
      <c r="D507" s="8" t="s">
        <v>1518</v>
      </c>
      <c r="E507" s="19" t="s">
        <v>1134</v>
      </c>
      <c r="F507" s="20">
        <v>31000</v>
      </c>
    </row>
    <row r="508" spans="2:6">
      <c r="B508" s="8" t="s">
        <v>1519</v>
      </c>
      <c r="C508" s="24" t="s">
        <v>1520</v>
      </c>
      <c r="D508" s="8" t="s">
        <v>1521</v>
      </c>
      <c r="E508" s="19" t="s">
        <v>1134</v>
      </c>
      <c r="F508" s="20">
        <v>65000</v>
      </c>
    </row>
    <row r="509" spans="2:6">
      <c r="B509" s="8" t="s">
        <v>1522</v>
      </c>
      <c r="C509" s="24" t="s">
        <v>1523</v>
      </c>
      <c r="D509" s="8" t="s">
        <v>1524</v>
      </c>
      <c r="E509" s="19" t="s">
        <v>1134</v>
      </c>
      <c r="F509" s="20">
        <v>16000</v>
      </c>
    </row>
    <row r="510" spans="2:6">
      <c r="B510" s="8" t="s">
        <v>1525</v>
      </c>
      <c r="C510" s="24" t="s">
        <v>1526</v>
      </c>
      <c r="D510" s="8" t="s">
        <v>1527</v>
      </c>
      <c r="E510" s="19" t="s">
        <v>1134</v>
      </c>
      <c r="F510" s="20">
        <v>18000</v>
      </c>
    </row>
    <row r="511" spans="2:6">
      <c r="B511" s="8" t="s">
        <v>1528</v>
      </c>
      <c r="C511" s="24" t="s">
        <v>1529</v>
      </c>
      <c r="D511" s="8" t="s">
        <v>1530</v>
      </c>
      <c r="E511" s="19" t="s">
        <v>1134</v>
      </c>
      <c r="F511" s="20">
        <v>23000</v>
      </c>
    </row>
    <row r="512" spans="2:6">
      <c r="B512" s="8" t="s">
        <v>1531</v>
      </c>
      <c r="C512" s="24" t="s">
        <v>1532</v>
      </c>
      <c r="D512" s="8" t="s">
        <v>1533</v>
      </c>
      <c r="E512" s="19" t="s">
        <v>1134</v>
      </c>
      <c r="F512" s="20">
        <v>31000</v>
      </c>
    </row>
    <row r="513" spans="2:6">
      <c r="B513" s="8" t="s">
        <v>1534</v>
      </c>
      <c r="C513" s="24" t="s">
        <v>1535</v>
      </c>
      <c r="D513" s="8" t="s">
        <v>1536</v>
      </c>
      <c r="E513" s="19" t="s">
        <v>1134</v>
      </c>
      <c r="F513" s="20">
        <v>65000</v>
      </c>
    </row>
    <row r="514" spans="2:6">
      <c r="B514" s="8" t="s">
        <v>1537</v>
      </c>
      <c r="C514" s="24" t="s">
        <v>1538</v>
      </c>
      <c r="D514" s="8" t="s">
        <v>1539</v>
      </c>
      <c r="E514" s="19" t="s">
        <v>1134</v>
      </c>
      <c r="F514" s="20">
        <v>18000</v>
      </c>
    </row>
    <row r="515" spans="2:6">
      <c r="B515" s="8" t="s">
        <v>1540</v>
      </c>
      <c r="C515" s="24" t="s">
        <v>1541</v>
      </c>
      <c r="D515" s="8" t="s">
        <v>1542</v>
      </c>
      <c r="E515" s="19" t="s">
        <v>1134</v>
      </c>
      <c r="F515" s="20">
        <v>21000</v>
      </c>
    </row>
    <row r="516" spans="2:6">
      <c r="B516" s="8" t="s">
        <v>1543</v>
      </c>
      <c r="C516" s="24" t="s">
        <v>1544</v>
      </c>
      <c r="D516" s="8" t="s">
        <v>1545</v>
      </c>
      <c r="E516" s="19" t="s">
        <v>1134</v>
      </c>
      <c r="F516" s="20">
        <v>28000</v>
      </c>
    </row>
    <row r="517" spans="2:6">
      <c r="B517" s="8" t="s">
        <v>1546</v>
      </c>
      <c r="C517" s="24" t="s">
        <v>1547</v>
      </c>
      <c r="D517" s="8" t="s">
        <v>1548</v>
      </c>
      <c r="E517" s="19" t="s">
        <v>1134</v>
      </c>
      <c r="F517" s="20">
        <v>36000</v>
      </c>
    </row>
    <row r="518" spans="2:6">
      <c r="B518" s="8" t="s">
        <v>1549</v>
      </c>
      <c r="C518" s="24" t="s">
        <v>1550</v>
      </c>
      <c r="D518" s="8" t="s">
        <v>1551</v>
      </c>
      <c r="E518" s="19" t="s">
        <v>1134</v>
      </c>
      <c r="F518" s="20">
        <v>67000</v>
      </c>
    </row>
    <row r="519" spans="2:6">
      <c r="B519" s="8" t="s">
        <v>1552</v>
      </c>
      <c r="C519" s="18" t="s">
        <v>1553</v>
      </c>
      <c r="D519" s="8" t="s">
        <v>1554</v>
      </c>
      <c r="E519" s="19" t="s">
        <v>12</v>
      </c>
      <c r="F519" s="20">
        <v>11000</v>
      </c>
    </row>
    <row r="520" spans="2:6">
      <c r="B520" s="8" t="s">
        <v>1555</v>
      </c>
      <c r="C520" s="18" t="s">
        <v>1556</v>
      </c>
      <c r="D520" s="8" t="s">
        <v>1557</v>
      </c>
      <c r="E520" s="19" t="s">
        <v>12</v>
      </c>
      <c r="F520" s="20">
        <v>11000</v>
      </c>
    </row>
    <row r="521" spans="2:6">
      <c r="B521" s="8" t="s">
        <v>1558</v>
      </c>
      <c r="C521" s="18" t="s">
        <v>1559</v>
      </c>
      <c r="D521" s="8" t="s">
        <v>1560</v>
      </c>
      <c r="E521" s="19" t="s">
        <v>12</v>
      </c>
      <c r="F521" s="20">
        <v>6000</v>
      </c>
    </row>
    <row r="522" spans="2:6">
      <c r="B522" s="8" t="s">
        <v>1561</v>
      </c>
      <c r="C522" s="18" t="s">
        <v>1562</v>
      </c>
      <c r="D522" s="8" t="s">
        <v>1563</v>
      </c>
      <c r="E522" s="19" t="s">
        <v>12</v>
      </c>
      <c r="F522" s="20">
        <v>20000</v>
      </c>
    </row>
    <row r="523" spans="2:6">
      <c r="B523" s="8" t="s">
        <v>1564</v>
      </c>
      <c r="C523" s="18" t="s">
        <v>1565</v>
      </c>
      <c r="D523" s="8" t="s">
        <v>1566</v>
      </c>
      <c r="E523" s="19" t="s">
        <v>12</v>
      </c>
      <c r="F523" s="20">
        <v>35000</v>
      </c>
    </row>
    <row r="524" spans="2:6">
      <c r="B524" s="8" t="s">
        <v>1567</v>
      </c>
      <c r="C524" s="18" t="s">
        <v>1568</v>
      </c>
      <c r="D524" s="8" t="s">
        <v>1569</v>
      </c>
      <c r="E524" s="19" t="s">
        <v>12</v>
      </c>
      <c r="F524" s="20">
        <v>90000</v>
      </c>
    </row>
    <row r="525" spans="2:6">
      <c r="B525" s="8" t="s">
        <v>1570</v>
      </c>
      <c r="C525" s="18" t="s">
        <v>1571</v>
      </c>
      <c r="D525" s="8" t="s">
        <v>1572</v>
      </c>
      <c r="E525" s="19" t="s">
        <v>12</v>
      </c>
      <c r="F525" s="20">
        <v>8000</v>
      </c>
    </row>
    <row r="526" spans="2:6">
      <c r="B526" s="8" t="s">
        <v>1573</v>
      </c>
      <c r="C526" s="18" t="s">
        <v>1574</v>
      </c>
      <c r="D526" s="8" t="s">
        <v>1575</v>
      </c>
      <c r="E526" s="19" t="s">
        <v>12</v>
      </c>
      <c r="F526" s="20">
        <v>79000</v>
      </c>
    </row>
    <row r="527" spans="2:6">
      <c r="B527" s="8" t="s">
        <v>1576</v>
      </c>
      <c r="C527" s="18" t="s">
        <v>1577</v>
      </c>
      <c r="D527" s="8" t="s">
        <v>1578</v>
      </c>
      <c r="E527" s="19" t="s">
        <v>12</v>
      </c>
      <c r="F527" s="20">
        <v>85000</v>
      </c>
    </row>
    <row r="528" spans="2:6">
      <c r="B528" s="8" t="s">
        <v>1579</v>
      </c>
      <c r="C528" s="18" t="s">
        <v>1580</v>
      </c>
      <c r="D528" s="8" t="s">
        <v>1581</v>
      </c>
      <c r="E528" s="19" t="s">
        <v>12</v>
      </c>
      <c r="F528" s="20">
        <v>110000</v>
      </c>
    </row>
    <row r="529" spans="2:6">
      <c r="B529" s="8" t="s">
        <v>1582</v>
      </c>
      <c r="C529" s="18" t="s">
        <v>1583</v>
      </c>
      <c r="D529" s="8" t="s">
        <v>1584</v>
      </c>
      <c r="E529" s="19" t="s">
        <v>12</v>
      </c>
      <c r="F529" s="20">
        <v>150000</v>
      </c>
    </row>
    <row r="530" spans="2:6">
      <c r="B530" s="8" t="s">
        <v>1585</v>
      </c>
      <c r="C530" s="18" t="s">
        <v>1586</v>
      </c>
      <c r="D530" s="8" t="s">
        <v>1587</v>
      </c>
      <c r="E530" s="19" t="s">
        <v>12</v>
      </c>
      <c r="F530" s="20">
        <v>170000</v>
      </c>
    </row>
    <row r="531" spans="2:6">
      <c r="B531" s="8" t="s">
        <v>1588</v>
      </c>
      <c r="C531" s="18" t="s">
        <v>1589</v>
      </c>
      <c r="D531" s="8" t="s">
        <v>1590</v>
      </c>
      <c r="E531" s="19" t="s">
        <v>12</v>
      </c>
      <c r="F531" s="20">
        <v>49392.000000000015</v>
      </c>
    </row>
    <row r="532" spans="2:6">
      <c r="B532" s="8" t="s">
        <v>1591</v>
      </c>
      <c r="C532" s="18" t="s">
        <v>1592</v>
      </c>
      <c r="D532" s="8" t="s">
        <v>1593</v>
      </c>
      <c r="E532" s="19" t="s">
        <v>12</v>
      </c>
      <c r="F532" s="20">
        <v>40622.400000000009</v>
      </c>
    </row>
    <row r="533" spans="2:6">
      <c r="B533" s="8" t="s">
        <v>1594</v>
      </c>
      <c r="C533" s="18" t="s">
        <v>1595</v>
      </c>
      <c r="D533" s="8" t="s">
        <v>1596</v>
      </c>
      <c r="E533" s="19" t="s">
        <v>12</v>
      </c>
      <c r="F533" s="20">
        <v>27619.200000000008</v>
      </c>
    </row>
    <row r="534" spans="2:6">
      <c r="B534" s="8" t="s">
        <v>1597</v>
      </c>
      <c r="C534" s="18" t="s">
        <v>1598</v>
      </c>
      <c r="D534" s="8" t="s">
        <v>1599</v>
      </c>
      <c r="E534" s="19" t="s">
        <v>12</v>
      </c>
      <c r="F534" s="20">
        <v>16128.000000000004</v>
      </c>
    </row>
    <row r="535" spans="2:6">
      <c r="B535" s="8" t="s">
        <v>1600</v>
      </c>
      <c r="C535" s="18" t="s">
        <v>1601</v>
      </c>
      <c r="D535" s="8" t="s">
        <v>1602</v>
      </c>
      <c r="E535" s="19" t="s">
        <v>12</v>
      </c>
      <c r="F535" s="20">
        <v>80841.60000000002</v>
      </c>
    </row>
    <row r="536" spans="2:6">
      <c r="B536" s="8" t="s">
        <v>1603</v>
      </c>
      <c r="C536" s="18" t="s">
        <v>1604</v>
      </c>
      <c r="D536" s="8" t="s">
        <v>1605</v>
      </c>
      <c r="E536" s="19" t="s">
        <v>12</v>
      </c>
      <c r="F536" s="20">
        <v>257040.00000000006</v>
      </c>
    </row>
    <row r="537" spans="2:6">
      <c r="B537" s="8" t="s">
        <v>1606</v>
      </c>
      <c r="C537" s="18" t="s">
        <v>1607</v>
      </c>
      <c r="D537" s="8" t="s">
        <v>1608</v>
      </c>
      <c r="E537" s="19" t="s">
        <v>12</v>
      </c>
      <c r="F537" s="20">
        <v>21571.200000000004</v>
      </c>
    </row>
    <row r="538" spans="2:6">
      <c r="B538" s="8" t="s">
        <v>1609</v>
      </c>
      <c r="C538" s="18" t="s">
        <v>1610</v>
      </c>
      <c r="D538" s="8" t="s">
        <v>1611</v>
      </c>
      <c r="E538" s="19" t="s">
        <v>12</v>
      </c>
      <c r="F538" s="20">
        <v>423360.00000000012</v>
      </c>
    </row>
    <row r="539" spans="2:6">
      <c r="B539" s="8" t="s">
        <v>1612</v>
      </c>
      <c r="C539" s="18" t="s">
        <v>1613</v>
      </c>
      <c r="D539" s="8" t="s">
        <v>1614</v>
      </c>
      <c r="E539" s="19" t="s">
        <v>12</v>
      </c>
      <c r="F539" s="20">
        <v>14499.999999999998</v>
      </c>
    </row>
    <row r="540" spans="2:6">
      <c r="B540" s="8" t="s">
        <v>1615</v>
      </c>
      <c r="C540" s="18" t="s">
        <v>1616</v>
      </c>
      <c r="D540" s="8" t="s">
        <v>1617</v>
      </c>
      <c r="E540" s="19" t="s">
        <v>12</v>
      </c>
      <c r="F540" s="20">
        <v>14499.999999999998</v>
      </c>
    </row>
    <row r="541" spans="2:6">
      <c r="B541" s="8" t="s">
        <v>1618</v>
      </c>
      <c r="C541" s="18" t="s">
        <v>1619</v>
      </c>
      <c r="D541" s="8" t="s">
        <v>1620</v>
      </c>
      <c r="E541" s="19" t="s">
        <v>12</v>
      </c>
      <c r="F541" s="20">
        <v>14499.999999999998</v>
      </c>
    </row>
    <row r="542" spans="2:6">
      <c r="B542" s="8" t="s">
        <v>1621</v>
      </c>
      <c r="C542" s="18" t="s">
        <v>1622</v>
      </c>
      <c r="D542" s="8" t="s">
        <v>1623</v>
      </c>
      <c r="E542" s="19" t="s">
        <v>12</v>
      </c>
      <c r="F542" s="20">
        <v>23200</v>
      </c>
    </row>
    <row r="543" spans="2:6">
      <c r="B543" s="8" t="s">
        <v>1624</v>
      </c>
      <c r="C543" s="18" t="s">
        <v>1625</v>
      </c>
      <c r="D543" s="8" t="s">
        <v>1626</v>
      </c>
      <c r="E543" s="19" t="s">
        <v>12</v>
      </c>
      <c r="F543" s="20">
        <v>40600</v>
      </c>
    </row>
    <row r="544" spans="2:6">
      <c r="B544" s="8" t="s">
        <v>1627</v>
      </c>
      <c r="C544" s="18" t="s">
        <v>1628</v>
      </c>
      <c r="D544" s="8" t="s">
        <v>1629</v>
      </c>
      <c r="E544" s="19" t="s">
        <v>12</v>
      </c>
      <c r="F544" s="20">
        <v>203000</v>
      </c>
    </row>
    <row r="545" spans="2:6">
      <c r="B545" s="8" t="s">
        <v>1630</v>
      </c>
      <c r="C545" s="18" t="s">
        <v>1631</v>
      </c>
      <c r="D545" s="8" t="s">
        <v>1632</v>
      </c>
      <c r="E545" s="19" t="s">
        <v>12</v>
      </c>
      <c r="F545" s="20">
        <v>13050</v>
      </c>
    </row>
    <row r="546" spans="2:6">
      <c r="B546" s="8" t="s">
        <v>1633</v>
      </c>
      <c r="C546" s="18" t="s">
        <v>1634</v>
      </c>
      <c r="D546" s="8" t="s">
        <v>1635</v>
      </c>
      <c r="E546" s="19" t="s">
        <v>12</v>
      </c>
      <c r="F546" s="20">
        <v>0</v>
      </c>
    </row>
    <row r="547" spans="2:6">
      <c r="B547" s="8" t="s">
        <v>1636</v>
      </c>
      <c r="C547" s="18" t="s">
        <v>1637</v>
      </c>
      <c r="D547" s="8" t="s">
        <v>1638</v>
      </c>
      <c r="E547" s="19" t="s">
        <v>12</v>
      </c>
      <c r="F547" s="20">
        <v>20000</v>
      </c>
    </row>
    <row r="548" spans="2:6">
      <c r="B548" s="8" t="s">
        <v>1639</v>
      </c>
      <c r="C548" s="25" t="s">
        <v>1640</v>
      </c>
      <c r="D548" s="8" t="s">
        <v>1641</v>
      </c>
      <c r="E548" s="19" t="s">
        <v>12</v>
      </c>
      <c r="F548" s="20">
        <v>23000</v>
      </c>
    </row>
    <row r="549" spans="2:6">
      <c r="B549" s="8" t="s">
        <v>1642</v>
      </c>
      <c r="C549" s="25" t="s">
        <v>1643</v>
      </c>
      <c r="D549" s="8" t="s">
        <v>1644</v>
      </c>
      <c r="E549" s="19" t="s">
        <v>12</v>
      </c>
      <c r="F549" s="20">
        <v>55000</v>
      </c>
    </row>
    <row r="550" spans="2:6">
      <c r="B550" s="8" t="s">
        <v>1645</v>
      </c>
      <c r="C550" s="25" t="s">
        <v>1646</v>
      </c>
      <c r="D550" s="8" t="s">
        <v>1647</v>
      </c>
      <c r="E550" s="19" t="s">
        <v>12</v>
      </c>
      <c r="F550" s="20">
        <v>35000</v>
      </c>
    </row>
    <row r="551" spans="2:6">
      <c r="B551" s="8" t="s">
        <v>1648</v>
      </c>
      <c r="C551" s="18" t="s">
        <v>1649</v>
      </c>
      <c r="D551" s="8" t="s">
        <v>1650</v>
      </c>
      <c r="E551" s="19" t="s">
        <v>12</v>
      </c>
      <c r="F551" s="20">
        <v>619.36</v>
      </c>
    </row>
    <row r="552" spans="2:6">
      <c r="B552" s="8" t="s">
        <v>1651</v>
      </c>
      <c r="C552" s="18" t="s">
        <v>1652</v>
      </c>
      <c r="D552" s="8" t="s">
        <v>1653</v>
      </c>
      <c r="E552" s="19" t="s">
        <v>12</v>
      </c>
      <c r="F552" s="20">
        <v>150000</v>
      </c>
    </row>
    <row r="553" spans="2:6">
      <c r="B553" s="8" t="s">
        <v>1654</v>
      </c>
      <c r="C553" s="18" t="s">
        <v>1655</v>
      </c>
      <c r="D553" s="8" t="s">
        <v>1656</v>
      </c>
      <c r="E553" s="19" t="s">
        <v>12</v>
      </c>
      <c r="F553" s="20">
        <v>15000</v>
      </c>
    </row>
    <row r="554" spans="2:6">
      <c r="B554" s="8" t="s">
        <v>1657</v>
      </c>
      <c r="C554" s="18" t="s">
        <v>1658</v>
      </c>
      <c r="D554" s="8" t="s">
        <v>1659</v>
      </c>
      <c r="E554" s="19" t="s">
        <v>12</v>
      </c>
      <c r="F554" s="20">
        <v>1776.3200000000002</v>
      </c>
    </row>
    <row r="555" spans="2:6">
      <c r="B555" s="8" t="s">
        <v>1660</v>
      </c>
      <c r="C555" s="18" t="s">
        <v>1661</v>
      </c>
      <c r="D555" s="8" t="s">
        <v>1662</v>
      </c>
      <c r="E555" s="19" t="s">
        <v>12</v>
      </c>
      <c r="F555" s="20">
        <v>996.80000000000007</v>
      </c>
    </row>
    <row r="556" spans="2:6">
      <c r="B556" s="8" t="s">
        <v>1663</v>
      </c>
      <c r="C556" s="18" t="s">
        <v>1664</v>
      </c>
      <c r="D556" s="8" t="s">
        <v>1665</v>
      </c>
      <c r="E556" s="19" t="s">
        <v>12</v>
      </c>
      <c r="F556" s="20">
        <v>407.68000000000006</v>
      </c>
    </row>
    <row r="557" spans="2:6">
      <c r="B557" s="8" t="s">
        <v>1666</v>
      </c>
      <c r="C557" s="18" t="s">
        <v>1667</v>
      </c>
      <c r="D557" s="8" t="s">
        <v>1668</v>
      </c>
      <c r="E557" s="19" t="s">
        <v>12</v>
      </c>
      <c r="F557" s="20">
        <v>2640.96</v>
      </c>
    </row>
    <row r="558" spans="2:6">
      <c r="B558" s="8" t="s">
        <v>1669</v>
      </c>
      <c r="C558" s="18" t="s">
        <v>1670</v>
      </c>
      <c r="D558" s="8" t="s">
        <v>1671</v>
      </c>
      <c r="E558" s="19" t="s">
        <v>12</v>
      </c>
      <c r="F558" s="20">
        <v>3661.28</v>
      </c>
    </row>
    <row r="559" spans="2:6">
      <c r="B559" s="8" t="s">
        <v>1672</v>
      </c>
      <c r="C559" s="18" t="s">
        <v>1673</v>
      </c>
      <c r="D559" s="8" t="s">
        <v>1674</v>
      </c>
      <c r="E559" s="19" t="s">
        <v>12</v>
      </c>
      <c r="F559" s="20">
        <v>640.6400000000001</v>
      </c>
    </row>
    <row r="560" spans="2:6">
      <c r="B560" s="8" t="s">
        <v>1675</v>
      </c>
      <c r="C560" s="18" t="s">
        <v>1676</v>
      </c>
      <c r="D560" s="8" t="s">
        <v>1677</v>
      </c>
      <c r="E560" s="19" t="s">
        <v>12</v>
      </c>
      <c r="F560" s="20">
        <v>10983.84</v>
      </c>
    </row>
    <row r="561" spans="2:6">
      <c r="B561" s="8" t="s">
        <v>1678</v>
      </c>
      <c r="C561" s="18" t="s">
        <v>1679</v>
      </c>
      <c r="D561" s="8" t="s">
        <v>1680</v>
      </c>
      <c r="E561" s="19" t="s">
        <v>12</v>
      </c>
      <c r="F561" s="20">
        <v>19530</v>
      </c>
    </row>
    <row r="562" spans="2:6">
      <c r="B562" s="8" t="s">
        <v>1681</v>
      </c>
      <c r="C562" s="18" t="s">
        <v>1682</v>
      </c>
      <c r="D562" s="8" t="s">
        <v>1683</v>
      </c>
      <c r="E562" s="19" t="s">
        <v>12</v>
      </c>
      <c r="F562" s="20">
        <v>60480.000000000015</v>
      </c>
    </row>
    <row r="563" spans="2:6">
      <c r="B563" s="8" t="s">
        <v>1684</v>
      </c>
      <c r="C563" s="18" t="s">
        <v>1685</v>
      </c>
      <c r="D563" s="8" t="s">
        <v>1686</v>
      </c>
      <c r="E563" s="19" t="s">
        <v>12</v>
      </c>
      <c r="F563" s="20">
        <v>87696.000000000015</v>
      </c>
    </row>
    <row r="564" spans="2:6">
      <c r="B564" s="8" t="s">
        <v>1687</v>
      </c>
      <c r="C564" s="18" t="s">
        <v>1688</v>
      </c>
      <c r="D564" s="8" t="s">
        <v>1689</v>
      </c>
      <c r="E564" s="19" t="s">
        <v>12</v>
      </c>
      <c r="F564" s="20"/>
    </row>
    <row r="565" spans="2:6">
      <c r="B565" s="8" t="s">
        <v>1690</v>
      </c>
      <c r="C565" s="18" t="s">
        <v>1691</v>
      </c>
      <c r="D565" s="8" t="s">
        <v>1692</v>
      </c>
      <c r="E565" s="19" t="s">
        <v>12</v>
      </c>
      <c r="F565" s="20"/>
    </row>
    <row r="566" spans="2:6">
      <c r="B566" s="8" t="s">
        <v>1693</v>
      </c>
      <c r="C566" s="18" t="s">
        <v>1694</v>
      </c>
      <c r="D566" s="8" t="s">
        <v>1695</v>
      </c>
      <c r="E566" s="19" t="s">
        <v>12</v>
      </c>
      <c r="F566" s="20"/>
    </row>
    <row r="567" spans="2:6">
      <c r="B567" s="8" t="s">
        <v>1696</v>
      </c>
      <c r="C567" s="18" t="s">
        <v>1697</v>
      </c>
      <c r="D567" s="8" t="s">
        <v>1698</v>
      </c>
      <c r="E567" s="19" t="s">
        <v>12</v>
      </c>
      <c r="F567" s="20"/>
    </row>
    <row r="568" spans="2:6">
      <c r="B568" s="8" t="s">
        <v>1699</v>
      </c>
      <c r="C568" s="18" t="s">
        <v>1700</v>
      </c>
      <c r="D568" s="8" t="s">
        <v>1701</v>
      </c>
      <c r="E568" s="19" t="s">
        <v>12</v>
      </c>
      <c r="F568" s="20">
        <v>16800</v>
      </c>
    </row>
    <row r="569" spans="2:6">
      <c r="B569" s="8" t="s">
        <v>1702</v>
      </c>
      <c r="C569" s="18" t="s">
        <v>1703</v>
      </c>
      <c r="D569" s="8" t="s">
        <v>1704</v>
      </c>
      <c r="E569" s="19" t="s">
        <v>12</v>
      </c>
      <c r="F569" s="20">
        <v>14000</v>
      </c>
    </row>
    <row r="570" spans="2:6">
      <c r="B570" s="8" t="s">
        <v>1705</v>
      </c>
      <c r="C570" s="18" t="s">
        <v>1706</v>
      </c>
      <c r="D570" s="8" t="s">
        <v>1707</v>
      </c>
      <c r="E570" s="19" t="s">
        <v>12</v>
      </c>
      <c r="F570" s="20">
        <v>12000</v>
      </c>
    </row>
    <row r="571" spans="2:6">
      <c r="B571" s="8" t="s">
        <v>1708</v>
      </c>
      <c r="C571" s="18" t="s">
        <v>1709</v>
      </c>
      <c r="D571" s="8" t="s">
        <v>1710</v>
      </c>
      <c r="E571" s="19" t="s">
        <v>12</v>
      </c>
      <c r="F571" s="20">
        <v>3783.3600000000006</v>
      </c>
    </row>
    <row r="572" spans="2:6">
      <c r="B572" s="8" t="s">
        <v>1711</v>
      </c>
      <c r="C572" s="18" t="s">
        <v>1712</v>
      </c>
      <c r="D572" s="8" t="s">
        <v>1713</v>
      </c>
      <c r="E572" s="19" t="s">
        <v>12</v>
      </c>
      <c r="F572" s="20">
        <v>21840.000000000004</v>
      </c>
    </row>
    <row r="573" spans="2:6">
      <c r="B573" s="8" t="s">
        <v>1714</v>
      </c>
      <c r="C573" s="18" t="s">
        <v>1715</v>
      </c>
      <c r="D573" s="8" t="s">
        <v>1716</v>
      </c>
      <c r="E573" s="19" t="s">
        <v>12</v>
      </c>
      <c r="F573" s="20">
        <v>83326.880000000005</v>
      </c>
    </row>
    <row r="574" spans="2:6">
      <c r="B574" s="8" t="s">
        <v>1717</v>
      </c>
      <c r="C574" s="18" t="s">
        <v>1718</v>
      </c>
      <c r="D574" s="8" t="s">
        <v>1719</v>
      </c>
      <c r="E574" s="19" t="s">
        <v>12</v>
      </c>
      <c r="F574" s="20">
        <v>5081.4400000000005</v>
      </c>
    </row>
    <row r="575" spans="2:6">
      <c r="B575" s="8" t="s">
        <v>1720</v>
      </c>
      <c r="C575" s="18" t="s">
        <v>1721</v>
      </c>
      <c r="D575" s="8" t="s">
        <v>1722</v>
      </c>
      <c r="E575" s="19" t="s">
        <v>12</v>
      </c>
      <c r="F575" s="20">
        <v>350</v>
      </c>
    </row>
    <row r="576" spans="2:6">
      <c r="B576" s="8" t="s">
        <v>1723</v>
      </c>
      <c r="C576" s="18" t="s">
        <v>1724</v>
      </c>
      <c r="D576" s="8" t="s">
        <v>1725</v>
      </c>
      <c r="E576" s="19" t="s">
        <v>12</v>
      </c>
      <c r="F576" s="20">
        <v>450</v>
      </c>
    </row>
    <row r="577" spans="2:6">
      <c r="B577" s="8" t="s">
        <v>1726</v>
      </c>
      <c r="C577" s="18" t="s">
        <v>1727</v>
      </c>
      <c r="D577" s="8" t="s">
        <v>1728</v>
      </c>
      <c r="E577" s="19" t="s">
        <v>12</v>
      </c>
      <c r="F577" s="20">
        <v>650</v>
      </c>
    </row>
    <row r="578" spans="2:6">
      <c r="B578" s="8" t="s">
        <v>1729</v>
      </c>
      <c r="C578" s="18" t="s">
        <v>1730</v>
      </c>
      <c r="D578" s="8" t="s">
        <v>1731</v>
      </c>
      <c r="E578" s="19" t="s">
        <v>12</v>
      </c>
      <c r="F578" s="20">
        <v>800</v>
      </c>
    </row>
    <row r="579" spans="2:6">
      <c r="B579" s="8" t="s">
        <v>1732</v>
      </c>
      <c r="C579" s="18" t="s">
        <v>1733</v>
      </c>
      <c r="D579" s="8" t="s">
        <v>1734</v>
      </c>
      <c r="E579" s="19" t="s">
        <v>12</v>
      </c>
      <c r="F579" s="20">
        <v>650</v>
      </c>
    </row>
    <row r="580" spans="2:6">
      <c r="B580" s="8" t="s">
        <v>1735</v>
      </c>
      <c r="C580" s="18" t="s">
        <v>1736</v>
      </c>
      <c r="D580" s="8" t="s">
        <v>1737</v>
      </c>
      <c r="E580" s="19" t="s">
        <v>12</v>
      </c>
      <c r="F580" s="20">
        <v>1600</v>
      </c>
    </row>
    <row r="581" spans="2:6">
      <c r="B581" s="8" t="s">
        <v>1738</v>
      </c>
      <c r="C581" s="18" t="s">
        <v>1739</v>
      </c>
      <c r="D581" s="8" t="s">
        <v>1740</v>
      </c>
      <c r="E581" s="19" t="s">
        <v>12</v>
      </c>
      <c r="F581" s="20">
        <v>300</v>
      </c>
    </row>
    <row r="582" spans="2:6">
      <c r="B582" s="8" t="s">
        <v>1741</v>
      </c>
      <c r="C582" s="18" t="s">
        <v>1742</v>
      </c>
      <c r="D582" s="8" t="s">
        <v>1743</v>
      </c>
      <c r="E582" s="19" t="s">
        <v>12</v>
      </c>
      <c r="F582" s="20">
        <v>400</v>
      </c>
    </row>
    <row r="583" spans="2:6">
      <c r="B583" s="8" t="s">
        <v>1744</v>
      </c>
      <c r="C583" s="18" t="s">
        <v>1745</v>
      </c>
      <c r="D583" s="8" t="s">
        <v>1746</v>
      </c>
      <c r="E583" s="19" t="s">
        <v>12</v>
      </c>
      <c r="F583" s="20">
        <v>1000</v>
      </c>
    </row>
    <row r="584" spans="2:6">
      <c r="B584" s="8" t="s">
        <v>1747</v>
      </c>
      <c r="C584" s="18" t="s">
        <v>1748</v>
      </c>
      <c r="D584" s="8" t="s">
        <v>1749</v>
      </c>
      <c r="E584" s="19" t="s">
        <v>12</v>
      </c>
      <c r="F584" s="20">
        <v>2800</v>
      </c>
    </row>
    <row r="585" spans="2:6">
      <c r="B585" s="8" t="s">
        <v>1750</v>
      </c>
      <c r="C585" s="18" t="s">
        <v>1751</v>
      </c>
      <c r="D585" s="8" t="s">
        <v>1752</v>
      </c>
      <c r="E585" s="19" t="s">
        <v>12</v>
      </c>
      <c r="F585" s="20">
        <v>1900</v>
      </c>
    </row>
    <row r="586" spans="2:6">
      <c r="B586" s="8" t="s">
        <v>1753</v>
      </c>
      <c r="C586" s="18" t="s">
        <v>1754</v>
      </c>
      <c r="D586" s="8" t="s">
        <v>1755</v>
      </c>
      <c r="E586" s="19" t="s">
        <v>12</v>
      </c>
      <c r="F586" s="20">
        <v>6000</v>
      </c>
    </row>
    <row r="587" spans="2:6">
      <c r="B587" s="8" t="s">
        <v>1756</v>
      </c>
      <c r="C587" s="18" t="s">
        <v>1757</v>
      </c>
      <c r="D587" s="8" t="s">
        <v>1758</v>
      </c>
      <c r="E587" s="19" t="s">
        <v>12</v>
      </c>
      <c r="F587" s="20">
        <v>95000</v>
      </c>
    </row>
    <row r="588" spans="2:6">
      <c r="B588" s="8" t="s">
        <v>1759</v>
      </c>
      <c r="C588" s="18" t="s">
        <v>1760</v>
      </c>
      <c r="D588" s="8" t="s">
        <v>1761</v>
      </c>
      <c r="E588" s="19" t="s">
        <v>12</v>
      </c>
      <c r="F588" s="20">
        <v>495.48800000000006</v>
      </c>
    </row>
    <row r="589" spans="2:6">
      <c r="B589" s="8" t="s">
        <v>1762</v>
      </c>
      <c r="C589" s="18" t="s">
        <v>1763</v>
      </c>
      <c r="D589" s="8" t="s">
        <v>1764</v>
      </c>
      <c r="E589" s="19" t="s">
        <v>12</v>
      </c>
      <c r="F589" s="20">
        <v>14500</v>
      </c>
    </row>
    <row r="590" spans="2:6">
      <c r="B590" s="8" t="s">
        <v>1765</v>
      </c>
      <c r="C590" s="18" t="s">
        <v>1766</v>
      </c>
      <c r="D590" s="8" t="s">
        <v>1767</v>
      </c>
      <c r="E590" s="19" t="s">
        <v>12</v>
      </c>
      <c r="F590" s="20">
        <v>17288.639999999996</v>
      </c>
    </row>
    <row r="591" spans="2:6">
      <c r="B591" s="8" t="s">
        <v>1768</v>
      </c>
      <c r="C591" s="18" t="s">
        <v>1769</v>
      </c>
      <c r="D591" s="8" t="s">
        <v>1770</v>
      </c>
      <c r="E591" s="19" t="s">
        <v>12</v>
      </c>
      <c r="F591" s="20">
        <v>5116.3200000000006</v>
      </c>
    </row>
    <row r="592" spans="2:6">
      <c r="B592" s="8" t="s">
        <v>1771</v>
      </c>
      <c r="C592" s="18" t="s">
        <v>1772</v>
      </c>
      <c r="D592" s="8" t="s">
        <v>1773</v>
      </c>
      <c r="E592" s="19" t="s">
        <v>12</v>
      </c>
      <c r="F592" s="20">
        <v>3547.3900000000003</v>
      </c>
    </row>
    <row r="593" spans="2:6">
      <c r="B593" s="8" t="s">
        <v>1774</v>
      </c>
      <c r="C593" s="18" t="s">
        <v>1775</v>
      </c>
      <c r="D593" s="8" t="s">
        <v>1776</v>
      </c>
      <c r="E593" s="19" t="s">
        <v>12</v>
      </c>
      <c r="F593" s="20">
        <v>6003.6350000000002</v>
      </c>
    </row>
    <row r="594" spans="2:6">
      <c r="B594" s="8" t="s">
        <v>1777</v>
      </c>
      <c r="C594" s="18" t="s">
        <v>1778</v>
      </c>
      <c r="D594" s="8" t="s">
        <v>1779</v>
      </c>
      <c r="E594" s="19" t="s">
        <v>1780</v>
      </c>
      <c r="F594" s="20">
        <v>9059.2150000000001</v>
      </c>
    </row>
    <row r="595" spans="2:6">
      <c r="B595" s="8" t="s">
        <v>1781</v>
      </c>
      <c r="C595" s="18" t="s">
        <v>1782</v>
      </c>
      <c r="D595" s="8" t="s">
        <v>1783</v>
      </c>
      <c r="E595" s="19" t="s">
        <v>12</v>
      </c>
      <c r="F595" s="20">
        <v>9917.5450000000001</v>
      </c>
    </row>
    <row r="596" spans="2:6">
      <c r="B596" s="8" t="s">
        <v>1784</v>
      </c>
      <c r="C596" s="18" t="s">
        <v>1785</v>
      </c>
      <c r="D596" s="8" t="s">
        <v>1786</v>
      </c>
      <c r="E596" s="19" t="s">
        <v>12</v>
      </c>
      <c r="F596" s="20">
        <v>13286.35</v>
      </c>
    </row>
    <row r="597" spans="2:6">
      <c r="B597" s="8" t="s">
        <v>1787</v>
      </c>
      <c r="C597" s="18" t="s">
        <v>1788</v>
      </c>
      <c r="D597" s="8" t="s">
        <v>1789</v>
      </c>
      <c r="E597" s="19" t="s">
        <v>12</v>
      </c>
      <c r="F597" s="20">
        <v>3218.27</v>
      </c>
    </row>
    <row r="598" spans="2:6">
      <c r="B598" s="8" t="s">
        <v>1790</v>
      </c>
      <c r="C598" s="18" t="s">
        <v>1791</v>
      </c>
      <c r="D598" s="8" t="s">
        <v>1792</v>
      </c>
      <c r="E598" s="19" t="s">
        <v>12</v>
      </c>
      <c r="F598" s="20">
        <v>7298.6100000000006</v>
      </c>
    </row>
    <row r="599" spans="2:6">
      <c r="B599" s="8" t="s">
        <v>1793</v>
      </c>
      <c r="C599" s="18" t="s">
        <v>1794</v>
      </c>
      <c r="D599" s="8" t="s">
        <v>1795</v>
      </c>
      <c r="E599" s="19" t="s">
        <v>12</v>
      </c>
      <c r="F599" s="20">
        <v>17596.7</v>
      </c>
    </row>
    <row r="600" spans="2:6">
      <c r="B600" s="8" t="s">
        <v>1796</v>
      </c>
      <c r="C600" s="18" t="s">
        <v>1797</v>
      </c>
      <c r="D600" s="8" t="s">
        <v>1798</v>
      </c>
      <c r="E600" s="19" t="s">
        <v>12</v>
      </c>
      <c r="F600" s="20">
        <v>3144.4050000000002</v>
      </c>
    </row>
    <row r="601" spans="2:6">
      <c r="B601" s="8" t="s">
        <v>1799</v>
      </c>
      <c r="C601" s="18" t="s">
        <v>1800</v>
      </c>
      <c r="D601" s="8" t="s">
        <v>1801</v>
      </c>
      <c r="E601" s="19" t="s">
        <v>12</v>
      </c>
      <c r="F601" s="20">
        <v>17145.095000000001</v>
      </c>
    </row>
    <row r="602" spans="2:6">
      <c r="B602" s="8" t="s">
        <v>1802</v>
      </c>
      <c r="C602" s="18" t="s">
        <v>1803</v>
      </c>
      <c r="D602" s="8" t="s">
        <v>1804</v>
      </c>
      <c r="E602" s="19" t="s">
        <v>12</v>
      </c>
      <c r="F602" s="20">
        <v>13357.41</v>
      </c>
    </row>
    <row r="603" spans="2:6">
      <c r="B603" s="8" t="s">
        <v>1805</v>
      </c>
      <c r="C603" s="18" t="s">
        <v>1806</v>
      </c>
      <c r="D603" s="8" t="s">
        <v>1807</v>
      </c>
      <c r="E603" s="19" t="s">
        <v>12</v>
      </c>
      <c r="F603" s="20">
        <v>19049.690000000002</v>
      </c>
    </row>
    <row r="604" spans="2:6">
      <c r="B604" s="8" t="s">
        <v>1808</v>
      </c>
      <c r="C604" s="18" t="s">
        <v>1809</v>
      </c>
      <c r="D604" s="8" t="s">
        <v>1810</v>
      </c>
      <c r="E604" s="19" t="s">
        <v>12</v>
      </c>
      <c r="F604" s="20">
        <v>21167.465</v>
      </c>
    </row>
    <row r="605" spans="2:6">
      <c r="B605" s="8" t="s">
        <v>1811</v>
      </c>
      <c r="C605" s="18" t="s">
        <v>1812</v>
      </c>
      <c r="D605" s="8" t="s">
        <v>1813</v>
      </c>
      <c r="E605" s="19" t="s">
        <v>12</v>
      </c>
      <c r="F605" s="20">
        <v>26131.38</v>
      </c>
    </row>
    <row r="606" spans="2:6">
      <c r="B606" s="8" t="s">
        <v>1814</v>
      </c>
      <c r="C606" s="18" t="s">
        <v>1815</v>
      </c>
      <c r="D606" s="8" t="s">
        <v>1816</v>
      </c>
      <c r="E606" s="19" t="s">
        <v>12</v>
      </c>
      <c r="F606" s="20">
        <v>29035.49</v>
      </c>
    </row>
    <row r="607" spans="2:6">
      <c r="B607" s="8" t="s">
        <v>1817</v>
      </c>
      <c r="C607" s="18" t="s">
        <v>1818</v>
      </c>
      <c r="D607" s="8" t="s">
        <v>1819</v>
      </c>
      <c r="E607" s="19" t="s">
        <v>12</v>
      </c>
      <c r="F607" s="20">
        <v>23518.99</v>
      </c>
    </row>
    <row r="608" spans="2:6">
      <c r="B608" s="8" t="s">
        <v>1820</v>
      </c>
      <c r="C608" s="26" t="s">
        <v>1821</v>
      </c>
      <c r="D608" s="8" t="s">
        <v>1822</v>
      </c>
      <c r="E608" s="19" t="s">
        <v>12</v>
      </c>
      <c r="F608" s="20">
        <v>32406</v>
      </c>
    </row>
    <row r="609" spans="2:6">
      <c r="B609" s="8" t="s">
        <v>1823</v>
      </c>
      <c r="C609" s="18" t="s">
        <v>1824</v>
      </c>
      <c r="D609" s="8" t="s">
        <v>1825</v>
      </c>
      <c r="E609" s="19" t="s">
        <v>12</v>
      </c>
      <c r="F609" s="20">
        <v>162110</v>
      </c>
    </row>
    <row r="610" spans="2:6">
      <c r="B610" s="8" t="s">
        <v>1826</v>
      </c>
      <c r="C610" s="18" t="s">
        <v>1827</v>
      </c>
      <c r="D610" s="8" t="s">
        <v>1828</v>
      </c>
      <c r="E610" s="19" t="s">
        <v>12</v>
      </c>
      <c r="F610" s="20">
        <v>81055</v>
      </c>
    </row>
    <row r="611" spans="2:6">
      <c r="B611" s="8" t="s">
        <v>1829</v>
      </c>
      <c r="C611" s="18" t="s">
        <v>1830</v>
      </c>
      <c r="D611" s="8" t="s">
        <v>1831</v>
      </c>
      <c r="E611" s="19" t="s">
        <v>12</v>
      </c>
      <c r="F611" s="20">
        <v>800</v>
      </c>
    </row>
    <row r="612" spans="2:6">
      <c r="B612" s="8" t="s">
        <v>1832</v>
      </c>
      <c r="C612" s="25" t="s">
        <v>1833</v>
      </c>
      <c r="D612" s="8" t="s">
        <v>1834</v>
      </c>
      <c r="E612" s="19" t="s">
        <v>12</v>
      </c>
      <c r="F612" s="20">
        <v>118755</v>
      </c>
    </row>
    <row r="613" spans="2:6">
      <c r="B613" s="8" t="s">
        <v>1835</v>
      </c>
      <c r="C613" s="25" t="s">
        <v>1836</v>
      </c>
      <c r="D613" s="8" t="s">
        <v>1837</v>
      </c>
      <c r="E613" s="19" t="s">
        <v>12</v>
      </c>
      <c r="F613" s="20">
        <v>1274260</v>
      </c>
    </row>
    <row r="614" spans="2:6">
      <c r="B614" s="8" t="s">
        <v>1838</v>
      </c>
      <c r="C614" s="25" t="s">
        <v>1839</v>
      </c>
      <c r="D614" s="8" t="s">
        <v>1840</v>
      </c>
      <c r="E614" s="19" t="s">
        <v>12</v>
      </c>
      <c r="F614" s="20">
        <v>145405</v>
      </c>
    </row>
    <row r="615" spans="2:6">
      <c r="B615" s="8" t="s">
        <v>1841</v>
      </c>
      <c r="C615" s="25" t="s">
        <v>1842</v>
      </c>
      <c r="D615" s="8" t="s">
        <v>1843</v>
      </c>
      <c r="E615" s="19" t="s">
        <v>12</v>
      </c>
      <c r="F615" s="20">
        <v>1450995</v>
      </c>
    </row>
    <row r="616" spans="2:6">
      <c r="B616" s="8" t="s">
        <v>1844</v>
      </c>
      <c r="C616" s="25" t="s">
        <v>1845</v>
      </c>
      <c r="D616" s="8" t="s">
        <v>1846</v>
      </c>
      <c r="E616" s="19" t="s">
        <v>12</v>
      </c>
      <c r="F616" s="20">
        <v>206224.8</v>
      </c>
    </row>
    <row r="617" spans="2:6">
      <c r="B617" s="8" t="s">
        <v>1847</v>
      </c>
      <c r="C617" s="25" t="s">
        <v>1848</v>
      </c>
      <c r="D617" s="8" t="s">
        <v>1849</v>
      </c>
      <c r="E617" s="19" t="s">
        <v>12</v>
      </c>
      <c r="F617" s="20">
        <v>0</v>
      </c>
    </row>
    <row r="618" spans="2:6">
      <c r="B618" s="8" t="s">
        <v>1850</v>
      </c>
      <c r="C618" s="25" t="s">
        <v>1851</v>
      </c>
      <c r="D618" s="8" t="s">
        <v>1852</v>
      </c>
      <c r="E618" s="19" t="s">
        <v>12</v>
      </c>
      <c r="F618" s="20">
        <v>331210</v>
      </c>
    </row>
    <row r="619" spans="2:6">
      <c r="B619" s="8" t="s">
        <v>1853</v>
      </c>
      <c r="C619" s="25" t="s">
        <v>1854</v>
      </c>
      <c r="D619" s="8" t="s">
        <v>1855</v>
      </c>
      <c r="E619" s="19" t="s">
        <v>12</v>
      </c>
      <c r="F619" s="20">
        <v>0</v>
      </c>
    </row>
    <row r="620" spans="2:6">
      <c r="B620" s="8" t="s">
        <v>1856</v>
      </c>
      <c r="C620" s="25" t="s">
        <v>1857</v>
      </c>
      <c r="D620" s="8" t="s">
        <v>1858</v>
      </c>
      <c r="E620" s="19" t="s">
        <v>12</v>
      </c>
      <c r="F620" s="20">
        <v>0</v>
      </c>
    </row>
    <row r="621" spans="2:6">
      <c r="B621" s="8" t="s">
        <v>1859</v>
      </c>
      <c r="C621" s="25" t="s">
        <v>1860</v>
      </c>
      <c r="D621" s="8" t="s">
        <v>1861</v>
      </c>
      <c r="E621" s="19" t="s">
        <v>12</v>
      </c>
      <c r="F621" s="20">
        <v>537550</v>
      </c>
    </row>
    <row r="622" spans="2:6">
      <c r="B622" s="8" t="s">
        <v>1862</v>
      </c>
      <c r="C622" s="25" t="s">
        <v>1863</v>
      </c>
      <c r="D622" s="8" t="s">
        <v>1864</v>
      </c>
      <c r="E622" s="19" t="s">
        <v>12</v>
      </c>
      <c r="F622" s="20">
        <v>676000</v>
      </c>
    </row>
    <row r="623" spans="2:6">
      <c r="B623" s="8" t="s">
        <v>1865</v>
      </c>
      <c r="C623" s="25" t="s">
        <v>1866</v>
      </c>
      <c r="D623" s="8" t="s">
        <v>1867</v>
      </c>
      <c r="E623" s="19" t="s">
        <v>12</v>
      </c>
      <c r="F623" s="20">
        <v>840420</v>
      </c>
    </row>
    <row r="624" spans="2:6">
      <c r="B624" s="8" t="s">
        <v>1868</v>
      </c>
      <c r="C624" s="25" t="s">
        <v>1869</v>
      </c>
      <c r="D624" s="8" t="s">
        <v>1870</v>
      </c>
      <c r="E624" s="19" t="s">
        <v>12</v>
      </c>
      <c r="F624" s="20">
        <v>1002430</v>
      </c>
    </row>
    <row r="625" spans="2:6">
      <c r="B625" s="8" t="s">
        <v>1871</v>
      </c>
      <c r="C625" s="25" t="s">
        <v>1872</v>
      </c>
      <c r="D625" s="8" t="s">
        <v>1873</v>
      </c>
      <c r="E625" s="19" t="s">
        <v>12</v>
      </c>
      <c r="F625" s="20">
        <v>3584399.9999999995</v>
      </c>
    </row>
    <row r="626" spans="2:6">
      <c r="B626" s="8" t="s">
        <v>1874</v>
      </c>
      <c r="C626" s="25" t="s">
        <v>1875</v>
      </c>
      <c r="D626" s="8" t="s">
        <v>1876</v>
      </c>
      <c r="E626" s="19" t="s">
        <v>12</v>
      </c>
      <c r="F626" s="20">
        <v>141680</v>
      </c>
    </row>
    <row r="627" spans="2:6">
      <c r="B627" s="8" t="s">
        <v>1877</v>
      </c>
      <c r="C627" s="25" t="s">
        <v>1878</v>
      </c>
      <c r="D627" s="8" t="s">
        <v>1879</v>
      </c>
      <c r="E627" s="19" t="s">
        <v>12</v>
      </c>
      <c r="F627" s="20">
        <v>294415</v>
      </c>
    </row>
    <row r="628" spans="2:6">
      <c r="B628" s="8" t="s">
        <v>1880</v>
      </c>
      <c r="C628" s="25" t="s">
        <v>1881</v>
      </c>
      <c r="D628" s="8" t="s">
        <v>1882</v>
      </c>
      <c r="E628" s="19" t="s">
        <v>12</v>
      </c>
      <c r="F628" s="20">
        <v>56980.000000000007</v>
      </c>
    </row>
    <row r="629" spans="2:6">
      <c r="B629" s="8" t="s">
        <v>1883</v>
      </c>
      <c r="C629" s="31" t="s">
        <v>1884</v>
      </c>
      <c r="D629" s="8" t="s">
        <v>1885</v>
      </c>
      <c r="E629" s="19" t="s">
        <v>12</v>
      </c>
      <c r="F629" s="20">
        <v>1980000</v>
      </c>
    </row>
    <row r="630" spans="2:6">
      <c r="B630" s="8" t="s">
        <v>1886</v>
      </c>
      <c r="C630" s="31" t="s">
        <v>1887</v>
      </c>
      <c r="D630" s="8" t="s">
        <v>1888</v>
      </c>
      <c r="E630" s="19" t="s">
        <v>12</v>
      </c>
      <c r="F630" s="20">
        <v>282377.7</v>
      </c>
    </row>
    <row r="631" spans="2:6">
      <c r="B631" s="8" t="s">
        <v>1889</v>
      </c>
      <c r="C631" s="31" t="s">
        <v>1890</v>
      </c>
      <c r="D631" s="8" t="s">
        <v>1891</v>
      </c>
      <c r="E631" s="19" t="s">
        <v>12</v>
      </c>
      <c r="F631" s="20">
        <v>282377.7</v>
      </c>
    </row>
    <row r="632" spans="2:6">
      <c r="B632" s="8" t="s">
        <v>1892</v>
      </c>
      <c r="C632" s="18" t="s">
        <v>1893</v>
      </c>
      <c r="D632" s="8" t="s">
        <v>1894</v>
      </c>
      <c r="E632" s="19" t="s">
        <v>12</v>
      </c>
      <c r="F632" s="20">
        <v>330000</v>
      </c>
    </row>
    <row r="633" spans="2:6">
      <c r="B633" s="8" t="s">
        <v>1895</v>
      </c>
      <c r="C633" s="18" t="s">
        <v>1896</v>
      </c>
      <c r="D633" s="8" t="s">
        <v>1897</v>
      </c>
      <c r="E633" s="19" t="s">
        <v>12</v>
      </c>
      <c r="F633" s="20">
        <v>315377.7</v>
      </c>
    </row>
    <row r="634" spans="2:6">
      <c r="B634" s="8" t="s">
        <v>1898</v>
      </c>
      <c r="C634" s="18" t="s">
        <v>1899</v>
      </c>
      <c r="D634" s="8" t="s">
        <v>1900</v>
      </c>
      <c r="E634" s="19" t="s">
        <v>12</v>
      </c>
      <c r="F634" s="20">
        <v>62788.000000000007</v>
      </c>
    </row>
    <row r="635" spans="2:6">
      <c r="B635" s="8" t="s">
        <v>1901</v>
      </c>
      <c r="C635" s="18" t="s">
        <v>1902</v>
      </c>
      <c r="D635" s="8" t="s">
        <v>1903</v>
      </c>
      <c r="E635" s="19" t="s">
        <v>12</v>
      </c>
      <c r="F635" s="20">
        <v>66805.200000000012</v>
      </c>
    </row>
    <row r="636" spans="2:6">
      <c r="B636" s="8" t="s">
        <v>1904</v>
      </c>
      <c r="C636" s="18" t="s">
        <v>1905</v>
      </c>
      <c r="D636" s="8" t="s">
        <v>1906</v>
      </c>
      <c r="E636" s="19" t="s">
        <v>12</v>
      </c>
      <c r="F636" s="20">
        <v>72865.100000000006</v>
      </c>
    </row>
    <row r="637" spans="2:6">
      <c r="B637" s="8" t="s">
        <v>1907</v>
      </c>
      <c r="C637" s="18" t="s">
        <v>1908</v>
      </c>
      <c r="D637" s="8" t="s">
        <v>1909</v>
      </c>
      <c r="E637" s="19" t="s">
        <v>12</v>
      </c>
      <c r="F637" s="20">
        <v>80469.400000000009</v>
      </c>
    </row>
    <row r="638" spans="2:6">
      <c r="B638" s="8" t="s">
        <v>1910</v>
      </c>
      <c r="C638" s="18" t="s">
        <v>1911</v>
      </c>
      <c r="D638" s="8" t="s">
        <v>1912</v>
      </c>
      <c r="E638" s="19" t="s">
        <v>12</v>
      </c>
      <c r="F638" s="20">
        <v>127599.99999999999</v>
      </c>
    </row>
    <row r="639" spans="2:6">
      <c r="B639" s="8" t="s">
        <v>1913</v>
      </c>
      <c r="C639" s="18" t="s">
        <v>1914</v>
      </c>
      <c r="D639" s="8" t="s">
        <v>1915</v>
      </c>
      <c r="E639" s="19" t="s">
        <v>12</v>
      </c>
      <c r="F639" s="20">
        <v>165000</v>
      </c>
    </row>
    <row r="640" spans="2:6">
      <c r="B640" s="8" t="s">
        <v>1916</v>
      </c>
      <c r="C640" s="24" t="s">
        <v>4117</v>
      </c>
      <c r="D640" s="8" t="s">
        <v>1917</v>
      </c>
      <c r="E640" s="19" t="s">
        <v>12</v>
      </c>
      <c r="F640" s="20">
        <v>105000</v>
      </c>
    </row>
    <row r="641" spans="2:6">
      <c r="B641" s="8" t="s">
        <v>1918</v>
      </c>
      <c r="C641" s="24" t="s">
        <v>1919</v>
      </c>
      <c r="D641" s="8" t="s">
        <v>1920</v>
      </c>
      <c r="E641" s="19" t="s">
        <v>12</v>
      </c>
      <c r="F641" s="20">
        <v>104065</v>
      </c>
    </row>
    <row r="642" spans="2:6">
      <c r="B642" s="8" t="s">
        <v>1921</v>
      </c>
      <c r="C642" s="24" t="s">
        <v>1922</v>
      </c>
      <c r="D642" s="8" t="s">
        <v>1923</v>
      </c>
      <c r="E642" s="19" t="s">
        <v>12</v>
      </c>
      <c r="F642" s="20">
        <v>143000</v>
      </c>
    </row>
    <row r="643" spans="2:6">
      <c r="B643" s="8" t="s">
        <v>1924</v>
      </c>
      <c r="C643" s="24" t="s">
        <v>1925</v>
      </c>
      <c r="D643" s="8" t="s">
        <v>1926</v>
      </c>
      <c r="E643" s="19" t="s">
        <v>12</v>
      </c>
      <c r="F643" s="20">
        <v>253500</v>
      </c>
    </row>
    <row r="644" spans="2:6" ht="26.4">
      <c r="B644" s="8" t="s">
        <v>1927</v>
      </c>
      <c r="C644" s="24" t="s">
        <v>4118</v>
      </c>
      <c r="D644" s="8" t="s">
        <v>1928</v>
      </c>
      <c r="E644" s="19" t="s">
        <v>12</v>
      </c>
      <c r="F644" s="20">
        <v>2078.7199999999998</v>
      </c>
    </row>
    <row r="645" spans="2:6">
      <c r="B645" s="8" t="s">
        <v>1929</v>
      </c>
      <c r="C645" s="18" t="s">
        <v>1930</v>
      </c>
      <c r="D645" s="8" t="s">
        <v>1931</v>
      </c>
      <c r="E645" s="19" t="s">
        <v>12</v>
      </c>
      <c r="F645" s="20">
        <v>605000</v>
      </c>
    </row>
    <row r="646" spans="2:6">
      <c r="B646" s="8" t="s">
        <v>1932</v>
      </c>
      <c r="C646" s="24" t="s">
        <v>1933</v>
      </c>
      <c r="D646" s="8" t="s">
        <v>1934</v>
      </c>
      <c r="E646" s="19" t="s">
        <v>12</v>
      </c>
      <c r="F646" s="20">
        <v>6959.9999999999991</v>
      </c>
    </row>
    <row r="647" spans="2:6">
      <c r="B647" s="8" t="s">
        <v>1935</v>
      </c>
      <c r="C647" s="18" t="s">
        <v>1936</v>
      </c>
      <c r="D647" s="8" t="s">
        <v>1937</v>
      </c>
      <c r="E647" s="19" t="s">
        <v>12</v>
      </c>
      <c r="F647" s="20">
        <v>32739.839999999997</v>
      </c>
    </row>
    <row r="648" spans="2:6">
      <c r="B648" s="8" t="s">
        <v>1938</v>
      </c>
      <c r="C648" s="18" t="s">
        <v>1939</v>
      </c>
      <c r="D648" s="8" t="s">
        <v>1940</v>
      </c>
      <c r="E648" s="19" t="s">
        <v>12</v>
      </c>
      <c r="F648" s="20">
        <v>3827.9999999999995</v>
      </c>
    </row>
    <row r="649" spans="2:6">
      <c r="B649" s="8" t="s">
        <v>1941</v>
      </c>
      <c r="C649" s="18" t="s">
        <v>1942</v>
      </c>
      <c r="D649" s="8" t="s">
        <v>1943</v>
      </c>
      <c r="E649" s="19" t="s">
        <v>12</v>
      </c>
      <c r="F649" s="20">
        <v>1085.0639999999999</v>
      </c>
    </row>
    <row r="650" spans="2:6">
      <c r="B650" s="8" t="s">
        <v>1944</v>
      </c>
      <c r="C650" s="18" t="s">
        <v>1945</v>
      </c>
      <c r="D650" s="8" t="s">
        <v>1946</v>
      </c>
      <c r="E650" s="19" t="s">
        <v>12</v>
      </c>
      <c r="F650" s="20">
        <v>5108.6399999999994</v>
      </c>
    </row>
    <row r="651" spans="2:6">
      <c r="B651" s="8" t="s">
        <v>1947</v>
      </c>
      <c r="C651" s="18" t="s">
        <v>1948</v>
      </c>
      <c r="D651" s="8" t="s">
        <v>1949</v>
      </c>
      <c r="E651" s="19" t="s">
        <v>12</v>
      </c>
      <c r="F651" s="20">
        <v>3827.9999999999995</v>
      </c>
    </row>
    <row r="652" spans="2:6">
      <c r="B652" s="8" t="s">
        <v>1950</v>
      </c>
      <c r="C652" s="18" t="s">
        <v>1951</v>
      </c>
      <c r="D652" s="8" t="s">
        <v>1952</v>
      </c>
      <c r="E652" s="19" t="s">
        <v>12</v>
      </c>
      <c r="F652" s="20">
        <v>1085.0639999999999</v>
      </c>
    </row>
    <row r="653" spans="2:6">
      <c r="B653" s="8" t="s">
        <v>1953</v>
      </c>
      <c r="C653" s="18" t="s">
        <v>1954</v>
      </c>
      <c r="D653" s="8" t="s">
        <v>1955</v>
      </c>
      <c r="E653" s="19" t="s">
        <v>12</v>
      </c>
      <c r="F653" s="20">
        <v>5108.6399999999994</v>
      </c>
    </row>
    <row r="654" spans="2:6">
      <c r="B654" s="8" t="s">
        <v>1956</v>
      </c>
      <c r="C654" s="18" t="s">
        <v>1957</v>
      </c>
      <c r="D654" s="8" t="s">
        <v>1958</v>
      </c>
      <c r="E654" s="19" t="s">
        <v>12</v>
      </c>
      <c r="F654" s="20">
        <v>27446.100000000002</v>
      </c>
    </row>
    <row r="655" spans="2:6">
      <c r="B655" s="8" t="s">
        <v>1959</v>
      </c>
      <c r="C655" s="18" t="s">
        <v>1960</v>
      </c>
      <c r="D655" s="8" t="s">
        <v>1961</v>
      </c>
      <c r="E655" s="19" t="s">
        <v>12</v>
      </c>
      <c r="F655" s="20">
        <v>6985.0000000000009</v>
      </c>
    </row>
    <row r="656" spans="2:6">
      <c r="B656" s="8" t="s">
        <v>1962</v>
      </c>
      <c r="C656" s="18" t="s">
        <v>1963</v>
      </c>
      <c r="D656" s="8" t="s">
        <v>1964</v>
      </c>
      <c r="E656" s="19" t="s">
        <v>12</v>
      </c>
      <c r="F656" s="20">
        <v>1047.2</v>
      </c>
    </row>
    <row r="657" spans="2:6">
      <c r="B657" s="8" t="s">
        <v>1965</v>
      </c>
      <c r="C657" s="18" t="s">
        <v>1966</v>
      </c>
      <c r="D657" s="8" t="s">
        <v>1967</v>
      </c>
      <c r="E657" s="19" t="s">
        <v>12</v>
      </c>
      <c r="F657" s="20">
        <v>40625.200000000004</v>
      </c>
    </row>
    <row r="658" spans="2:6">
      <c r="B658" s="8" t="s">
        <v>1968</v>
      </c>
      <c r="C658" s="18" t="s">
        <v>1969</v>
      </c>
      <c r="D658" s="8" t="s">
        <v>1970</v>
      </c>
      <c r="E658" s="19" t="s">
        <v>12</v>
      </c>
      <c r="F658" s="20">
        <v>121893.20000000001</v>
      </c>
    </row>
    <row r="659" spans="2:6">
      <c r="B659" s="8" t="s">
        <v>1971</v>
      </c>
      <c r="C659" s="18" t="s">
        <v>1972</v>
      </c>
      <c r="D659" s="8" t="s">
        <v>1973</v>
      </c>
      <c r="E659" s="19" t="s">
        <v>12</v>
      </c>
      <c r="F659" s="20">
        <v>8357.8000000000011</v>
      </c>
    </row>
    <row r="660" spans="2:6">
      <c r="B660" s="8" t="s">
        <v>1974</v>
      </c>
      <c r="C660" s="18" t="s">
        <v>1975</v>
      </c>
      <c r="D660" s="8" t="s">
        <v>1976</v>
      </c>
      <c r="E660" s="19" t="s">
        <v>12</v>
      </c>
      <c r="F660" s="20">
        <v>0</v>
      </c>
    </row>
    <row r="661" spans="2:6">
      <c r="B661" s="8" t="s">
        <v>1977</v>
      </c>
      <c r="C661" s="18" t="s">
        <v>1978</v>
      </c>
      <c r="D661" s="8" t="s">
        <v>1979</v>
      </c>
      <c r="E661" s="19" t="s">
        <v>12</v>
      </c>
      <c r="F661" s="20">
        <v>0</v>
      </c>
    </row>
    <row r="662" spans="2:6">
      <c r="B662" s="8" t="s">
        <v>1980</v>
      </c>
      <c r="C662" s="18" t="s">
        <v>1981</v>
      </c>
      <c r="D662" s="8" t="s">
        <v>1982</v>
      </c>
      <c r="E662" s="19" t="s">
        <v>12</v>
      </c>
      <c r="F662" s="20">
        <v>0</v>
      </c>
    </row>
    <row r="663" spans="2:6">
      <c r="B663" s="8" t="s">
        <v>1983</v>
      </c>
      <c r="C663" s="18" t="s">
        <v>1984</v>
      </c>
      <c r="D663" s="8" t="s">
        <v>1985</v>
      </c>
      <c r="E663" s="19" t="s">
        <v>12</v>
      </c>
      <c r="F663" s="20">
        <v>0</v>
      </c>
    </row>
    <row r="664" spans="2:6">
      <c r="B664" s="8" t="s">
        <v>1986</v>
      </c>
      <c r="C664" s="18" t="s">
        <v>1987</v>
      </c>
      <c r="D664" s="8" t="s">
        <v>1988</v>
      </c>
      <c r="E664" s="19" t="s">
        <v>12</v>
      </c>
      <c r="F664" s="20">
        <v>55000.000000000007</v>
      </c>
    </row>
    <row r="665" spans="2:6">
      <c r="B665" s="8" t="s">
        <v>1989</v>
      </c>
      <c r="C665" s="18" t="s">
        <v>1990</v>
      </c>
      <c r="D665" s="8" t="s">
        <v>1991</v>
      </c>
      <c r="E665" s="19" t="s">
        <v>12</v>
      </c>
      <c r="F665" s="20">
        <v>143000</v>
      </c>
    </row>
    <row r="666" spans="2:6">
      <c r="B666" s="8" t="s">
        <v>1992</v>
      </c>
      <c r="C666" s="18" t="s">
        <v>1993</v>
      </c>
      <c r="D666" s="8" t="s">
        <v>1994</v>
      </c>
      <c r="E666" s="19" t="s">
        <v>12</v>
      </c>
      <c r="F666" s="20">
        <v>0</v>
      </c>
    </row>
    <row r="667" spans="2:6">
      <c r="B667" s="8" t="s">
        <v>1995</v>
      </c>
      <c r="C667" s="18" t="s">
        <v>1996</v>
      </c>
      <c r="D667" s="8" t="s">
        <v>1997</v>
      </c>
      <c r="E667" s="19" t="s">
        <v>12</v>
      </c>
      <c r="F667" s="20">
        <v>0</v>
      </c>
    </row>
    <row r="668" spans="2:6">
      <c r="B668" s="8" t="s">
        <v>1998</v>
      </c>
      <c r="C668" s="18" t="s">
        <v>1999</v>
      </c>
      <c r="D668" s="8" t="s">
        <v>2000</v>
      </c>
      <c r="E668" s="19" t="s">
        <v>12</v>
      </c>
      <c r="F668" s="20">
        <v>1104.5519999999999</v>
      </c>
    </row>
    <row r="669" spans="2:6">
      <c r="B669" s="8" t="s">
        <v>2001</v>
      </c>
      <c r="C669" s="18" t="s">
        <v>2002</v>
      </c>
      <c r="D669" s="8" t="s">
        <v>2003</v>
      </c>
      <c r="E669" s="19" t="s">
        <v>12</v>
      </c>
      <c r="F669" s="20">
        <v>1128.2159999999999</v>
      </c>
    </row>
    <row r="670" spans="2:6">
      <c r="B670" s="8" t="s">
        <v>2004</v>
      </c>
      <c r="C670" s="18" t="s">
        <v>2005</v>
      </c>
      <c r="D670" s="8" t="s">
        <v>2006</v>
      </c>
      <c r="E670" s="19" t="s">
        <v>12</v>
      </c>
      <c r="F670" s="20">
        <v>356.35199999999998</v>
      </c>
    </row>
    <row r="671" spans="2:6">
      <c r="B671" s="8" t="s">
        <v>2007</v>
      </c>
      <c r="C671" s="18" t="s">
        <v>2008</v>
      </c>
      <c r="D671" s="8" t="s">
        <v>2009</v>
      </c>
      <c r="E671" s="19" t="s">
        <v>12</v>
      </c>
      <c r="F671" s="20">
        <v>16570.367999999999</v>
      </c>
    </row>
    <row r="672" spans="2:6">
      <c r="B672" s="8" t="s">
        <v>2010</v>
      </c>
      <c r="C672" s="18" t="s">
        <v>2011</v>
      </c>
      <c r="D672" s="8" t="s">
        <v>2012</v>
      </c>
      <c r="E672" s="19" t="s">
        <v>12</v>
      </c>
      <c r="F672" s="20">
        <v>30662.975999999995</v>
      </c>
    </row>
    <row r="673" spans="2:6">
      <c r="B673" s="8" t="s">
        <v>2013</v>
      </c>
      <c r="C673" s="18" t="s">
        <v>2014</v>
      </c>
      <c r="D673" s="8" t="s">
        <v>2015</v>
      </c>
      <c r="E673" s="19" t="s">
        <v>12</v>
      </c>
      <c r="F673" s="20">
        <v>1740.4800000000002</v>
      </c>
    </row>
    <row r="674" spans="2:6">
      <c r="B674" s="8" t="s">
        <v>2016</v>
      </c>
      <c r="C674" s="18" t="s">
        <v>2017</v>
      </c>
      <c r="D674" s="8" t="s">
        <v>2018</v>
      </c>
      <c r="E674" s="19" t="s">
        <v>12</v>
      </c>
      <c r="F674" s="20">
        <v>4681.6000000000004</v>
      </c>
    </row>
    <row r="675" spans="2:6">
      <c r="B675" s="8" t="s">
        <v>2019</v>
      </c>
      <c r="C675" s="18" t="s">
        <v>2020</v>
      </c>
      <c r="D675" s="8" t="s">
        <v>2021</v>
      </c>
      <c r="E675" s="19" t="s">
        <v>12</v>
      </c>
      <c r="F675" s="20">
        <v>745.88</v>
      </c>
    </row>
    <row r="676" spans="2:6">
      <c r="B676" s="8" t="s">
        <v>2022</v>
      </c>
      <c r="C676" s="18" t="s">
        <v>2023</v>
      </c>
      <c r="D676" s="8" t="s">
        <v>2024</v>
      </c>
      <c r="E676" s="19" t="s">
        <v>12</v>
      </c>
      <c r="F676" s="20">
        <v>5941.6</v>
      </c>
    </row>
    <row r="677" spans="2:6">
      <c r="B677" s="8" t="s">
        <v>2025</v>
      </c>
      <c r="C677" s="18" t="s">
        <v>2026</v>
      </c>
      <c r="D677" s="8" t="s">
        <v>2027</v>
      </c>
      <c r="E677" s="19" t="s">
        <v>12</v>
      </c>
      <c r="F677" s="20">
        <v>8162.56</v>
      </c>
    </row>
    <row r="678" spans="2:6">
      <c r="B678" s="8" t="s">
        <v>2028</v>
      </c>
      <c r="C678" s="18" t="s">
        <v>2029</v>
      </c>
      <c r="D678" s="8" t="s">
        <v>2030</v>
      </c>
      <c r="E678" s="19" t="s">
        <v>12</v>
      </c>
      <c r="F678" s="20">
        <v>35351.68</v>
      </c>
    </row>
    <row r="679" spans="2:6">
      <c r="B679" s="8" t="s">
        <v>2031</v>
      </c>
      <c r="C679" s="18" t="s">
        <v>2032</v>
      </c>
      <c r="D679" s="8" t="s">
        <v>2033</v>
      </c>
      <c r="E679" s="19" t="s">
        <v>12</v>
      </c>
      <c r="F679" s="20">
        <v>774.88</v>
      </c>
    </row>
    <row r="680" spans="2:6">
      <c r="B680" s="8" t="s">
        <v>2034</v>
      </c>
      <c r="C680" s="18" t="s">
        <v>2035</v>
      </c>
      <c r="D680" s="8" t="s">
        <v>2036</v>
      </c>
      <c r="E680" s="19" t="s">
        <v>12</v>
      </c>
      <c r="F680" s="20">
        <v>22111.100000000002</v>
      </c>
    </row>
    <row r="681" spans="2:6">
      <c r="B681" s="8" t="s">
        <v>2037</v>
      </c>
      <c r="C681" s="18" t="s">
        <v>2038</v>
      </c>
      <c r="D681" s="8" t="s">
        <v>2039</v>
      </c>
      <c r="E681" s="19" t="s">
        <v>12</v>
      </c>
      <c r="F681" s="20">
        <v>33740.300000000003</v>
      </c>
    </row>
    <row r="682" spans="2:6">
      <c r="B682" s="8" t="s">
        <v>2040</v>
      </c>
      <c r="C682" s="18" t="s">
        <v>2041</v>
      </c>
      <c r="D682" s="8" t="s">
        <v>2042</v>
      </c>
      <c r="E682" s="19" t="s">
        <v>12</v>
      </c>
      <c r="F682" s="20">
        <v>48567.200000000004</v>
      </c>
    </row>
    <row r="683" spans="2:6">
      <c r="B683" s="8" t="s">
        <v>2043</v>
      </c>
      <c r="C683" s="18" t="s">
        <v>2044</v>
      </c>
      <c r="D683" s="8" t="s">
        <v>2045</v>
      </c>
      <c r="E683" s="19" t="s">
        <v>12</v>
      </c>
      <c r="F683" s="20">
        <v>11612.7</v>
      </c>
    </row>
    <row r="684" spans="2:6">
      <c r="B684" s="8" t="s">
        <v>2046</v>
      </c>
      <c r="C684" s="18" t="s">
        <v>2047</v>
      </c>
      <c r="D684" s="8" t="s">
        <v>2048</v>
      </c>
      <c r="E684" s="19" t="s">
        <v>12</v>
      </c>
      <c r="F684" s="20">
        <v>34061.5</v>
      </c>
    </row>
    <row r="685" spans="2:6">
      <c r="B685" s="8" t="s">
        <v>2049</v>
      </c>
      <c r="C685" s="18" t="s">
        <v>2050</v>
      </c>
      <c r="D685" s="8" t="s">
        <v>2051</v>
      </c>
      <c r="E685" s="19" t="s">
        <v>12</v>
      </c>
      <c r="F685" s="20">
        <v>43527</v>
      </c>
    </row>
    <row r="686" spans="2:6">
      <c r="B686" s="8" t="s">
        <v>2052</v>
      </c>
      <c r="C686" s="18" t="s">
        <v>2053</v>
      </c>
      <c r="D686" s="8" t="s">
        <v>2054</v>
      </c>
      <c r="E686" s="19" t="s">
        <v>12</v>
      </c>
      <c r="F686" s="20">
        <v>49050.100000000006</v>
      </c>
    </row>
    <row r="687" spans="2:6">
      <c r="B687" s="8" t="s">
        <v>2055</v>
      </c>
      <c r="C687" s="18" t="s">
        <v>2056</v>
      </c>
      <c r="D687" s="8" t="s">
        <v>2057</v>
      </c>
      <c r="E687" s="19" t="s">
        <v>12</v>
      </c>
      <c r="F687" s="20">
        <v>27330.600000000002</v>
      </c>
    </row>
    <row r="688" spans="2:6">
      <c r="B688" s="8" t="s">
        <v>2058</v>
      </c>
      <c r="C688" s="18" t="s">
        <v>2059</v>
      </c>
      <c r="D688" s="8" t="s">
        <v>2060</v>
      </c>
      <c r="E688" s="19" t="s">
        <v>12</v>
      </c>
      <c r="F688" s="20">
        <v>28986.100000000002</v>
      </c>
    </row>
    <row r="689" spans="2:6">
      <c r="B689" s="8" t="s">
        <v>2061</v>
      </c>
      <c r="C689" s="18" t="s">
        <v>2062</v>
      </c>
      <c r="D689" s="8" t="s">
        <v>2063</v>
      </c>
      <c r="E689" s="19" t="s">
        <v>12</v>
      </c>
      <c r="F689" s="20">
        <v>43516</v>
      </c>
    </row>
    <row r="690" spans="2:6">
      <c r="B690" s="8" t="s">
        <v>2064</v>
      </c>
      <c r="C690" s="18" t="s">
        <v>2065</v>
      </c>
      <c r="D690" s="8" t="s">
        <v>2066</v>
      </c>
      <c r="E690" s="19" t="s">
        <v>12</v>
      </c>
      <c r="F690" s="20">
        <v>43516</v>
      </c>
    </row>
    <row r="691" spans="2:6">
      <c r="B691" s="8" t="s">
        <v>2067</v>
      </c>
      <c r="C691" s="24" t="s">
        <v>2068</v>
      </c>
      <c r="D691" s="8" t="s">
        <v>2069</v>
      </c>
      <c r="E691" s="19" t="s">
        <v>12</v>
      </c>
      <c r="F691" s="20">
        <v>220000</v>
      </c>
    </row>
    <row r="692" spans="2:6">
      <c r="B692" s="8" t="s">
        <v>2070</v>
      </c>
      <c r="C692" s="24" t="s">
        <v>2071</v>
      </c>
      <c r="D692" s="8" t="s">
        <v>2072</v>
      </c>
      <c r="E692" s="19" t="s">
        <v>12</v>
      </c>
      <c r="F692" s="20">
        <v>800000</v>
      </c>
    </row>
    <row r="693" spans="2:6">
      <c r="B693" s="8" t="s">
        <v>2073</v>
      </c>
      <c r="C693" s="26" t="s">
        <v>2074</v>
      </c>
      <c r="D693" s="8" t="s">
        <v>2075</v>
      </c>
      <c r="E693" s="19" t="s">
        <v>12</v>
      </c>
      <c r="F693" s="20">
        <v>145000</v>
      </c>
    </row>
    <row r="694" spans="2:6">
      <c r="B694" s="8" t="s">
        <v>2076</v>
      </c>
      <c r="C694" s="18" t="s">
        <v>2077</v>
      </c>
      <c r="D694" s="8" t="s">
        <v>2078</v>
      </c>
      <c r="E694" s="19" t="s">
        <v>12</v>
      </c>
      <c r="F694" s="20">
        <v>4933828</v>
      </c>
    </row>
    <row r="695" spans="2:6">
      <c r="B695" s="8" t="s">
        <v>2079</v>
      </c>
      <c r="C695" s="26" t="s">
        <v>2080</v>
      </c>
      <c r="D695" s="8" t="s">
        <v>2081</v>
      </c>
      <c r="E695" s="19" t="s">
        <v>12</v>
      </c>
      <c r="F695" s="20">
        <v>3073840.0000000005</v>
      </c>
    </row>
    <row r="696" spans="2:6">
      <c r="B696" s="8" t="s">
        <v>2082</v>
      </c>
      <c r="C696" s="26" t="s">
        <v>2083</v>
      </c>
      <c r="D696" s="8" t="s">
        <v>2084</v>
      </c>
      <c r="E696" s="19" t="s">
        <v>12</v>
      </c>
      <c r="F696" s="20">
        <v>69000.28</v>
      </c>
    </row>
    <row r="697" spans="2:6">
      <c r="B697" s="8" t="s">
        <v>2085</v>
      </c>
      <c r="C697" s="26" t="s">
        <v>2086</v>
      </c>
      <c r="D697" s="8" t="s">
        <v>2087</v>
      </c>
      <c r="E697" s="19" t="s">
        <v>12</v>
      </c>
      <c r="F697" s="20">
        <v>169620</v>
      </c>
    </row>
    <row r="698" spans="2:6">
      <c r="B698" s="8" t="s">
        <v>2088</v>
      </c>
      <c r="C698" s="25" t="s">
        <v>2089</v>
      </c>
      <c r="D698" s="8" t="s">
        <v>2090</v>
      </c>
      <c r="E698" s="19" t="s">
        <v>12</v>
      </c>
      <c r="F698" s="20">
        <v>2500</v>
      </c>
    </row>
    <row r="699" spans="2:6">
      <c r="B699" s="8" t="s">
        <v>2091</v>
      </c>
      <c r="C699" s="18" t="s">
        <v>2092</v>
      </c>
      <c r="D699" s="8" t="s">
        <v>2093</v>
      </c>
      <c r="E699" s="19" t="s">
        <v>12</v>
      </c>
      <c r="F699" s="20">
        <v>16674.999999999996</v>
      </c>
    </row>
    <row r="700" spans="2:6">
      <c r="B700" s="8" t="s">
        <v>2094</v>
      </c>
      <c r="C700" s="26" t="s">
        <v>2095</v>
      </c>
      <c r="D700" s="8" t="s">
        <v>2096</v>
      </c>
      <c r="E700" s="19" t="s">
        <v>12</v>
      </c>
      <c r="F700" s="20">
        <v>8800</v>
      </c>
    </row>
    <row r="701" spans="2:6">
      <c r="B701" s="8" t="s">
        <v>2097</v>
      </c>
      <c r="C701" s="18" t="s">
        <v>2098</v>
      </c>
      <c r="D701" s="8" t="s">
        <v>2099</v>
      </c>
      <c r="E701" s="19" t="s">
        <v>12</v>
      </c>
      <c r="F701" s="20">
        <v>4500</v>
      </c>
    </row>
    <row r="702" spans="2:6">
      <c r="B702" s="8" t="s">
        <v>2100</v>
      </c>
      <c r="C702" s="18" t="s">
        <v>2101</v>
      </c>
      <c r="D702" s="8" t="s">
        <v>2102</v>
      </c>
      <c r="E702" s="19" t="s">
        <v>1375</v>
      </c>
      <c r="F702" s="20">
        <v>10900</v>
      </c>
    </row>
    <row r="703" spans="2:6">
      <c r="B703" s="8" t="s">
        <v>2103</v>
      </c>
      <c r="C703" s="24" t="s">
        <v>2104</v>
      </c>
      <c r="D703" s="8" t="s">
        <v>2105</v>
      </c>
      <c r="E703" s="19" t="s">
        <v>12</v>
      </c>
      <c r="F703" s="20">
        <v>200000</v>
      </c>
    </row>
    <row r="704" spans="2:6">
      <c r="B704" s="8" t="s">
        <v>2106</v>
      </c>
      <c r="C704" s="24" t="s">
        <v>2107</v>
      </c>
      <c r="D704" s="8" t="s">
        <v>2108</v>
      </c>
      <c r="E704" s="19" t="s">
        <v>12</v>
      </c>
      <c r="F704" s="20">
        <v>650000</v>
      </c>
    </row>
    <row r="705" spans="2:6">
      <c r="B705" s="8" t="s">
        <v>2109</v>
      </c>
      <c r="C705" s="18" t="s">
        <v>2110</v>
      </c>
      <c r="D705" s="8" t="s">
        <v>2111</v>
      </c>
      <c r="E705" s="19" t="s">
        <v>12</v>
      </c>
      <c r="F705" s="20">
        <v>127599.99999999999</v>
      </c>
    </row>
    <row r="706" spans="2:6">
      <c r="B706" s="8" t="s">
        <v>2112</v>
      </c>
      <c r="C706" s="18" t="s">
        <v>2113</v>
      </c>
      <c r="D706" s="8" t="s">
        <v>2114</v>
      </c>
      <c r="E706" s="19" t="s">
        <v>12</v>
      </c>
      <c r="F706" s="20">
        <v>12000</v>
      </c>
    </row>
    <row r="707" spans="2:6">
      <c r="B707" s="8" t="s">
        <v>2115</v>
      </c>
      <c r="C707" s="18" t="s">
        <v>2116</v>
      </c>
      <c r="D707" s="8" t="s">
        <v>2117</v>
      </c>
      <c r="E707" s="19" t="s">
        <v>12</v>
      </c>
      <c r="F707" s="20">
        <v>2800</v>
      </c>
    </row>
    <row r="708" spans="2:6">
      <c r="B708" s="8" t="s">
        <v>2118</v>
      </c>
      <c r="C708" s="32" t="s">
        <v>2119</v>
      </c>
      <c r="D708" s="8" t="s">
        <v>2120</v>
      </c>
      <c r="E708" s="19" t="s">
        <v>12</v>
      </c>
      <c r="F708" s="20">
        <v>7249.9999999999991</v>
      </c>
    </row>
    <row r="709" spans="2:6">
      <c r="B709" s="8" t="s">
        <v>2121</v>
      </c>
      <c r="C709" s="32" t="s">
        <v>2122</v>
      </c>
      <c r="D709" s="8" t="s">
        <v>2123</v>
      </c>
      <c r="E709" s="19" t="s">
        <v>12</v>
      </c>
      <c r="F709" s="20">
        <v>8109.5599999999995</v>
      </c>
    </row>
    <row r="710" spans="2:6">
      <c r="B710" s="8" t="s">
        <v>2124</v>
      </c>
      <c r="C710" s="32" t="s">
        <v>2125</v>
      </c>
      <c r="D710" s="8" t="s">
        <v>2126</v>
      </c>
      <c r="E710" s="19" t="s">
        <v>12</v>
      </c>
      <c r="F710" s="20">
        <v>3301.3599999999997</v>
      </c>
    </row>
    <row r="711" spans="2:6">
      <c r="B711" s="8" t="s">
        <v>2127</v>
      </c>
      <c r="C711" s="32" t="s">
        <v>2128</v>
      </c>
      <c r="D711" s="8" t="s">
        <v>2129</v>
      </c>
      <c r="E711" s="19" t="s">
        <v>12</v>
      </c>
      <c r="F711" s="20">
        <v>5515.7999999999993</v>
      </c>
    </row>
    <row r="712" spans="2:6">
      <c r="B712" s="8" t="s">
        <v>2130</v>
      </c>
      <c r="C712" s="26" t="s">
        <v>2131</v>
      </c>
      <c r="D712" s="8" t="s">
        <v>2132</v>
      </c>
      <c r="E712" s="19" t="s">
        <v>1780</v>
      </c>
      <c r="F712" s="20">
        <v>150000</v>
      </c>
    </row>
    <row r="713" spans="2:6">
      <c r="B713" s="8" t="s">
        <v>2133</v>
      </c>
      <c r="C713" s="18" t="s">
        <v>2134</v>
      </c>
      <c r="D713" s="8" t="s">
        <v>2135</v>
      </c>
      <c r="E713" s="19" t="s">
        <v>12</v>
      </c>
      <c r="F713" s="20">
        <v>25000</v>
      </c>
    </row>
    <row r="714" spans="2:6">
      <c r="B714" s="8" t="s">
        <v>2136</v>
      </c>
      <c r="C714" s="18" t="s">
        <v>2137</v>
      </c>
      <c r="D714" s="8" t="s">
        <v>2138</v>
      </c>
      <c r="E714" s="19" t="s">
        <v>12</v>
      </c>
      <c r="F714" s="20">
        <v>13919.999999999998</v>
      </c>
    </row>
    <row r="715" spans="2:6">
      <c r="B715" s="8" t="s">
        <v>2139</v>
      </c>
      <c r="C715" s="18" t="s">
        <v>2140</v>
      </c>
      <c r="D715" s="8" t="s">
        <v>2141</v>
      </c>
      <c r="E715" s="19" t="s">
        <v>12</v>
      </c>
      <c r="F715" s="20">
        <v>7347.6719999999996</v>
      </c>
    </row>
    <row r="716" spans="2:6">
      <c r="B716" s="8" t="s">
        <v>2142</v>
      </c>
      <c r="C716" s="18" t="s">
        <v>2143</v>
      </c>
      <c r="D716" s="8" t="s">
        <v>2144</v>
      </c>
      <c r="E716" s="19" t="s">
        <v>12</v>
      </c>
      <c r="F716" s="20">
        <v>3016</v>
      </c>
    </row>
    <row r="717" spans="2:6">
      <c r="B717" s="8" t="s">
        <v>2145</v>
      </c>
      <c r="C717" s="18" t="s">
        <v>2146</v>
      </c>
      <c r="D717" s="8" t="s">
        <v>2147</v>
      </c>
      <c r="E717" s="19" t="s">
        <v>12</v>
      </c>
      <c r="F717" s="20">
        <v>20880</v>
      </c>
    </row>
    <row r="718" spans="2:6">
      <c r="B718" s="8" t="s">
        <v>2148</v>
      </c>
      <c r="C718" s="18" t="s">
        <v>2149</v>
      </c>
      <c r="D718" s="8" t="s">
        <v>2150</v>
      </c>
      <c r="E718" s="19" t="s">
        <v>12</v>
      </c>
      <c r="F718" s="20">
        <v>40219.200000000004</v>
      </c>
    </row>
    <row r="719" spans="2:6">
      <c r="B719" s="8" t="s">
        <v>2151</v>
      </c>
      <c r="C719" s="18" t="s">
        <v>2152</v>
      </c>
      <c r="D719" s="8" t="s">
        <v>2153</v>
      </c>
      <c r="E719" s="19" t="s">
        <v>12</v>
      </c>
      <c r="F719" s="20">
        <v>4640</v>
      </c>
    </row>
    <row r="720" spans="2:6">
      <c r="B720" s="8" t="s">
        <v>2154</v>
      </c>
      <c r="C720" s="18" t="s">
        <v>2155</v>
      </c>
      <c r="D720" s="8" t="s">
        <v>2156</v>
      </c>
      <c r="E720" s="19" t="s">
        <v>12</v>
      </c>
      <c r="F720" s="20">
        <v>25000</v>
      </c>
    </row>
    <row r="721" spans="2:6">
      <c r="B721" s="8" t="s">
        <v>2157</v>
      </c>
      <c r="C721" s="18" t="s">
        <v>2158</v>
      </c>
      <c r="D721" s="8" t="s">
        <v>2159</v>
      </c>
      <c r="E721" s="19" t="s">
        <v>12</v>
      </c>
      <c r="F721" s="20">
        <v>45000</v>
      </c>
    </row>
    <row r="722" spans="2:6">
      <c r="B722" s="8" t="s">
        <v>2160</v>
      </c>
      <c r="C722" s="18" t="s">
        <v>2161</v>
      </c>
      <c r="D722" s="8" t="s">
        <v>2162</v>
      </c>
      <c r="E722" s="19" t="s">
        <v>12</v>
      </c>
      <c r="F722" s="20">
        <v>13673.499999999998</v>
      </c>
    </row>
    <row r="723" spans="2:6">
      <c r="B723" s="8" t="s">
        <v>2163</v>
      </c>
      <c r="C723" s="25" t="s">
        <v>2164</v>
      </c>
      <c r="D723" s="8" t="s">
        <v>2165</v>
      </c>
      <c r="E723" s="19" t="s">
        <v>12</v>
      </c>
      <c r="F723" s="20">
        <v>40000</v>
      </c>
    </row>
    <row r="724" spans="2:6">
      <c r="B724" s="8" t="s">
        <v>2166</v>
      </c>
      <c r="C724" s="18" t="s">
        <v>2167</v>
      </c>
      <c r="D724" s="8" t="s">
        <v>2168</v>
      </c>
      <c r="E724" s="19" t="s">
        <v>12</v>
      </c>
      <c r="F724" s="20">
        <v>7017.9999999999991</v>
      </c>
    </row>
    <row r="725" spans="2:6">
      <c r="B725" s="8" t="s">
        <v>2169</v>
      </c>
      <c r="C725" s="18" t="s">
        <v>2170</v>
      </c>
      <c r="D725" s="8" t="s">
        <v>2171</v>
      </c>
      <c r="E725" s="19" t="s">
        <v>12</v>
      </c>
      <c r="F725" s="20">
        <v>8000</v>
      </c>
    </row>
    <row r="726" spans="2:6">
      <c r="B726" s="8" t="s">
        <v>2172</v>
      </c>
      <c r="C726" s="18" t="s">
        <v>3965</v>
      </c>
      <c r="D726" s="8" t="s">
        <v>2173</v>
      </c>
      <c r="E726" s="19" t="s">
        <v>12</v>
      </c>
      <c r="F726" s="20">
        <v>8670.9999999999982</v>
      </c>
    </row>
    <row r="727" spans="2:6">
      <c r="B727" s="8" t="s">
        <v>2174</v>
      </c>
      <c r="C727" s="18" t="s">
        <v>3966</v>
      </c>
      <c r="D727" s="8" t="s">
        <v>2175</v>
      </c>
      <c r="E727" s="19" t="s">
        <v>12</v>
      </c>
      <c r="F727" s="20">
        <v>9204.5999999999985</v>
      </c>
    </row>
    <row r="728" spans="2:6">
      <c r="B728" s="8" t="s">
        <v>2176</v>
      </c>
      <c r="C728" s="18" t="s">
        <v>3967</v>
      </c>
      <c r="D728" s="8" t="s">
        <v>2177</v>
      </c>
      <c r="E728" s="19" t="s">
        <v>12</v>
      </c>
      <c r="F728" s="20">
        <v>15471.731999999996</v>
      </c>
    </row>
    <row r="729" spans="2:6">
      <c r="B729" s="8" t="s">
        <v>2178</v>
      </c>
      <c r="C729" s="18" t="s">
        <v>3968</v>
      </c>
      <c r="D729" s="8" t="s">
        <v>2179</v>
      </c>
      <c r="E729" s="19" t="s">
        <v>12</v>
      </c>
      <c r="F729" s="20">
        <v>13073.199999999999</v>
      </c>
    </row>
    <row r="730" spans="2:6">
      <c r="B730" s="8" t="s">
        <v>2180</v>
      </c>
      <c r="C730" s="18" t="s">
        <v>3969</v>
      </c>
      <c r="D730" s="8" t="s">
        <v>2181</v>
      </c>
      <c r="E730" s="19" t="s">
        <v>12</v>
      </c>
      <c r="F730" s="20">
        <v>13073.199999999999</v>
      </c>
    </row>
    <row r="731" spans="2:6">
      <c r="B731" s="8" t="s">
        <v>2182</v>
      </c>
      <c r="C731" s="18" t="s">
        <v>3970</v>
      </c>
      <c r="D731" s="8" t="s">
        <v>2183</v>
      </c>
      <c r="E731" s="19"/>
      <c r="F731" s="20">
        <v>16007.999999999996</v>
      </c>
    </row>
    <row r="732" spans="2:6">
      <c r="B732" s="8" t="s">
        <v>2184</v>
      </c>
      <c r="C732" s="18" t="s">
        <v>2185</v>
      </c>
      <c r="D732" s="8" t="s">
        <v>2186</v>
      </c>
      <c r="E732" s="19" t="s">
        <v>12</v>
      </c>
      <c r="F732" s="20">
        <v>25000</v>
      </c>
    </row>
    <row r="733" spans="2:6">
      <c r="B733" s="8" t="s">
        <v>2187</v>
      </c>
      <c r="C733" s="24" t="s">
        <v>2188</v>
      </c>
      <c r="D733" s="8" t="s">
        <v>2189</v>
      </c>
      <c r="E733" s="19" t="s">
        <v>12</v>
      </c>
      <c r="F733" s="20">
        <v>250000</v>
      </c>
    </row>
    <row r="734" spans="2:6">
      <c r="B734" s="8" t="s">
        <v>2190</v>
      </c>
      <c r="C734" s="24" t="s">
        <v>2191</v>
      </c>
      <c r="D734" s="8" t="s">
        <v>2192</v>
      </c>
      <c r="E734" s="19" t="s">
        <v>12</v>
      </c>
      <c r="F734" s="20">
        <v>250000</v>
      </c>
    </row>
    <row r="735" spans="2:6">
      <c r="B735" s="8" t="s">
        <v>2193</v>
      </c>
      <c r="C735" s="24" t="s">
        <v>2194</v>
      </c>
      <c r="D735" s="8" t="s">
        <v>2195</v>
      </c>
      <c r="E735" s="19" t="s">
        <v>1379</v>
      </c>
      <c r="F735" s="20">
        <v>60000</v>
      </c>
    </row>
    <row r="736" spans="2:6">
      <c r="B736" s="8" t="s">
        <v>2196</v>
      </c>
      <c r="C736" s="24" t="s">
        <v>2197</v>
      </c>
      <c r="D736" s="8" t="s">
        <v>2198</v>
      </c>
      <c r="E736" s="19" t="s">
        <v>12</v>
      </c>
      <c r="F736" s="20">
        <v>300</v>
      </c>
    </row>
    <row r="737" spans="2:6">
      <c r="B737" s="8" t="s">
        <v>2199</v>
      </c>
      <c r="C737" s="24" t="s">
        <v>2200</v>
      </c>
      <c r="D737" s="8" t="s">
        <v>2201</v>
      </c>
      <c r="E737" s="19" t="s">
        <v>12</v>
      </c>
      <c r="F737" s="20">
        <v>450</v>
      </c>
    </row>
    <row r="738" spans="2:6">
      <c r="B738" s="8" t="s">
        <v>2202</v>
      </c>
      <c r="C738" s="24" t="s">
        <v>2203</v>
      </c>
      <c r="D738" s="8" t="s">
        <v>2204</v>
      </c>
      <c r="E738" s="19" t="s">
        <v>12</v>
      </c>
      <c r="F738" s="20">
        <v>800</v>
      </c>
    </row>
    <row r="739" spans="2:6">
      <c r="B739" s="8" t="s">
        <v>2205</v>
      </c>
      <c r="C739" s="24" t="s">
        <v>2206</v>
      </c>
      <c r="D739" s="8" t="s">
        <v>2207</v>
      </c>
      <c r="E739" s="19" t="s">
        <v>12</v>
      </c>
      <c r="F739" s="20">
        <v>1200</v>
      </c>
    </row>
    <row r="740" spans="2:6">
      <c r="B740" s="8" t="s">
        <v>2208</v>
      </c>
      <c r="C740" s="24" t="s">
        <v>2209</v>
      </c>
      <c r="D740" s="8" t="s">
        <v>2210</v>
      </c>
      <c r="E740" s="19" t="s">
        <v>12</v>
      </c>
      <c r="F740" s="20">
        <v>7500</v>
      </c>
    </row>
    <row r="741" spans="2:6">
      <c r="B741" s="8" t="s">
        <v>2211</v>
      </c>
      <c r="C741" s="24" t="s">
        <v>2212</v>
      </c>
      <c r="D741" s="8" t="s">
        <v>2213</v>
      </c>
      <c r="E741" s="19" t="s">
        <v>12</v>
      </c>
      <c r="F741" s="20">
        <v>1752.76</v>
      </c>
    </row>
    <row r="742" spans="2:6">
      <c r="B742" s="8" t="s">
        <v>2214</v>
      </c>
      <c r="C742" s="24" t="s">
        <v>2215</v>
      </c>
      <c r="D742" s="8" t="s">
        <v>2216</v>
      </c>
      <c r="E742" s="19" t="s">
        <v>12</v>
      </c>
      <c r="F742" s="20">
        <v>1466.24</v>
      </c>
    </row>
    <row r="743" spans="2:6">
      <c r="B743" s="8" t="s">
        <v>2217</v>
      </c>
      <c r="C743" s="24" t="s">
        <v>2218</v>
      </c>
      <c r="D743" s="8" t="s">
        <v>2219</v>
      </c>
      <c r="E743" s="19" t="s">
        <v>12</v>
      </c>
      <c r="F743" s="20">
        <v>1353.7199999999998</v>
      </c>
    </row>
    <row r="744" spans="2:6">
      <c r="B744" s="8" t="s">
        <v>2220</v>
      </c>
      <c r="C744" s="18" t="s">
        <v>2221</v>
      </c>
      <c r="D744" s="8" t="s">
        <v>2222</v>
      </c>
      <c r="E744" s="19" t="s">
        <v>12</v>
      </c>
      <c r="F744" s="20">
        <v>7000</v>
      </c>
    </row>
    <row r="745" spans="2:6">
      <c r="B745" s="8" t="s">
        <v>2223</v>
      </c>
      <c r="C745" s="24" t="s">
        <v>2224</v>
      </c>
      <c r="D745" s="8" t="s">
        <v>2225</v>
      </c>
      <c r="E745" s="19" t="s">
        <v>12</v>
      </c>
      <c r="F745" s="20">
        <v>1168.1199999999999</v>
      </c>
    </row>
    <row r="746" spans="2:6">
      <c r="B746" s="8" t="s">
        <v>2226</v>
      </c>
      <c r="C746" s="18" t="s">
        <v>2227</v>
      </c>
      <c r="D746" s="8" t="s">
        <v>2228</v>
      </c>
      <c r="E746" s="19" t="s">
        <v>12</v>
      </c>
      <c r="F746" s="20">
        <v>2700</v>
      </c>
    </row>
    <row r="747" spans="2:6">
      <c r="B747" s="8" t="s">
        <v>2229</v>
      </c>
      <c r="C747" s="24" t="s">
        <v>2230</v>
      </c>
      <c r="D747" s="8" t="s">
        <v>2231</v>
      </c>
      <c r="E747" s="19" t="s">
        <v>12</v>
      </c>
      <c r="F747" s="20">
        <v>2344.3599999999997</v>
      </c>
    </row>
    <row r="748" spans="2:6">
      <c r="B748" s="8" t="s">
        <v>2232</v>
      </c>
      <c r="C748" s="18" t="s">
        <v>2233</v>
      </c>
      <c r="D748" s="8" t="s">
        <v>2234</v>
      </c>
      <c r="E748" s="19" t="s">
        <v>12</v>
      </c>
      <c r="F748" s="20">
        <v>10000</v>
      </c>
    </row>
    <row r="749" spans="2:6">
      <c r="B749" s="8" t="s">
        <v>2235</v>
      </c>
      <c r="C749" s="24" t="s">
        <v>2236</v>
      </c>
      <c r="D749" s="8" t="s">
        <v>2237</v>
      </c>
      <c r="E749" s="19" t="s">
        <v>12</v>
      </c>
      <c r="F749" s="20">
        <v>1273.6799999999998</v>
      </c>
    </row>
    <row r="750" spans="2:6">
      <c r="B750" s="8" t="s">
        <v>2238</v>
      </c>
      <c r="C750" s="18" t="s">
        <v>2239</v>
      </c>
      <c r="D750" s="8" t="s">
        <v>2240</v>
      </c>
      <c r="E750" s="19" t="s">
        <v>12</v>
      </c>
      <c r="F750" s="20">
        <v>6000</v>
      </c>
    </row>
    <row r="751" spans="2:6">
      <c r="B751" s="8" t="s">
        <v>2241</v>
      </c>
      <c r="C751" s="18" t="s">
        <v>2242</v>
      </c>
      <c r="D751" s="8" t="s">
        <v>2243</v>
      </c>
      <c r="E751" s="19" t="s">
        <v>12</v>
      </c>
      <c r="F751" s="20">
        <v>4550</v>
      </c>
    </row>
    <row r="752" spans="2:6">
      <c r="B752" s="8" t="s">
        <v>2244</v>
      </c>
      <c r="C752" s="18" t="s">
        <v>3962</v>
      </c>
      <c r="D752" s="8" t="s">
        <v>2245</v>
      </c>
      <c r="E752" s="19" t="s">
        <v>12</v>
      </c>
      <c r="F752" s="20">
        <v>1900</v>
      </c>
    </row>
    <row r="753" spans="2:6">
      <c r="B753" s="8" t="s">
        <v>2246</v>
      </c>
      <c r="C753" s="18" t="s">
        <v>3963</v>
      </c>
      <c r="D753" s="8" t="s">
        <v>2247</v>
      </c>
      <c r="E753" s="19" t="s">
        <v>12</v>
      </c>
      <c r="F753" s="20">
        <v>1206</v>
      </c>
    </row>
    <row r="754" spans="2:6">
      <c r="B754" s="8" t="s">
        <v>2248</v>
      </c>
      <c r="C754" s="18" t="s">
        <v>3964</v>
      </c>
      <c r="D754" s="8" t="s">
        <v>2249</v>
      </c>
      <c r="E754" s="19" t="s">
        <v>12</v>
      </c>
      <c r="F754" s="20">
        <v>1050</v>
      </c>
    </row>
    <row r="755" spans="2:6">
      <c r="B755" s="8" t="s">
        <v>2250</v>
      </c>
      <c r="C755" s="18" t="s">
        <v>2251</v>
      </c>
      <c r="D755" s="8" t="s">
        <v>2252</v>
      </c>
      <c r="E755" s="19" t="s">
        <v>12</v>
      </c>
      <c r="F755" s="20">
        <v>9800</v>
      </c>
    </row>
    <row r="756" spans="2:6">
      <c r="B756" s="8" t="s">
        <v>2253</v>
      </c>
      <c r="C756" s="18" t="s">
        <v>2254</v>
      </c>
      <c r="D756" s="8" t="s">
        <v>2255</v>
      </c>
      <c r="E756" s="19" t="s">
        <v>12</v>
      </c>
      <c r="F756" s="20">
        <v>12220</v>
      </c>
    </row>
    <row r="757" spans="2:6">
      <c r="B757" s="8" t="s">
        <v>2256</v>
      </c>
      <c r="C757" s="24" t="s">
        <v>2257</v>
      </c>
      <c r="D757" s="8" t="s">
        <v>2258</v>
      </c>
      <c r="E757" s="19" t="s">
        <v>12</v>
      </c>
      <c r="F757" s="20">
        <v>45000</v>
      </c>
    </row>
    <row r="758" spans="2:6">
      <c r="B758" s="8" t="s">
        <v>2259</v>
      </c>
      <c r="C758" s="24" t="s">
        <v>2260</v>
      </c>
      <c r="D758" s="8" t="s">
        <v>2261</v>
      </c>
      <c r="E758" s="19" t="s">
        <v>12</v>
      </c>
      <c r="F758" s="20">
        <v>110000</v>
      </c>
    </row>
    <row r="759" spans="2:6">
      <c r="B759" s="8" t="s">
        <v>2262</v>
      </c>
      <c r="C759" s="18" t="s">
        <v>2263</v>
      </c>
      <c r="D759" s="8" t="s">
        <v>2264</v>
      </c>
      <c r="E759" s="19" t="s">
        <v>12</v>
      </c>
      <c r="F759" s="20">
        <v>300</v>
      </c>
    </row>
    <row r="760" spans="2:6">
      <c r="B760" s="8" t="s">
        <v>2265</v>
      </c>
      <c r="C760" s="18" t="s">
        <v>2266</v>
      </c>
      <c r="D760" s="8" t="s">
        <v>2267</v>
      </c>
      <c r="E760" s="19" t="s">
        <v>12</v>
      </c>
      <c r="F760" s="20">
        <v>8000</v>
      </c>
    </row>
    <row r="761" spans="2:6">
      <c r="B761" s="8" t="s">
        <v>2268</v>
      </c>
      <c r="C761" s="18" t="s">
        <v>2269</v>
      </c>
      <c r="D761" s="8" t="s">
        <v>2270</v>
      </c>
      <c r="E761" s="19" t="s">
        <v>12</v>
      </c>
      <c r="F761" s="20">
        <v>10000</v>
      </c>
    </row>
    <row r="762" spans="2:6">
      <c r="B762" s="8" t="s">
        <v>2271</v>
      </c>
      <c r="C762" s="18" t="s">
        <v>2272</v>
      </c>
      <c r="D762" s="8" t="s">
        <v>2273</v>
      </c>
      <c r="E762" s="19" t="s">
        <v>12</v>
      </c>
      <c r="F762" s="20">
        <v>6500</v>
      </c>
    </row>
    <row r="763" spans="2:6">
      <c r="B763" s="8" t="s">
        <v>2274</v>
      </c>
      <c r="C763" s="24" t="s">
        <v>2275</v>
      </c>
      <c r="D763" s="8" t="s">
        <v>2276</v>
      </c>
      <c r="E763" s="19" t="s">
        <v>12</v>
      </c>
      <c r="F763" s="20">
        <v>98.6</v>
      </c>
    </row>
    <row r="764" spans="2:6">
      <c r="B764" s="8" t="s">
        <v>2277</v>
      </c>
      <c r="C764" s="24" t="s">
        <v>2278</v>
      </c>
      <c r="D764" s="8" t="s">
        <v>2279</v>
      </c>
      <c r="E764" s="19" t="s">
        <v>12</v>
      </c>
      <c r="F764" s="20">
        <v>800</v>
      </c>
    </row>
    <row r="765" spans="2:6">
      <c r="B765" s="8" t="s">
        <v>2280</v>
      </c>
      <c r="C765" s="25" t="s">
        <v>2281</v>
      </c>
      <c r="D765" s="8" t="s">
        <v>2282</v>
      </c>
      <c r="E765" s="19" t="s">
        <v>12</v>
      </c>
      <c r="F765" s="20">
        <v>45000</v>
      </c>
    </row>
    <row r="766" spans="2:6">
      <c r="B766" s="8" t="s">
        <v>2283</v>
      </c>
      <c r="C766" s="24" t="s">
        <v>2284</v>
      </c>
      <c r="D766" s="8" t="s">
        <v>2285</v>
      </c>
      <c r="E766" s="19" t="s">
        <v>12</v>
      </c>
      <c r="F766" s="20">
        <v>143000</v>
      </c>
    </row>
    <row r="767" spans="2:6">
      <c r="B767" s="8" t="s">
        <v>2286</v>
      </c>
      <c r="C767" s="24" t="s">
        <v>2287</v>
      </c>
      <c r="D767" s="8" t="s">
        <v>2288</v>
      </c>
      <c r="E767" s="19" t="s">
        <v>12</v>
      </c>
      <c r="F767" s="20">
        <v>325000</v>
      </c>
    </row>
    <row r="768" spans="2:6">
      <c r="B768" s="8" t="s">
        <v>2289</v>
      </c>
      <c r="C768" s="24" t="s">
        <v>2290</v>
      </c>
      <c r="D768" s="8" t="s">
        <v>2291</v>
      </c>
      <c r="E768" s="19" t="s">
        <v>12</v>
      </c>
      <c r="F768" s="20">
        <v>58500</v>
      </c>
    </row>
    <row r="769" spans="2:6">
      <c r="B769" s="8" t="s">
        <v>2292</v>
      </c>
      <c r="C769" s="18" t="s">
        <v>2293</v>
      </c>
      <c r="D769" s="8" t="s">
        <v>2294</v>
      </c>
      <c r="E769" s="19" t="s">
        <v>12</v>
      </c>
      <c r="F769" s="20">
        <v>700000</v>
      </c>
    </row>
    <row r="770" spans="2:6">
      <c r="B770" s="8" t="s">
        <v>2295</v>
      </c>
      <c r="C770" s="18" t="s">
        <v>2296</v>
      </c>
      <c r="D770" s="8" t="s">
        <v>2297</v>
      </c>
      <c r="E770" s="19" t="s">
        <v>12</v>
      </c>
      <c r="F770" s="20">
        <v>3690</v>
      </c>
    </row>
    <row r="771" spans="2:6">
      <c r="B771" s="8" t="s">
        <v>2298</v>
      </c>
      <c r="C771" s="18" t="s">
        <v>2299</v>
      </c>
      <c r="D771" s="8" t="s">
        <v>2300</v>
      </c>
      <c r="E771" s="19" t="s">
        <v>12</v>
      </c>
      <c r="F771" s="20">
        <v>184275</v>
      </c>
    </row>
    <row r="772" spans="2:6">
      <c r="B772" s="8" t="s">
        <v>2301</v>
      </c>
      <c r="C772" s="18" t="s">
        <v>2302</v>
      </c>
      <c r="D772" s="8" t="s">
        <v>2303</v>
      </c>
      <c r="E772" s="19" t="s">
        <v>12</v>
      </c>
      <c r="F772" s="20">
        <v>232765</v>
      </c>
    </row>
    <row r="773" spans="2:6">
      <c r="B773" s="8" t="s">
        <v>2304</v>
      </c>
      <c r="C773" s="18" t="s">
        <v>2305</v>
      </c>
      <c r="D773" s="8" t="s">
        <v>2306</v>
      </c>
      <c r="E773" s="19" t="s">
        <v>12</v>
      </c>
      <c r="F773" s="20">
        <v>390390</v>
      </c>
    </row>
    <row r="774" spans="2:6">
      <c r="B774" s="8" t="s">
        <v>2307</v>
      </c>
      <c r="C774" s="18" t="s">
        <v>2308</v>
      </c>
      <c r="D774" s="8" t="s">
        <v>2309</v>
      </c>
      <c r="E774" s="19" t="s">
        <v>2310</v>
      </c>
      <c r="F774" s="20">
        <v>550</v>
      </c>
    </row>
    <row r="775" spans="2:6">
      <c r="B775" s="8" t="s">
        <v>2311</v>
      </c>
      <c r="C775" s="18" t="s">
        <v>2312</v>
      </c>
      <c r="D775" s="8" t="s">
        <v>2313</v>
      </c>
      <c r="E775" s="19" t="s">
        <v>2310</v>
      </c>
      <c r="F775" s="20">
        <v>550</v>
      </c>
    </row>
    <row r="776" spans="2:6">
      <c r="B776" s="8" t="s">
        <v>2314</v>
      </c>
      <c r="C776" s="18" t="s">
        <v>2315</v>
      </c>
      <c r="D776" s="8" t="s">
        <v>2316</v>
      </c>
      <c r="E776" s="19" t="s">
        <v>2310</v>
      </c>
      <c r="F776" s="20">
        <v>1400.6999999999998</v>
      </c>
    </row>
    <row r="777" spans="2:6">
      <c r="B777" s="8" t="s">
        <v>2317</v>
      </c>
      <c r="C777" s="25" t="s">
        <v>2318</v>
      </c>
      <c r="D777" s="8" t="s">
        <v>2319</v>
      </c>
      <c r="E777" s="19" t="s">
        <v>12</v>
      </c>
      <c r="F777" s="20">
        <v>200000</v>
      </c>
    </row>
    <row r="778" spans="2:6">
      <c r="B778" s="8" t="s">
        <v>2320</v>
      </c>
      <c r="C778" s="32" t="s">
        <v>2321</v>
      </c>
      <c r="D778" s="8" t="s">
        <v>2322</v>
      </c>
      <c r="E778" s="19" t="s">
        <v>12</v>
      </c>
      <c r="F778" s="20">
        <v>206700.4</v>
      </c>
    </row>
    <row r="779" spans="2:6">
      <c r="B779" s="8" t="s">
        <v>2323</v>
      </c>
      <c r="C779" s="32" t="s">
        <v>2324</v>
      </c>
      <c r="D779" s="8" t="s">
        <v>2325</v>
      </c>
      <c r="E779" s="19" t="s">
        <v>12</v>
      </c>
      <c r="F779" s="20">
        <v>86718.12</v>
      </c>
    </row>
    <row r="780" spans="2:6">
      <c r="B780" s="8" t="s">
        <v>2326</v>
      </c>
      <c r="C780" s="32" t="s">
        <v>2327</v>
      </c>
      <c r="D780" s="8" t="s">
        <v>2328</v>
      </c>
      <c r="E780" s="19" t="s">
        <v>12</v>
      </c>
      <c r="F780" s="20">
        <v>19476.399999999998</v>
      </c>
    </row>
    <row r="781" spans="2:6">
      <c r="B781" s="8" t="s">
        <v>2329</v>
      </c>
      <c r="C781" s="18" t="s">
        <v>2330</v>
      </c>
      <c r="D781" s="8" t="s">
        <v>2331</v>
      </c>
      <c r="E781" s="19" t="s">
        <v>12</v>
      </c>
      <c r="F781" s="20">
        <v>44550.000000000007</v>
      </c>
    </row>
    <row r="782" spans="2:6">
      <c r="B782" s="8" t="s">
        <v>2332</v>
      </c>
      <c r="C782" s="18" t="s">
        <v>2333</v>
      </c>
      <c r="D782" s="8" t="s">
        <v>2334</v>
      </c>
      <c r="E782" s="19" t="s">
        <v>12</v>
      </c>
      <c r="F782" s="20">
        <v>9900.0000000000018</v>
      </c>
    </row>
    <row r="783" spans="2:6">
      <c r="B783" s="8" t="s">
        <v>2335</v>
      </c>
      <c r="C783" s="18" t="s">
        <v>2336</v>
      </c>
      <c r="D783" s="8" t="s">
        <v>2337</v>
      </c>
      <c r="E783" s="19" t="s">
        <v>12</v>
      </c>
      <c r="F783" s="20">
        <v>6138.0000000000009</v>
      </c>
    </row>
    <row r="784" spans="2:6">
      <c r="B784" s="8" t="s">
        <v>2338</v>
      </c>
      <c r="C784" s="18" t="s">
        <v>2339</v>
      </c>
      <c r="D784" s="8" t="s">
        <v>2340</v>
      </c>
      <c r="E784" s="19" t="s">
        <v>12</v>
      </c>
      <c r="F784" s="20">
        <v>24750.000000000004</v>
      </c>
    </row>
    <row r="785" spans="2:6">
      <c r="B785" s="8" t="s">
        <v>2341</v>
      </c>
      <c r="C785" s="18" t="s">
        <v>2342</v>
      </c>
      <c r="D785" s="8" t="s">
        <v>2343</v>
      </c>
      <c r="E785" s="19" t="s">
        <v>12</v>
      </c>
      <c r="F785" s="20">
        <v>0</v>
      </c>
    </row>
    <row r="786" spans="2:6">
      <c r="B786" s="8" t="s">
        <v>2344</v>
      </c>
      <c r="C786" s="18" t="s">
        <v>2345</v>
      </c>
      <c r="D786" s="8" t="s">
        <v>2346</v>
      </c>
      <c r="E786" s="19" t="s">
        <v>12</v>
      </c>
      <c r="F786" s="20">
        <v>7128.0000000000009</v>
      </c>
    </row>
    <row r="787" spans="2:6">
      <c r="B787" s="8" t="s">
        <v>2347</v>
      </c>
      <c r="C787" s="18" t="s">
        <v>2348</v>
      </c>
      <c r="D787" s="8" t="s">
        <v>2349</v>
      </c>
      <c r="E787" s="19" t="s">
        <v>12</v>
      </c>
      <c r="F787" s="20">
        <v>74250.000000000015</v>
      </c>
    </row>
    <row r="788" spans="2:6">
      <c r="B788" s="8" t="s">
        <v>2350</v>
      </c>
      <c r="C788" s="18" t="s">
        <v>2351</v>
      </c>
      <c r="D788" s="8" t="s">
        <v>2352</v>
      </c>
      <c r="E788" s="19" t="s">
        <v>12</v>
      </c>
      <c r="F788" s="20">
        <v>85800</v>
      </c>
    </row>
    <row r="789" spans="2:6">
      <c r="B789" s="8" t="s">
        <v>2353</v>
      </c>
      <c r="C789" s="18" t="s">
        <v>2354</v>
      </c>
      <c r="D789" s="8" t="s">
        <v>2355</v>
      </c>
      <c r="E789" s="19" t="s">
        <v>12</v>
      </c>
      <c r="F789" s="20">
        <v>61050.000000000007</v>
      </c>
    </row>
    <row r="790" spans="2:6">
      <c r="B790" s="8" t="s">
        <v>2356</v>
      </c>
      <c r="C790" s="18" t="s">
        <v>2357</v>
      </c>
      <c r="D790" s="8" t="s">
        <v>2358</v>
      </c>
      <c r="E790" s="19" t="s">
        <v>12</v>
      </c>
      <c r="F790" s="20">
        <v>73150</v>
      </c>
    </row>
    <row r="791" spans="2:6">
      <c r="B791" s="8" t="s">
        <v>2359</v>
      </c>
      <c r="C791" s="18" t="s">
        <v>2360</v>
      </c>
      <c r="D791" s="8" t="s">
        <v>2361</v>
      </c>
      <c r="E791" s="19" t="s">
        <v>12</v>
      </c>
      <c r="F791" s="20">
        <v>39050</v>
      </c>
    </row>
    <row r="792" spans="2:6">
      <c r="B792" s="8" t="s">
        <v>2362</v>
      </c>
      <c r="C792" s="18" t="s">
        <v>2363</v>
      </c>
      <c r="D792" s="8" t="s">
        <v>2364</v>
      </c>
      <c r="E792" s="19" t="s">
        <v>12</v>
      </c>
      <c r="F792" s="20">
        <v>85800</v>
      </c>
    </row>
    <row r="793" spans="2:6">
      <c r="B793" s="8" t="s">
        <v>2365</v>
      </c>
      <c r="C793" s="18" t="s">
        <v>2366</v>
      </c>
      <c r="D793" s="8" t="s">
        <v>2367</v>
      </c>
      <c r="E793" s="19" t="s">
        <v>12</v>
      </c>
      <c r="F793" s="20">
        <v>25300.000000000007</v>
      </c>
    </row>
    <row r="794" spans="2:6">
      <c r="B794" s="8" t="s">
        <v>2368</v>
      </c>
      <c r="C794" s="18" t="s">
        <v>2369</v>
      </c>
      <c r="D794" s="8" t="s">
        <v>2370</v>
      </c>
      <c r="E794" s="19" t="s">
        <v>12</v>
      </c>
      <c r="F794" s="20">
        <v>524370</v>
      </c>
    </row>
    <row r="795" spans="2:6">
      <c r="B795" s="8" t="s">
        <v>2371</v>
      </c>
      <c r="C795" s="18" t="s">
        <v>2372</v>
      </c>
      <c r="D795" s="8" t="s">
        <v>2373</v>
      </c>
      <c r="E795" s="19" t="s">
        <v>12</v>
      </c>
      <c r="F795" s="20">
        <v>30866.000000000007</v>
      </c>
    </row>
    <row r="796" spans="2:6">
      <c r="B796" s="8" t="s">
        <v>2374</v>
      </c>
      <c r="C796" s="18" t="s">
        <v>2375</v>
      </c>
      <c r="D796" s="8" t="s">
        <v>2376</v>
      </c>
      <c r="E796" s="19" t="s">
        <v>12</v>
      </c>
      <c r="F796" s="20">
        <v>596750</v>
      </c>
    </row>
    <row r="797" spans="2:6">
      <c r="B797" s="8" t="s">
        <v>2377</v>
      </c>
      <c r="C797" s="18" t="s">
        <v>2378</v>
      </c>
      <c r="D797" s="8" t="s">
        <v>2379</v>
      </c>
      <c r="E797" s="19" t="s">
        <v>12</v>
      </c>
      <c r="F797" s="20">
        <v>54648.000000000015</v>
      </c>
    </row>
    <row r="798" spans="2:6">
      <c r="B798" s="8" t="s">
        <v>2380</v>
      </c>
      <c r="C798" s="18" t="s">
        <v>2381</v>
      </c>
      <c r="D798" s="8" t="s">
        <v>2382</v>
      </c>
      <c r="E798" s="19" t="s">
        <v>12</v>
      </c>
      <c r="F798" s="20">
        <v>25850.000000000004</v>
      </c>
    </row>
    <row r="799" spans="2:6">
      <c r="B799" s="8" t="s">
        <v>2383</v>
      </c>
      <c r="C799" s="18" t="s">
        <v>2384</v>
      </c>
      <c r="D799" s="8" t="s">
        <v>2385</v>
      </c>
      <c r="E799" s="19" t="s">
        <v>12</v>
      </c>
      <c r="F799" s="20">
        <v>15400.000000000002</v>
      </c>
    </row>
    <row r="800" spans="2:6">
      <c r="B800" s="8" t="s">
        <v>2386</v>
      </c>
      <c r="C800" s="18" t="s">
        <v>2387</v>
      </c>
      <c r="D800" s="8" t="s">
        <v>2388</v>
      </c>
      <c r="E800" s="19" t="s">
        <v>12</v>
      </c>
      <c r="F800" s="20">
        <v>228690</v>
      </c>
    </row>
    <row r="801" spans="2:6">
      <c r="B801" s="8" t="s">
        <v>2389</v>
      </c>
      <c r="C801" s="18" t="s">
        <v>2390</v>
      </c>
      <c r="D801" s="8" t="s">
        <v>2391</v>
      </c>
      <c r="E801" s="19" t="s">
        <v>12</v>
      </c>
      <c r="F801" s="20">
        <v>9100</v>
      </c>
    </row>
    <row r="802" spans="2:6">
      <c r="B802" s="8" t="s">
        <v>2392</v>
      </c>
      <c r="C802" s="18" t="s">
        <v>2393</v>
      </c>
      <c r="D802" s="8" t="s">
        <v>2394</v>
      </c>
      <c r="E802" s="19" t="s">
        <v>12</v>
      </c>
      <c r="F802" s="20">
        <v>13000</v>
      </c>
    </row>
    <row r="803" spans="2:6">
      <c r="B803" s="8" t="s">
        <v>2395</v>
      </c>
      <c r="C803" s="18" t="s">
        <v>2396</v>
      </c>
      <c r="D803" s="8" t="s">
        <v>2397</v>
      </c>
      <c r="E803" s="19" t="s">
        <v>12</v>
      </c>
      <c r="F803" s="20">
        <v>89050</v>
      </c>
    </row>
    <row r="804" spans="2:6">
      <c r="B804" s="8" t="s">
        <v>2398</v>
      </c>
      <c r="C804" s="18" t="s">
        <v>2399</v>
      </c>
      <c r="D804" s="8" t="s">
        <v>2400</v>
      </c>
      <c r="E804" s="19" t="s">
        <v>12</v>
      </c>
      <c r="F804" s="20">
        <v>89050</v>
      </c>
    </row>
    <row r="805" spans="2:6">
      <c r="B805" s="8" t="s">
        <v>2401</v>
      </c>
      <c r="C805" s="18" t="s">
        <v>2402</v>
      </c>
      <c r="D805" s="8" t="s">
        <v>2403</v>
      </c>
      <c r="E805" s="19" t="s">
        <v>12</v>
      </c>
      <c r="F805" s="20">
        <v>107250</v>
      </c>
    </row>
    <row r="806" spans="2:6">
      <c r="B806" s="8" t="s">
        <v>2404</v>
      </c>
      <c r="C806" s="18" t="s">
        <v>2405</v>
      </c>
      <c r="D806" s="8" t="s">
        <v>2406</v>
      </c>
      <c r="E806" s="19" t="s">
        <v>12</v>
      </c>
      <c r="F806" s="20">
        <v>157300</v>
      </c>
    </row>
    <row r="807" spans="2:6">
      <c r="B807" s="8" t="s">
        <v>2407</v>
      </c>
      <c r="C807" s="18" t="s">
        <v>2408</v>
      </c>
      <c r="D807" s="8" t="s">
        <v>2409</v>
      </c>
      <c r="E807" s="19" t="s">
        <v>12</v>
      </c>
      <c r="F807" s="20">
        <v>168350</v>
      </c>
    </row>
    <row r="808" spans="2:6">
      <c r="B808" s="8" t="s">
        <v>2410</v>
      </c>
      <c r="C808" s="18" t="s">
        <v>2411</v>
      </c>
      <c r="D808" s="8" t="s">
        <v>2412</v>
      </c>
      <c r="E808" s="19" t="s">
        <v>12</v>
      </c>
      <c r="F808" s="20">
        <v>173550</v>
      </c>
    </row>
    <row r="809" spans="2:6">
      <c r="B809" s="8" t="s">
        <v>2413</v>
      </c>
      <c r="C809" s="18" t="s">
        <v>2414</v>
      </c>
      <c r="D809" s="8" t="s">
        <v>2415</v>
      </c>
      <c r="E809" s="19" t="s">
        <v>12</v>
      </c>
      <c r="F809" s="20">
        <v>44000</v>
      </c>
    </row>
    <row r="810" spans="2:6">
      <c r="B810" s="8" t="s">
        <v>2416</v>
      </c>
      <c r="C810" s="18" t="s">
        <v>2417</v>
      </c>
      <c r="D810" s="8" t="s">
        <v>2418</v>
      </c>
      <c r="E810" s="19" t="s">
        <v>12</v>
      </c>
      <c r="F810" s="20">
        <v>65989</v>
      </c>
    </row>
    <row r="811" spans="2:6">
      <c r="B811" s="8" t="s">
        <v>2419</v>
      </c>
      <c r="C811" s="18" t="s">
        <v>2420</v>
      </c>
      <c r="D811" s="8" t="s">
        <v>2421</v>
      </c>
      <c r="E811" s="19" t="s">
        <v>12</v>
      </c>
      <c r="F811" s="20">
        <v>65989</v>
      </c>
    </row>
    <row r="812" spans="2:6">
      <c r="B812" s="8" t="s">
        <v>2422</v>
      </c>
      <c r="C812" s="18" t="s">
        <v>2423</v>
      </c>
      <c r="D812" s="8" t="s">
        <v>2424</v>
      </c>
      <c r="E812" s="19" t="s">
        <v>12</v>
      </c>
      <c r="F812" s="20">
        <v>79156</v>
      </c>
    </row>
    <row r="813" spans="2:6">
      <c r="B813" s="8" t="s">
        <v>2425</v>
      </c>
      <c r="C813" s="18" t="s">
        <v>2426</v>
      </c>
      <c r="D813" s="8" t="s">
        <v>2427</v>
      </c>
      <c r="E813" s="19" t="s">
        <v>12</v>
      </c>
      <c r="F813" s="20">
        <v>79156</v>
      </c>
    </row>
    <row r="814" spans="2:6">
      <c r="B814" s="8" t="s">
        <v>2428</v>
      </c>
      <c r="C814" s="18" t="s">
        <v>2429</v>
      </c>
      <c r="D814" s="8" t="s">
        <v>2430</v>
      </c>
      <c r="E814" s="19" t="s">
        <v>12</v>
      </c>
      <c r="F814" s="20">
        <v>12969.6</v>
      </c>
    </row>
    <row r="815" spans="2:6">
      <c r="B815" s="8" t="s">
        <v>2431</v>
      </c>
      <c r="C815" s="18" t="s">
        <v>2432</v>
      </c>
      <c r="D815" s="8" t="s">
        <v>2433</v>
      </c>
      <c r="E815" s="19" t="s">
        <v>12</v>
      </c>
      <c r="F815" s="20">
        <v>873.6</v>
      </c>
    </row>
    <row r="816" spans="2:6">
      <c r="B816" s="8" t="s">
        <v>2434</v>
      </c>
      <c r="C816" s="25" t="s">
        <v>2435</v>
      </c>
      <c r="D816" s="8" t="s">
        <v>2436</v>
      </c>
      <c r="E816" s="19" t="s">
        <v>12</v>
      </c>
      <c r="F816" s="20">
        <v>3465000.0000000005</v>
      </c>
    </row>
    <row r="817" spans="2:6">
      <c r="B817" s="8" t="s">
        <v>2437</v>
      </c>
      <c r="C817" s="18" t="s">
        <v>2438</v>
      </c>
      <c r="D817" s="8" t="s">
        <v>2439</v>
      </c>
      <c r="E817" s="19" t="s">
        <v>12</v>
      </c>
      <c r="F817" s="20">
        <v>6861.4</v>
      </c>
    </row>
    <row r="818" spans="2:6">
      <c r="B818" s="8" t="s">
        <v>2440</v>
      </c>
      <c r="C818" s="18" t="s">
        <v>2441</v>
      </c>
      <c r="D818" s="8" t="s">
        <v>2442</v>
      </c>
      <c r="E818" s="19" t="s">
        <v>12</v>
      </c>
      <c r="F818" s="20">
        <v>8821.7999999999993</v>
      </c>
    </row>
    <row r="819" spans="2:6">
      <c r="B819" s="8" t="s">
        <v>2443</v>
      </c>
      <c r="C819" s="26" t="s">
        <v>2444</v>
      </c>
      <c r="D819" s="8" t="s">
        <v>2445</v>
      </c>
      <c r="E819" s="19" t="s">
        <v>12</v>
      </c>
      <c r="F819" s="20">
        <v>17875</v>
      </c>
    </row>
    <row r="820" spans="2:6">
      <c r="B820" s="8" t="s">
        <v>2446</v>
      </c>
      <c r="C820" s="18" t="s">
        <v>2447</v>
      </c>
      <c r="D820" s="8" t="s">
        <v>2448</v>
      </c>
      <c r="E820" s="19" t="s">
        <v>12</v>
      </c>
      <c r="F820" s="20">
        <v>13580</v>
      </c>
    </row>
    <row r="821" spans="2:6">
      <c r="B821" s="8" t="s">
        <v>2449</v>
      </c>
      <c r="C821" s="18" t="s">
        <v>2450</v>
      </c>
      <c r="D821" s="8" t="s">
        <v>2451</v>
      </c>
      <c r="E821" s="19" t="s">
        <v>12</v>
      </c>
      <c r="F821" s="20">
        <v>11491.2</v>
      </c>
    </row>
    <row r="822" spans="2:6">
      <c r="B822" s="8" t="s">
        <v>2452</v>
      </c>
      <c r="C822" s="18" t="s">
        <v>2453</v>
      </c>
      <c r="D822" s="8" t="s">
        <v>2454</v>
      </c>
      <c r="E822" s="19" t="s">
        <v>12</v>
      </c>
      <c r="F822" s="20">
        <v>6409</v>
      </c>
    </row>
    <row r="823" spans="2:6">
      <c r="B823" s="8" t="s">
        <v>2455</v>
      </c>
      <c r="C823" s="26" t="s">
        <v>2456</v>
      </c>
      <c r="D823" s="8" t="s">
        <v>2457</v>
      </c>
      <c r="E823" s="19" t="s">
        <v>12</v>
      </c>
      <c r="F823" s="20">
        <v>4422</v>
      </c>
    </row>
    <row r="824" spans="2:6">
      <c r="B824" s="8" t="s">
        <v>2458</v>
      </c>
      <c r="C824" s="26" t="s">
        <v>2459</v>
      </c>
      <c r="D824" s="8" t="s">
        <v>2460</v>
      </c>
      <c r="E824" s="19" t="s">
        <v>12</v>
      </c>
      <c r="F824" s="20">
        <v>3960</v>
      </c>
    </row>
    <row r="825" spans="2:6">
      <c r="B825" s="8" t="s">
        <v>2461</v>
      </c>
      <c r="C825" s="26" t="s">
        <v>2462</v>
      </c>
      <c r="D825" s="8" t="s">
        <v>2463</v>
      </c>
      <c r="E825" s="19" t="s">
        <v>12</v>
      </c>
      <c r="F825" s="20">
        <v>7260.0000000000009</v>
      </c>
    </row>
    <row r="826" spans="2:6">
      <c r="B826" s="8" t="s">
        <v>2464</v>
      </c>
      <c r="C826" s="26" t="s">
        <v>2465</v>
      </c>
      <c r="D826" s="8" t="s">
        <v>2466</v>
      </c>
      <c r="E826" s="19" t="s">
        <v>12</v>
      </c>
      <c r="F826" s="20">
        <v>14960.000000000002</v>
      </c>
    </row>
    <row r="827" spans="2:6">
      <c r="B827" s="8" t="s">
        <v>2467</v>
      </c>
      <c r="C827" s="26" t="s">
        <v>2468</v>
      </c>
      <c r="D827" s="8" t="s">
        <v>2469</v>
      </c>
      <c r="E827" s="19" t="s">
        <v>12</v>
      </c>
      <c r="F827" s="20">
        <v>17875</v>
      </c>
    </row>
    <row r="828" spans="2:6">
      <c r="B828" s="8" t="s">
        <v>2470</v>
      </c>
      <c r="C828" s="18" t="s">
        <v>2471</v>
      </c>
      <c r="D828" s="8" t="s">
        <v>2472</v>
      </c>
      <c r="E828" s="19" t="s">
        <v>12</v>
      </c>
      <c r="F828" s="20">
        <v>3849.9999999999995</v>
      </c>
    </row>
    <row r="829" spans="2:6">
      <c r="B829" s="8" t="s">
        <v>2473</v>
      </c>
      <c r="C829" s="18" t="s">
        <v>2474</v>
      </c>
      <c r="D829" s="8" t="s">
        <v>2475</v>
      </c>
      <c r="E829" s="19" t="s">
        <v>12</v>
      </c>
      <c r="F829" s="20">
        <v>6988.8</v>
      </c>
    </row>
    <row r="830" spans="2:6">
      <c r="B830" s="8" t="s">
        <v>2476</v>
      </c>
      <c r="C830" s="18" t="s">
        <v>2477</v>
      </c>
      <c r="D830" s="8" t="s">
        <v>2478</v>
      </c>
      <c r="E830" s="19" t="s">
        <v>12</v>
      </c>
      <c r="F830" s="20">
        <v>5040</v>
      </c>
    </row>
    <row r="831" spans="2:6">
      <c r="B831" s="8" t="s">
        <v>2479</v>
      </c>
      <c r="C831" s="18" t="s">
        <v>2480</v>
      </c>
      <c r="D831" s="8" t="s">
        <v>2481</v>
      </c>
      <c r="E831" s="19" t="s">
        <v>12</v>
      </c>
      <c r="F831" s="20">
        <v>12365.6</v>
      </c>
    </row>
    <row r="832" spans="2:6">
      <c r="B832" s="8" t="s">
        <v>2482</v>
      </c>
      <c r="C832" s="18" t="s">
        <v>2483</v>
      </c>
      <c r="D832" s="8" t="s">
        <v>2484</v>
      </c>
      <c r="E832" s="19" t="s">
        <v>12</v>
      </c>
      <c r="F832" s="20">
        <v>11894.400000000001</v>
      </c>
    </row>
    <row r="833" spans="2:6">
      <c r="B833" s="8" t="s">
        <v>2485</v>
      </c>
      <c r="C833" s="18" t="s">
        <v>2486</v>
      </c>
      <c r="D833" s="8" t="s">
        <v>2487</v>
      </c>
      <c r="E833" s="19" t="s">
        <v>12</v>
      </c>
      <c r="F833" s="20">
        <v>8000</v>
      </c>
    </row>
    <row r="834" spans="2:6">
      <c r="B834" s="8" t="s">
        <v>2488</v>
      </c>
      <c r="C834" s="32" t="s">
        <v>2489</v>
      </c>
      <c r="D834" s="8" t="s">
        <v>2490</v>
      </c>
      <c r="E834" s="19" t="s">
        <v>12</v>
      </c>
      <c r="F834" s="20">
        <v>14293.519999999999</v>
      </c>
    </row>
    <row r="835" spans="2:6">
      <c r="B835" s="8" t="s">
        <v>2491</v>
      </c>
      <c r="C835" s="32" t="s">
        <v>2492</v>
      </c>
      <c r="D835" s="8" t="s">
        <v>2493</v>
      </c>
      <c r="E835" s="19" t="s">
        <v>12</v>
      </c>
      <c r="F835" s="20">
        <v>9796.1999999999989</v>
      </c>
    </row>
    <row r="836" spans="2:6">
      <c r="B836" s="8" t="s">
        <v>2494</v>
      </c>
      <c r="C836" s="32" t="s">
        <v>2495</v>
      </c>
      <c r="D836" s="8" t="s">
        <v>2496</v>
      </c>
      <c r="E836" s="19" t="s">
        <v>12</v>
      </c>
      <c r="F836" s="20">
        <v>9820.56</v>
      </c>
    </row>
    <row r="837" spans="2:6">
      <c r="B837" s="8" t="s">
        <v>2497</v>
      </c>
      <c r="C837" s="32" t="s">
        <v>2498</v>
      </c>
      <c r="D837" s="8" t="s">
        <v>2499</v>
      </c>
      <c r="E837" s="19" t="s">
        <v>12</v>
      </c>
      <c r="F837" s="20">
        <v>9464.4399999999987</v>
      </c>
    </row>
    <row r="838" spans="2:6">
      <c r="B838" s="8" t="s">
        <v>2500</v>
      </c>
      <c r="C838" s="32" t="s">
        <v>2501</v>
      </c>
      <c r="D838" s="8" t="s">
        <v>2502</v>
      </c>
      <c r="E838" s="19" t="s">
        <v>12</v>
      </c>
      <c r="F838" s="20">
        <v>9690.64</v>
      </c>
    </row>
    <row r="839" spans="2:6">
      <c r="B839" s="8" t="s">
        <v>2503</v>
      </c>
      <c r="C839" s="32" t="s">
        <v>2504</v>
      </c>
      <c r="D839" s="8" t="s">
        <v>2505</v>
      </c>
      <c r="E839" s="19" t="s">
        <v>12</v>
      </c>
      <c r="F839" s="20">
        <v>9425</v>
      </c>
    </row>
    <row r="840" spans="2:6">
      <c r="B840" s="8" t="s">
        <v>2506</v>
      </c>
      <c r="C840" s="32" t="s">
        <v>2507</v>
      </c>
      <c r="D840" s="8" t="s">
        <v>2508</v>
      </c>
      <c r="E840" s="19" t="s">
        <v>12</v>
      </c>
      <c r="F840" s="20">
        <v>9462.119999999999</v>
      </c>
    </row>
    <row r="841" spans="2:6">
      <c r="B841" s="8" t="s">
        <v>2509</v>
      </c>
      <c r="C841" s="18" t="s">
        <v>2510</v>
      </c>
      <c r="D841" s="8" t="s">
        <v>2511</v>
      </c>
      <c r="E841" s="19" t="s">
        <v>12</v>
      </c>
      <c r="F841" s="20">
        <v>135000</v>
      </c>
    </row>
    <row r="842" spans="2:6">
      <c r="B842" s="8" t="s">
        <v>2512</v>
      </c>
      <c r="C842" s="18" t="s">
        <v>2513</v>
      </c>
      <c r="D842" s="8" t="s">
        <v>2514</v>
      </c>
      <c r="E842" s="19" t="s">
        <v>12</v>
      </c>
      <c r="F842" s="20">
        <v>185000</v>
      </c>
    </row>
    <row r="843" spans="2:6">
      <c r="B843" s="8" t="s">
        <v>2515</v>
      </c>
      <c r="C843" s="18" t="s">
        <v>2516</v>
      </c>
      <c r="D843" s="8" t="s">
        <v>2517</v>
      </c>
      <c r="E843" s="19" t="s">
        <v>12</v>
      </c>
      <c r="F843" s="20">
        <v>145000</v>
      </c>
    </row>
    <row r="844" spans="2:6">
      <c r="B844" s="8" t="s">
        <v>2518</v>
      </c>
      <c r="C844" s="18" t="s">
        <v>2519</v>
      </c>
      <c r="D844" s="8" t="s">
        <v>2520</v>
      </c>
      <c r="E844" s="19" t="s">
        <v>12</v>
      </c>
      <c r="F844" s="20">
        <v>800</v>
      </c>
    </row>
    <row r="845" spans="2:6">
      <c r="B845" s="8" t="s">
        <v>2521</v>
      </c>
      <c r="C845" s="24" t="s">
        <v>2522</v>
      </c>
      <c r="D845" s="8" t="s">
        <v>2523</v>
      </c>
      <c r="E845" s="19" t="s">
        <v>12</v>
      </c>
      <c r="F845" s="20">
        <v>18000</v>
      </c>
    </row>
    <row r="846" spans="2:6">
      <c r="B846" s="8" t="s">
        <v>2524</v>
      </c>
      <c r="C846" s="18" t="s">
        <v>2525</v>
      </c>
      <c r="D846" s="8" t="s">
        <v>2526</v>
      </c>
      <c r="E846" s="19" t="s">
        <v>12</v>
      </c>
      <c r="F846" s="20">
        <v>28000</v>
      </c>
    </row>
    <row r="847" spans="2:6">
      <c r="B847" s="8" t="s">
        <v>2527</v>
      </c>
      <c r="C847" s="24" t="s">
        <v>2528</v>
      </c>
      <c r="D847" s="8" t="s">
        <v>2529</v>
      </c>
      <c r="E847" s="19" t="s">
        <v>12</v>
      </c>
      <c r="F847" s="20">
        <v>50000</v>
      </c>
    </row>
    <row r="848" spans="2:6">
      <c r="B848" s="8" t="s">
        <v>2530</v>
      </c>
      <c r="C848" s="24" t="s">
        <v>2531</v>
      </c>
      <c r="D848" s="8" t="s">
        <v>2532</v>
      </c>
      <c r="E848" s="19" t="s">
        <v>2533</v>
      </c>
      <c r="F848" s="20">
        <v>25000</v>
      </c>
    </row>
    <row r="849" spans="2:6">
      <c r="B849" s="8" t="s">
        <v>2534</v>
      </c>
      <c r="C849" s="18" t="s">
        <v>2535</v>
      </c>
      <c r="D849" s="8" t="s">
        <v>2536</v>
      </c>
      <c r="E849" s="19" t="s">
        <v>12</v>
      </c>
      <c r="F849" s="20">
        <v>498000</v>
      </c>
    </row>
    <row r="850" spans="2:6">
      <c r="B850" s="8" t="s">
        <v>2537</v>
      </c>
      <c r="C850" s="18" t="s">
        <v>2538</v>
      </c>
      <c r="D850" s="8" t="s">
        <v>2539</v>
      </c>
      <c r="E850" s="19" t="s">
        <v>12</v>
      </c>
      <c r="F850" s="20">
        <v>495000</v>
      </c>
    </row>
    <row r="851" spans="2:6">
      <c r="B851" s="8" t="s">
        <v>2540</v>
      </c>
      <c r="C851" s="18" t="s">
        <v>2541</v>
      </c>
      <c r="D851" s="8" t="s">
        <v>2542</v>
      </c>
      <c r="E851" s="19" t="s">
        <v>12</v>
      </c>
      <c r="F851" s="20">
        <v>221900</v>
      </c>
    </row>
    <row r="852" spans="2:6">
      <c r="B852" s="8" t="s">
        <v>2543</v>
      </c>
      <c r="C852" s="18" t="s">
        <v>2544</v>
      </c>
      <c r="D852" s="8" t="s">
        <v>2545</v>
      </c>
      <c r="E852" s="19" t="s">
        <v>12</v>
      </c>
      <c r="F852" s="20">
        <v>393400</v>
      </c>
    </row>
    <row r="853" spans="2:6">
      <c r="B853" s="8" t="s">
        <v>2546</v>
      </c>
      <c r="C853" s="18" t="s">
        <v>2547</v>
      </c>
      <c r="D853" s="8" t="s">
        <v>2548</v>
      </c>
      <c r="E853" s="19" t="s">
        <v>12</v>
      </c>
      <c r="F853" s="20">
        <v>240800</v>
      </c>
    </row>
    <row r="854" spans="2:6">
      <c r="B854" s="8" t="s">
        <v>2549</v>
      </c>
      <c r="C854" s="18" t="s">
        <v>2550</v>
      </c>
      <c r="D854" s="8" t="s">
        <v>2551</v>
      </c>
      <c r="E854" s="19" t="s">
        <v>12</v>
      </c>
      <c r="F854" s="20">
        <v>125000</v>
      </c>
    </row>
    <row r="855" spans="2:6">
      <c r="B855" s="8" t="s">
        <v>2552</v>
      </c>
      <c r="C855" s="18" t="s">
        <v>2553</v>
      </c>
      <c r="D855" s="8" t="s">
        <v>2554</v>
      </c>
      <c r="E855" s="19" t="s">
        <v>12</v>
      </c>
      <c r="F855" s="20">
        <v>215000</v>
      </c>
    </row>
    <row r="856" spans="2:6" ht="26.4">
      <c r="B856" s="8" t="s">
        <v>2555</v>
      </c>
      <c r="C856" s="18" t="s">
        <v>2556</v>
      </c>
      <c r="D856" s="8" t="s">
        <v>2557</v>
      </c>
      <c r="E856" s="19" t="s">
        <v>12</v>
      </c>
      <c r="F856" s="20">
        <v>248500</v>
      </c>
    </row>
    <row r="857" spans="2:6">
      <c r="B857" s="8" t="s">
        <v>2558</v>
      </c>
      <c r="C857" s="18" t="s">
        <v>2559</v>
      </c>
      <c r="D857" s="8" t="s">
        <v>2560</v>
      </c>
      <c r="E857" s="19" t="s">
        <v>12</v>
      </c>
      <c r="F857" s="20">
        <v>350000</v>
      </c>
    </row>
    <row r="858" spans="2:6">
      <c r="B858" s="8" t="s">
        <v>2561</v>
      </c>
      <c r="C858" s="24" t="s">
        <v>2562</v>
      </c>
      <c r="D858" s="8" t="s">
        <v>2563</v>
      </c>
      <c r="E858" s="19" t="s">
        <v>12</v>
      </c>
      <c r="F858" s="20">
        <v>285000</v>
      </c>
    </row>
    <row r="859" spans="2:6">
      <c r="B859" s="8" t="s">
        <v>2564</v>
      </c>
      <c r="C859" s="24" t="s">
        <v>2565</v>
      </c>
      <c r="D859" s="8" t="s">
        <v>2566</v>
      </c>
      <c r="E859" s="19" t="s">
        <v>12</v>
      </c>
      <c r="F859" s="20">
        <v>246100</v>
      </c>
    </row>
    <row r="860" spans="2:6">
      <c r="B860" s="8" t="s">
        <v>2567</v>
      </c>
      <c r="C860" s="18" t="s">
        <v>2568</v>
      </c>
      <c r="D860" s="8" t="s">
        <v>2569</v>
      </c>
      <c r="E860" s="19" t="s">
        <v>12</v>
      </c>
      <c r="F860" s="20">
        <v>1380000</v>
      </c>
    </row>
    <row r="861" spans="2:6">
      <c r="B861" s="8" t="s">
        <v>2570</v>
      </c>
      <c r="C861" s="18" t="s">
        <v>2571</v>
      </c>
      <c r="D861" s="8" t="s">
        <v>2572</v>
      </c>
      <c r="E861" s="19" t="s">
        <v>12</v>
      </c>
      <c r="F861" s="20">
        <v>85000</v>
      </c>
    </row>
    <row r="862" spans="2:6">
      <c r="B862" s="8" t="s">
        <v>2573</v>
      </c>
      <c r="C862" s="18" t="s">
        <v>2574</v>
      </c>
      <c r="D862" s="8" t="s">
        <v>2575</v>
      </c>
      <c r="E862" s="19" t="s">
        <v>12</v>
      </c>
      <c r="F862" s="20">
        <v>121799.99999999999</v>
      </c>
    </row>
    <row r="863" spans="2:6">
      <c r="B863" s="8" t="s">
        <v>2576</v>
      </c>
      <c r="C863" s="18" t="s">
        <v>2577</v>
      </c>
      <c r="D863" s="8" t="s">
        <v>2578</v>
      </c>
      <c r="E863" s="19" t="s">
        <v>12</v>
      </c>
      <c r="F863" s="20">
        <v>342200</v>
      </c>
    </row>
    <row r="864" spans="2:6">
      <c r="B864" s="8" t="s">
        <v>2579</v>
      </c>
      <c r="C864" s="25" t="s">
        <v>2580</v>
      </c>
      <c r="D864" s="8" t="s">
        <v>2581</v>
      </c>
      <c r="E864" s="19" t="s">
        <v>12</v>
      </c>
      <c r="F864" s="20">
        <v>65000</v>
      </c>
    </row>
    <row r="865" spans="2:6">
      <c r="B865" s="8" t="s">
        <v>2582</v>
      </c>
      <c r="C865" s="30" t="s">
        <v>2583</v>
      </c>
      <c r="D865" s="8" t="s">
        <v>2584</v>
      </c>
      <c r="E865" s="19" t="s">
        <v>12</v>
      </c>
      <c r="F865" s="22">
        <v>81200</v>
      </c>
    </row>
    <row r="866" spans="2:6">
      <c r="B866" s="8" t="s">
        <v>2585</v>
      </c>
      <c r="C866" s="30" t="s">
        <v>2586</v>
      </c>
      <c r="D866" s="8" t="s">
        <v>2587</v>
      </c>
      <c r="E866" s="19" t="s">
        <v>12</v>
      </c>
      <c r="F866" s="22">
        <v>60319.999999999993</v>
      </c>
    </row>
    <row r="867" spans="2:6">
      <c r="B867" s="8" t="s">
        <v>2588</v>
      </c>
      <c r="C867" s="30" t="s">
        <v>2589</v>
      </c>
      <c r="D867" s="8" t="s">
        <v>2590</v>
      </c>
      <c r="E867" s="19" t="s">
        <v>12</v>
      </c>
      <c r="F867" s="22">
        <v>49880</v>
      </c>
    </row>
    <row r="868" spans="2:6">
      <c r="B868" s="8" t="s">
        <v>2591</v>
      </c>
      <c r="C868" s="30" t="s">
        <v>2592</v>
      </c>
      <c r="D868" s="8" t="s">
        <v>2593</v>
      </c>
      <c r="E868" s="19" t="s">
        <v>12</v>
      </c>
      <c r="F868" s="22">
        <v>100340</v>
      </c>
    </row>
    <row r="869" spans="2:6">
      <c r="B869" s="8" t="s">
        <v>2594</v>
      </c>
      <c r="C869" s="30" t="s">
        <v>2595</v>
      </c>
      <c r="D869" s="8" t="s">
        <v>2596</v>
      </c>
      <c r="E869" s="19" t="s">
        <v>12</v>
      </c>
      <c r="F869" s="20">
        <v>93000</v>
      </c>
    </row>
    <row r="870" spans="2:6">
      <c r="B870" s="8" t="s">
        <v>2597</v>
      </c>
      <c r="C870" s="34" t="s">
        <v>2598</v>
      </c>
      <c r="D870" s="8" t="s">
        <v>2599</v>
      </c>
      <c r="E870" s="19" t="s">
        <v>12</v>
      </c>
      <c r="F870" s="20">
        <v>348000</v>
      </c>
    </row>
    <row r="871" spans="2:6" ht="26.4">
      <c r="B871" s="8" t="s">
        <v>2600</v>
      </c>
      <c r="C871" s="18" t="s">
        <v>2601</v>
      </c>
      <c r="D871" s="8" t="s">
        <v>2602</v>
      </c>
      <c r="E871" s="19" t="s">
        <v>12</v>
      </c>
      <c r="F871" s="20">
        <v>250000</v>
      </c>
    </row>
    <row r="872" spans="2:6" ht="26.4">
      <c r="B872" s="8" t="s">
        <v>2603</v>
      </c>
      <c r="C872" s="18" t="s">
        <v>2604</v>
      </c>
      <c r="D872" s="8" t="s">
        <v>2605</v>
      </c>
      <c r="E872" s="19" t="s">
        <v>12</v>
      </c>
      <c r="F872" s="20">
        <v>180000</v>
      </c>
    </row>
    <row r="873" spans="2:6">
      <c r="B873" s="8" t="s">
        <v>2606</v>
      </c>
      <c r="C873" s="18" t="s">
        <v>2607</v>
      </c>
      <c r="D873" s="8" t="s">
        <v>2608</v>
      </c>
      <c r="E873" s="19" t="s">
        <v>12</v>
      </c>
      <c r="F873" s="20">
        <v>342000</v>
      </c>
    </row>
    <row r="874" spans="2:6" ht="26.4">
      <c r="B874" s="8" t="s">
        <v>2609</v>
      </c>
      <c r="C874" s="24" t="s">
        <v>2610</v>
      </c>
      <c r="D874" s="8" t="s">
        <v>2611</v>
      </c>
      <c r="E874" s="19" t="s">
        <v>12</v>
      </c>
      <c r="F874" s="20">
        <v>411000</v>
      </c>
    </row>
    <row r="875" spans="2:6">
      <c r="B875" s="8" t="s">
        <v>2612</v>
      </c>
      <c r="C875" s="18" t="s">
        <v>2613</v>
      </c>
      <c r="D875" s="8" t="s">
        <v>2614</v>
      </c>
      <c r="E875" s="19" t="s">
        <v>12</v>
      </c>
      <c r="F875" s="20">
        <v>1320000</v>
      </c>
    </row>
    <row r="876" spans="2:6" ht="26.4">
      <c r="B876" s="8" t="s">
        <v>2615</v>
      </c>
      <c r="C876" s="18" t="s">
        <v>2616</v>
      </c>
      <c r="D876" s="8" t="s">
        <v>2617</v>
      </c>
      <c r="E876" s="19" t="s">
        <v>12</v>
      </c>
      <c r="F876" s="20">
        <v>40600</v>
      </c>
    </row>
    <row r="877" spans="2:6">
      <c r="B877" s="8" t="s">
        <v>2618</v>
      </c>
      <c r="C877" s="18" t="s">
        <v>2619</v>
      </c>
      <c r="D877" s="8" t="s">
        <v>2620</v>
      </c>
      <c r="E877" s="19" t="s">
        <v>3</v>
      </c>
      <c r="F877" s="20">
        <v>247200</v>
      </c>
    </row>
    <row r="878" spans="2:6">
      <c r="B878" s="8" t="s">
        <v>2621</v>
      </c>
      <c r="C878" s="18" t="s">
        <v>2622</v>
      </c>
      <c r="D878" s="8" t="s">
        <v>2623</v>
      </c>
      <c r="E878" s="19" t="s">
        <v>12</v>
      </c>
      <c r="F878" s="20">
        <v>232200</v>
      </c>
    </row>
    <row r="879" spans="2:6">
      <c r="B879" s="8" t="s">
        <v>2624</v>
      </c>
      <c r="C879" s="18" t="s">
        <v>2625</v>
      </c>
      <c r="D879" s="8" t="s">
        <v>2626</v>
      </c>
      <c r="E879" s="19" t="s">
        <v>12</v>
      </c>
      <c r="F879" s="20">
        <v>211300</v>
      </c>
    </row>
    <row r="880" spans="2:6">
      <c r="B880" s="8" t="s">
        <v>2627</v>
      </c>
      <c r="C880" s="18" t="s">
        <v>2628</v>
      </c>
      <c r="D880" s="8" t="s">
        <v>2629</v>
      </c>
      <c r="E880" s="19" t="s">
        <v>12</v>
      </c>
      <c r="F880" s="20">
        <v>35000</v>
      </c>
    </row>
    <row r="881" spans="2:6">
      <c r="B881" s="8" t="s">
        <v>2630</v>
      </c>
      <c r="C881" s="26" t="s">
        <v>2631</v>
      </c>
      <c r="D881" s="8" t="s">
        <v>2632</v>
      </c>
      <c r="E881" s="19" t="s">
        <v>12</v>
      </c>
      <c r="F881" s="20">
        <v>2900000</v>
      </c>
    </row>
    <row r="882" spans="2:6">
      <c r="B882" s="8" t="s">
        <v>2633</v>
      </c>
      <c r="C882" s="26" t="s">
        <v>2634</v>
      </c>
      <c r="D882" s="8" t="s">
        <v>2635</v>
      </c>
      <c r="E882" s="19" t="s">
        <v>12</v>
      </c>
      <c r="F882" s="20">
        <v>812000</v>
      </c>
    </row>
    <row r="883" spans="2:6">
      <c r="B883" s="8" t="s">
        <v>2636</v>
      </c>
      <c r="C883" s="26" t="s">
        <v>2637</v>
      </c>
      <c r="D883" s="8" t="s">
        <v>2638</v>
      </c>
      <c r="E883" s="19" t="s">
        <v>12</v>
      </c>
      <c r="F883" s="20">
        <v>2320000</v>
      </c>
    </row>
    <row r="884" spans="2:6">
      <c r="B884" s="8" t="s">
        <v>2639</v>
      </c>
      <c r="C884" s="26" t="s">
        <v>2640</v>
      </c>
      <c r="D884" s="8" t="s">
        <v>2641</v>
      </c>
      <c r="E884" s="19" t="s">
        <v>12</v>
      </c>
      <c r="F884" s="20">
        <v>2969.6</v>
      </c>
    </row>
    <row r="885" spans="2:6">
      <c r="B885" s="8" t="s">
        <v>2642</v>
      </c>
      <c r="C885" s="26" t="s">
        <v>2643</v>
      </c>
      <c r="D885" s="8" t="s">
        <v>2644</v>
      </c>
      <c r="E885" s="19" t="s">
        <v>12</v>
      </c>
      <c r="F885" s="20">
        <v>1600</v>
      </c>
    </row>
    <row r="886" spans="2:6">
      <c r="B886" s="8" t="s">
        <v>2645</v>
      </c>
      <c r="C886" s="18" t="s">
        <v>2646</v>
      </c>
      <c r="D886" s="8" t="s">
        <v>2647</v>
      </c>
      <c r="E886" s="19" t="s">
        <v>12</v>
      </c>
      <c r="F886" s="20">
        <v>15000</v>
      </c>
    </row>
    <row r="887" spans="2:6">
      <c r="B887" s="8" t="s">
        <v>2648</v>
      </c>
      <c r="C887" s="18" t="s">
        <v>2649</v>
      </c>
      <c r="D887" s="8" t="s">
        <v>2650</v>
      </c>
      <c r="E887" s="19" t="s">
        <v>12</v>
      </c>
      <c r="F887" s="20">
        <v>8500</v>
      </c>
    </row>
    <row r="888" spans="2:6">
      <c r="B888" s="8" t="s">
        <v>2651</v>
      </c>
      <c r="C888" s="18" t="s">
        <v>2652</v>
      </c>
      <c r="D888" s="8" t="s">
        <v>2653</v>
      </c>
      <c r="E888" s="19" t="s">
        <v>12</v>
      </c>
      <c r="F888" s="20">
        <v>5500</v>
      </c>
    </row>
    <row r="889" spans="2:6">
      <c r="B889" s="8" t="s">
        <v>2654</v>
      </c>
      <c r="C889" s="18" t="s">
        <v>2655</v>
      </c>
      <c r="D889" s="8" t="s">
        <v>2656</v>
      </c>
      <c r="E889" s="19" t="s">
        <v>12</v>
      </c>
      <c r="F889" s="20">
        <v>25</v>
      </c>
    </row>
    <row r="890" spans="2:6">
      <c r="B890" s="8" t="s">
        <v>2657</v>
      </c>
      <c r="C890" s="18" t="s">
        <v>2658</v>
      </c>
      <c r="D890" s="8" t="s">
        <v>2659</v>
      </c>
      <c r="E890" s="19" t="s">
        <v>12</v>
      </c>
      <c r="F890" s="20">
        <v>25000</v>
      </c>
    </row>
    <row r="891" spans="2:6">
      <c r="B891" s="8" t="s">
        <v>2660</v>
      </c>
      <c r="C891" s="18" t="s">
        <v>2661</v>
      </c>
      <c r="D891" s="8" t="s">
        <v>2662</v>
      </c>
      <c r="E891" s="19" t="s">
        <v>12</v>
      </c>
      <c r="F891" s="20">
        <v>515039.99999999994</v>
      </c>
    </row>
    <row r="892" spans="2:6">
      <c r="B892" s="8" t="s">
        <v>2663</v>
      </c>
      <c r="C892" s="18" t="s">
        <v>2664</v>
      </c>
      <c r="D892" s="8" t="s">
        <v>2665</v>
      </c>
      <c r="E892" s="19" t="s">
        <v>12</v>
      </c>
      <c r="F892" s="20">
        <v>245000</v>
      </c>
    </row>
    <row r="893" spans="2:6">
      <c r="B893" s="8" t="s">
        <v>2666</v>
      </c>
      <c r="C893" s="26" t="s">
        <v>2667</v>
      </c>
      <c r="D893" s="8" t="s">
        <v>2668</v>
      </c>
      <c r="E893" s="19" t="s">
        <v>12</v>
      </c>
      <c r="F893" s="20">
        <v>17864</v>
      </c>
    </row>
    <row r="894" spans="2:6">
      <c r="B894" s="8" t="s">
        <v>2669</v>
      </c>
      <c r="C894" s="18" t="s">
        <v>2670</v>
      </c>
      <c r="D894" s="8" t="s">
        <v>2671</v>
      </c>
      <c r="E894" s="19" t="s">
        <v>12</v>
      </c>
      <c r="F894" s="20">
        <v>1000000</v>
      </c>
    </row>
    <row r="895" spans="2:6">
      <c r="B895" s="8" t="s">
        <v>2672</v>
      </c>
      <c r="C895" s="18" t="s">
        <v>2673</v>
      </c>
      <c r="D895" s="8" t="s">
        <v>2674</v>
      </c>
      <c r="E895" s="19" t="s">
        <v>12</v>
      </c>
      <c r="F895" s="20">
        <v>350000</v>
      </c>
    </row>
    <row r="896" spans="2:6">
      <c r="B896" s="8" t="s">
        <v>2675</v>
      </c>
      <c r="C896" s="18" t="s">
        <v>2676</v>
      </c>
      <c r="D896" s="8" t="s">
        <v>2677</v>
      </c>
      <c r="E896" s="19" t="s">
        <v>12</v>
      </c>
      <c r="F896" s="20">
        <v>17000</v>
      </c>
    </row>
    <row r="897" spans="2:6">
      <c r="B897" s="8" t="s">
        <v>2678</v>
      </c>
      <c r="C897" s="18" t="s">
        <v>2679</v>
      </c>
      <c r="D897" s="8" t="s">
        <v>2680</v>
      </c>
      <c r="E897" s="19" t="s">
        <v>12</v>
      </c>
      <c r="F897" s="20">
        <v>1482745.0000000002</v>
      </c>
    </row>
    <row r="898" spans="2:6">
      <c r="B898" s="8" t="s">
        <v>2681</v>
      </c>
      <c r="C898" s="18" t="s">
        <v>2682</v>
      </c>
      <c r="D898" s="8" t="s">
        <v>2683</v>
      </c>
      <c r="E898" s="19" t="s">
        <v>12</v>
      </c>
      <c r="F898" s="20">
        <v>187000</v>
      </c>
    </row>
    <row r="899" spans="2:6">
      <c r="B899" s="8" t="s">
        <v>2684</v>
      </c>
      <c r="C899" s="18" t="s">
        <v>2685</v>
      </c>
      <c r="D899" s="8" t="s">
        <v>2686</v>
      </c>
      <c r="E899" s="19" t="s">
        <v>12</v>
      </c>
      <c r="F899" s="20">
        <v>0</v>
      </c>
    </row>
    <row r="900" spans="2:6">
      <c r="B900" s="8" t="s">
        <v>2687</v>
      </c>
      <c r="C900" s="32" t="s">
        <v>2688</v>
      </c>
      <c r="D900" s="8" t="s">
        <v>2689</v>
      </c>
      <c r="E900" s="19" t="s">
        <v>12</v>
      </c>
      <c r="F900" s="20">
        <v>11388.88</v>
      </c>
    </row>
    <row r="901" spans="2:6">
      <c r="B901" s="8" t="s">
        <v>2690</v>
      </c>
      <c r="C901" s="32" t="s">
        <v>2691</v>
      </c>
      <c r="D901" s="8" t="s">
        <v>2692</v>
      </c>
      <c r="E901" s="19" t="s">
        <v>12</v>
      </c>
      <c r="F901" s="20">
        <v>10614</v>
      </c>
    </row>
    <row r="902" spans="2:6">
      <c r="B902" s="8" t="s">
        <v>2693</v>
      </c>
      <c r="C902" s="32" t="s">
        <v>2694</v>
      </c>
      <c r="D902" s="8" t="s">
        <v>2695</v>
      </c>
      <c r="E902" s="19" t="s">
        <v>12</v>
      </c>
      <c r="F902" s="20">
        <v>10220.759999999998</v>
      </c>
    </row>
    <row r="903" spans="2:6">
      <c r="B903" s="8" t="s">
        <v>2696</v>
      </c>
      <c r="C903" s="32" t="s">
        <v>2697</v>
      </c>
      <c r="D903" s="8" t="s">
        <v>2698</v>
      </c>
      <c r="E903" s="19" t="s">
        <v>12</v>
      </c>
      <c r="F903" s="20">
        <v>10557.16</v>
      </c>
    </row>
    <row r="904" spans="2:6">
      <c r="B904" s="8" t="s">
        <v>2699</v>
      </c>
      <c r="C904" s="32" t="s">
        <v>2700</v>
      </c>
      <c r="D904" s="8" t="s">
        <v>2701</v>
      </c>
      <c r="E904" s="19" t="s">
        <v>12</v>
      </c>
      <c r="F904" s="20">
        <v>9500.4</v>
      </c>
    </row>
    <row r="905" spans="2:6">
      <c r="B905" s="8" t="s">
        <v>2702</v>
      </c>
      <c r="C905" s="32" t="s">
        <v>2703</v>
      </c>
      <c r="D905" s="8" t="s">
        <v>2704</v>
      </c>
      <c r="E905" s="19" t="s">
        <v>12</v>
      </c>
      <c r="F905" s="20">
        <v>9764.8799999999992</v>
      </c>
    </row>
    <row r="906" spans="2:6">
      <c r="B906" s="8" t="s">
        <v>2705</v>
      </c>
      <c r="C906" s="32" t="s">
        <v>2706</v>
      </c>
      <c r="D906" s="8" t="s">
        <v>2707</v>
      </c>
      <c r="E906" s="19" t="s">
        <v>12</v>
      </c>
      <c r="F906" s="20">
        <v>16216.8</v>
      </c>
    </row>
    <row r="907" spans="2:6">
      <c r="B907" s="8" t="s">
        <v>2708</v>
      </c>
      <c r="C907" s="32" t="s">
        <v>2709</v>
      </c>
      <c r="D907" s="8" t="s">
        <v>2710</v>
      </c>
      <c r="E907" s="19" t="s">
        <v>12</v>
      </c>
      <c r="F907" s="20">
        <v>12755.359999999999</v>
      </c>
    </row>
    <row r="908" spans="2:6">
      <c r="B908" s="8" t="s">
        <v>2711</v>
      </c>
      <c r="C908" s="32" t="s">
        <v>2712</v>
      </c>
      <c r="D908" s="8" t="s">
        <v>2713</v>
      </c>
      <c r="E908" s="19" t="s">
        <v>12</v>
      </c>
      <c r="F908" s="20">
        <v>12524.519999999999</v>
      </c>
    </row>
    <row r="909" spans="2:6">
      <c r="B909" s="8" t="s">
        <v>2714</v>
      </c>
      <c r="C909" s="32" t="s">
        <v>2715</v>
      </c>
      <c r="D909" s="8" t="s">
        <v>2716</v>
      </c>
      <c r="E909" s="19" t="s">
        <v>12</v>
      </c>
      <c r="F909" s="20">
        <v>19288.48</v>
      </c>
    </row>
    <row r="910" spans="2:6">
      <c r="B910" s="8" t="s">
        <v>2717</v>
      </c>
      <c r="C910" s="32" t="s">
        <v>2718</v>
      </c>
      <c r="D910" s="8" t="s">
        <v>2719</v>
      </c>
      <c r="E910" s="19" t="s">
        <v>12</v>
      </c>
      <c r="F910" s="20">
        <v>18513.599999999999</v>
      </c>
    </row>
    <row r="911" spans="2:6">
      <c r="B911" s="8" t="s">
        <v>2720</v>
      </c>
      <c r="C911" s="32" t="s">
        <v>2721</v>
      </c>
      <c r="D911" s="8" t="s">
        <v>2722</v>
      </c>
      <c r="E911" s="19" t="s">
        <v>12</v>
      </c>
      <c r="F911" s="20">
        <v>18513.599999999999</v>
      </c>
    </row>
    <row r="912" spans="2:6">
      <c r="B912" s="8" t="s">
        <v>2723</v>
      </c>
      <c r="C912" s="32" t="s">
        <v>2724</v>
      </c>
      <c r="D912" s="8" t="s">
        <v>2725</v>
      </c>
      <c r="E912" s="19" t="s">
        <v>12</v>
      </c>
      <c r="F912" s="20">
        <v>257269.43999999997</v>
      </c>
    </row>
    <row r="913" spans="2:6">
      <c r="B913" s="8" t="s">
        <v>2726</v>
      </c>
      <c r="C913" s="32" t="s">
        <v>2727</v>
      </c>
      <c r="D913" s="8" t="s">
        <v>2728</v>
      </c>
      <c r="E913" s="19" t="s">
        <v>12</v>
      </c>
      <c r="F913" s="20">
        <v>506417.72</v>
      </c>
    </row>
    <row r="914" spans="2:6">
      <c r="B914" s="8" t="s">
        <v>2729</v>
      </c>
      <c r="C914" s="18" t="s">
        <v>2730</v>
      </c>
      <c r="D914" s="8" t="s">
        <v>2731</v>
      </c>
      <c r="E914" s="19" t="s">
        <v>12</v>
      </c>
      <c r="F914" s="20">
        <v>2080</v>
      </c>
    </row>
    <row r="915" spans="2:6">
      <c r="B915" s="8" t="s">
        <v>2732</v>
      </c>
      <c r="C915" s="18" t="s">
        <v>2733</v>
      </c>
      <c r="D915" s="8" t="s">
        <v>2734</v>
      </c>
      <c r="E915" s="19" t="s">
        <v>12</v>
      </c>
      <c r="F915" s="20">
        <v>54535</v>
      </c>
    </row>
    <row r="916" spans="2:6">
      <c r="B916" s="8" t="s">
        <v>2735</v>
      </c>
      <c r="C916" s="18" t="s">
        <v>2736</v>
      </c>
      <c r="D916" s="8" t="s">
        <v>2737</v>
      </c>
      <c r="E916" s="19" t="s">
        <v>12</v>
      </c>
      <c r="F916" s="20">
        <v>99220.000000000015</v>
      </c>
    </row>
    <row r="917" spans="2:6">
      <c r="B917" s="8" t="s">
        <v>2738</v>
      </c>
      <c r="C917" s="18" t="s">
        <v>2739</v>
      </c>
      <c r="D917" s="8" t="s">
        <v>2740</v>
      </c>
      <c r="E917" s="19" t="s">
        <v>12</v>
      </c>
      <c r="F917" s="20">
        <v>198000.00000000003</v>
      </c>
    </row>
    <row r="918" spans="2:6">
      <c r="B918" s="8" t="s">
        <v>2741</v>
      </c>
      <c r="C918" s="18" t="s">
        <v>2742</v>
      </c>
      <c r="D918" s="8" t="s">
        <v>2743</v>
      </c>
      <c r="E918" s="19" t="s">
        <v>12</v>
      </c>
      <c r="F918" s="20">
        <v>9800</v>
      </c>
    </row>
    <row r="919" spans="2:6">
      <c r="B919" s="8" t="s">
        <v>2744</v>
      </c>
      <c r="C919" s="18" t="s">
        <v>2745</v>
      </c>
      <c r="D919" s="8" t="s">
        <v>2746</v>
      </c>
      <c r="E919" s="19" t="s">
        <v>12</v>
      </c>
      <c r="F919" s="20">
        <v>10500</v>
      </c>
    </row>
    <row r="920" spans="2:6">
      <c r="B920" s="8" t="s">
        <v>2747</v>
      </c>
      <c r="C920" s="18" t="s">
        <v>2748</v>
      </c>
      <c r="D920" s="8" t="s">
        <v>2749</v>
      </c>
      <c r="E920" s="19" t="s">
        <v>12</v>
      </c>
      <c r="F920" s="20">
        <v>22400</v>
      </c>
    </row>
    <row r="921" spans="2:6">
      <c r="B921" s="8" t="s">
        <v>2750</v>
      </c>
      <c r="C921" s="18" t="s">
        <v>2751</v>
      </c>
      <c r="D921" s="8" t="s">
        <v>2752</v>
      </c>
      <c r="E921" s="19" t="s">
        <v>12</v>
      </c>
      <c r="F921" s="20">
        <v>12000</v>
      </c>
    </row>
    <row r="922" spans="2:6">
      <c r="B922" s="8" t="s">
        <v>2753</v>
      </c>
      <c r="C922" s="24" t="s">
        <v>2754</v>
      </c>
      <c r="D922" s="8" t="s">
        <v>2755</v>
      </c>
      <c r="E922" s="19" t="s">
        <v>12</v>
      </c>
      <c r="F922" s="20">
        <v>32070</v>
      </c>
    </row>
    <row r="923" spans="2:6">
      <c r="B923" s="8" t="s">
        <v>2756</v>
      </c>
      <c r="C923" s="24" t="s">
        <v>2757</v>
      </c>
      <c r="D923" s="8" t="s">
        <v>2758</v>
      </c>
      <c r="E923" s="19" t="s">
        <v>12</v>
      </c>
      <c r="F923" s="20">
        <v>24200</v>
      </c>
    </row>
    <row r="924" spans="2:6">
      <c r="B924" s="8" t="s">
        <v>2759</v>
      </c>
      <c r="C924" s="24" t="s">
        <v>2760</v>
      </c>
      <c r="D924" s="8" t="s">
        <v>2761</v>
      </c>
      <c r="E924" s="19" t="s">
        <v>12</v>
      </c>
      <c r="F924" s="20">
        <v>8500</v>
      </c>
    </row>
    <row r="925" spans="2:6">
      <c r="B925" s="8" t="s">
        <v>2762</v>
      </c>
      <c r="C925" s="18" t="s">
        <v>2763</v>
      </c>
      <c r="D925" s="8" t="s">
        <v>2764</v>
      </c>
      <c r="E925" s="19" t="s">
        <v>12</v>
      </c>
      <c r="F925" s="20">
        <v>150000</v>
      </c>
    </row>
    <row r="926" spans="2:6">
      <c r="B926" s="8" t="s">
        <v>2765</v>
      </c>
      <c r="C926" s="18" t="s">
        <v>2766</v>
      </c>
      <c r="D926" s="8" t="s">
        <v>2767</v>
      </c>
      <c r="E926" s="19" t="s">
        <v>12</v>
      </c>
      <c r="F926" s="20">
        <v>75000</v>
      </c>
    </row>
    <row r="927" spans="2:6">
      <c r="B927" s="8" t="s">
        <v>2768</v>
      </c>
      <c r="C927" s="18" t="s">
        <v>2769</v>
      </c>
      <c r="D927" s="8" t="s">
        <v>2770</v>
      </c>
      <c r="E927" s="19" t="s">
        <v>12</v>
      </c>
      <c r="F927" s="20">
        <v>120000</v>
      </c>
    </row>
    <row r="928" spans="2:6">
      <c r="B928" s="8" t="s">
        <v>2771</v>
      </c>
      <c r="C928" s="18" t="s">
        <v>2772</v>
      </c>
      <c r="D928" s="8" t="s">
        <v>2773</v>
      </c>
      <c r="E928" s="19" t="s">
        <v>12</v>
      </c>
      <c r="F928" s="20">
        <v>40360.320000000007</v>
      </c>
    </row>
    <row r="929" spans="2:6">
      <c r="B929" s="8" t="s">
        <v>2774</v>
      </c>
      <c r="C929" s="18" t="s">
        <v>2775</v>
      </c>
      <c r="D929" s="8" t="s">
        <v>2776</v>
      </c>
      <c r="E929" s="19" t="s">
        <v>12</v>
      </c>
      <c r="F929" s="20">
        <v>6994.7999999999993</v>
      </c>
    </row>
    <row r="930" spans="2:6">
      <c r="B930" s="8" t="s">
        <v>2777</v>
      </c>
      <c r="C930" s="18" t="s">
        <v>2778</v>
      </c>
      <c r="D930" s="8" t="s">
        <v>2779</v>
      </c>
      <c r="E930" s="19" t="s">
        <v>12</v>
      </c>
      <c r="F930" s="20">
        <v>68000</v>
      </c>
    </row>
    <row r="931" spans="2:6">
      <c r="B931" s="8" t="s">
        <v>2780</v>
      </c>
      <c r="C931" s="18" t="s">
        <v>2781</v>
      </c>
      <c r="D931" s="8" t="s">
        <v>2782</v>
      </c>
      <c r="E931" s="19" t="s">
        <v>12</v>
      </c>
      <c r="F931" s="20">
        <v>75000</v>
      </c>
    </row>
    <row r="932" spans="2:6">
      <c r="B932" s="8" t="s">
        <v>2783</v>
      </c>
      <c r="C932" s="18" t="s">
        <v>2784</v>
      </c>
      <c r="D932" s="8" t="s">
        <v>2785</v>
      </c>
      <c r="E932" s="19" t="s">
        <v>12</v>
      </c>
      <c r="F932" s="20">
        <v>55000</v>
      </c>
    </row>
    <row r="933" spans="2:6">
      <c r="B933" s="8" t="s">
        <v>2786</v>
      </c>
      <c r="C933" s="18" t="s">
        <v>2787</v>
      </c>
      <c r="D933" s="8" t="s">
        <v>2788</v>
      </c>
      <c r="E933" s="19" t="s">
        <v>12</v>
      </c>
      <c r="F933" s="20">
        <v>4150</v>
      </c>
    </row>
    <row r="934" spans="2:6">
      <c r="B934" s="8" t="s">
        <v>2789</v>
      </c>
      <c r="C934" s="18" t="s">
        <v>2790</v>
      </c>
      <c r="D934" s="8" t="s">
        <v>2791</v>
      </c>
      <c r="E934" s="19" t="s">
        <v>12</v>
      </c>
      <c r="F934" s="20">
        <v>3620</v>
      </c>
    </row>
    <row r="935" spans="2:6">
      <c r="B935" s="8" t="s">
        <v>2792</v>
      </c>
      <c r="C935" s="18" t="s">
        <v>2793</v>
      </c>
      <c r="D935" s="8" t="s">
        <v>2794</v>
      </c>
      <c r="E935" s="19" t="s">
        <v>12</v>
      </c>
      <c r="F935" s="20">
        <v>1620</v>
      </c>
    </row>
    <row r="936" spans="2:6">
      <c r="B936" s="8" t="s">
        <v>2795</v>
      </c>
      <c r="C936" s="18" t="s">
        <v>2796</v>
      </c>
      <c r="D936" s="8" t="s">
        <v>2797</v>
      </c>
      <c r="E936" s="19" t="s">
        <v>12</v>
      </c>
      <c r="F936" s="20">
        <v>2800</v>
      </c>
    </row>
    <row r="937" spans="2:6">
      <c r="B937" s="8" t="s">
        <v>2798</v>
      </c>
      <c r="C937" s="18" t="s">
        <v>2799</v>
      </c>
      <c r="D937" s="8" t="s">
        <v>2800</v>
      </c>
      <c r="E937" s="19" t="s">
        <v>12</v>
      </c>
      <c r="F937" s="20">
        <v>980</v>
      </c>
    </row>
    <row r="938" spans="2:6">
      <c r="B938" s="8" t="s">
        <v>2801</v>
      </c>
      <c r="C938" s="18" t="s">
        <v>2802</v>
      </c>
      <c r="D938" s="8" t="s">
        <v>2803</v>
      </c>
      <c r="E938" s="19" t="s">
        <v>12</v>
      </c>
      <c r="F938" s="20">
        <v>1400</v>
      </c>
    </row>
    <row r="939" spans="2:6">
      <c r="B939" s="8" t="s">
        <v>2804</v>
      </c>
      <c r="C939" s="24" t="s">
        <v>2805</v>
      </c>
      <c r="D939" s="8" t="s">
        <v>2806</v>
      </c>
      <c r="E939" s="19" t="s">
        <v>12</v>
      </c>
      <c r="F939" s="20">
        <v>2500</v>
      </c>
    </row>
    <row r="940" spans="2:6">
      <c r="B940" s="8" t="s">
        <v>2807</v>
      </c>
      <c r="C940" s="18" t="s">
        <v>2808</v>
      </c>
      <c r="D940" s="8" t="s">
        <v>2809</v>
      </c>
      <c r="E940" s="19" t="s">
        <v>12</v>
      </c>
      <c r="F940" s="20">
        <v>2500</v>
      </c>
    </row>
    <row r="941" spans="2:6">
      <c r="B941" s="8" t="s">
        <v>2810</v>
      </c>
      <c r="C941" s="18" t="s">
        <v>2811</v>
      </c>
      <c r="D941" s="8" t="s">
        <v>2812</v>
      </c>
      <c r="E941" s="19" t="s">
        <v>12</v>
      </c>
      <c r="F941" s="20">
        <v>500</v>
      </c>
    </row>
    <row r="942" spans="2:6">
      <c r="B942" s="8" t="s">
        <v>2813</v>
      </c>
      <c r="C942" s="18" t="s">
        <v>2814</v>
      </c>
      <c r="D942" s="8" t="s">
        <v>2815</v>
      </c>
      <c r="E942" s="19" t="s">
        <v>12</v>
      </c>
      <c r="F942" s="20">
        <v>900</v>
      </c>
    </row>
    <row r="943" spans="2:6">
      <c r="B943" s="8" t="s">
        <v>2816</v>
      </c>
      <c r="C943" s="18" t="s">
        <v>2817</v>
      </c>
      <c r="D943" s="8" t="s">
        <v>2818</v>
      </c>
      <c r="E943" s="19" t="s">
        <v>12</v>
      </c>
      <c r="F943" s="20">
        <v>1200</v>
      </c>
    </row>
    <row r="944" spans="2:6">
      <c r="B944" s="8" t="s">
        <v>2819</v>
      </c>
      <c r="C944" s="32" t="s">
        <v>2820</v>
      </c>
      <c r="D944" s="8" t="s">
        <v>2821</v>
      </c>
      <c r="E944" s="19" t="s">
        <v>12</v>
      </c>
      <c r="F944" s="20">
        <v>1000</v>
      </c>
    </row>
    <row r="945" spans="2:6">
      <c r="B945" s="8" t="s">
        <v>2822</v>
      </c>
      <c r="C945" s="24" t="s">
        <v>2823</v>
      </c>
      <c r="D945" s="8" t="s">
        <v>2824</v>
      </c>
      <c r="E945" s="19" t="s">
        <v>12</v>
      </c>
      <c r="F945" s="20">
        <v>1500</v>
      </c>
    </row>
    <row r="946" spans="2:6">
      <c r="B946" s="8" t="s">
        <v>2825</v>
      </c>
      <c r="C946" s="24" t="s">
        <v>2826</v>
      </c>
      <c r="D946" s="8" t="s">
        <v>2827</v>
      </c>
      <c r="E946" s="19" t="s">
        <v>12</v>
      </c>
      <c r="F946" s="20">
        <v>2500</v>
      </c>
    </row>
    <row r="947" spans="2:6">
      <c r="B947" s="8" t="s">
        <v>2828</v>
      </c>
      <c r="C947" s="24" t="s">
        <v>2829</v>
      </c>
      <c r="D947" s="8" t="s">
        <v>2830</v>
      </c>
      <c r="E947" s="19" t="s">
        <v>12</v>
      </c>
      <c r="F947" s="20">
        <v>5500</v>
      </c>
    </row>
    <row r="948" spans="2:6">
      <c r="B948" s="8" t="s">
        <v>2831</v>
      </c>
      <c r="C948" s="24" t="s">
        <v>2832</v>
      </c>
      <c r="D948" s="8" t="s">
        <v>2833</v>
      </c>
      <c r="E948" s="19" t="s">
        <v>12</v>
      </c>
      <c r="F948" s="20">
        <v>2500</v>
      </c>
    </row>
    <row r="949" spans="2:6">
      <c r="B949" s="8" t="s">
        <v>2834</v>
      </c>
      <c r="C949" s="18" t="s">
        <v>2835</v>
      </c>
      <c r="D949" s="8" t="s">
        <v>2836</v>
      </c>
      <c r="E949" s="19" t="s">
        <v>12</v>
      </c>
      <c r="F949" s="20">
        <v>750</v>
      </c>
    </row>
    <row r="950" spans="2:6">
      <c r="B950" s="8" t="s">
        <v>2837</v>
      </c>
      <c r="C950" s="24" t="s">
        <v>2838</v>
      </c>
      <c r="D950" s="8" t="s">
        <v>2839</v>
      </c>
      <c r="E950" s="19" t="s">
        <v>12</v>
      </c>
      <c r="F950" s="20">
        <v>3500</v>
      </c>
    </row>
    <row r="951" spans="2:6">
      <c r="B951" s="8" t="s">
        <v>2840</v>
      </c>
      <c r="C951" s="24" t="s">
        <v>2841</v>
      </c>
      <c r="D951" s="8" t="s">
        <v>2842</v>
      </c>
      <c r="E951" s="19" t="s">
        <v>1134</v>
      </c>
      <c r="F951" s="20">
        <v>2300</v>
      </c>
    </row>
    <row r="952" spans="2:6">
      <c r="B952" s="8" t="s">
        <v>2843</v>
      </c>
      <c r="C952" s="24" t="s">
        <v>2844</v>
      </c>
      <c r="D952" s="8" t="s">
        <v>2845</v>
      </c>
      <c r="E952" s="19" t="s">
        <v>12</v>
      </c>
      <c r="F952" s="20">
        <v>420</v>
      </c>
    </row>
    <row r="953" spans="2:6">
      <c r="B953" s="8" t="s">
        <v>2846</v>
      </c>
      <c r="C953" s="24" t="s">
        <v>2847</v>
      </c>
      <c r="D953" s="8" t="s">
        <v>2848</v>
      </c>
      <c r="E953" s="19" t="s">
        <v>12</v>
      </c>
      <c r="F953" s="20">
        <v>420</v>
      </c>
    </row>
    <row r="954" spans="2:6">
      <c r="B954" s="8" t="s">
        <v>2849</v>
      </c>
      <c r="C954" s="18" t="s">
        <v>3961</v>
      </c>
      <c r="D954" s="8" t="s">
        <v>2850</v>
      </c>
      <c r="E954" s="19" t="s">
        <v>12</v>
      </c>
      <c r="F954" s="20">
        <v>2500000</v>
      </c>
    </row>
    <row r="955" spans="2:6">
      <c r="B955" s="8" t="s">
        <v>2851</v>
      </c>
      <c r="C955" s="18" t="s">
        <v>2852</v>
      </c>
      <c r="D955" s="8" t="s">
        <v>2853</v>
      </c>
      <c r="E955" s="19" t="s">
        <v>12</v>
      </c>
      <c r="F955" s="20">
        <v>39585</v>
      </c>
    </row>
    <row r="956" spans="2:6">
      <c r="B956" s="8" t="s">
        <v>2854</v>
      </c>
      <c r="C956" s="18" t="s">
        <v>2855</v>
      </c>
      <c r="D956" s="8" t="s">
        <v>2856</v>
      </c>
      <c r="E956" s="19" t="s">
        <v>12</v>
      </c>
      <c r="F956" s="20">
        <v>61711.999999999993</v>
      </c>
    </row>
    <row r="957" spans="2:6">
      <c r="B957" s="8" t="s">
        <v>2857</v>
      </c>
      <c r="C957" s="24" t="s">
        <v>2858</v>
      </c>
      <c r="D957" s="8" t="s">
        <v>2859</v>
      </c>
      <c r="E957" s="19" t="s">
        <v>12</v>
      </c>
      <c r="F957" s="20">
        <v>13800</v>
      </c>
    </row>
    <row r="958" spans="2:6">
      <c r="B958" s="8" t="s">
        <v>2860</v>
      </c>
      <c r="C958" s="24" t="s">
        <v>2861</v>
      </c>
      <c r="D958" s="8" t="s">
        <v>2862</v>
      </c>
      <c r="E958" s="19" t="s">
        <v>12</v>
      </c>
      <c r="F958" s="20">
        <v>8310.8199999999979</v>
      </c>
    </row>
    <row r="959" spans="2:6">
      <c r="B959" s="8" t="s">
        <v>2863</v>
      </c>
      <c r="C959" s="24" t="s">
        <v>2864</v>
      </c>
      <c r="D959" s="8" t="s">
        <v>2865</v>
      </c>
      <c r="E959" s="19" t="s">
        <v>12</v>
      </c>
      <c r="F959" s="20">
        <v>12739.699999999999</v>
      </c>
    </row>
    <row r="960" spans="2:6">
      <c r="B960" s="8" t="s">
        <v>2866</v>
      </c>
      <c r="C960" s="18" t="s">
        <v>2867</v>
      </c>
      <c r="D960" s="8" t="s">
        <v>2868</v>
      </c>
      <c r="E960" s="19" t="s">
        <v>1375</v>
      </c>
      <c r="F960" s="20">
        <v>230000</v>
      </c>
    </row>
    <row r="961" spans="2:6">
      <c r="B961" s="8" t="s">
        <v>2869</v>
      </c>
      <c r="C961" s="18" t="s">
        <v>2870</v>
      </c>
      <c r="D961" s="8" t="s">
        <v>2871</v>
      </c>
      <c r="E961" s="19" t="s">
        <v>1375</v>
      </c>
      <c r="F961" s="20">
        <v>43000</v>
      </c>
    </row>
    <row r="962" spans="2:6">
      <c r="B962" s="8" t="s">
        <v>2872</v>
      </c>
      <c r="C962" s="24" t="s">
        <v>2873</v>
      </c>
      <c r="D962" s="8" t="s">
        <v>2874</v>
      </c>
      <c r="E962" s="19" t="s">
        <v>1375</v>
      </c>
      <c r="F962" s="20">
        <v>64000</v>
      </c>
    </row>
    <row r="963" spans="2:6">
      <c r="B963" s="8" t="s">
        <v>2875</v>
      </c>
      <c r="C963" s="24" t="s">
        <v>2876</v>
      </c>
      <c r="D963" s="8" t="s">
        <v>2877</v>
      </c>
      <c r="E963" s="19" t="s">
        <v>1375</v>
      </c>
      <c r="F963" s="20">
        <v>120000</v>
      </c>
    </row>
    <row r="964" spans="2:6">
      <c r="B964" s="8" t="s">
        <v>2878</v>
      </c>
      <c r="C964" s="18" t="s">
        <v>2879</v>
      </c>
      <c r="D964" s="8" t="s">
        <v>2880</v>
      </c>
      <c r="E964" s="19" t="s">
        <v>1375</v>
      </c>
      <c r="F964" s="20">
        <v>60000</v>
      </c>
    </row>
    <row r="965" spans="2:6">
      <c r="B965" s="8" t="s">
        <v>2881</v>
      </c>
      <c r="C965" s="18" t="s">
        <v>2882</v>
      </c>
      <c r="D965" s="8" t="s">
        <v>2883</v>
      </c>
      <c r="E965" s="19" t="s">
        <v>1375</v>
      </c>
      <c r="F965" s="20">
        <v>45000</v>
      </c>
    </row>
    <row r="966" spans="2:6">
      <c r="B966" s="8" t="s">
        <v>2884</v>
      </c>
      <c r="C966" s="18" t="s">
        <v>2885</v>
      </c>
      <c r="D966" s="8" t="s">
        <v>2886</v>
      </c>
      <c r="E966" s="19" t="s">
        <v>12</v>
      </c>
      <c r="F966" s="20">
        <v>1772.4799999999998</v>
      </c>
    </row>
    <row r="967" spans="2:6">
      <c r="B967" s="8" t="s">
        <v>2887</v>
      </c>
      <c r="C967" s="18" t="s">
        <v>2888</v>
      </c>
      <c r="D967" s="8" t="s">
        <v>2889</v>
      </c>
      <c r="E967" s="19" t="s">
        <v>12</v>
      </c>
      <c r="F967" s="20">
        <v>30200</v>
      </c>
    </row>
    <row r="968" spans="2:6">
      <c r="B968" s="8" t="s">
        <v>2890</v>
      </c>
      <c r="C968" s="18" t="s">
        <v>2891</v>
      </c>
      <c r="D968" s="8" t="s">
        <v>2892</v>
      </c>
      <c r="E968" s="19" t="s">
        <v>12</v>
      </c>
      <c r="F968" s="20">
        <v>2500</v>
      </c>
    </row>
    <row r="969" spans="2:6">
      <c r="B969" s="8" t="s">
        <v>2893</v>
      </c>
      <c r="C969" s="18" t="s">
        <v>2894</v>
      </c>
      <c r="D969" s="8" t="s">
        <v>2895</v>
      </c>
      <c r="E969" s="19" t="s">
        <v>12</v>
      </c>
      <c r="F969" s="20">
        <v>38000</v>
      </c>
    </row>
    <row r="970" spans="2:6">
      <c r="B970" s="8" t="s">
        <v>2896</v>
      </c>
      <c r="C970" s="18" t="s">
        <v>2897</v>
      </c>
      <c r="D970" s="8" t="s">
        <v>2898</v>
      </c>
      <c r="E970" s="19" t="s">
        <v>12</v>
      </c>
      <c r="F970" s="20">
        <v>2500</v>
      </c>
    </row>
    <row r="971" spans="2:6">
      <c r="B971" s="8" t="s">
        <v>2899</v>
      </c>
      <c r="C971" s="18" t="s">
        <v>2900</v>
      </c>
      <c r="D971" s="8" t="s">
        <v>2901</v>
      </c>
      <c r="E971" s="19" t="s">
        <v>1227</v>
      </c>
      <c r="F971" s="20">
        <v>3000</v>
      </c>
    </row>
    <row r="972" spans="2:6">
      <c r="B972" s="8" t="s">
        <v>2902</v>
      </c>
      <c r="C972" s="18" t="s">
        <v>2903</v>
      </c>
      <c r="D972" s="8" t="s">
        <v>2904</v>
      </c>
      <c r="E972" s="19" t="s">
        <v>12</v>
      </c>
      <c r="F972" s="20">
        <v>6500</v>
      </c>
    </row>
    <row r="973" spans="2:6">
      <c r="B973" s="8" t="s">
        <v>2905</v>
      </c>
      <c r="C973" s="26" t="s">
        <v>2906</v>
      </c>
      <c r="D973" s="8" t="s">
        <v>2907</v>
      </c>
      <c r="E973" s="19" t="s">
        <v>12</v>
      </c>
      <c r="F973" s="20">
        <v>0</v>
      </c>
    </row>
    <row r="974" spans="2:6">
      <c r="B974" s="8" t="s">
        <v>2908</v>
      </c>
      <c r="C974" s="24" t="s">
        <v>2909</v>
      </c>
      <c r="D974" s="8" t="s">
        <v>2910</v>
      </c>
      <c r="E974" s="19" t="s">
        <v>12</v>
      </c>
      <c r="F974" s="20">
        <v>650000</v>
      </c>
    </row>
    <row r="975" spans="2:6">
      <c r="B975" s="8" t="s">
        <v>2911</v>
      </c>
      <c r="C975" s="24" t="s">
        <v>2912</v>
      </c>
      <c r="D975" s="8" t="s">
        <v>2913</v>
      </c>
      <c r="E975" s="19" t="s">
        <v>12</v>
      </c>
      <c r="F975" s="20">
        <v>750000</v>
      </c>
    </row>
    <row r="976" spans="2:6">
      <c r="B976" s="8" t="s">
        <v>2914</v>
      </c>
      <c r="C976" s="24" t="s">
        <v>2915</v>
      </c>
      <c r="D976" s="8" t="s">
        <v>2916</v>
      </c>
      <c r="E976" s="19" t="s">
        <v>12</v>
      </c>
      <c r="F976" s="20">
        <v>550000</v>
      </c>
    </row>
    <row r="977" spans="2:6">
      <c r="B977" s="8" t="s">
        <v>2917</v>
      </c>
      <c r="C977" s="24" t="s">
        <v>2918</v>
      </c>
      <c r="D977" s="8" t="s">
        <v>2919</v>
      </c>
      <c r="E977" s="19" t="s">
        <v>12</v>
      </c>
      <c r="F977" s="20">
        <v>638000</v>
      </c>
    </row>
    <row r="978" spans="2:6">
      <c r="B978" s="8" t="s">
        <v>2920</v>
      </c>
      <c r="C978" s="24" t="s">
        <v>2921</v>
      </c>
      <c r="D978" s="8" t="s">
        <v>2922</v>
      </c>
      <c r="E978" s="19" t="s">
        <v>12</v>
      </c>
      <c r="F978" s="20">
        <v>780000</v>
      </c>
    </row>
    <row r="979" spans="2:6">
      <c r="B979" s="8" t="s">
        <v>2923</v>
      </c>
      <c r="C979" s="24" t="s">
        <v>2924</v>
      </c>
      <c r="D979" s="8" t="s">
        <v>2925</v>
      </c>
      <c r="E979" s="19" t="s">
        <v>12</v>
      </c>
      <c r="F979" s="20">
        <v>624000</v>
      </c>
    </row>
    <row r="980" spans="2:6">
      <c r="B980" s="8" t="s">
        <v>2926</v>
      </c>
      <c r="C980" s="18" t="s">
        <v>2927</v>
      </c>
      <c r="D980" s="8" t="s">
        <v>2928</v>
      </c>
      <c r="E980" s="19" t="s">
        <v>12</v>
      </c>
      <c r="F980" s="20">
        <v>1170000</v>
      </c>
    </row>
    <row r="981" spans="2:6">
      <c r="B981" s="8" t="s">
        <v>2929</v>
      </c>
      <c r="C981" s="24" t="s">
        <v>2930</v>
      </c>
      <c r="D981" s="8" t="s">
        <v>2931</v>
      </c>
      <c r="E981" s="19" t="s">
        <v>12</v>
      </c>
      <c r="F981" s="20">
        <v>819000</v>
      </c>
    </row>
    <row r="982" spans="2:6">
      <c r="B982" s="8" t="s">
        <v>2932</v>
      </c>
      <c r="C982" s="18" t="s">
        <v>2933</v>
      </c>
      <c r="D982" s="8" t="s">
        <v>2934</v>
      </c>
      <c r="E982" s="19" t="s">
        <v>12</v>
      </c>
      <c r="F982" s="20">
        <v>2080000</v>
      </c>
    </row>
    <row r="983" spans="2:6">
      <c r="B983" s="8" t="s">
        <v>2935</v>
      </c>
      <c r="C983" s="18" t="s">
        <v>2936</v>
      </c>
      <c r="D983" s="8" t="s">
        <v>2937</v>
      </c>
      <c r="E983" s="19" t="s">
        <v>12</v>
      </c>
      <c r="F983" s="20">
        <v>1170000</v>
      </c>
    </row>
    <row r="984" spans="2:6">
      <c r="B984" s="8" t="s">
        <v>2938</v>
      </c>
      <c r="C984" s="26" t="s">
        <v>2939</v>
      </c>
      <c r="D984" s="8" t="s">
        <v>2940</v>
      </c>
      <c r="E984" s="19" t="s">
        <v>12</v>
      </c>
      <c r="F984" s="20">
        <v>1980.0000000000002</v>
      </c>
    </row>
    <row r="985" spans="2:6">
      <c r="B985" s="8" t="s">
        <v>2941</v>
      </c>
      <c r="C985" s="26" t="s">
        <v>2942</v>
      </c>
      <c r="D985" s="8" t="s">
        <v>2943</v>
      </c>
      <c r="E985" s="19" t="s">
        <v>12</v>
      </c>
      <c r="F985" s="20">
        <v>864.19999999999993</v>
      </c>
    </row>
    <row r="986" spans="2:6">
      <c r="B986" s="8" t="s">
        <v>2944</v>
      </c>
      <c r="C986" s="18" t="s">
        <v>2945</v>
      </c>
      <c r="D986" s="8" t="s">
        <v>2946</v>
      </c>
      <c r="E986" s="19" t="s">
        <v>12</v>
      </c>
      <c r="F986" s="20">
        <v>2000</v>
      </c>
    </row>
    <row r="987" spans="2:6">
      <c r="B987" s="8" t="s">
        <v>2947</v>
      </c>
      <c r="C987" s="24" t="s">
        <v>2948</v>
      </c>
      <c r="D987" s="8" t="s">
        <v>2949</v>
      </c>
      <c r="E987" s="19" t="s">
        <v>12</v>
      </c>
      <c r="F987" s="20">
        <v>391000</v>
      </c>
    </row>
    <row r="988" spans="2:6">
      <c r="B988" s="8" t="s">
        <v>2950</v>
      </c>
      <c r="C988" s="26" t="s">
        <v>2951</v>
      </c>
      <c r="D988" s="8" t="s">
        <v>2952</v>
      </c>
      <c r="E988" s="19" t="s">
        <v>12</v>
      </c>
      <c r="F988" s="20">
        <v>200000</v>
      </c>
    </row>
    <row r="989" spans="2:6" ht="26.4">
      <c r="B989" s="8" t="s">
        <v>2953</v>
      </c>
      <c r="C989" s="18" t="s">
        <v>2954</v>
      </c>
      <c r="D989" s="8" t="s">
        <v>2955</v>
      </c>
      <c r="E989" s="19" t="s">
        <v>12</v>
      </c>
      <c r="F989" s="20">
        <v>1525000</v>
      </c>
    </row>
    <row r="990" spans="2:6">
      <c r="B990" s="8" t="s">
        <v>2956</v>
      </c>
      <c r="C990" s="24" t="s">
        <v>2957</v>
      </c>
      <c r="D990" s="8" t="s">
        <v>2958</v>
      </c>
      <c r="E990" s="19" t="s">
        <v>12</v>
      </c>
      <c r="F990" s="20">
        <v>19000</v>
      </c>
    </row>
    <row r="991" spans="2:6">
      <c r="B991" s="8" t="s">
        <v>2959</v>
      </c>
      <c r="C991" s="24" t="s">
        <v>2960</v>
      </c>
      <c r="D991" s="8" t="s">
        <v>2961</v>
      </c>
      <c r="E991" s="19" t="s">
        <v>12</v>
      </c>
      <c r="F991" s="20">
        <v>250000</v>
      </c>
    </row>
    <row r="992" spans="2:6">
      <c r="B992" s="8" t="s">
        <v>2962</v>
      </c>
      <c r="C992" s="24" t="s">
        <v>2963</v>
      </c>
      <c r="D992" s="8" t="s">
        <v>2964</v>
      </c>
      <c r="E992" s="19" t="s">
        <v>12</v>
      </c>
      <c r="F992" s="20">
        <v>250000</v>
      </c>
    </row>
    <row r="993" spans="2:6">
      <c r="B993" s="8" t="s">
        <v>2965</v>
      </c>
      <c r="C993" s="24" t="s">
        <v>2966</v>
      </c>
      <c r="D993" s="8" t="s">
        <v>2967</v>
      </c>
      <c r="E993" s="19" t="s">
        <v>12</v>
      </c>
      <c r="F993" s="20">
        <v>90000</v>
      </c>
    </row>
    <row r="994" spans="2:6">
      <c r="B994" s="8" t="s">
        <v>2968</v>
      </c>
      <c r="C994" s="24" t="s">
        <v>2969</v>
      </c>
      <c r="D994" s="8" t="s">
        <v>2970</v>
      </c>
      <c r="E994" s="19" t="s">
        <v>12</v>
      </c>
      <c r="F994" s="20">
        <v>2000</v>
      </c>
    </row>
    <row r="995" spans="2:6">
      <c r="B995" s="8" t="s">
        <v>2971</v>
      </c>
      <c r="C995" s="18" t="s">
        <v>2972</v>
      </c>
      <c r="D995" s="8" t="s">
        <v>2973</v>
      </c>
      <c r="E995" s="19" t="s">
        <v>12</v>
      </c>
      <c r="F995" s="20">
        <v>50415</v>
      </c>
    </row>
    <row r="996" spans="2:6">
      <c r="B996" s="8" t="s">
        <v>2974</v>
      </c>
      <c r="C996" s="18" t="s">
        <v>2975</v>
      </c>
      <c r="D996" s="8" t="s">
        <v>2976</v>
      </c>
      <c r="E996" s="19" t="s">
        <v>12</v>
      </c>
      <c r="F996" s="20">
        <v>20000</v>
      </c>
    </row>
    <row r="997" spans="2:6">
      <c r="B997" s="8" t="s">
        <v>2977</v>
      </c>
      <c r="C997" s="24" t="s">
        <v>2978</v>
      </c>
      <c r="D997" s="8" t="s">
        <v>2979</v>
      </c>
      <c r="E997" s="19" t="s">
        <v>12</v>
      </c>
      <c r="F997" s="20">
        <v>404100</v>
      </c>
    </row>
    <row r="998" spans="2:6">
      <c r="B998" s="8" t="s">
        <v>2980</v>
      </c>
      <c r="C998" s="24" t="s">
        <v>2981</v>
      </c>
      <c r="D998" s="8" t="s">
        <v>2982</v>
      </c>
      <c r="E998" s="19" t="s">
        <v>12</v>
      </c>
      <c r="F998" s="20">
        <v>335500</v>
      </c>
    </row>
    <row r="999" spans="2:6">
      <c r="B999" s="8" t="s">
        <v>2983</v>
      </c>
      <c r="C999" s="24" t="s">
        <v>2984</v>
      </c>
      <c r="D999" s="8" t="s">
        <v>2985</v>
      </c>
      <c r="E999" s="19" t="s">
        <v>12</v>
      </c>
      <c r="F999" s="20">
        <v>606400</v>
      </c>
    </row>
    <row r="1000" spans="2:6">
      <c r="B1000" s="8" t="s">
        <v>2986</v>
      </c>
      <c r="C1000" s="24" t="s">
        <v>2987</v>
      </c>
      <c r="D1000" s="8" t="s">
        <v>2988</v>
      </c>
      <c r="E1000" s="19" t="s">
        <v>12</v>
      </c>
      <c r="F1000" s="20">
        <v>506699.99999999994</v>
      </c>
    </row>
    <row r="1001" spans="2:6">
      <c r="B1001" s="8" t="s">
        <v>2989</v>
      </c>
      <c r="C1001" s="24" t="s">
        <v>2990</v>
      </c>
      <c r="D1001" s="8" t="s">
        <v>2991</v>
      </c>
      <c r="E1001" s="19" t="s">
        <v>12</v>
      </c>
      <c r="F1001" s="20">
        <v>265000</v>
      </c>
    </row>
    <row r="1002" spans="2:6">
      <c r="B1002" s="8" t="s">
        <v>2992</v>
      </c>
      <c r="C1002" s="24" t="s">
        <v>2993</v>
      </c>
      <c r="D1002" s="8" t="s">
        <v>2994</v>
      </c>
      <c r="E1002" s="19" t="s">
        <v>12</v>
      </c>
      <c r="F1002" s="20">
        <v>544500</v>
      </c>
    </row>
    <row r="1003" spans="2:6">
      <c r="B1003" s="8" t="s">
        <v>2995</v>
      </c>
      <c r="C1003" s="18" t="s">
        <v>2996</v>
      </c>
      <c r="D1003" s="8" t="s">
        <v>2997</v>
      </c>
      <c r="E1003" s="19" t="s">
        <v>12</v>
      </c>
      <c r="F1003" s="20">
        <v>1195000</v>
      </c>
    </row>
    <row r="1004" spans="2:6">
      <c r="B1004" s="8" t="s">
        <v>2998</v>
      </c>
      <c r="C1004" s="18" t="s">
        <v>2999</v>
      </c>
      <c r="D1004" s="8" t="s">
        <v>3000</v>
      </c>
      <c r="E1004" s="19" t="s">
        <v>12</v>
      </c>
      <c r="F1004" s="20">
        <v>359600</v>
      </c>
    </row>
    <row r="1005" spans="2:6">
      <c r="B1005" s="8" t="s">
        <v>3001</v>
      </c>
      <c r="C1005" s="18" t="s">
        <v>3002</v>
      </c>
      <c r="D1005" s="8" t="s">
        <v>3003</v>
      </c>
      <c r="E1005" s="19" t="s">
        <v>12</v>
      </c>
      <c r="F1005" s="20">
        <v>145000</v>
      </c>
    </row>
    <row r="1006" spans="2:6">
      <c r="B1006" s="8" t="s">
        <v>3004</v>
      </c>
      <c r="C1006" s="18" t="s">
        <v>3005</v>
      </c>
      <c r="D1006" s="8" t="s">
        <v>3006</v>
      </c>
      <c r="E1006" s="19" t="s">
        <v>12</v>
      </c>
      <c r="F1006" s="20">
        <v>2981.2</v>
      </c>
    </row>
    <row r="1007" spans="2:6">
      <c r="B1007" s="8" t="s">
        <v>3007</v>
      </c>
      <c r="C1007" s="18" t="s">
        <v>3008</v>
      </c>
      <c r="D1007" s="8" t="s">
        <v>3009</v>
      </c>
      <c r="E1007" s="19" t="s">
        <v>12</v>
      </c>
      <c r="F1007" s="20">
        <v>1012385.0000000001</v>
      </c>
    </row>
    <row r="1008" spans="2:6">
      <c r="B1008" s="8" t="s">
        <v>3010</v>
      </c>
      <c r="C1008" s="18" t="s">
        <v>3011</v>
      </c>
      <c r="D1008" s="8" t="s">
        <v>3012</v>
      </c>
      <c r="E1008" s="19" t="s">
        <v>12</v>
      </c>
      <c r="F1008" s="20">
        <v>1028500.0000000001</v>
      </c>
    </row>
    <row r="1009" spans="2:6">
      <c r="B1009" s="8" t="s">
        <v>3013</v>
      </c>
      <c r="C1009" s="18" t="s">
        <v>3014</v>
      </c>
      <c r="D1009" s="8" t="s">
        <v>3015</v>
      </c>
      <c r="E1009" s="19" t="s">
        <v>12</v>
      </c>
      <c r="F1009" s="20">
        <v>375000</v>
      </c>
    </row>
    <row r="1010" spans="2:6">
      <c r="B1010" s="8" t="s">
        <v>3016</v>
      </c>
      <c r="C1010" s="18" t="s">
        <v>3017</v>
      </c>
      <c r="D1010" s="8" t="s">
        <v>3018</v>
      </c>
      <c r="E1010" s="19" t="s">
        <v>12</v>
      </c>
      <c r="F1010" s="20">
        <v>85000</v>
      </c>
    </row>
    <row r="1011" spans="2:6">
      <c r="B1011" s="8" t="s">
        <v>3019</v>
      </c>
      <c r="C1011" s="18" t="s">
        <v>3020</v>
      </c>
      <c r="D1011" s="8" t="s">
        <v>3021</v>
      </c>
      <c r="E1011" s="19" t="s">
        <v>12</v>
      </c>
      <c r="F1011" s="20">
        <v>425000</v>
      </c>
    </row>
    <row r="1012" spans="2:6">
      <c r="B1012" s="8" t="s">
        <v>3022</v>
      </c>
      <c r="C1012" s="18" t="s">
        <v>3023</v>
      </c>
      <c r="D1012" s="8" t="s">
        <v>3024</v>
      </c>
      <c r="E1012" s="19" t="s">
        <v>12</v>
      </c>
      <c r="F1012" s="20">
        <v>290000</v>
      </c>
    </row>
    <row r="1013" spans="2:6">
      <c r="B1013" s="8" t="s">
        <v>3025</v>
      </c>
      <c r="C1013" s="18" t="s">
        <v>3026</v>
      </c>
      <c r="D1013" s="8" t="s">
        <v>3027</v>
      </c>
      <c r="E1013" s="19" t="s">
        <v>12</v>
      </c>
      <c r="F1013" s="20">
        <v>3950</v>
      </c>
    </row>
    <row r="1014" spans="2:6">
      <c r="B1014" s="8" t="s">
        <v>3028</v>
      </c>
      <c r="C1014" s="24" t="s">
        <v>3029</v>
      </c>
      <c r="D1014" s="8" t="s">
        <v>3030</v>
      </c>
      <c r="E1014" s="19" t="s">
        <v>12</v>
      </c>
      <c r="F1014" s="20">
        <v>12500</v>
      </c>
    </row>
    <row r="1015" spans="2:6">
      <c r="B1015" s="8" t="s">
        <v>3031</v>
      </c>
      <c r="C1015" s="24" t="s">
        <v>3032</v>
      </c>
      <c r="D1015" s="8" t="s">
        <v>3033</v>
      </c>
      <c r="E1015" s="19" t="s">
        <v>12</v>
      </c>
      <c r="F1015" s="20">
        <v>4000</v>
      </c>
    </row>
    <row r="1016" spans="2:6">
      <c r="B1016" s="8" t="s">
        <v>3034</v>
      </c>
      <c r="C1016" s="18" t="s">
        <v>3035</v>
      </c>
      <c r="D1016" s="8" t="s">
        <v>3036</v>
      </c>
      <c r="E1016" s="19" t="s">
        <v>12</v>
      </c>
      <c r="F1016" s="20">
        <v>850000</v>
      </c>
    </row>
    <row r="1017" spans="2:6">
      <c r="B1017" s="8" t="s">
        <v>3037</v>
      </c>
      <c r="C1017" s="18" t="s">
        <v>3038</v>
      </c>
      <c r="D1017" s="8" t="s">
        <v>3039</v>
      </c>
      <c r="E1017" s="19" t="s">
        <v>12</v>
      </c>
      <c r="F1017" s="20">
        <v>75400</v>
      </c>
    </row>
    <row r="1018" spans="2:6">
      <c r="B1018" s="8" t="s">
        <v>3040</v>
      </c>
      <c r="C1018" s="18" t="s">
        <v>3041</v>
      </c>
      <c r="D1018" s="8" t="s">
        <v>3042</v>
      </c>
      <c r="E1018" s="19" t="s">
        <v>12</v>
      </c>
      <c r="F1018" s="20">
        <v>81055</v>
      </c>
    </row>
    <row r="1019" spans="2:6">
      <c r="B1019" s="8" t="s">
        <v>3043</v>
      </c>
      <c r="C1019" s="24" t="s">
        <v>3044</v>
      </c>
      <c r="D1019" s="8" t="s">
        <v>3045</v>
      </c>
      <c r="E1019" s="19" t="s">
        <v>12</v>
      </c>
      <c r="F1019" s="20">
        <v>70000</v>
      </c>
    </row>
    <row r="1020" spans="2:6">
      <c r="B1020" s="8" t="s">
        <v>3046</v>
      </c>
      <c r="C1020" s="24" t="s">
        <v>3047</v>
      </c>
      <c r="D1020" s="8" t="s">
        <v>3048</v>
      </c>
      <c r="E1020" s="19" t="s">
        <v>12</v>
      </c>
      <c r="F1020" s="20">
        <v>35000</v>
      </c>
    </row>
    <row r="1021" spans="2:6">
      <c r="B1021" s="8" t="s">
        <v>3049</v>
      </c>
      <c r="C1021" s="24" t="s">
        <v>3050</v>
      </c>
      <c r="D1021" s="8" t="s">
        <v>3051</v>
      </c>
      <c r="E1021" s="19" t="s">
        <v>12</v>
      </c>
      <c r="F1021" s="20">
        <v>20000</v>
      </c>
    </row>
    <row r="1022" spans="2:6">
      <c r="B1022" s="8" t="s">
        <v>3052</v>
      </c>
      <c r="C1022" s="24" t="s">
        <v>3053</v>
      </c>
      <c r="D1022" s="8" t="s">
        <v>3054</v>
      </c>
      <c r="E1022" s="19" t="s">
        <v>12</v>
      </c>
      <c r="F1022" s="20">
        <v>90000</v>
      </c>
    </row>
    <row r="1023" spans="2:6">
      <c r="B1023" s="8" t="s">
        <v>3055</v>
      </c>
      <c r="C1023" s="24" t="s">
        <v>3056</v>
      </c>
      <c r="D1023" s="8" t="s">
        <v>3057</v>
      </c>
      <c r="E1023" s="19" t="s">
        <v>12</v>
      </c>
      <c r="F1023" s="20">
        <v>25000</v>
      </c>
    </row>
    <row r="1024" spans="2:6">
      <c r="B1024" s="8" t="s">
        <v>3058</v>
      </c>
      <c r="C1024" s="24" t="s">
        <v>3059</v>
      </c>
      <c r="D1024" s="8" t="s">
        <v>3060</v>
      </c>
      <c r="E1024" s="19" t="s">
        <v>1401</v>
      </c>
      <c r="F1024" s="20">
        <v>20000</v>
      </c>
    </row>
    <row r="1025" spans="2:6">
      <c r="B1025" s="8" t="s">
        <v>3061</v>
      </c>
      <c r="C1025" s="18" t="s">
        <v>3062</v>
      </c>
      <c r="D1025" s="8" t="s">
        <v>3063</v>
      </c>
      <c r="E1025" s="19" t="s">
        <v>1401</v>
      </c>
      <c r="F1025" s="20">
        <v>10200</v>
      </c>
    </row>
    <row r="1026" spans="2:6">
      <c r="B1026" s="8" t="s">
        <v>3064</v>
      </c>
      <c r="C1026" s="18" t="s">
        <v>3065</v>
      </c>
      <c r="D1026" s="8" t="s">
        <v>3066</v>
      </c>
      <c r="E1026" s="19" t="s">
        <v>1401</v>
      </c>
      <c r="F1026" s="20">
        <v>125000</v>
      </c>
    </row>
    <row r="1027" spans="2:6">
      <c r="B1027" s="8" t="s">
        <v>3067</v>
      </c>
      <c r="C1027" s="24" t="s">
        <v>3068</v>
      </c>
      <c r="D1027" s="8" t="s">
        <v>3069</v>
      </c>
      <c r="E1027" s="19" t="s">
        <v>1401</v>
      </c>
      <c r="F1027" s="20">
        <v>10585</v>
      </c>
    </row>
    <row r="1028" spans="2:6">
      <c r="B1028" s="8" t="s">
        <v>3070</v>
      </c>
      <c r="C1028" s="18" t="s">
        <v>3071</v>
      </c>
      <c r="D1028" s="8" t="s">
        <v>3072</v>
      </c>
      <c r="E1028" s="19" t="s">
        <v>12</v>
      </c>
      <c r="F1028" s="20">
        <v>495000</v>
      </c>
    </row>
    <row r="1029" spans="2:6">
      <c r="B1029" s="8" t="s">
        <v>3073</v>
      </c>
      <c r="C1029" s="18" t="s">
        <v>3074</v>
      </c>
      <c r="D1029" s="8" t="s">
        <v>3075</v>
      </c>
      <c r="E1029" s="19" t="s">
        <v>12</v>
      </c>
      <c r="F1029" s="20">
        <v>4000</v>
      </c>
    </row>
    <row r="1030" spans="2:6">
      <c r="B1030" s="8" t="s">
        <v>3076</v>
      </c>
      <c r="C1030" s="24" t="s">
        <v>3077</v>
      </c>
      <c r="D1030" s="8" t="s">
        <v>3078</v>
      </c>
      <c r="E1030" s="19" t="s">
        <v>1227</v>
      </c>
      <c r="F1030" s="20">
        <v>6959.9999999999991</v>
      </c>
    </row>
    <row r="1031" spans="2:6">
      <c r="B1031" s="8" t="s">
        <v>3079</v>
      </c>
      <c r="C1031" s="18" t="s">
        <v>3080</v>
      </c>
      <c r="D1031" s="8" t="s">
        <v>3081</v>
      </c>
      <c r="E1031" s="19" t="s">
        <v>1227</v>
      </c>
      <c r="F1031" s="20">
        <v>14500</v>
      </c>
    </row>
    <row r="1032" spans="2:6">
      <c r="B1032" s="8" t="s">
        <v>3082</v>
      </c>
      <c r="C1032" s="18" t="s">
        <v>3083</v>
      </c>
      <c r="D1032" s="8" t="s">
        <v>3084</v>
      </c>
      <c r="E1032" s="19" t="s">
        <v>1227</v>
      </c>
      <c r="F1032" s="20">
        <v>17000</v>
      </c>
    </row>
    <row r="1033" spans="2:6">
      <c r="B1033" s="8" t="s">
        <v>3085</v>
      </c>
      <c r="C1033" s="18" t="s">
        <v>3086</v>
      </c>
      <c r="D1033" s="8" t="s">
        <v>3087</v>
      </c>
      <c r="E1033" s="19" t="s">
        <v>1227</v>
      </c>
      <c r="F1033" s="20">
        <v>20000</v>
      </c>
    </row>
    <row r="1034" spans="2:6">
      <c r="B1034" s="8" t="s">
        <v>3088</v>
      </c>
      <c r="C1034" s="24" t="s">
        <v>3089</v>
      </c>
      <c r="D1034" s="8" t="s">
        <v>3090</v>
      </c>
      <c r="E1034" s="19" t="s">
        <v>1227</v>
      </c>
      <c r="F1034" s="20">
        <v>8500</v>
      </c>
    </row>
    <row r="1035" spans="2:6">
      <c r="B1035" s="8" t="s">
        <v>3091</v>
      </c>
      <c r="C1035" s="24" t="s">
        <v>3092</v>
      </c>
      <c r="D1035" s="8" t="s">
        <v>3093</v>
      </c>
      <c r="E1035" s="19" t="s">
        <v>1227</v>
      </c>
      <c r="F1035" s="20">
        <v>9500</v>
      </c>
    </row>
    <row r="1036" spans="2:6">
      <c r="B1036" s="8" t="s">
        <v>3094</v>
      </c>
      <c r="C1036" s="24" t="s">
        <v>3095</v>
      </c>
      <c r="D1036" s="8" t="s">
        <v>3096</v>
      </c>
      <c r="E1036" s="19" t="s">
        <v>1227</v>
      </c>
      <c r="F1036" s="20">
        <v>11500</v>
      </c>
    </row>
    <row r="1037" spans="2:6">
      <c r="B1037" s="8" t="s">
        <v>3097</v>
      </c>
      <c r="C1037" s="18" t="s">
        <v>3098</v>
      </c>
      <c r="D1037" s="8" t="s">
        <v>3099</v>
      </c>
      <c r="E1037" s="19" t="s">
        <v>12</v>
      </c>
      <c r="F1037" s="20">
        <v>1948.8000000000002</v>
      </c>
    </row>
    <row r="1038" spans="2:6">
      <c r="B1038" s="8" t="s">
        <v>3100</v>
      </c>
      <c r="C1038" s="31" t="s">
        <v>3101</v>
      </c>
      <c r="D1038" s="8" t="s">
        <v>3102</v>
      </c>
      <c r="E1038" s="19" t="s">
        <v>12</v>
      </c>
      <c r="F1038" s="20">
        <v>1411.2</v>
      </c>
    </row>
    <row r="1039" spans="2:6">
      <c r="B1039" s="8" t="s">
        <v>3103</v>
      </c>
      <c r="C1039" s="18" t="s">
        <v>3104</v>
      </c>
      <c r="D1039" s="8" t="s">
        <v>3105</v>
      </c>
      <c r="E1039" s="19" t="s">
        <v>12</v>
      </c>
      <c r="F1039" s="20">
        <v>2966.12</v>
      </c>
    </row>
    <row r="1040" spans="2:6">
      <c r="B1040" s="8" t="s">
        <v>3106</v>
      </c>
      <c r="C1040" s="18" t="s">
        <v>3107</v>
      </c>
      <c r="D1040" s="8" t="s">
        <v>3108</v>
      </c>
      <c r="E1040" s="19" t="s">
        <v>12</v>
      </c>
      <c r="F1040" s="20">
        <v>12500</v>
      </c>
    </row>
    <row r="1041" spans="2:6">
      <c r="B1041" s="8" t="s">
        <v>3109</v>
      </c>
      <c r="C1041" s="18" t="s">
        <v>3110</v>
      </c>
      <c r="D1041" s="8" t="s">
        <v>3111</v>
      </c>
      <c r="E1041" s="19" t="s">
        <v>12</v>
      </c>
      <c r="F1041" s="20">
        <v>40300</v>
      </c>
    </row>
    <row r="1042" spans="2:6">
      <c r="B1042" s="8" t="s">
        <v>3112</v>
      </c>
      <c r="C1042" s="18" t="s">
        <v>3113</v>
      </c>
      <c r="D1042" s="8" t="s">
        <v>3114</v>
      </c>
      <c r="E1042" s="19" t="s">
        <v>12</v>
      </c>
      <c r="F1042" s="20">
        <v>52585</v>
      </c>
    </row>
    <row r="1043" spans="2:6">
      <c r="B1043" s="8" t="s">
        <v>3115</v>
      </c>
      <c r="C1043" s="18" t="s">
        <v>3116</v>
      </c>
      <c r="D1043" s="8" t="s">
        <v>3117</v>
      </c>
      <c r="E1043" s="19" t="s">
        <v>12</v>
      </c>
      <c r="F1043" s="20">
        <v>800</v>
      </c>
    </row>
    <row r="1044" spans="2:6">
      <c r="B1044" s="8" t="s">
        <v>3118</v>
      </c>
      <c r="C1044" s="18" t="s">
        <v>3119</v>
      </c>
      <c r="D1044" s="8" t="s">
        <v>3120</v>
      </c>
      <c r="E1044" s="19" t="s">
        <v>12</v>
      </c>
      <c r="F1044" s="20">
        <v>1500</v>
      </c>
    </row>
    <row r="1045" spans="2:6" ht="26.4">
      <c r="B1045" s="8" t="s">
        <v>3121</v>
      </c>
      <c r="C1045" s="24" t="s">
        <v>3122</v>
      </c>
      <c r="D1045" s="8" t="s">
        <v>3123</v>
      </c>
      <c r="E1045" s="19" t="s">
        <v>170</v>
      </c>
      <c r="F1045" s="20">
        <v>45000</v>
      </c>
    </row>
    <row r="1046" spans="2:6">
      <c r="B1046" s="8" t="s">
        <v>3124</v>
      </c>
      <c r="C1046" s="18" t="s">
        <v>3125</v>
      </c>
      <c r="D1046" s="8" t="s">
        <v>3126</v>
      </c>
      <c r="E1046" s="19" t="s">
        <v>12</v>
      </c>
      <c r="F1046" s="20">
        <v>980</v>
      </c>
    </row>
    <row r="1047" spans="2:6">
      <c r="B1047" s="8" t="s">
        <v>3127</v>
      </c>
      <c r="C1047" s="18" t="s">
        <v>3128</v>
      </c>
      <c r="D1047" s="8" t="s">
        <v>3129</v>
      </c>
      <c r="E1047" s="19" t="s">
        <v>12</v>
      </c>
      <c r="F1047" s="20">
        <v>650</v>
      </c>
    </row>
    <row r="1048" spans="2:6">
      <c r="B1048" s="8" t="s">
        <v>3130</v>
      </c>
      <c r="C1048" s="18" t="s">
        <v>3131</v>
      </c>
      <c r="D1048" s="8" t="s">
        <v>3132</v>
      </c>
      <c r="E1048" s="19" t="s">
        <v>12</v>
      </c>
      <c r="F1048" s="20">
        <v>4176</v>
      </c>
    </row>
    <row r="1049" spans="2:6">
      <c r="B1049" s="8" t="s">
        <v>3133</v>
      </c>
      <c r="C1049" s="26" t="s">
        <v>3134</v>
      </c>
      <c r="D1049" s="8" t="s">
        <v>3135</v>
      </c>
      <c r="E1049" s="19" t="s">
        <v>12</v>
      </c>
      <c r="F1049" s="20">
        <v>0</v>
      </c>
    </row>
    <row r="1050" spans="2:6">
      <c r="B1050" s="8" t="s">
        <v>3136</v>
      </c>
      <c r="C1050" s="26" t="s">
        <v>3137</v>
      </c>
      <c r="D1050" s="8" t="s">
        <v>3138</v>
      </c>
      <c r="E1050" s="19" t="s">
        <v>12</v>
      </c>
      <c r="F1050" s="20">
        <v>8192499.9999999991</v>
      </c>
    </row>
    <row r="1051" spans="2:6">
      <c r="B1051" s="8" t="s">
        <v>3139</v>
      </c>
      <c r="C1051" s="18" t="s">
        <v>3140</v>
      </c>
      <c r="D1051" s="8" t="s">
        <v>3141</v>
      </c>
      <c r="E1051" s="19" t="s">
        <v>12</v>
      </c>
      <c r="F1051" s="20">
        <v>132000</v>
      </c>
    </row>
    <row r="1052" spans="2:6">
      <c r="B1052" s="8" t="s">
        <v>3142</v>
      </c>
      <c r="C1052" s="18" t="s">
        <v>3143</v>
      </c>
      <c r="D1052" s="8" t="s">
        <v>3144</v>
      </c>
      <c r="E1052" s="19" t="s">
        <v>12</v>
      </c>
      <c r="F1052" s="20">
        <v>160050</v>
      </c>
    </row>
    <row r="1053" spans="2:6">
      <c r="B1053" s="8" t="s">
        <v>3145</v>
      </c>
      <c r="C1053" s="18" t="s">
        <v>3146</v>
      </c>
      <c r="D1053" s="8" t="s">
        <v>3147</v>
      </c>
      <c r="E1053" s="19" t="s">
        <v>12</v>
      </c>
      <c r="F1053" s="20">
        <v>188100.00000000003</v>
      </c>
    </row>
    <row r="1054" spans="2:6">
      <c r="B1054" s="8" t="s">
        <v>3148</v>
      </c>
      <c r="C1054" s="18" t="s">
        <v>3149</v>
      </c>
      <c r="D1054" s="8" t="s">
        <v>3150</v>
      </c>
      <c r="E1054" s="19" t="s">
        <v>12</v>
      </c>
      <c r="F1054" s="20">
        <v>235950.00000000003</v>
      </c>
    </row>
    <row r="1055" spans="2:6">
      <c r="B1055" s="8" t="s">
        <v>3151</v>
      </c>
      <c r="C1055" s="18" t="s">
        <v>3152</v>
      </c>
      <c r="D1055" s="8" t="s">
        <v>3153</v>
      </c>
      <c r="E1055" s="19" t="s">
        <v>12</v>
      </c>
      <c r="F1055" s="20">
        <v>250250.00000000003</v>
      </c>
    </row>
    <row r="1056" spans="2:6">
      <c r="B1056" s="8" t="s">
        <v>3154</v>
      </c>
      <c r="C1056" s="18" t="s">
        <v>3155</v>
      </c>
      <c r="D1056" s="8" t="s">
        <v>3156</v>
      </c>
      <c r="E1056" s="19" t="s">
        <v>12</v>
      </c>
      <c r="F1056" s="20">
        <v>286550</v>
      </c>
    </row>
    <row r="1057" spans="2:6">
      <c r="B1057" s="8" t="s">
        <v>3157</v>
      </c>
      <c r="C1057" s="18" t="s">
        <v>3158</v>
      </c>
      <c r="D1057" s="8" t="s">
        <v>3159</v>
      </c>
      <c r="E1057" s="19" t="s">
        <v>12</v>
      </c>
      <c r="F1057" s="20">
        <v>224400.00000000003</v>
      </c>
    </row>
    <row r="1058" spans="2:6">
      <c r="B1058" s="8" t="s">
        <v>3160</v>
      </c>
      <c r="C1058" s="18" t="s">
        <v>3161</v>
      </c>
      <c r="D1058" s="8" t="s">
        <v>3162</v>
      </c>
      <c r="E1058" s="19" t="s">
        <v>12</v>
      </c>
      <c r="F1058" s="20">
        <v>277750</v>
      </c>
    </row>
    <row r="1059" spans="2:6">
      <c r="B1059" s="8" t="s">
        <v>3163</v>
      </c>
      <c r="C1059" s="18" t="s">
        <v>3164</v>
      </c>
      <c r="D1059" s="8" t="s">
        <v>3165</v>
      </c>
      <c r="E1059" s="19" t="s">
        <v>12</v>
      </c>
      <c r="F1059" s="20">
        <v>308000</v>
      </c>
    </row>
    <row r="1060" spans="2:6">
      <c r="B1060" s="8" t="s">
        <v>3166</v>
      </c>
      <c r="C1060" s="18" t="s">
        <v>3167</v>
      </c>
      <c r="D1060" s="8" t="s">
        <v>3168</v>
      </c>
      <c r="E1060" s="19" t="s">
        <v>12</v>
      </c>
      <c r="F1060" s="20">
        <v>365200.00000000006</v>
      </c>
    </row>
    <row r="1061" spans="2:6">
      <c r="B1061" s="8" t="s">
        <v>3169</v>
      </c>
      <c r="C1061" s="18" t="s">
        <v>3170</v>
      </c>
      <c r="D1061" s="8" t="s">
        <v>3171</v>
      </c>
      <c r="E1061" s="19" t="s">
        <v>12</v>
      </c>
      <c r="F1061" s="20">
        <v>378400.00000000006</v>
      </c>
    </row>
    <row r="1062" spans="2:6">
      <c r="B1062" s="8" t="s">
        <v>3172</v>
      </c>
      <c r="C1062" s="18" t="s">
        <v>3173</v>
      </c>
      <c r="D1062" s="8" t="s">
        <v>3174</v>
      </c>
      <c r="E1062" s="19" t="s">
        <v>12</v>
      </c>
      <c r="F1062" s="20">
        <v>413600.00000000006</v>
      </c>
    </row>
    <row r="1063" spans="2:6">
      <c r="B1063" s="8" t="s">
        <v>3175</v>
      </c>
      <c r="C1063" s="18" t="s">
        <v>3176</v>
      </c>
      <c r="D1063" s="8" t="s">
        <v>3177</v>
      </c>
      <c r="E1063" s="19" t="s">
        <v>12</v>
      </c>
      <c r="F1063" s="20">
        <v>25000</v>
      </c>
    </row>
    <row r="1064" spans="2:6">
      <c r="B1064" s="8" t="s">
        <v>3178</v>
      </c>
      <c r="C1064" s="18" t="s">
        <v>3179</v>
      </c>
      <c r="D1064" s="8" t="s">
        <v>3180</v>
      </c>
      <c r="E1064" s="19" t="s">
        <v>12</v>
      </c>
      <c r="F1064" s="20">
        <v>3000</v>
      </c>
    </row>
    <row r="1065" spans="2:6">
      <c r="B1065" s="8" t="s">
        <v>3181</v>
      </c>
      <c r="C1065" s="18" t="s">
        <v>3182</v>
      </c>
      <c r="D1065" s="8" t="s">
        <v>3183</v>
      </c>
      <c r="E1065" s="19" t="s">
        <v>12</v>
      </c>
      <c r="F1065" s="20">
        <v>1300</v>
      </c>
    </row>
    <row r="1066" spans="2:6">
      <c r="B1066" s="8" t="s">
        <v>3184</v>
      </c>
      <c r="C1066" s="18" t="s">
        <v>3185</v>
      </c>
      <c r="D1066" s="8" t="s">
        <v>3186</v>
      </c>
      <c r="E1066" s="19" t="s">
        <v>12</v>
      </c>
      <c r="F1066" s="20">
        <v>2600</v>
      </c>
    </row>
    <row r="1067" spans="2:6">
      <c r="B1067" s="8" t="s">
        <v>3187</v>
      </c>
      <c r="C1067" s="32" t="s">
        <v>3188</v>
      </c>
      <c r="D1067" s="8" t="s">
        <v>3189</v>
      </c>
      <c r="E1067" s="19" t="s">
        <v>12</v>
      </c>
      <c r="F1067" s="20">
        <v>8109.5599999999995</v>
      </c>
    </row>
    <row r="1068" spans="2:6">
      <c r="B1068" s="8" t="s">
        <v>3190</v>
      </c>
      <c r="C1068" s="18" t="s">
        <v>3191</v>
      </c>
      <c r="D1068" s="8" t="s">
        <v>3192</v>
      </c>
      <c r="E1068" s="19" t="s">
        <v>12</v>
      </c>
      <c r="F1068" s="20">
        <v>812</v>
      </c>
    </row>
    <row r="1069" spans="2:6">
      <c r="B1069" s="8" t="s">
        <v>3193</v>
      </c>
      <c r="C1069" s="18" t="s">
        <v>3194</v>
      </c>
      <c r="D1069" s="8" t="s">
        <v>3195</v>
      </c>
      <c r="E1069" s="19" t="s">
        <v>12</v>
      </c>
      <c r="F1069" s="20">
        <v>2436</v>
      </c>
    </row>
    <row r="1070" spans="2:6">
      <c r="B1070" s="8" t="s">
        <v>3196</v>
      </c>
      <c r="C1070" s="18" t="s">
        <v>3197</v>
      </c>
      <c r="D1070" s="8" t="s">
        <v>3198</v>
      </c>
      <c r="E1070" s="19" t="s">
        <v>12</v>
      </c>
      <c r="F1070" s="20">
        <v>1190</v>
      </c>
    </row>
    <row r="1071" spans="2:6">
      <c r="B1071" s="8" t="s">
        <v>3199</v>
      </c>
      <c r="C1071" s="26" t="s">
        <v>3200</v>
      </c>
      <c r="D1071" s="8" t="s">
        <v>3201</v>
      </c>
      <c r="E1071" s="19" t="s">
        <v>12</v>
      </c>
      <c r="F1071" s="20">
        <v>16216.8</v>
      </c>
    </row>
    <row r="1072" spans="2:6">
      <c r="B1072" s="8" t="s">
        <v>3202</v>
      </c>
      <c r="C1072" s="18" t="s">
        <v>3203</v>
      </c>
      <c r="D1072" s="8" t="s">
        <v>3204</v>
      </c>
      <c r="E1072" s="19" t="s">
        <v>12</v>
      </c>
      <c r="F1072" s="20">
        <v>22391.48</v>
      </c>
    </row>
    <row r="1073" spans="2:6">
      <c r="B1073" s="8" t="s">
        <v>3205</v>
      </c>
      <c r="C1073" s="18" t="s">
        <v>3206</v>
      </c>
      <c r="D1073" s="8" t="s">
        <v>3207</v>
      </c>
      <c r="E1073" s="19" t="s">
        <v>12</v>
      </c>
      <c r="F1073" s="20">
        <v>33971.189999999995</v>
      </c>
    </row>
    <row r="1074" spans="2:6">
      <c r="B1074" s="8" t="s">
        <v>3208</v>
      </c>
      <c r="C1074" s="18" t="s">
        <v>3209</v>
      </c>
      <c r="D1074" s="8" t="s">
        <v>3210</v>
      </c>
      <c r="E1074" s="19" t="s">
        <v>12</v>
      </c>
      <c r="F1074" s="20">
        <v>50273.24</v>
      </c>
    </row>
    <row r="1075" spans="2:6">
      <c r="B1075" s="8" t="s">
        <v>3211</v>
      </c>
      <c r="C1075" s="18" t="s">
        <v>3212</v>
      </c>
      <c r="D1075" s="8" t="s">
        <v>3213</v>
      </c>
      <c r="E1075" s="19" t="s">
        <v>12</v>
      </c>
      <c r="F1075" s="20">
        <v>65442.559999999998</v>
      </c>
    </row>
    <row r="1076" spans="2:6">
      <c r="B1076" s="8" t="s">
        <v>3214</v>
      </c>
      <c r="C1076" s="18" t="s">
        <v>3215</v>
      </c>
      <c r="D1076" s="8" t="s">
        <v>3216</v>
      </c>
      <c r="E1076" s="19" t="s">
        <v>12</v>
      </c>
      <c r="F1076" s="20">
        <v>24932.600000000002</v>
      </c>
    </row>
    <row r="1077" spans="2:6">
      <c r="B1077" s="8" t="s">
        <v>3217</v>
      </c>
      <c r="C1077" s="18" t="s">
        <v>3218</v>
      </c>
      <c r="D1077" s="8" t="s">
        <v>3219</v>
      </c>
      <c r="E1077" s="19" t="s">
        <v>12</v>
      </c>
      <c r="F1077" s="20">
        <v>32774.5</v>
      </c>
    </row>
    <row r="1078" spans="2:6">
      <c r="B1078" s="8" t="s">
        <v>3220</v>
      </c>
      <c r="C1078" s="18" t="s">
        <v>3221</v>
      </c>
      <c r="D1078" s="8" t="s">
        <v>3222</v>
      </c>
      <c r="E1078" s="19" t="s">
        <v>12</v>
      </c>
      <c r="F1078" s="20">
        <v>41657</v>
      </c>
    </row>
    <row r="1079" spans="2:6">
      <c r="B1079" s="8" t="s">
        <v>3223</v>
      </c>
      <c r="C1079" s="18" t="s">
        <v>3224</v>
      </c>
      <c r="D1079" s="8" t="s">
        <v>3225</v>
      </c>
      <c r="E1079" s="19" t="s">
        <v>12</v>
      </c>
      <c r="F1079" s="20">
        <v>52169.700000000004</v>
      </c>
    </row>
    <row r="1080" spans="2:6">
      <c r="B1080" s="8" t="s">
        <v>3226</v>
      </c>
      <c r="C1080" s="18" t="s">
        <v>3227</v>
      </c>
      <c r="D1080" s="8" t="s">
        <v>3228</v>
      </c>
      <c r="E1080" s="19" t="s">
        <v>12</v>
      </c>
      <c r="F1080" s="20">
        <v>32547.9</v>
      </c>
    </row>
    <row r="1081" spans="2:6">
      <c r="B1081" s="8" t="s">
        <v>3229</v>
      </c>
      <c r="C1081" s="18" t="s">
        <v>3230</v>
      </c>
      <c r="D1081" s="8" t="s">
        <v>3231</v>
      </c>
      <c r="E1081" s="19" t="s">
        <v>12</v>
      </c>
      <c r="F1081" s="20">
        <v>15015.000000000002</v>
      </c>
    </row>
    <row r="1082" spans="2:6">
      <c r="B1082" s="8" t="s">
        <v>3232</v>
      </c>
      <c r="C1082" s="18" t="s">
        <v>3233</v>
      </c>
      <c r="D1082" s="8" t="s">
        <v>3234</v>
      </c>
      <c r="E1082" s="19" t="s">
        <v>12</v>
      </c>
      <c r="F1082" s="20">
        <v>22695.200000000001</v>
      </c>
    </row>
    <row r="1083" spans="2:6">
      <c r="B1083" s="8" t="s">
        <v>3235</v>
      </c>
      <c r="C1083" s="18" t="s">
        <v>3236</v>
      </c>
      <c r="D1083" s="8" t="s">
        <v>3237</v>
      </c>
      <c r="E1083" s="19" t="s">
        <v>12</v>
      </c>
      <c r="F1083" s="20">
        <v>43763.5</v>
      </c>
    </row>
    <row r="1084" spans="2:6">
      <c r="B1084" s="8" t="s">
        <v>3238</v>
      </c>
      <c r="C1084" s="18" t="s">
        <v>3239</v>
      </c>
      <c r="D1084" s="8" t="s">
        <v>3240</v>
      </c>
      <c r="E1084" s="19" t="s">
        <v>12</v>
      </c>
      <c r="F1084" s="20">
        <v>5967.5000000000009</v>
      </c>
    </row>
    <row r="1085" spans="2:6">
      <c r="B1085" s="8" t="s">
        <v>3241</v>
      </c>
      <c r="C1085" s="18" t="s">
        <v>3242</v>
      </c>
      <c r="D1085" s="8" t="s">
        <v>3243</v>
      </c>
      <c r="E1085" s="19" t="s">
        <v>12</v>
      </c>
      <c r="F1085" s="20">
        <v>10244.300000000001</v>
      </c>
    </row>
    <row r="1086" spans="2:6">
      <c r="B1086" s="8" t="s">
        <v>3244</v>
      </c>
      <c r="C1086" s="18" t="s">
        <v>3245</v>
      </c>
      <c r="D1086" s="8" t="s">
        <v>3246</v>
      </c>
      <c r="E1086" s="19" t="s">
        <v>12</v>
      </c>
      <c r="F1086" s="20">
        <v>14516.7</v>
      </c>
    </row>
    <row r="1087" spans="2:6">
      <c r="B1087" s="8" t="s">
        <v>3247</v>
      </c>
      <c r="C1087" s="18" t="s">
        <v>3248</v>
      </c>
      <c r="D1087" s="8" t="s">
        <v>3249</v>
      </c>
      <c r="E1087" s="19" t="s">
        <v>12</v>
      </c>
      <c r="F1087" s="20">
        <v>18824.300000000003</v>
      </c>
    </row>
    <row r="1088" spans="2:6">
      <c r="B1088" s="8" t="s">
        <v>3250</v>
      </c>
      <c r="C1088" s="18" t="s">
        <v>3251</v>
      </c>
      <c r="D1088" s="8" t="s">
        <v>3252</v>
      </c>
      <c r="E1088" s="19" t="s">
        <v>12</v>
      </c>
      <c r="F1088" s="20">
        <v>15766.300000000001</v>
      </c>
    </row>
    <row r="1089" spans="2:6">
      <c r="B1089" s="8" t="s">
        <v>3253</v>
      </c>
      <c r="C1089" s="18" t="s">
        <v>3254</v>
      </c>
      <c r="D1089" s="8" t="s">
        <v>3255</v>
      </c>
      <c r="E1089" s="19" t="s">
        <v>12</v>
      </c>
      <c r="F1089" s="20">
        <v>22262.9</v>
      </c>
    </row>
    <row r="1090" spans="2:6">
      <c r="B1090" s="8" t="s">
        <v>3256</v>
      </c>
      <c r="C1090" s="18" t="s">
        <v>3257</v>
      </c>
      <c r="D1090" s="8" t="s">
        <v>3258</v>
      </c>
      <c r="E1090" s="19" t="s">
        <v>12</v>
      </c>
      <c r="F1090" s="20">
        <v>29745.100000000002</v>
      </c>
    </row>
    <row r="1091" spans="2:6">
      <c r="B1091" s="8" t="s">
        <v>3259</v>
      </c>
      <c r="C1091" s="18" t="s">
        <v>3260</v>
      </c>
      <c r="D1091" s="8" t="s">
        <v>3261</v>
      </c>
      <c r="E1091" s="19" t="s">
        <v>12</v>
      </c>
      <c r="F1091" s="20">
        <v>38530.800000000003</v>
      </c>
    </row>
    <row r="1092" spans="2:6">
      <c r="B1092" s="8" t="s">
        <v>3262</v>
      </c>
      <c r="C1092" s="18" t="s">
        <v>3263</v>
      </c>
      <c r="D1092" s="8" t="s">
        <v>3264</v>
      </c>
      <c r="E1092" s="19" t="s">
        <v>12</v>
      </c>
      <c r="F1092" s="20">
        <v>1260</v>
      </c>
    </row>
    <row r="1093" spans="2:6">
      <c r="B1093" s="8" t="s">
        <v>3265</v>
      </c>
      <c r="C1093" s="24" t="s">
        <v>3266</v>
      </c>
      <c r="D1093" s="8" t="s">
        <v>3267</v>
      </c>
      <c r="E1093" s="19" t="s">
        <v>12</v>
      </c>
      <c r="F1093" s="20">
        <v>17290</v>
      </c>
    </row>
    <row r="1094" spans="2:6">
      <c r="B1094" s="8" t="s">
        <v>3268</v>
      </c>
      <c r="C1094" s="18" t="s">
        <v>3269</v>
      </c>
      <c r="D1094" s="8" t="s">
        <v>3270</v>
      </c>
      <c r="E1094" s="19" t="s">
        <v>12</v>
      </c>
      <c r="F1094" s="20">
        <v>12162.599999999999</v>
      </c>
    </row>
    <row r="1095" spans="2:6">
      <c r="B1095" s="8" t="s">
        <v>3271</v>
      </c>
      <c r="C1095" s="18" t="s">
        <v>3272</v>
      </c>
      <c r="D1095" s="8" t="s">
        <v>3273</v>
      </c>
      <c r="E1095" s="19" t="s">
        <v>12</v>
      </c>
      <c r="F1095" s="20">
        <v>15889.999999999998</v>
      </c>
    </row>
    <row r="1096" spans="2:6">
      <c r="B1096" s="8" t="s">
        <v>3274</v>
      </c>
      <c r="C1096" s="26" t="s">
        <v>3275</v>
      </c>
      <c r="D1096" s="8" t="s">
        <v>3276</v>
      </c>
      <c r="E1096" s="19" t="s">
        <v>12</v>
      </c>
      <c r="F1096" s="20">
        <v>3696.0000000000009</v>
      </c>
    </row>
    <row r="1097" spans="2:6">
      <c r="B1097" s="8" t="s">
        <v>3277</v>
      </c>
      <c r="C1097" s="32" t="s">
        <v>3278</v>
      </c>
      <c r="D1097" s="8" t="s">
        <v>3279</v>
      </c>
      <c r="E1097" s="19" t="s">
        <v>12</v>
      </c>
      <c r="F1097" s="20">
        <v>3011.3599999999997</v>
      </c>
    </row>
    <row r="1098" spans="2:6">
      <c r="B1098" s="8" t="s">
        <v>3280</v>
      </c>
      <c r="C1098" s="32" t="s">
        <v>3281</v>
      </c>
      <c r="D1098" s="8" t="s">
        <v>3282</v>
      </c>
      <c r="E1098" s="19" t="s">
        <v>12</v>
      </c>
      <c r="F1098" s="20">
        <v>3011.3599999999997</v>
      </c>
    </row>
    <row r="1099" spans="2:6">
      <c r="B1099" s="8" t="s">
        <v>3283</v>
      </c>
      <c r="C1099" s="32" t="s">
        <v>3284</v>
      </c>
      <c r="D1099" s="8" t="s">
        <v>3285</v>
      </c>
      <c r="E1099" s="19" t="s">
        <v>12</v>
      </c>
      <c r="F1099" s="20">
        <v>3011.3599999999997</v>
      </c>
    </row>
    <row r="1100" spans="2:6">
      <c r="B1100" s="8" t="s">
        <v>3286</v>
      </c>
      <c r="C1100" s="32" t="s">
        <v>3287</v>
      </c>
      <c r="D1100" s="8" t="s">
        <v>3288</v>
      </c>
      <c r="E1100" s="19" t="s">
        <v>12</v>
      </c>
      <c r="F1100" s="20">
        <v>3011.3599999999997</v>
      </c>
    </row>
    <row r="1101" spans="2:6">
      <c r="B1101" s="8" t="s">
        <v>3289</v>
      </c>
      <c r="C1101" s="18" t="s">
        <v>3290</v>
      </c>
      <c r="D1101" s="8" t="s">
        <v>3291</v>
      </c>
      <c r="E1101" s="19" t="s">
        <v>12</v>
      </c>
      <c r="F1101" s="20">
        <v>695</v>
      </c>
    </row>
    <row r="1102" spans="2:6">
      <c r="B1102" s="8" t="s">
        <v>3292</v>
      </c>
      <c r="C1102" s="18" t="s">
        <v>3293</v>
      </c>
      <c r="D1102" s="8" t="s">
        <v>3294</v>
      </c>
      <c r="E1102" s="19" t="s">
        <v>12</v>
      </c>
      <c r="F1102" s="20">
        <v>11991.56</v>
      </c>
    </row>
    <row r="1103" spans="2:6">
      <c r="B1103" s="8" t="s">
        <v>3295</v>
      </c>
      <c r="C1103" s="18" t="s">
        <v>3296</v>
      </c>
      <c r="D1103" s="8" t="s">
        <v>3297</v>
      </c>
      <c r="E1103" s="19" t="s">
        <v>12</v>
      </c>
      <c r="F1103" s="20">
        <v>46157.100000000006</v>
      </c>
    </row>
    <row r="1104" spans="2:6">
      <c r="B1104" s="8" t="s">
        <v>3298</v>
      </c>
      <c r="C1104" s="18" t="s">
        <v>3299</v>
      </c>
      <c r="D1104" s="8" t="s">
        <v>3300</v>
      </c>
      <c r="E1104" s="19" t="s">
        <v>12</v>
      </c>
      <c r="F1104" s="20">
        <v>50847.500000000007</v>
      </c>
    </row>
    <row r="1105" spans="2:6">
      <c r="B1105" s="8" t="s">
        <v>3301</v>
      </c>
      <c r="C1105" s="18" t="s">
        <v>3302</v>
      </c>
      <c r="D1105" s="8" t="s">
        <v>3303</v>
      </c>
      <c r="E1105" s="19" t="s">
        <v>12</v>
      </c>
      <c r="F1105" s="20">
        <v>41497.839999999997</v>
      </c>
    </row>
    <row r="1106" spans="2:6">
      <c r="B1106" s="8" t="s">
        <v>3304</v>
      </c>
      <c r="C1106" s="25" t="s">
        <v>3305</v>
      </c>
      <c r="D1106" s="8" t="s">
        <v>3306</v>
      </c>
      <c r="E1106" s="19" t="s">
        <v>12</v>
      </c>
      <c r="F1106" s="20">
        <v>250000</v>
      </c>
    </row>
    <row r="1107" spans="2:6">
      <c r="B1107" s="8" t="s">
        <v>3307</v>
      </c>
      <c r="C1107" s="18" t="s">
        <v>3308</v>
      </c>
      <c r="D1107" s="8" t="s">
        <v>3309</v>
      </c>
      <c r="E1107" s="19" t="s">
        <v>12</v>
      </c>
      <c r="F1107" s="20">
        <v>5900</v>
      </c>
    </row>
    <row r="1108" spans="2:6">
      <c r="B1108" s="8" t="s">
        <v>3310</v>
      </c>
      <c r="C1108" s="18" t="s">
        <v>3311</v>
      </c>
      <c r="D1108" s="8" t="s">
        <v>3312</v>
      </c>
      <c r="E1108" s="19" t="s">
        <v>12</v>
      </c>
      <c r="F1108" s="20">
        <v>1450</v>
      </c>
    </row>
    <row r="1109" spans="2:6">
      <c r="B1109" s="8" t="s">
        <v>3313</v>
      </c>
      <c r="C1109" s="18" t="s">
        <v>3314</v>
      </c>
      <c r="D1109" s="8" t="s">
        <v>3315</v>
      </c>
      <c r="E1109" s="19" t="s">
        <v>12</v>
      </c>
      <c r="F1109" s="20">
        <v>2500</v>
      </c>
    </row>
    <row r="1110" spans="2:6">
      <c r="B1110" s="8" t="s">
        <v>3316</v>
      </c>
      <c r="C1110" s="18" t="s">
        <v>3317</v>
      </c>
      <c r="D1110" s="8" t="s">
        <v>3318</v>
      </c>
      <c r="E1110" s="19" t="s">
        <v>12</v>
      </c>
      <c r="F1110" s="20">
        <v>2900</v>
      </c>
    </row>
    <row r="1111" spans="2:6">
      <c r="B1111" s="8" t="s">
        <v>3319</v>
      </c>
      <c r="C1111" s="18" t="s">
        <v>3320</v>
      </c>
      <c r="D1111" s="8" t="s">
        <v>3321</v>
      </c>
      <c r="E1111" s="19" t="s">
        <v>12</v>
      </c>
      <c r="F1111" s="20">
        <v>54772.3</v>
      </c>
    </row>
    <row r="1112" spans="2:6">
      <c r="B1112" s="8" t="s">
        <v>3322</v>
      </c>
      <c r="C1112" s="18" t="s">
        <v>3323</v>
      </c>
      <c r="D1112" s="8" t="s">
        <v>3324</v>
      </c>
      <c r="E1112" s="19" t="s">
        <v>12</v>
      </c>
      <c r="F1112" s="20">
        <v>1624</v>
      </c>
    </row>
    <row r="1113" spans="2:6">
      <c r="B1113" s="8" t="s">
        <v>3325</v>
      </c>
      <c r="C1113" s="18" t="s">
        <v>3326</v>
      </c>
      <c r="D1113" s="8" t="s">
        <v>3327</v>
      </c>
      <c r="E1113" s="19" t="s">
        <v>12</v>
      </c>
      <c r="F1113" s="20">
        <v>1948.8</v>
      </c>
    </row>
    <row r="1114" spans="2:6">
      <c r="B1114" s="8" t="s">
        <v>3328</v>
      </c>
      <c r="C1114" s="18" t="s">
        <v>3329</v>
      </c>
      <c r="D1114" s="8" t="s">
        <v>3330</v>
      </c>
      <c r="E1114" s="19" t="s">
        <v>12</v>
      </c>
      <c r="F1114" s="20">
        <v>2159.1079999999997</v>
      </c>
    </row>
    <row r="1115" spans="2:6">
      <c r="B1115" s="8" t="s">
        <v>3331</v>
      </c>
      <c r="C1115" s="18" t="s">
        <v>3332</v>
      </c>
      <c r="D1115" s="8" t="s">
        <v>3333</v>
      </c>
      <c r="E1115" s="19" t="s">
        <v>12</v>
      </c>
      <c r="F1115" s="20">
        <v>1218</v>
      </c>
    </row>
    <row r="1116" spans="2:6" ht="26.4">
      <c r="B1116" s="8" t="s">
        <v>3334</v>
      </c>
      <c r="C1116" s="18" t="s">
        <v>3335</v>
      </c>
      <c r="D1116" s="8" t="s">
        <v>3336</v>
      </c>
      <c r="E1116" s="19" t="s">
        <v>12</v>
      </c>
      <c r="F1116" s="20">
        <v>5692.5000000000009</v>
      </c>
    </row>
    <row r="1117" spans="2:6" ht="26.4">
      <c r="B1117" s="8" t="s">
        <v>3337</v>
      </c>
      <c r="C1117" s="18" t="s">
        <v>3338</v>
      </c>
      <c r="D1117" s="8" t="s">
        <v>3339</v>
      </c>
      <c r="E1117" s="19" t="s">
        <v>12</v>
      </c>
      <c r="F1117" s="20">
        <v>2035.0000000000002</v>
      </c>
    </row>
    <row r="1118" spans="2:6" ht="26.4">
      <c r="B1118" s="8" t="s">
        <v>3340</v>
      </c>
      <c r="C1118" s="18" t="s">
        <v>3341</v>
      </c>
      <c r="D1118" s="8" t="s">
        <v>3342</v>
      </c>
      <c r="E1118" s="19" t="s">
        <v>12</v>
      </c>
      <c r="F1118" s="20">
        <v>600</v>
      </c>
    </row>
    <row r="1119" spans="2:6">
      <c r="B1119" s="8" t="s">
        <v>3343</v>
      </c>
      <c r="C1119" s="18" t="s">
        <v>3344</v>
      </c>
      <c r="D1119" s="8" t="s">
        <v>3345</v>
      </c>
      <c r="E1119" s="19" t="s">
        <v>12</v>
      </c>
      <c r="F1119" s="20">
        <v>3283.5000000000005</v>
      </c>
    </row>
    <row r="1120" spans="2:6">
      <c r="B1120" s="8" t="s">
        <v>3346</v>
      </c>
      <c r="C1120" s="18" t="s">
        <v>3347</v>
      </c>
      <c r="D1120" s="8" t="s">
        <v>3348</v>
      </c>
      <c r="E1120" s="19" t="s">
        <v>12</v>
      </c>
      <c r="F1120" s="20">
        <v>6056.6</v>
      </c>
    </row>
    <row r="1121" spans="2:6">
      <c r="B1121" s="8" t="s">
        <v>3349</v>
      </c>
      <c r="C1121" s="26" t="s">
        <v>3350</v>
      </c>
      <c r="D1121" s="8" t="s">
        <v>3351</v>
      </c>
      <c r="E1121" s="19" t="s">
        <v>12</v>
      </c>
      <c r="F1121" s="20">
        <v>425.02399999999994</v>
      </c>
    </row>
    <row r="1122" spans="2:6">
      <c r="B1122" s="8" t="s">
        <v>3352</v>
      </c>
      <c r="C1122" s="18" t="s">
        <v>3353</v>
      </c>
      <c r="D1122" s="8" t="s">
        <v>3354</v>
      </c>
      <c r="E1122" s="19" t="s">
        <v>12</v>
      </c>
      <c r="F1122" s="20">
        <v>4675</v>
      </c>
    </row>
    <row r="1123" spans="2:6">
      <c r="B1123" s="8" t="s">
        <v>3355</v>
      </c>
      <c r="C1123" s="26" t="s">
        <v>3356</v>
      </c>
      <c r="D1123" s="8" t="s">
        <v>3357</v>
      </c>
      <c r="E1123" s="19" t="s">
        <v>12</v>
      </c>
      <c r="F1123" s="20">
        <v>17145.095000000001</v>
      </c>
    </row>
    <row r="1124" spans="2:6">
      <c r="B1124" s="8" t="s">
        <v>3358</v>
      </c>
      <c r="C1124" s="31" t="s">
        <v>3359</v>
      </c>
      <c r="D1124" s="8" t="s">
        <v>3360</v>
      </c>
      <c r="E1124" s="19" t="s">
        <v>12</v>
      </c>
      <c r="F1124" s="20">
        <v>5250</v>
      </c>
    </row>
    <row r="1125" spans="2:6">
      <c r="B1125" s="8" t="s">
        <v>3361</v>
      </c>
      <c r="C1125" s="35" t="s">
        <v>3362</v>
      </c>
      <c r="D1125" s="8" t="s">
        <v>3363</v>
      </c>
      <c r="E1125" s="19" t="s">
        <v>12</v>
      </c>
      <c r="F1125" s="20">
        <v>13357.41</v>
      </c>
    </row>
    <row r="1126" spans="2:6">
      <c r="B1126" s="8" t="s">
        <v>3364</v>
      </c>
      <c r="C1126" s="31" t="s">
        <v>3365</v>
      </c>
      <c r="D1126" s="8" t="s">
        <v>3366</v>
      </c>
      <c r="E1126" s="19" t="s">
        <v>12</v>
      </c>
      <c r="F1126" s="20">
        <v>7768.9150000000009</v>
      </c>
    </row>
    <row r="1127" spans="2:6">
      <c r="B1127" s="8" t="s">
        <v>3367</v>
      </c>
      <c r="C1127" s="26" t="s">
        <v>3368</v>
      </c>
      <c r="D1127" s="8" t="s">
        <v>3369</v>
      </c>
      <c r="E1127" s="19" t="s">
        <v>12</v>
      </c>
      <c r="F1127" s="20">
        <v>19049.690000000002</v>
      </c>
    </row>
    <row r="1128" spans="2:6">
      <c r="B1128" s="8" t="s">
        <v>3370</v>
      </c>
      <c r="C1128" s="18" t="s">
        <v>3371</v>
      </c>
      <c r="D1128" s="8" t="s">
        <v>3372</v>
      </c>
      <c r="E1128" s="19" t="s">
        <v>12</v>
      </c>
      <c r="F1128" s="20">
        <v>9383.66</v>
      </c>
    </row>
    <row r="1129" spans="2:6">
      <c r="B1129" s="8" t="s">
        <v>3373</v>
      </c>
      <c r="C1129" s="18" t="s">
        <v>3374</v>
      </c>
      <c r="D1129" s="8" t="s">
        <v>3375</v>
      </c>
      <c r="E1129" s="19" t="s">
        <v>12</v>
      </c>
      <c r="F1129" s="20">
        <v>7970.875</v>
      </c>
    </row>
    <row r="1130" spans="2:6">
      <c r="B1130" s="8" t="s">
        <v>3376</v>
      </c>
      <c r="C1130" s="26" t="s">
        <v>3377</v>
      </c>
      <c r="D1130" s="8" t="s">
        <v>3378</v>
      </c>
      <c r="E1130" s="19" t="s">
        <v>12</v>
      </c>
      <c r="F1130" s="20">
        <v>21167.465</v>
      </c>
    </row>
    <row r="1131" spans="2:6">
      <c r="B1131" s="8" t="s">
        <v>3379</v>
      </c>
      <c r="C1131" s="18" t="s">
        <v>3380</v>
      </c>
      <c r="D1131" s="8" t="s">
        <v>3381</v>
      </c>
      <c r="E1131" s="19" t="s">
        <v>12</v>
      </c>
      <c r="F1131" s="20">
        <v>11104.060000000001</v>
      </c>
    </row>
    <row r="1132" spans="2:6">
      <c r="B1132" s="8" t="s">
        <v>3382</v>
      </c>
      <c r="C1132" s="26" t="s">
        <v>3383</v>
      </c>
      <c r="D1132" s="8" t="s">
        <v>3384</v>
      </c>
      <c r="E1132" s="19" t="s">
        <v>12</v>
      </c>
      <c r="F1132" s="20">
        <v>26131.38</v>
      </c>
    </row>
    <row r="1133" spans="2:6">
      <c r="B1133" s="8" t="s">
        <v>3385</v>
      </c>
      <c r="C1133" s="18" t="s">
        <v>3386</v>
      </c>
      <c r="D1133" s="8" t="s">
        <v>3387</v>
      </c>
      <c r="E1133" s="19" t="s">
        <v>12</v>
      </c>
      <c r="F1133" s="20">
        <v>12269.070000000002</v>
      </c>
    </row>
    <row r="1134" spans="2:6">
      <c r="B1134" s="8" t="s">
        <v>3388</v>
      </c>
      <c r="C1134" s="26" t="s">
        <v>3389</v>
      </c>
      <c r="D1134" s="8" t="s">
        <v>3390</v>
      </c>
      <c r="E1134" s="19" t="s">
        <v>12</v>
      </c>
      <c r="F1134" s="20">
        <v>29035.49</v>
      </c>
    </row>
    <row r="1135" spans="2:6">
      <c r="B1135" s="8" t="s">
        <v>3391</v>
      </c>
      <c r="C1135" s="18" t="s">
        <v>3392</v>
      </c>
      <c r="D1135" s="8" t="s">
        <v>3393</v>
      </c>
      <c r="E1135" s="19" t="s">
        <v>12</v>
      </c>
      <c r="F1135" s="20">
        <v>2623.61</v>
      </c>
    </row>
    <row r="1136" spans="2:6">
      <c r="B1136" s="8" t="s">
        <v>3394</v>
      </c>
      <c r="C1136" s="18" t="s">
        <v>3395</v>
      </c>
      <c r="D1136" s="8" t="s">
        <v>3396</v>
      </c>
      <c r="E1136" s="19" t="s">
        <v>12</v>
      </c>
      <c r="F1136" s="20">
        <v>8583.3000000000011</v>
      </c>
    </row>
    <row r="1137" spans="2:6">
      <c r="B1137" s="8" t="s">
        <v>3397</v>
      </c>
      <c r="C1137" s="26" t="s">
        <v>3398</v>
      </c>
      <c r="D1137" s="8" t="s">
        <v>3399</v>
      </c>
      <c r="E1137" s="19" t="s">
        <v>12</v>
      </c>
      <c r="F1137" s="20">
        <v>23518.99</v>
      </c>
    </row>
    <row r="1138" spans="2:6">
      <c r="B1138" s="8" t="s">
        <v>3400</v>
      </c>
      <c r="C1138" s="18" t="s">
        <v>3401</v>
      </c>
      <c r="D1138" s="8" t="s">
        <v>3402</v>
      </c>
      <c r="E1138" s="19" t="s">
        <v>12</v>
      </c>
      <c r="F1138" s="20">
        <v>18651.38</v>
      </c>
    </row>
    <row r="1139" spans="2:6">
      <c r="B1139" s="8" t="s">
        <v>3403</v>
      </c>
      <c r="C1139" s="18" t="s">
        <v>3404</v>
      </c>
      <c r="D1139" s="8" t="s">
        <v>3405</v>
      </c>
      <c r="E1139" s="19" t="s">
        <v>12</v>
      </c>
      <c r="F1139" s="20">
        <v>2561.9</v>
      </c>
    </row>
    <row r="1140" spans="2:6">
      <c r="B1140" s="8" t="s">
        <v>3406</v>
      </c>
      <c r="C1140" s="24" t="s">
        <v>3407</v>
      </c>
      <c r="D1140" s="8" t="s">
        <v>3408</v>
      </c>
      <c r="E1140" s="19" t="s">
        <v>12</v>
      </c>
      <c r="F1140" s="20">
        <v>13473.35</v>
      </c>
    </row>
    <row r="1141" spans="2:6">
      <c r="B1141" s="8" t="s">
        <v>3409</v>
      </c>
      <c r="C1141" s="24" t="s">
        <v>3410</v>
      </c>
      <c r="D1141" s="8" t="s">
        <v>3411</v>
      </c>
      <c r="E1141" s="19" t="s">
        <v>12</v>
      </c>
      <c r="F1141" s="20">
        <v>16689.75</v>
      </c>
    </row>
    <row r="1142" spans="2:6">
      <c r="B1142" s="8" t="s">
        <v>3412</v>
      </c>
      <c r="C1142" s="26" t="s">
        <v>3413</v>
      </c>
      <c r="D1142" s="8" t="s">
        <v>3414</v>
      </c>
      <c r="E1142" s="19" t="s">
        <v>12</v>
      </c>
      <c r="F1142" s="20">
        <v>12468.225</v>
      </c>
    </row>
    <row r="1143" spans="2:6">
      <c r="B1143" s="8" t="s">
        <v>3415</v>
      </c>
      <c r="C1143" s="26" t="s">
        <v>3416</v>
      </c>
      <c r="D1143" s="8" t="s">
        <v>3417</v>
      </c>
      <c r="E1143" s="19" t="s">
        <v>12</v>
      </c>
      <c r="F1143" s="20">
        <v>23628.385000000002</v>
      </c>
    </row>
    <row r="1144" spans="2:6">
      <c r="B1144" s="8" t="s">
        <v>3418</v>
      </c>
      <c r="C1144" s="26" t="s">
        <v>3419</v>
      </c>
      <c r="D1144" s="8" t="s">
        <v>3420</v>
      </c>
      <c r="E1144" s="19" t="s">
        <v>12</v>
      </c>
      <c r="F1144" s="20">
        <v>19233.885000000002</v>
      </c>
    </row>
    <row r="1145" spans="2:6">
      <c r="B1145" s="8" t="s">
        <v>3421</v>
      </c>
      <c r="C1145" s="26" t="s">
        <v>3422</v>
      </c>
      <c r="D1145" s="8" t="s">
        <v>3423</v>
      </c>
      <c r="E1145" s="19" t="s">
        <v>12</v>
      </c>
      <c r="F1145" s="20">
        <v>25782.625</v>
      </c>
    </row>
    <row r="1146" spans="2:6">
      <c r="B1146" s="8" t="s">
        <v>3424</v>
      </c>
      <c r="C1146" s="26" t="s">
        <v>3425</v>
      </c>
      <c r="D1146" s="8" t="s">
        <v>3426</v>
      </c>
      <c r="E1146" s="19" t="s">
        <v>12</v>
      </c>
      <c r="F1146" s="20">
        <v>28050</v>
      </c>
    </row>
    <row r="1147" spans="2:6">
      <c r="B1147" s="8" t="s">
        <v>3427</v>
      </c>
      <c r="C1147" s="26" t="s">
        <v>3428</v>
      </c>
      <c r="D1147" s="8" t="s">
        <v>3429</v>
      </c>
      <c r="E1147" s="19" t="s">
        <v>12</v>
      </c>
      <c r="F1147" s="20">
        <v>24977.59</v>
      </c>
    </row>
    <row r="1148" spans="2:6">
      <c r="B1148" s="8" t="s">
        <v>3430</v>
      </c>
      <c r="C1148" s="26" t="s">
        <v>3431</v>
      </c>
      <c r="D1148" s="8" t="s">
        <v>3432</v>
      </c>
      <c r="E1148" s="19" t="s">
        <v>12</v>
      </c>
      <c r="F1148" s="20">
        <v>34769.845000000001</v>
      </c>
    </row>
    <row r="1149" spans="2:6">
      <c r="B1149" s="8" t="s">
        <v>3433</v>
      </c>
      <c r="C1149" s="26" t="s">
        <v>3434</v>
      </c>
      <c r="D1149" s="8" t="s">
        <v>3435</v>
      </c>
      <c r="E1149" s="19" t="s">
        <v>12</v>
      </c>
      <c r="F1149" s="20">
        <v>655.43500000000006</v>
      </c>
    </row>
    <row r="1150" spans="2:6">
      <c r="B1150" s="8" t="s">
        <v>3436</v>
      </c>
      <c r="C1150" s="18" t="s">
        <v>3437</v>
      </c>
      <c r="D1150" s="8" t="s">
        <v>3438</v>
      </c>
      <c r="E1150" s="19" t="s">
        <v>12</v>
      </c>
      <c r="F1150" s="20">
        <v>715.00000000000011</v>
      </c>
    </row>
    <row r="1151" spans="2:6">
      <c r="B1151" s="8" t="s">
        <v>3439</v>
      </c>
      <c r="C1151" s="18" t="s">
        <v>3440</v>
      </c>
      <c r="D1151" s="8" t="s">
        <v>3441</v>
      </c>
      <c r="E1151" s="19" t="s">
        <v>12</v>
      </c>
      <c r="F1151" s="20">
        <v>1287</v>
      </c>
    </row>
    <row r="1152" spans="2:6">
      <c r="B1152" s="8" t="s">
        <v>3442</v>
      </c>
      <c r="C1152" s="24" t="s">
        <v>3443</v>
      </c>
      <c r="D1152" s="8" t="s">
        <v>3444</v>
      </c>
      <c r="E1152" s="19" t="s">
        <v>12</v>
      </c>
      <c r="F1152" s="20">
        <v>800000</v>
      </c>
    </row>
    <row r="1153" spans="2:6">
      <c r="B1153" s="8" t="s">
        <v>3445</v>
      </c>
      <c r="C1153" s="24" t="s">
        <v>3446</v>
      </c>
      <c r="D1153" s="8" t="s">
        <v>3447</v>
      </c>
      <c r="E1153" s="19" t="s">
        <v>12</v>
      </c>
      <c r="F1153" s="20">
        <v>77000</v>
      </c>
    </row>
    <row r="1154" spans="2:6">
      <c r="B1154" s="8" t="s">
        <v>3448</v>
      </c>
      <c r="C1154" s="24" t="s">
        <v>3449</v>
      </c>
      <c r="D1154" s="8" t="s">
        <v>3450</v>
      </c>
      <c r="E1154" s="19" t="s">
        <v>12</v>
      </c>
      <c r="F1154" s="20">
        <v>176000</v>
      </c>
    </row>
    <row r="1155" spans="2:6">
      <c r="B1155" s="8" t="s">
        <v>3451</v>
      </c>
      <c r="C1155" s="24" t="s">
        <v>3452</v>
      </c>
      <c r="D1155" s="8" t="s">
        <v>3453</v>
      </c>
      <c r="E1155" s="19" t="s">
        <v>12</v>
      </c>
      <c r="F1155" s="20">
        <v>121000.00000000001</v>
      </c>
    </row>
    <row r="1156" spans="2:6">
      <c r="B1156" s="8" t="s">
        <v>3454</v>
      </c>
      <c r="C1156" s="18" t="s">
        <v>3455</v>
      </c>
      <c r="D1156" s="8" t="s">
        <v>3456</v>
      </c>
      <c r="E1156" s="19" t="s">
        <v>12</v>
      </c>
      <c r="F1156" s="20">
        <v>12500</v>
      </c>
    </row>
    <row r="1157" spans="2:6">
      <c r="B1157" s="8" t="s">
        <v>3457</v>
      </c>
      <c r="C1157" s="18" t="s">
        <v>3458</v>
      </c>
      <c r="D1157" s="8" t="s">
        <v>3459</v>
      </c>
      <c r="E1157" s="19" t="s">
        <v>12</v>
      </c>
      <c r="F1157" s="20">
        <v>14740.000000000002</v>
      </c>
    </row>
    <row r="1158" spans="2:6">
      <c r="B1158" s="8" t="s">
        <v>3460</v>
      </c>
      <c r="C1158" s="18" t="s">
        <v>3461</v>
      </c>
      <c r="D1158" s="8" t="s">
        <v>3462</v>
      </c>
      <c r="E1158" s="19" t="s">
        <v>12</v>
      </c>
      <c r="F1158" s="20">
        <v>14740.000000000002</v>
      </c>
    </row>
    <row r="1159" spans="2:6">
      <c r="B1159" s="8" t="s">
        <v>3463</v>
      </c>
      <c r="C1159" s="18" t="s">
        <v>3464</v>
      </c>
      <c r="D1159" s="8" t="s">
        <v>3465</v>
      </c>
      <c r="E1159" s="19" t="s">
        <v>12</v>
      </c>
      <c r="F1159" s="20">
        <v>15620.000000000002</v>
      </c>
    </row>
    <row r="1160" spans="2:6">
      <c r="B1160" s="8" t="s">
        <v>3466</v>
      </c>
      <c r="C1160" s="18" t="s">
        <v>3467</v>
      </c>
      <c r="D1160" s="8" t="s">
        <v>3468</v>
      </c>
      <c r="E1160" s="19" t="s">
        <v>12</v>
      </c>
      <c r="F1160" s="20">
        <v>35000</v>
      </c>
    </row>
    <row r="1161" spans="2:6">
      <c r="B1161" s="8" t="s">
        <v>3469</v>
      </c>
      <c r="C1161" s="18" t="s">
        <v>3470</v>
      </c>
      <c r="D1161" s="8" t="s">
        <v>3471</v>
      </c>
      <c r="E1161" s="19" t="s">
        <v>12</v>
      </c>
      <c r="F1161" s="20">
        <v>40000</v>
      </c>
    </row>
    <row r="1162" spans="2:6">
      <c r="B1162" s="8" t="s">
        <v>3472</v>
      </c>
      <c r="C1162" s="18" t="s">
        <v>3473</v>
      </c>
      <c r="D1162" s="8" t="s">
        <v>3474</v>
      </c>
      <c r="E1162" s="19" t="s">
        <v>12</v>
      </c>
      <c r="F1162" s="20">
        <v>17000</v>
      </c>
    </row>
    <row r="1163" spans="2:6">
      <c r="B1163" s="8" t="s">
        <v>3475</v>
      </c>
      <c r="C1163" s="24" t="s">
        <v>3476</v>
      </c>
      <c r="D1163" s="8" t="s">
        <v>3477</v>
      </c>
      <c r="E1163" s="19" t="s">
        <v>12</v>
      </c>
      <c r="F1163" s="20">
        <v>38000</v>
      </c>
    </row>
    <row r="1164" spans="2:6">
      <c r="B1164" s="8" t="s">
        <v>3478</v>
      </c>
      <c r="C1164" s="24" t="s">
        <v>3479</v>
      </c>
      <c r="D1164" s="8" t="s">
        <v>3480</v>
      </c>
      <c r="E1164" s="19" t="s">
        <v>12</v>
      </c>
      <c r="F1164" s="20">
        <v>6710.6</v>
      </c>
    </row>
    <row r="1165" spans="2:6">
      <c r="B1165" s="8" t="s">
        <v>3481</v>
      </c>
      <c r="C1165" s="24" t="s">
        <v>3482</v>
      </c>
      <c r="D1165" s="8" t="s">
        <v>3483</v>
      </c>
      <c r="E1165" s="19" t="s">
        <v>12</v>
      </c>
      <c r="F1165" s="20">
        <v>284710.40000000002</v>
      </c>
    </row>
    <row r="1166" spans="2:6">
      <c r="B1166" s="8" t="s">
        <v>3484</v>
      </c>
      <c r="C1166" s="24" t="s">
        <v>3960</v>
      </c>
      <c r="D1166" s="8" t="s">
        <v>3485</v>
      </c>
      <c r="E1166" s="19" t="s">
        <v>12</v>
      </c>
      <c r="F1166" s="20">
        <v>4900</v>
      </c>
    </row>
    <row r="1167" spans="2:6">
      <c r="B1167" s="8" t="s">
        <v>3486</v>
      </c>
      <c r="C1167" s="18" t="s">
        <v>3487</v>
      </c>
      <c r="D1167" s="8" t="s">
        <v>3488</v>
      </c>
      <c r="E1167" s="19" t="s">
        <v>12</v>
      </c>
      <c r="F1167" s="20">
        <v>44825</v>
      </c>
    </row>
    <row r="1168" spans="2:6">
      <c r="B1168" s="8" t="s">
        <v>3489</v>
      </c>
      <c r="C1168" s="24" t="s">
        <v>3490</v>
      </c>
      <c r="D1168" s="8" t="s">
        <v>3491</v>
      </c>
      <c r="E1168" s="19" t="s">
        <v>12</v>
      </c>
      <c r="F1168" s="20">
        <v>139720</v>
      </c>
    </row>
    <row r="1169" spans="2:6">
      <c r="B1169" s="8" t="s">
        <v>3492</v>
      </c>
      <c r="C1169" s="18" t="s">
        <v>3493</v>
      </c>
      <c r="D1169" s="8" t="s">
        <v>3494</v>
      </c>
      <c r="E1169" s="19" t="s">
        <v>12</v>
      </c>
      <c r="F1169" s="20">
        <v>11050</v>
      </c>
    </row>
    <row r="1170" spans="2:6">
      <c r="B1170" s="8" t="s">
        <v>3495</v>
      </c>
      <c r="C1170" s="18" t="s">
        <v>3496</v>
      </c>
      <c r="D1170" s="8" t="s">
        <v>3497</v>
      </c>
      <c r="E1170" s="19" t="s">
        <v>12</v>
      </c>
      <c r="F1170" s="20">
        <v>3450</v>
      </c>
    </row>
    <row r="1171" spans="2:6">
      <c r="B1171" s="8" t="s">
        <v>3498</v>
      </c>
      <c r="C1171" s="18" t="s">
        <v>3499</v>
      </c>
      <c r="D1171" s="8" t="s">
        <v>3500</v>
      </c>
      <c r="E1171" s="19" t="s">
        <v>12</v>
      </c>
      <c r="F1171" s="20">
        <v>3450</v>
      </c>
    </row>
    <row r="1172" spans="2:6">
      <c r="B1172" s="8" t="s">
        <v>3501</v>
      </c>
      <c r="C1172" s="18" t="s">
        <v>3502</v>
      </c>
      <c r="D1172" s="8" t="s">
        <v>3503</v>
      </c>
      <c r="E1172" s="19" t="s">
        <v>12</v>
      </c>
      <c r="F1172" s="20">
        <v>7279.9999999999991</v>
      </c>
    </row>
    <row r="1173" spans="2:6">
      <c r="B1173" s="8" t="s">
        <v>3504</v>
      </c>
      <c r="C1173" s="18" t="s">
        <v>3505</v>
      </c>
      <c r="D1173" s="8" t="s">
        <v>3506</v>
      </c>
      <c r="E1173" s="19" t="s">
        <v>12</v>
      </c>
      <c r="F1173" s="20">
        <v>19286.400000000001</v>
      </c>
    </row>
    <row r="1174" spans="2:6">
      <c r="B1174" s="8" t="s">
        <v>3507</v>
      </c>
      <c r="C1174" s="25" t="s">
        <v>3508</v>
      </c>
      <c r="D1174" s="8" t="s">
        <v>3509</v>
      </c>
      <c r="E1174" s="19" t="s">
        <v>12</v>
      </c>
      <c r="F1174" s="20">
        <v>47080.000000000007</v>
      </c>
    </row>
    <row r="1175" spans="2:6">
      <c r="B1175" s="8" t="s">
        <v>3510</v>
      </c>
      <c r="C1175" s="25" t="s">
        <v>3511</v>
      </c>
      <c r="D1175" s="8" t="s">
        <v>3512</v>
      </c>
      <c r="E1175" s="19" t="s">
        <v>12</v>
      </c>
      <c r="F1175" s="20">
        <v>88220</v>
      </c>
    </row>
    <row r="1176" spans="2:6">
      <c r="B1176" s="8" t="s">
        <v>3513</v>
      </c>
      <c r="C1176" s="25" t="s">
        <v>3514</v>
      </c>
      <c r="D1176" s="8" t="s">
        <v>3515</v>
      </c>
      <c r="E1176" s="19" t="s">
        <v>12</v>
      </c>
      <c r="F1176" s="20">
        <v>44825</v>
      </c>
    </row>
    <row r="1177" spans="2:6">
      <c r="B1177" s="8" t="s">
        <v>3516</v>
      </c>
      <c r="C1177" s="25" t="s">
        <v>3517</v>
      </c>
      <c r="D1177" s="8" t="s">
        <v>3518</v>
      </c>
      <c r="E1177" s="19" t="s">
        <v>12</v>
      </c>
      <c r="F1177" s="20">
        <v>5300</v>
      </c>
    </row>
    <row r="1178" spans="2:6">
      <c r="B1178" s="8" t="s">
        <v>3519</v>
      </c>
      <c r="C1178" s="24" t="s">
        <v>3520</v>
      </c>
      <c r="D1178" s="8" t="s">
        <v>3521</v>
      </c>
      <c r="E1178" s="19" t="s">
        <v>12</v>
      </c>
      <c r="F1178" s="20">
        <v>53900</v>
      </c>
    </row>
    <row r="1179" spans="2:6">
      <c r="B1179" s="8" t="s">
        <v>3522</v>
      </c>
      <c r="C1179" s="18" t="s">
        <v>3523</v>
      </c>
      <c r="D1179" s="8" t="s">
        <v>3524</v>
      </c>
      <c r="E1179" s="19" t="s">
        <v>12</v>
      </c>
      <c r="F1179" s="20">
        <v>26600</v>
      </c>
    </row>
    <row r="1180" spans="2:6">
      <c r="B1180" s="8" t="s">
        <v>3525</v>
      </c>
      <c r="C1180" s="18" t="s">
        <v>3526</v>
      </c>
      <c r="D1180" s="8" t="s">
        <v>3527</v>
      </c>
      <c r="E1180" s="19" t="s">
        <v>12</v>
      </c>
      <c r="F1180" s="20">
        <v>13238.400000000001</v>
      </c>
    </row>
    <row r="1181" spans="2:6">
      <c r="B1181" s="8" t="s">
        <v>3528</v>
      </c>
      <c r="C1181" s="36" t="s">
        <v>3529</v>
      </c>
      <c r="D1181" s="8" t="s">
        <v>3530</v>
      </c>
      <c r="E1181" s="19" t="s">
        <v>12</v>
      </c>
      <c r="F1181" s="20">
        <v>4368</v>
      </c>
    </row>
    <row r="1182" spans="2:6">
      <c r="B1182" s="8" t="s">
        <v>3531</v>
      </c>
      <c r="C1182" s="36" t="s">
        <v>3532</v>
      </c>
      <c r="D1182" s="8" t="s">
        <v>3533</v>
      </c>
      <c r="E1182" s="19" t="s">
        <v>12</v>
      </c>
      <c r="F1182" s="20">
        <v>16500</v>
      </c>
    </row>
    <row r="1183" spans="2:6">
      <c r="B1183" s="8" t="s">
        <v>3534</v>
      </c>
      <c r="C1183" s="18" t="s">
        <v>3535</v>
      </c>
      <c r="D1183" s="8" t="s">
        <v>3536</v>
      </c>
      <c r="E1183" s="19" t="s">
        <v>12</v>
      </c>
      <c r="F1183" s="20">
        <v>134400</v>
      </c>
    </row>
    <row r="1184" spans="2:6">
      <c r="B1184" s="8" t="s">
        <v>3537</v>
      </c>
      <c r="C1184" s="24" t="s">
        <v>3538</v>
      </c>
      <c r="D1184" s="8" t="s">
        <v>3539</v>
      </c>
      <c r="E1184" s="19" t="s">
        <v>12</v>
      </c>
      <c r="F1184" s="20">
        <v>31079.999999999996</v>
      </c>
    </row>
    <row r="1185" spans="2:6">
      <c r="B1185" s="8" t="s">
        <v>3540</v>
      </c>
      <c r="C1185" s="18" t="s">
        <v>3541</v>
      </c>
      <c r="D1185" s="8" t="s">
        <v>3542</v>
      </c>
      <c r="E1185" s="19" t="s">
        <v>12</v>
      </c>
      <c r="F1185" s="20">
        <v>42420</v>
      </c>
    </row>
    <row r="1186" spans="2:6">
      <c r="B1186" s="8" t="s">
        <v>3543</v>
      </c>
      <c r="C1186" s="24" t="s">
        <v>3544</v>
      </c>
      <c r="D1186" s="8" t="s">
        <v>3545</v>
      </c>
      <c r="E1186" s="19" t="s">
        <v>12</v>
      </c>
      <c r="F1186" s="20">
        <v>101360</v>
      </c>
    </row>
    <row r="1187" spans="2:6">
      <c r="B1187" s="8" t="s">
        <v>3546</v>
      </c>
      <c r="C1187" s="24" t="s">
        <v>3547</v>
      </c>
      <c r="D1187" s="8" t="s">
        <v>3548</v>
      </c>
      <c r="E1187" s="19" t="s">
        <v>12</v>
      </c>
      <c r="F1187" s="20">
        <v>28535.999999999996</v>
      </c>
    </row>
    <row r="1188" spans="2:6">
      <c r="B1188" s="8" t="s">
        <v>3549</v>
      </c>
      <c r="C1188" s="24" t="s">
        <v>3550</v>
      </c>
      <c r="D1188" s="8" t="s">
        <v>3551</v>
      </c>
      <c r="E1188" s="19" t="s">
        <v>12</v>
      </c>
      <c r="F1188" s="20">
        <v>200</v>
      </c>
    </row>
    <row r="1189" spans="2:6">
      <c r="B1189" s="8" t="s">
        <v>3552</v>
      </c>
      <c r="C1189" s="24" t="s">
        <v>3957</v>
      </c>
      <c r="D1189" s="8" t="s">
        <v>3553</v>
      </c>
      <c r="E1189" s="19" t="s">
        <v>12</v>
      </c>
      <c r="F1189" s="20">
        <v>175</v>
      </c>
    </row>
    <row r="1190" spans="2:6">
      <c r="B1190" s="8" t="s">
        <v>3554</v>
      </c>
      <c r="C1190" s="24" t="s">
        <v>3958</v>
      </c>
      <c r="D1190" s="8" t="s">
        <v>3555</v>
      </c>
      <c r="E1190" s="19" t="s">
        <v>12</v>
      </c>
      <c r="F1190" s="20">
        <v>200</v>
      </c>
    </row>
    <row r="1191" spans="2:6">
      <c r="B1191" s="8" t="s">
        <v>3556</v>
      </c>
      <c r="C1191" s="24" t="s">
        <v>3959</v>
      </c>
      <c r="D1191" s="8" t="s">
        <v>3557</v>
      </c>
      <c r="E1191" s="19" t="s">
        <v>12</v>
      </c>
      <c r="F1191" s="20">
        <v>151</v>
      </c>
    </row>
    <row r="1192" spans="2:6">
      <c r="B1192" s="8" t="s">
        <v>3558</v>
      </c>
      <c r="C1192" s="18" t="s">
        <v>3559</v>
      </c>
      <c r="D1192" s="8" t="s">
        <v>3560</v>
      </c>
      <c r="E1192" s="19" t="s">
        <v>12</v>
      </c>
      <c r="F1192" s="20">
        <v>1000</v>
      </c>
    </row>
    <row r="1193" spans="2:6">
      <c r="B1193" s="8" t="s">
        <v>3561</v>
      </c>
      <c r="C1193" s="16" t="s">
        <v>3562</v>
      </c>
      <c r="D1193" s="8" t="s">
        <v>3563</v>
      </c>
      <c r="E1193" s="19" t="s">
        <v>12</v>
      </c>
      <c r="F1193" s="20">
        <v>950000</v>
      </c>
    </row>
    <row r="1194" spans="2:6">
      <c r="B1194" s="8" t="s">
        <v>3564</v>
      </c>
      <c r="C1194" s="18" t="s">
        <v>3565</v>
      </c>
      <c r="D1194" s="8" t="s">
        <v>3566</v>
      </c>
      <c r="E1194" s="19" t="s">
        <v>12</v>
      </c>
      <c r="F1194" s="20">
        <v>2320000</v>
      </c>
    </row>
    <row r="1195" spans="2:6">
      <c r="B1195" s="8" t="s">
        <v>3567</v>
      </c>
      <c r="C1195" s="18" t="s">
        <v>3568</v>
      </c>
      <c r="D1195" s="8" t="s">
        <v>3569</v>
      </c>
      <c r="E1195" s="19" t="s">
        <v>12</v>
      </c>
      <c r="F1195" s="20">
        <v>166600</v>
      </c>
    </row>
    <row r="1196" spans="2:6">
      <c r="B1196" s="8" t="s">
        <v>3570</v>
      </c>
      <c r="C1196" s="37" t="s">
        <v>3571</v>
      </c>
      <c r="D1196" s="8" t="s">
        <v>3572</v>
      </c>
      <c r="E1196" s="19" t="s">
        <v>12</v>
      </c>
      <c r="F1196" s="20">
        <v>126500.00000000001</v>
      </c>
    </row>
    <row r="1197" spans="2:6">
      <c r="B1197" s="8" t="s">
        <v>3573</v>
      </c>
      <c r="C1197" s="18" t="s">
        <v>3574</v>
      </c>
      <c r="D1197" s="8" t="s">
        <v>3575</v>
      </c>
      <c r="E1197" s="19" t="s">
        <v>12</v>
      </c>
      <c r="F1197" s="20">
        <v>72500</v>
      </c>
    </row>
    <row r="1198" spans="2:6">
      <c r="B1198" s="8" t="s">
        <v>3576</v>
      </c>
      <c r="C1198" s="25" t="s">
        <v>3577</v>
      </c>
      <c r="D1198" s="8" t="s">
        <v>3578</v>
      </c>
      <c r="E1198" s="19" t="s">
        <v>12</v>
      </c>
      <c r="F1198" s="20">
        <v>80000</v>
      </c>
    </row>
    <row r="1199" spans="2:6">
      <c r="B1199" s="8" t="s">
        <v>3579</v>
      </c>
      <c r="C1199" s="18" t="s">
        <v>3580</v>
      </c>
      <c r="D1199" s="8" t="s">
        <v>3581</v>
      </c>
      <c r="E1199" s="19" t="s">
        <v>12</v>
      </c>
      <c r="F1199" s="20">
        <v>2320000</v>
      </c>
    </row>
    <row r="1200" spans="2:6">
      <c r="B1200" s="8" t="s">
        <v>3582</v>
      </c>
      <c r="C1200" s="25" t="s">
        <v>3583</v>
      </c>
      <c r="D1200" s="8" t="s">
        <v>3584</v>
      </c>
      <c r="E1200" s="19" t="s">
        <v>12</v>
      </c>
      <c r="F1200" s="20">
        <v>13340000</v>
      </c>
    </row>
    <row r="1201" spans="2:6">
      <c r="B1201" s="8" t="s">
        <v>3585</v>
      </c>
      <c r="C1201" s="25" t="s">
        <v>3586</v>
      </c>
      <c r="D1201" s="8" t="s">
        <v>3587</v>
      </c>
      <c r="E1201" s="19" t="s">
        <v>12</v>
      </c>
      <c r="F1201" s="20">
        <v>5100000</v>
      </c>
    </row>
    <row r="1202" spans="2:6">
      <c r="B1202" s="8" t="s">
        <v>3588</v>
      </c>
      <c r="C1202" s="18" t="s">
        <v>3589</v>
      </c>
      <c r="D1202" s="8" t="s">
        <v>3590</v>
      </c>
      <c r="E1202" s="19" t="s">
        <v>12</v>
      </c>
      <c r="F1202" s="20">
        <v>19800000</v>
      </c>
    </row>
    <row r="1203" spans="2:6">
      <c r="B1203" s="8" t="s">
        <v>3591</v>
      </c>
      <c r="C1203" s="18" t="s">
        <v>3592</v>
      </c>
      <c r="D1203" s="8" t="s">
        <v>3593</v>
      </c>
      <c r="E1203" s="19" t="s">
        <v>12</v>
      </c>
      <c r="F1203" s="20">
        <v>2424400</v>
      </c>
    </row>
    <row r="1204" spans="2:6">
      <c r="B1204" s="8" t="s">
        <v>3594</v>
      </c>
      <c r="C1204" s="18" t="s">
        <v>3595</v>
      </c>
      <c r="D1204" s="8" t="s">
        <v>3596</v>
      </c>
      <c r="E1204" s="19" t="s">
        <v>12</v>
      </c>
      <c r="F1204" s="20">
        <v>2807200</v>
      </c>
    </row>
    <row r="1205" spans="2:6">
      <c r="B1205" s="8" t="s">
        <v>3597</v>
      </c>
      <c r="C1205" s="18" t="s">
        <v>3598</v>
      </c>
      <c r="D1205" s="8" t="s">
        <v>3599</v>
      </c>
      <c r="E1205" s="19" t="s">
        <v>1134</v>
      </c>
      <c r="F1205" s="20">
        <v>4895780</v>
      </c>
    </row>
    <row r="1206" spans="2:6">
      <c r="B1206" s="8" t="s">
        <v>3600</v>
      </c>
      <c r="C1206" s="24" t="s">
        <v>3601</v>
      </c>
      <c r="D1206" s="8" t="s">
        <v>3602</v>
      </c>
      <c r="E1206" s="19" t="s">
        <v>12</v>
      </c>
      <c r="F1206" s="20">
        <v>50000</v>
      </c>
    </row>
    <row r="1207" spans="2:6">
      <c r="B1207" s="8" t="s">
        <v>3603</v>
      </c>
      <c r="C1207" s="18" t="s">
        <v>3604</v>
      </c>
      <c r="D1207" s="8" t="s">
        <v>3605</v>
      </c>
      <c r="E1207" s="19" t="s">
        <v>12</v>
      </c>
      <c r="F1207" s="20">
        <v>8000</v>
      </c>
    </row>
    <row r="1208" spans="2:6">
      <c r="B1208" s="8" t="s">
        <v>3606</v>
      </c>
      <c r="C1208" s="18" t="s">
        <v>3607</v>
      </c>
      <c r="D1208" s="8" t="s">
        <v>3608</v>
      </c>
      <c r="E1208" s="19" t="s">
        <v>12</v>
      </c>
      <c r="F1208" s="20">
        <v>10000</v>
      </c>
    </row>
    <row r="1209" spans="2:6">
      <c r="B1209" s="8" t="s">
        <v>3609</v>
      </c>
      <c r="C1209" s="18" t="s">
        <v>3610</v>
      </c>
      <c r="D1209" s="8" t="s">
        <v>3611</v>
      </c>
      <c r="E1209" s="19" t="s">
        <v>12</v>
      </c>
      <c r="F1209" s="20">
        <v>13333.333333333334</v>
      </c>
    </row>
    <row r="1210" spans="2:6">
      <c r="B1210" s="8" t="s">
        <v>3612</v>
      </c>
      <c r="C1210" s="18" t="s">
        <v>3613</v>
      </c>
      <c r="D1210" s="8" t="s">
        <v>3614</v>
      </c>
      <c r="E1210" s="19" t="s">
        <v>12</v>
      </c>
      <c r="F1210" s="20">
        <v>1531.4319999999998</v>
      </c>
    </row>
    <row r="1211" spans="2:6">
      <c r="B1211" s="8" t="s">
        <v>3615</v>
      </c>
      <c r="C1211" s="18" t="s">
        <v>3616</v>
      </c>
      <c r="D1211" s="8" t="s">
        <v>3617</v>
      </c>
      <c r="E1211" s="19" t="s">
        <v>12</v>
      </c>
      <c r="F1211" s="20">
        <v>2659.9959999999996</v>
      </c>
    </row>
    <row r="1212" spans="2:6">
      <c r="B1212" s="8" t="s">
        <v>3618</v>
      </c>
      <c r="C1212" s="18" t="s">
        <v>3619</v>
      </c>
      <c r="D1212" s="8" t="s">
        <v>3620</v>
      </c>
      <c r="E1212" s="19" t="s">
        <v>12</v>
      </c>
      <c r="F1212" s="20">
        <v>4379.521999999999</v>
      </c>
    </row>
    <row r="1213" spans="2:6">
      <c r="B1213" s="8" t="s">
        <v>3621</v>
      </c>
      <c r="C1213" s="24" t="s">
        <v>3622</v>
      </c>
      <c r="D1213" s="8" t="s">
        <v>3623</v>
      </c>
      <c r="E1213" s="19" t="s">
        <v>12</v>
      </c>
      <c r="F1213" s="20">
        <v>53359.999999999993</v>
      </c>
    </row>
    <row r="1214" spans="2:6">
      <c r="B1214" s="8" t="s">
        <v>3624</v>
      </c>
      <c r="C1214" s="24" t="s">
        <v>3625</v>
      </c>
      <c r="D1214" s="8" t="s">
        <v>3626</v>
      </c>
      <c r="E1214" s="19" t="s">
        <v>12</v>
      </c>
      <c r="F1214" s="20">
        <v>58650</v>
      </c>
    </row>
    <row r="1215" spans="2:6">
      <c r="B1215" s="8" t="s">
        <v>3627</v>
      </c>
      <c r="C1215" s="24" t="s">
        <v>3628</v>
      </c>
      <c r="D1215" s="8" t="s">
        <v>3629</v>
      </c>
      <c r="E1215" s="19" t="s">
        <v>12</v>
      </c>
      <c r="F1215" s="20">
        <v>37351.999999999993</v>
      </c>
    </row>
    <row r="1216" spans="2:6">
      <c r="B1216" s="8" t="s">
        <v>3630</v>
      </c>
      <c r="C1216" s="24" t="s">
        <v>3631</v>
      </c>
      <c r="D1216" s="8" t="s">
        <v>3632</v>
      </c>
      <c r="E1216" s="19" t="s">
        <v>12</v>
      </c>
      <c r="F1216" s="20">
        <v>21344</v>
      </c>
    </row>
    <row r="1217" spans="2:6">
      <c r="B1217" s="8" t="s">
        <v>3633</v>
      </c>
      <c r="C1217" s="18" t="s">
        <v>3634</v>
      </c>
      <c r="D1217" s="8" t="s">
        <v>3635</v>
      </c>
      <c r="E1217" s="19" t="s">
        <v>12</v>
      </c>
      <c r="F1217" s="20">
        <v>29190</v>
      </c>
    </row>
    <row r="1218" spans="2:6">
      <c r="B1218" s="8" t="s">
        <v>3636</v>
      </c>
      <c r="C1218" s="18" t="s">
        <v>3637</v>
      </c>
      <c r="D1218" s="8" t="s">
        <v>3638</v>
      </c>
      <c r="E1218" s="19" t="s">
        <v>12</v>
      </c>
      <c r="F1218" s="20">
        <v>149274.59999999998</v>
      </c>
    </row>
    <row r="1219" spans="2:6">
      <c r="B1219" s="8" t="s">
        <v>3639</v>
      </c>
      <c r="C1219" s="24" t="s">
        <v>3640</v>
      </c>
      <c r="D1219" s="8" t="s">
        <v>3641</v>
      </c>
      <c r="E1219" s="19" t="s">
        <v>12</v>
      </c>
      <c r="F1219" s="20">
        <v>24078.699999999997</v>
      </c>
    </row>
    <row r="1220" spans="2:6">
      <c r="B1220" s="8" t="s">
        <v>3642</v>
      </c>
      <c r="C1220" s="18" t="s">
        <v>3643</v>
      </c>
      <c r="D1220" s="8" t="s">
        <v>3644</v>
      </c>
      <c r="E1220" s="19" t="s">
        <v>12</v>
      </c>
      <c r="F1220" s="20">
        <v>84000</v>
      </c>
    </row>
    <row r="1221" spans="2:6">
      <c r="B1221" s="8" t="s">
        <v>3645</v>
      </c>
      <c r="C1221" s="24" t="s">
        <v>3646</v>
      </c>
      <c r="D1221" s="8" t="s">
        <v>3647</v>
      </c>
      <c r="E1221" s="19" t="s">
        <v>12</v>
      </c>
      <c r="F1221" s="20">
        <v>76720.000000000015</v>
      </c>
    </row>
    <row r="1222" spans="2:6">
      <c r="B1222" s="8" t="s">
        <v>3648</v>
      </c>
      <c r="C1222" s="24" t="s">
        <v>3649</v>
      </c>
      <c r="D1222" s="8" t="s">
        <v>3650</v>
      </c>
      <c r="E1222" s="19" t="s">
        <v>12</v>
      </c>
      <c r="F1222" s="20">
        <v>59702.720000000008</v>
      </c>
    </row>
    <row r="1223" spans="2:6">
      <c r="B1223" s="8" t="s">
        <v>3651</v>
      </c>
      <c r="C1223" s="24" t="s">
        <v>3652</v>
      </c>
      <c r="D1223" s="8" t="s">
        <v>3653</v>
      </c>
      <c r="E1223" s="19" t="s">
        <v>12</v>
      </c>
      <c r="F1223" s="20">
        <v>45920.000000000007</v>
      </c>
    </row>
    <row r="1224" spans="2:6">
      <c r="B1224" s="8" t="s">
        <v>3654</v>
      </c>
      <c r="C1224" s="24" t="s">
        <v>3655</v>
      </c>
      <c r="D1224" s="8" t="s">
        <v>3656</v>
      </c>
      <c r="E1224" s="19" t="s">
        <v>12</v>
      </c>
      <c r="F1224" s="20">
        <v>23520.000000000004</v>
      </c>
    </row>
    <row r="1225" spans="2:6">
      <c r="B1225" s="8" t="s">
        <v>3657</v>
      </c>
      <c r="C1225" s="24" t="s">
        <v>3658</v>
      </c>
      <c r="D1225" s="8" t="s">
        <v>3659</v>
      </c>
      <c r="E1225" s="19" t="s">
        <v>12</v>
      </c>
      <c r="F1225" s="20">
        <v>97440.000000000015</v>
      </c>
    </row>
    <row r="1226" spans="2:6">
      <c r="B1226" s="8" t="s">
        <v>3660</v>
      </c>
      <c r="C1226" s="24" t="s">
        <v>3661</v>
      </c>
      <c r="D1226" s="8" t="s">
        <v>3662</v>
      </c>
      <c r="E1226" s="19" t="s">
        <v>12</v>
      </c>
      <c r="F1226" s="20">
        <v>248640.00000000003</v>
      </c>
    </row>
    <row r="1227" spans="2:6">
      <c r="B1227" s="8" t="s">
        <v>3663</v>
      </c>
      <c r="C1227" s="24" t="s">
        <v>3664</v>
      </c>
      <c r="D1227" s="8" t="s">
        <v>3665</v>
      </c>
      <c r="E1227" s="19" t="s">
        <v>12</v>
      </c>
      <c r="F1227" s="20">
        <v>29680.000000000004</v>
      </c>
    </row>
    <row r="1228" spans="2:6">
      <c r="B1228" s="8" t="s">
        <v>3666</v>
      </c>
      <c r="C1228" s="24" t="s">
        <v>3667</v>
      </c>
      <c r="D1228" s="8" t="s">
        <v>3668</v>
      </c>
      <c r="E1228" s="19" t="s">
        <v>12</v>
      </c>
      <c r="F1228" s="20">
        <v>399840.00000000006</v>
      </c>
    </row>
    <row r="1229" spans="2:6">
      <c r="B1229" s="8" t="s">
        <v>3669</v>
      </c>
      <c r="C1229" s="18" t="s">
        <v>3670</v>
      </c>
      <c r="D1229" s="8" t="s">
        <v>3671</v>
      </c>
      <c r="E1229" s="19" t="s">
        <v>12</v>
      </c>
      <c r="F1229" s="20">
        <v>28388.800000000003</v>
      </c>
    </row>
    <row r="1230" spans="2:6">
      <c r="B1230" s="8" t="s">
        <v>3672</v>
      </c>
      <c r="C1230" s="18" t="s">
        <v>3673</v>
      </c>
      <c r="D1230" s="8" t="s">
        <v>3674</v>
      </c>
      <c r="E1230" s="19" t="s">
        <v>12</v>
      </c>
      <c r="F1230" s="20">
        <v>24307.360000000001</v>
      </c>
    </row>
    <row r="1231" spans="2:6">
      <c r="B1231" s="8" t="s">
        <v>3675</v>
      </c>
      <c r="C1231" s="18" t="s">
        <v>3676</v>
      </c>
      <c r="D1231" s="8" t="s">
        <v>3677</v>
      </c>
      <c r="E1231" s="19" t="s">
        <v>12</v>
      </c>
      <c r="F1231" s="20">
        <v>16632</v>
      </c>
    </row>
    <row r="1232" spans="2:6">
      <c r="B1232" s="8" t="s">
        <v>3678</v>
      </c>
      <c r="C1232" s="18" t="s">
        <v>3679</v>
      </c>
      <c r="D1232" s="8" t="s">
        <v>3680</v>
      </c>
      <c r="E1232" s="19" t="s">
        <v>12</v>
      </c>
      <c r="F1232" s="20">
        <v>6531.8400000000011</v>
      </c>
    </row>
    <row r="1233" spans="2:6">
      <c r="B1233" s="8" t="s">
        <v>3681</v>
      </c>
      <c r="C1233" s="18" t="s">
        <v>3682</v>
      </c>
      <c r="D1233" s="8" t="s">
        <v>3683</v>
      </c>
      <c r="E1233" s="19" t="s">
        <v>12</v>
      </c>
      <c r="F1233" s="20">
        <v>35090.720000000001</v>
      </c>
    </row>
    <row r="1234" spans="2:6">
      <c r="B1234" s="8" t="s">
        <v>3684</v>
      </c>
      <c r="C1234" s="18" t="s">
        <v>3685</v>
      </c>
      <c r="D1234" s="8" t="s">
        <v>3686</v>
      </c>
      <c r="E1234" s="19" t="s">
        <v>12</v>
      </c>
      <c r="F1234" s="20">
        <v>7000</v>
      </c>
    </row>
    <row r="1235" spans="2:6">
      <c r="B1235" s="8" t="s">
        <v>3687</v>
      </c>
      <c r="C1235" s="31" t="s">
        <v>3688</v>
      </c>
      <c r="D1235" s="8" t="s">
        <v>3689</v>
      </c>
      <c r="E1235" s="19" t="s">
        <v>12</v>
      </c>
      <c r="F1235" s="20">
        <v>9785.44</v>
      </c>
    </row>
    <row r="1236" spans="2:6">
      <c r="B1236" s="8" t="s">
        <v>3690</v>
      </c>
      <c r="C1236" s="31" t="s">
        <v>3691</v>
      </c>
      <c r="D1236" s="8" t="s">
        <v>3692</v>
      </c>
      <c r="E1236" s="19" t="s">
        <v>12</v>
      </c>
      <c r="F1236" s="20">
        <v>34232.1</v>
      </c>
    </row>
    <row r="1237" spans="2:6">
      <c r="B1237" s="8" t="s">
        <v>3693</v>
      </c>
      <c r="C1237" s="24" t="s">
        <v>3694</v>
      </c>
      <c r="D1237" s="8" t="s">
        <v>3695</v>
      </c>
      <c r="E1237" s="19" t="s">
        <v>12</v>
      </c>
      <c r="F1237" s="20">
        <v>42920</v>
      </c>
    </row>
    <row r="1238" spans="2:6">
      <c r="B1238" s="8" t="s">
        <v>3696</v>
      </c>
      <c r="C1238" s="36" t="s">
        <v>3697</v>
      </c>
      <c r="D1238" s="8" t="s">
        <v>3698</v>
      </c>
      <c r="E1238" s="19" t="s">
        <v>12</v>
      </c>
      <c r="F1238" s="20">
        <v>8634.8079999999991</v>
      </c>
    </row>
    <row r="1239" spans="2:6">
      <c r="B1239" s="8" t="s">
        <v>3699</v>
      </c>
      <c r="C1239" s="36" t="s">
        <v>3700</v>
      </c>
      <c r="D1239" s="8" t="s">
        <v>3701</v>
      </c>
      <c r="E1239" s="19" t="s">
        <v>12</v>
      </c>
      <c r="F1239" s="20">
        <v>4382.2479999999996</v>
      </c>
    </row>
    <row r="1240" spans="2:6">
      <c r="B1240" s="8" t="s">
        <v>3702</v>
      </c>
      <c r="C1240" s="36" t="s">
        <v>3703</v>
      </c>
      <c r="D1240" s="8" t="s">
        <v>3704</v>
      </c>
      <c r="E1240" s="19" t="s">
        <v>12</v>
      </c>
      <c r="F1240" s="20">
        <v>2288.0918799999999</v>
      </c>
    </row>
    <row r="1241" spans="2:6">
      <c r="B1241" s="8" t="s">
        <v>3705</v>
      </c>
      <c r="C1241" s="36" t="s">
        <v>3706</v>
      </c>
      <c r="D1241" s="8" t="s">
        <v>3707</v>
      </c>
      <c r="E1241" s="19" t="s">
        <v>12</v>
      </c>
      <c r="F1241" s="20">
        <v>4382.2479999999996</v>
      </c>
    </row>
    <row r="1242" spans="2:6">
      <c r="B1242" s="8" t="s">
        <v>3708</v>
      </c>
      <c r="C1242" s="36" t="s">
        <v>3709</v>
      </c>
      <c r="D1242" s="8" t="s">
        <v>3710</v>
      </c>
      <c r="E1242" s="19" t="s">
        <v>12</v>
      </c>
      <c r="F1242" s="20">
        <v>12205.055999999999</v>
      </c>
    </row>
    <row r="1243" spans="2:6">
      <c r="B1243" s="8" t="s">
        <v>3711</v>
      </c>
      <c r="C1243" s="36" t="s">
        <v>3712</v>
      </c>
      <c r="D1243" s="8" t="s">
        <v>3713</v>
      </c>
      <c r="E1243" s="19" t="s">
        <v>12</v>
      </c>
      <c r="F1243" s="20">
        <v>25230</v>
      </c>
    </row>
    <row r="1244" spans="2:6">
      <c r="B1244" s="8" t="s">
        <v>3714</v>
      </c>
      <c r="C1244" s="36" t="s">
        <v>3715</v>
      </c>
      <c r="D1244" s="8" t="s">
        <v>3716</v>
      </c>
      <c r="E1244" s="19" t="s">
        <v>12</v>
      </c>
      <c r="F1244" s="20">
        <v>3162.5776000000001</v>
      </c>
    </row>
    <row r="1245" spans="2:6">
      <c r="B1245" s="8" t="s">
        <v>3717</v>
      </c>
      <c r="C1245" s="36" t="s">
        <v>3718</v>
      </c>
      <c r="D1245" s="8" t="s">
        <v>3719</v>
      </c>
      <c r="E1245" s="19" t="s">
        <v>12</v>
      </c>
      <c r="F1245" s="20">
        <v>43500</v>
      </c>
    </row>
    <row r="1246" spans="2:6">
      <c r="B1246" s="8" t="s">
        <v>3720</v>
      </c>
      <c r="C1246" s="38" t="s">
        <v>3721</v>
      </c>
      <c r="D1246" s="8" t="s">
        <v>3722</v>
      </c>
      <c r="E1246" s="19" t="s">
        <v>170</v>
      </c>
      <c r="F1246" s="20">
        <v>13530.000000000002</v>
      </c>
    </row>
    <row r="1247" spans="2:6">
      <c r="B1247" s="8" t="s">
        <v>3723</v>
      </c>
      <c r="C1247" s="38" t="s">
        <v>3724</v>
      </c>
      <c r="D1247" s="8" t="s">
        <v>3725</v>
      </c>
      <c r="E1247" s="19" t="s">
        <v>170</v>
      </c>
      <c r="F1247" s="20">
        <v>14740.000000000002</v>
      </c>
    </row>
    <row r="1248" spans="2:6">
      <c r="B1248" s="8" t="s">
        <v>3726</v>
      </c>
      <c r="C1248" s="38" t="s">
        <v>3727</v>
      </c>
      <c r="D1248" s="8" t="s">
        <v>3728</v>
      </c>
      <c r="E1248" s="19" t="s">
        <v>170</v>
      </c>
      <c r="F1248" s="20">
        <v>15620.000000000002</v>
      </c>
    </row>
    <row r="1249" spans="2:6">
      <c r="B1249" s="8" t="s">
        <v>3729</v>
      </c>
      <c r="C1249" s="38" t="s">
        <v>3730</v>
      </c>
      <c r="D1249" s="8" t="s">
        <v>3731</v>
      </c>
      <c r="E1249" s="19" t="s">
        <v>1134</v>
      </c>
      <c r="F1249" s="20">
        <v>9500</v>
      </c>
    </row>
    <row r="1250" spans="2:6">
      <c r="B1250" s="8" t="s">
        <v>3732</v>
      </c>
      <c r="C1250" s="39" t="s">
        <v>3733</v>
      </c>
      <c r="D1250" s="8" t="s">
        <v>3734</v>
      </c>
      <c r="E1250" s="19" t="s">
        <v>1134</v>
      </c>
      <c r="F1250" s="20">
        <v>8500</v>
      </c>
    </row>
    <row r="1251" spans="2:6">
      <c r="B1251" s="8" t="s">
        <v>3735</v>
      </c>
      <c r="C1251" s="39" t="s">
        <v>3736</v>
      </c>
      <c r="D1251" s="8" t="s">
        <v>3737</v>
      </c>
      <c r="E1251" s="19" t="s">
        <v>1134</v>
      </c>
      <c r="F1251" s="20">
        <v>9500</v>
      </c>
    </row>
    <row r="1252" spans="2:6">
      <c r="B1252" s="8" t="s">
        <v>3738</v>
      </c>
      <c r="C1252" s="39" t="s">
        <v>3739</v>
      </c>
      <c r="D1252" s="8" t="s">
        <v>3740</v>
      </c>
      <c r="E1252" s="19" t="s">
        <v>1134</v>
      </c>
      <c r="F1252" s="20">
        <v>8500</v>
      </c>
    </row>
    <row r="1253" spans="2:6">
      <c r="B1253" s="8" t="s">
        <v>3741</v>
      </c>
      <c r="C1253" s="28" t="s">
        <v>3954</v>
      </c>
      <c r="D1253" s="8" t="s">
        <v>3742</v>
      </c>
      <c r="E1253" s="19" t="s">
        <v>1134</v>
      </c>
      <c r="F1253" s="40">
        <v>5247.8399999999992</v>
      </c>
    </row>
    <row r="1254" spans="2:6">
      <c r="B1254" s="8" t="s">
        <v>3743</v>
      </c>
      <c r="C1254" s="28" t="s">
        <v>3955</v>
      </c>
      <c r="D1254" s="8" t="s">
        <v>3744</v>
      </c>
      <c r="E1254" s="19" t="s">
        <v>1134</v>
      </c>
      <c r="F1254" s="40">
        <v>5247.8399999999992</v>
      </c>
    </row>
    <row r="1255" spans="2:6">
      <c r="B1255" s="8" t="s">
        <v>3745</v>
      </c>
      <c r="C1255" s="28" t="s">
        <v>3956</v>
      </c>
      <c r="D1255" s="8" t="s">
        <v>3746</v>
      </c>
      <c r="E1255" s="19" t="s">
        <v>1134</v>
      </c>
      <c r="F1255" s="40">
        <v>8073.5999999999985</v>
      </c>
    </row>
    <row r="1256" spans="2:6">
      <c r="B1256" s="8" t="s">
        <v>3747</v>
      </c>
      <c r="C1256" s="36" t="s">
        <v>3748</v>
      </c>
      <c r="D1256" s="8" t="s">
        <v>3749</v>
      </c>
      <c r="E1256" s="19" t="s">
        <v>12</v>
      </c>
      <c r="F1256" s="20">
        <v>4500</v>
      </c>
    </row>
    <row r="1257" spans="2:6">
      <c r="B1257" s="8" t="s">
        <v>3750</v>
      </c>
      <c r="C1257" s="39" t="s">
        <v>3751</v>
      </c>
      <c r="D1257" s="8" t="s">
        <v>3752</v>
      </c>
      <c r="E1257" s="19" t="s">
        <v>12</v>
      </c>
      <c r="F1257" s="20">
        <v>100</v>
      </c>
    </row>
    <row r="1258" spans="2:6">
      <c r="B1258" s="8" t="s">
        <v>3753</v>
      </c>
      <c r="C1258" s="32" t="s">
        <v>3754</v>
      </c>
      <c r="D1258" s="8" t="s">
        <v>3755</v>
      </c>
      <c r="E1258" s="19" t="s">
        <v>12</v>
      </c>
      <c r="F1258" s="20">
        <v>800</v>
      </c>
    </row>
    <row r="1259" spans="2:6">
      <c r="B1259" s="8" t="s">
        <v>3756</v>
      </c>
      <c r="C1259" s="36" t="s">
        <v>3757</v>
      </c>
      <c r="D1259" s="8" t="s">
        <v>3758</v>
      </c>
      <c r="E1259" s="19" t="s">
        <v>12</v>
      </c>
      <c r="F1259" s="20">
        <v>2204</v>
      </c>
    </row>
    <row r="1260" spans="2:6">
      <c r="B1260" s="8" t="s">
        <v>3759</v>
      </c>
      <c r="C1260" s="39" t="s">
        <v>3760</v>
      </c>
      <c r="D1260" s="8" t="s">
        <v>3761</v>
      </c>
      <c r="E1260" s="19" t="s">
        <v>12</v>
      </c>
      <c r="F1260" s="20">
        <v>10000</v>
      </c>
    </row>
    <row r="1261" spans="2:6">
      <c r="B1261" s="8" t="s">
        <v>3762</v>
      </c>
      <c r="C1261" s="36" t="s">
        <v>3763</v>
      </c>
      <c r="D1261" s="8" t="s">
        <v>3764</v>
      </c>
      <c r="E1261" s="19" t="s">
        <v>12</v>
      </c>
      <c r="F1261" s="20">
        <v>5000</v>
      </c>
    </row>
    <row r="1262" spans="2:6">
      <c r="B1262" s="8" t="s">
        <v>3765</v>
      </c>
      <c r="C1262" s="36" t="s">
        <v>3766</v>
      </c>
      <c r="D1262" s="8" t="s">
        <v>3767</v>
      </c>
      <c r="E1262" s="19" t="s">
        <v>12</v>
      </c>
      <c r="F1262" s="20">
        <v>2000</v>
      </c>
    </row>
    <row r="1263" spans="2:6">
      <c r="B1263" s="8" t="s">
        <v>3768</v>
      </c>
      <c r="C1263" s="36" t="s">
        <v>3769</v>
      </c>
      <c r="D1263" s="8" t="s">
        <v>3770</v>
      </c>
      <c r="E1263" s="19" t="s">
        <v>12</v>
      </c>
      <c r="F1263" s="20">
        <v>4000</v>
      </c>
    </row>
    <row r="1264" spans="2:6">
      <c r="B1264" s="8" t="s">
        <v>3771</v>
      </c>
      <c r="C1264" s="36" t="s">
        <v>3772</v>
      </c>
      <c r="D1264" s="8" t="s">
        <v>3773</v>
      </c>
      <c r="E1264" s="19" t="s">
        <v>12</v>
      </c>
      <c r="F1264" s="20">
        <v>2668</v>
      </c>
    </row>
    <row r="1265" spans="2:6">
      <c r="B1265" s="8" t="s">
        <v>3774</v>
      </c>
      <c r="C1265" s="36" t="s">
        <v>3775</v>
      </c>
      <c r="D1265" s="8" t="s">
        <v>3776</v>
      </c>
      <c r="E1265" s="19" t="s">
        <v>12</v>
      </c>
      <c r="F1265" s="20">
        <v>2668</v>
      </c>
    </row>
    <row r="1266" spans="2:6">
      <c r="B1266" s="8" t="s">
        <v>3777</v>
      </c>
      <c r="C1266" s="36" t="s">
        <v>3778</v>
      </c>
      <c r="D1266" s="8" t="s">
        <v>3779</v>
      </c>
      <c r="E1266" s="19" t="s">
        <v>12</v>
      </c>
      <c r="F1266" s="20">
        <v>1183</v>
      </c>
    </row>
    <row r="1267" spans="2:6">
      <c r="B1267" s="8" t="s">
        <v>3780</v>
      </c>
      <c r="C1267" s="36" t="s">
        <v>3781</v>
      </c>
      <c r="D1267" s="8" t="s">
        <v>3782</v>
      </c>
      <c r="E1267" s="19" t="s">
        <v>12</v>
      </c>
      <c r="F1267" s="20">
        <v>3942.9</v>
      </c>
    </row>
    <row r="1268" spans="2:6">
      <c r="B1268" s="8" t="s">
        <v>3783</v>
      </c>
      <c r="C1268" s="18" t="s">
        <v>3784</v>
      </c>
      <c r="D1268" s="8" t="s">
        <v>3785</v>
      </c>
      <c r="E1268" s="19" t="s">
        <v>12</v>
      </c>
      <c r="F1268" s="20">
        <v>5954</v>
      </c>
    </row>
    <row r="1269" spans="2:6">
      <c r="B1269" s="8" t="s">
        <v>3786</v>
      </c>
      <c r="C1269" s="36" t="s">
        <v>3787</v>
      </c>
      <c r="D1269" s="8" t="s">
        <v>3788</v>
      </c>
      <c r="E1269" s="19" t="s">
        <v>12</v>
      </c>
      <c r="F1269" s="20">
        <v>15230.800000000001</v>
      </c>
    </row>
    <row r="1270" spans="2:6">
      <c r="B1270" s="8" t="s">
        <v>3789</v>
      </c>
      <c r="C1270" s="18" t="s">
        <v>3790</v>
      </c>
      <c r="D1270" s="8" t="s">
        <v>3791</v>
      </c>
      <c r="E1270" s="19" t="s">
        <v>12</v>
      </c>
      <c r="F1270" s="20">
        <v>1545.7</v>
      </c>
    </row>
    <row r="1271" spans="2:6">
      <c r="B1271" s="8" t="s">
        <v>3792</v>
      </c>
      <c r="C1271" s="18" t="s">
        <v>3793</v>
      </c>
      <c r="D1271" s="8" t="s">
        <v>3794</v>
      </c>
      <c r="E1271" s="19" t="s">
        <v>12</v>
      </c>
      <c r="F1271" s="20">
        <v>24233.3</v>
      </c>
    </row>
    <row r="1272" spans="2:6">
      <c r="B1272" s="8" t="s">
        <v>3795</v>
      </c>
      <c r="C1272" s="18" t="s">
        <v>3796</v>
      </c>
      <c r="D1272" s="8" t="s">
        <v>3797</v>
      </c>
      <c r="E1272" s="19" t="s">
        <v>12</v>
      </c>
      <c r="F1272" s="20">
        <v>0</v>
      </c>
    </row>
    <row r="1273" spans="2:6">
      <c r="B1273" s="8" t="s">
        <v>3798</v>
      </c>
      <c r="C1273" s="18" t="s">
        <v>3799</v>
      </c>
      <c r="D1273" s="8" t="s">
        <v>3800</v>
      </c>
      <c r="E1273" s="19" t="s">
        <v>12</v>
      </c>
      <c r="F1273" s="20">
        <v>0</v>
      </c>
    </row>
    <row r="1274" spans="2:6">
      <c r="B1274" s="8" t="s">
        <v>3801</v>
      </c>
      <c r="C1274" s="18" t="s">
        <v>3802</v>
      </c>
      <c r="D1274" s="8" t="s">
        <v>3803</v>
      </c>
      <c r="E1274" s="19" t="s">
        <v>12</v>
      </c>
      <c r="F1274" s="20">
        <v>0</v>
      </c>
    </row>
    <row r="1275" spans="2:6">
      <c r="B1275" s="8" t="s">
        <v>3804</v>
      </c>
      <c r="C1275" s="18" t="s">
        <v>3805</v>
      </c>
      <c r="D1275" s="8" t="s">
        <v>3806</v>
      </c>
      <c r="E1275" s="19" t="s">
        <v>12</v>
      </c>
      <c r="F1275" s="20">
        <v>8960</v>
      </c>
    </row>
    <row r="1276" spans="2:6">
      <c r="B1276" s="8" t="s">
        <v>3807</v>
      </c>
      <c r="C1276" s="18" t="s">
        <v>3808</v>
      </c>
      <c r="D1276" s="8" t="s">
        <v>3809</v>
      </c>
      <c r="E1276" s="19" t="s">
        <v>12</v>
      </c>
      <c r="F1276" s="20">
        <v>22400.000000000004</v>
      </c>
    </row>
    <row r="1277" spans="2:6">
      <c r="B1277" s="8" t="s">
        <v>3810</v>
      </c>
      <c r="C1277" s="18" t="s">
        <v>3811</v>
      </c>
      <c r="D1277" s="8" t="s">
        <v>3812</v>
      </c>
      <c r="E1277" s="19" t="s">
        <v>12</v>
      </c>
      <c r="F1277" s="20">
        <v>0</v>
      </c>
    </row>
    <row r="1278" spans="2:6">
      <c r="B1278" s="8" t="s">
        <v>3813</v>
      </c>
      <c r="C1278" s="18" t="s">
        <v>3814</v>
      </c>
      <c r="D1278" s="8" t="s">
        <v>3815</v>
      </c>
      <c r="E1278" s="19" t="s">
        <v>12</v>
      </c>
      <c r="F1278" s="20">
        <v>0</v>
      </c>
    </row>
    <row r="1279" spans="2:6">
      <c r="B1279" s="8" t="s">
        <v>3816</v>
      </c>
      <c r="C1279" s="18" t="s">
        <v>3817</v>
      </c>
      <c r="D1279" s="8" t="s">
        <v>3818</v>
      </c>
      <c r="E1279" s="19" t="s">
        <v>12</v>
      </c>
      <c r="F1279" s="20">
        <v>346.26</v>
      </c>
    </row>
    <row r="1280" spans="2:6">
      <c r="B1280" s="8" t="s">
        <v>3819</v>
      </c>
      <c r="C1280" s="18" t="s">
        <v>3820</v>
      </c>
      <c r="D1280" s="8" t="s">
        <v>3821</v>
      </c>
      <c r="E1280" s="19" t="s">
        <v>12</v>
      </c>
      <c r="F1280" s="20">
        <v>132.82</v>
      </c>
    </row>
    <row r="1281" spans="2:6">
      <c r="B1281" s="8" t="s">
        <v>3822</v>
      </c>
      <c r="C1281" s="18" t="s">
        <v>3823</v>
      </c>
      <c r="D1281" s="8" t="s">
        <v>3824</v>
      </c>
      <c r="E1281" s="19" t="s">
        <v>12</v>
      </c>
      <c r="F1281" s="20">
        <v>869.99999999999989</v>
      </c>
    </row>
    <row r="1282" spans="2:6">
      <c r="B1282" s="8" t="s">
        <v>3825</v>
      </c>
      <c r="C1282" s="18" t="s">
        <v>3826</v>
      </c>
      <c r="D1282" s="8" t="s">
        <v>3827</v>
      </c>
      <c r="E1282" s="19" t="s">
        <v>12</v>
      </c>
      <c r="F1282" s="20">
        <v>1425.06</v>
      </c>
    </row>
    <row r="1283" spans="2:6">
      <c r="B1283" s="8" t="s">
        <v>3828</v>
      </c>
      <c r="C1283" s="18" t="s">
        <v>3829</v>
      </c>
      <c r="D1283" s="8" t="s">
        <v>3830</v>
      </c>
      <c r="E1283" s="19" t="s">
        <v>12</v>
      </c>
      <c r="F1283" s="20">
        <v>6987.2599999999993</v>
      </c>
    </row>
    <row r="1284" spans="2:6">
      <c r="B1284" s="8" t="s">
        <v>3831</v>
      </c>
      <c r="C1284" s="18" t="s">
        <v>3832</v>
      </c>
      <c r="D1284" s="8" t="s">
        <v>3833</v>
      </c>
      <c r="E1284" s="19" t="s">
        <v>12</v>
      </c>
      <c r="F1284" s="20">
        <v>211.7</v>
      </c>
    </row>
    <row r="1285" spans="2:6">
      <c r="B1285" s="8" t="s">
        <v>3834</v>
      </c>
      <c r="C1285" s="18" t="s">
        <v>3835</v>
      </c>
      <c r="D1285" s="8" t="s">
        <v>3836</v>
      </c>
      <c r="E1285" s="19" t="s">
        <v>12</v>
      </c>
      <c r="F1285" s="20">
        <v>15187.3</v>
      </c>
    </row>
    <row r="1286" spans="2:6">
      <c r="B1286" s="8" t="s">
        <v>3837</v>
      </c>
      <c r="C1286" s="18" t="s">
        <v>3838</v>
      </c>
      <c r="D1286" s="8" t="s">
        <v>3839</v>
      </c>
      <c r="E1286" s="19" t="s">
        <v>12</v>
      </c>
      <c r="F1286" s="20">
        <v>2185.0919999999996</v>
      </c>
    </row>
    <row r="1287" spans="2:6">
      <c r="B1287" s="8" t="s">
        <v>3840</v>
      </c>
      <c r="C1287" s="18" t="s">
        <v>3841</v>
      </c>
      <c r="D1287" s="8" t="s">
        <v>3842</v>
      </c>
      <c r="E1287" s="19" t="s">
        <v>12</v>
      </c>
      <c r="F1287" s="20">
        <v>439.04</v>
      </c>
    </row>
    <row r="1288" spans="2:6">
      <c r="B1288" s="8" t="s">
        <v>3843</v>
      </c>
      <c r="C1288" s="18" t="s">
        <v>3844</v>
      </c>
      <c r="D1288" s="8" t="s">
        <v>3845</v>
      </c>
      <c r="E1288" s="19" t="s">
        <v>12</v>
      </c>
      <c r="F1288" s="20">
        <v>1860.3200000000002</v>
      </c>
    </row>
    <row r="1289" spans="2:6">
      <c r="B1289" s="8" t="s">
        <v>3846</v>
      </c>
      <c r="C1289" s="18" t="s">
        <v>3847</v>
      </c>
      <c r="D1289" s="8" t="s">
        <v>3848</v>
      </c>
      <c r="E1289" s="19" t="s">
        <v>12</v>
      </c>
      <c r="F1289" s="20">
        <v>2821.28</v>
      </c>
    </row>
    <row r="1290" spans="2:6">
      <c r="B1290" s="8" t="s">
        <v>3849</v>
      </c>
      <c r="C1290" s="18" t="s">
        <v>3850</v>
      </c>
      <c r="D1290" s="8" t="s">
        <v>3851</v>
      </c>
      <c r="E1290" s="19" t="s">
        <v>12</v>
      </c>
      <c r="F1290" s="20">
        <v>3721.76</v>
      </c>
    </row>
    <row r="1291" spans="2:6">
      <c r="B1291" s="8" t="s">
        <v>3852</v>
      </c>
      <c r="C1291" s="18" t="s">
        <v>3853</v>
      </c>
      <c r="D1291" s="8" t="s">
        <v>3854</v>
      </c>
      <c r="E1291" s="19" t="s">
        <v>12</v>
      </c>
      <c r="F1291" s="20">
        <v>686.56000000000006</v>
      </c>
    </row>
    <row r="1292" spans="2:6">
      <c r="B1292" s="8" t="s">
        <v>3855</v>
      </c>
      <c r="C1292" s="18" t="s">
        <v>3856</v>
      </c>
      <c r="D1292" s="8" t="s">
        <v>3857</v>
      </c>
      <c r="E1292" s="19" t="s">
        <v>12</v>
      </c>
      <c r="F1292" s="20">
        <v>11223.52</v>
      </c>
    </row>
    <row r="1293" spans="2:6">
      <c r="B1293" s="8" t="s">
        <v>3858</v>
      </c>
      <c r="C1293" s="18" t="s">
        <v>3859</v>
      </c>
      <c r="D1293" s="8" t="s">
        <v>3860</v>
      </c>
      <c r="E1293" s="19" t="s">
        <v>12</v>
      </c>
      <c r="F1293" s="20">
        <v>80306</v>
      </c>
    </row>
    <row r="1294" spans="2:6">
      <c r="B1294" s="8" t="s">
        <v>3861</v>
      </c>
      <c r="C1294" s="16" t="s">
        <v>3862</v>
      </c>
      <c r="D1294" s="8" t="s">
        <v>3863</v>
      </c>
      <c r="E1294" s="19" t="s">
        <v>12</v>
      </c>
      <c r="F1294" s="20">
        <v>42385</v>
      </c>
    </row>
    <row r="1295" spans="2:6">
      <c r="B1295" s="8" t="s">
        <v>3864</v>
      </c>
      <c r="C1295" s="18" t="s">
        <v>3865</v>
      </c>
      <c r="D1295" s="8" t="s">
        <v>3866</v>
      </c>
      <c r="E1295" s="19" t="s">
        <v>12</v>
      </c>
      <c r="F1295" s="20">
        <v>18119</v>
      </c>
    </row>
    <row r="1296" spans="2:6">
      <c r="B1296" s="8" t="s">
        <v>3867</v>
      </c>
      <c r="C1296" s="18" t="s">
        <v>3868</v>
      </c>
      <c r="D1296" s="8" t="s">
        <v>3869</v>
      </c>
      <c r="E1296" s="19" t="s">
        <v>12</v>
      </c>
      <c r="F1296" s="20">
        <v>103936</v>
      </c>
    </row>
    <row r="1297" spans="2:6">
      <c r="B1297" s="8" t="s">
        <v>3870</v>
      </c>
      <c r="C1297" s="18" t="s">
        <v>3871</v>
      </c>
      <c r="D1297" s="8" t="s">
        <v>3872</v>
      </c>
      <c r="E1297" s="19" t="s">
        <v>12</v>
      </c>
      <c r="F1297" s="20">
        <v>25000</v>
      </c>
    </row>
    <row r="1298" spans="2:6">
      <c r="B1298" s="8" t="s">
        <v>3873</v>
      </c>
      <c r="C1298" s="18" t="s">
        <v>3874</v>
      </c>
      <c r="D1298" s="8" t="s">
        <v>3875</v>
      </c>
      <c r="E1298" s="19" t="s">
        <v>12</v>
      </c>
      <c r="F1298" s="20">
        <v>120000</v>
      </c>
    </row>
    <row r="1299" spans="2:6">
      <c r="B1299" s="8" t="s">
        <v>3876</v>
      </c>
      <c r="C1299" s="18" t="s">
        <v>3877</v>
      </c>
      <c r="D1299" s="8" t="s">
        <v>3878</v>
      </c>
      <c r="E1299" s="19" t="s">
        <v>12</v>
      </c>
      <c r="F1299" s="20">
        <v>15000</v>
      </c>
    </row>
    <row r="1300" spans="2:6">
      <c r="B1300" s="8" t="s">
        <v>3879</v>
      </c>
      <c r="C1300" s="18" t="s">
        <v>3880</v>
      </c>
      <c r="D1300" s="8" t="s">
        <v>3881</v>
      </c>
      <c r="E1300" s="19" t="s">
        <v>12</v>
      </c>
      <c r="F1300" s="20">
        <v>6500</v>
      </c>
    </row>
    <row r="1301" spans="2:6">
      <c r="B1301" s="8" t="s">
        <v>3882</v>
      </c>
      <c r="C1301" s="18" t="s">
        <v>3883</v>
      </c>
      <c r="D1301" s="8" t="s">
        <v>3884</v>
      </c>
      <c r="E1301" s="19" t="s">
        <v>12</v>
      </c>
      <c r="F1301" s="20">
        <v>24000</v>
      </c>
    </row>
    <row r="1302" spans="2:6">
      <c r="B1302" s="8" t="s">
        <v>3885</v>
      </c>
      <c r="C1302" s="24" t="s">
        <v>3886</v>
      </c>
      <c r="D1302" s="8" t="s">
        <v>3887</v>
      </c>
      <c r="E1302" s="19" t="s">
        <v>12</v>
      </c>
      <c r="F1302" s="20">
        <v>1000</v>
      </c>
    </row>
    <row r="1303" spans="2:6">
      <c r="B1303" s="8" t="s">
        <v>3888</v>
      </c>
      <c r="C1303" s="36" t="s">
        <v>3889</v>
      </c>
      <c r="D1303" s="8" t="s">
        <v>3890</v>
      </c>
      <c r="E1303" s="41" t="s">
        <v>12</v>
      </c>
      <c r="F1303" s="42">
        <v>6000</v>
      </c>
    </row>
    <row r="1304" spans="2:6">
      <c r="B1304" s="8" t="s">
        <v>3953</v>
      </c>
      <c r="C1304" s="36" t="s">
        <v>3924</v>
      </c>
      <c r="D1304" s="8" t="s">
        <v>3925</v>
      </c>
      <c r="E1304" s="19" t="s">
        <v>12</v>
      </c>
      <c r="F1304" s="42">
        <v>5000</v>
      </c>
    </row>
    <row r="1305" spans="2:6">
      <c r="B1305" s="8"/>
      <c r="C1305" s="36" t="s">
        <v>4103</v>
      </c>
      <c r="D1305" s="8"/>
      <c r="E1305" s="19" t="s">
        <v>12</v>
      </c>
      <c r="F1305" s="42">
        <v>2534.6</v>
      </c>
    </row>
    <row r="1306" spans="2:6">
      <c r="B1306" s="8">
        <v>152</v>
      </c>
      <c r="C1306" s="36" t="s">
        <v>3971</v>
      </c>
      <c r="D1306" s="8"/>
      <c r="E1306" s="45" t="s">
        <v>3</v>
      </c>
      <c r="F1306" s="42">
        <v>32912.447999999997</v>
      </c>
    </row>
    <row r="1307" spans="2:6">
      <c r="B1307" s="8">
        <v>153</v>
      </c>
      <c r="C1307" s="36" t="s">
        <v>3972</v>
      </c>
      <c r="D1307" s="8"/>
      <c r="E1307" s="45" t="s">
        <v>3</v>
      </c>
      <c r="F1307" s="42">
        <v>51045.509999999995</v>
      </c>
    </row>
    <row r="1308" spans="2:6">
      <c r="B1308" s="8">
        <v>154</v>
      </c>
      <c r="C1308" s="36" t="s">
        <v>3973</v>
      </c>
      <c r="D1308" s="8"/>
      <c r="E1308" s="45" t="s">
        <v>3</v>
      </c>
      <c r="F1308" s="42">
        <v>85375.999999999985</v>
      </c>
    </row>
    <row r="1309" spans="2:6">
      <c r="B1309" s="8">
        <v>155</v>
      </c>
      <c r="C1309" s="36" t="s">
        <v>3974</v>
      </c>
      <c r="D1309" s="8"/>
      <c r="E1309" s="45" t="s">
        <v>3</v>
      </c>
      <c r="F1309" s="42">
        <v>107915.26399999998</v>
      </c>
    </row>
    <row r="1310" spans="2:6">
      <c r="B1310" s="8">
        <v>156</v>
      </c>
      <c r="C1310" s="36" t="s">
        <v>3975</v>
      </c>
      <c r="D1310" s="8"/>
      <c r="E1310" s="45" t="s">
        <v>3</v>
      </c>
      <c r="F1310" s="42">
        <v>276105.984</v>
      </c>
    </row>
    <row r="1311" spans="2:6">
      <c r="B1311" s="8">
        <v>157</v>
      </c>
      <c r="C1311" s="36" t="s">
        <v>3976</v>
      </c>
      <c r="D1311" s="8"/>
      <c r="E1311" s="45" t="s">
        <v>3</v>
      </c>
      <c r="F1311" s="42">
        <v>3178.9219999999996</v>
      </c>
    </row>
    <row r="1312" spans="2:6">
      <c r="B1312" s="8">
        <v>158</v>
      </c>
      <c r="C1312" s="36" t="s">
        <v>3977</v>
      </c>
      <c r="D1312" s="8"/>
      <c r="E1312" s="45" t="s">
        <v>3</v>
      </c>
      <c r="F1312" s="42">
        <v>4348.8399999999992</v>
      </c>
    </row>
    <row r="1313" spans="2:6">
      <c r="B1313" s="8">
        <v>159</v>
      </c>
      <c r="C1313" s="36" t="s">
        <v>3978</v>
      </c>
      <c r="D1313" s="8"/>
      <c r="E1313" s="45" t="s">
        <v>3</v>
      </c>
      <c r="F1313" s="42">
        <v>8529.5959999999995</v>
      </c>
    </row>
    <row r="1314" spans="2:6">
      <c r="B1314" s="8">
        <v>160</v>
      </c>
      <c r="C1314" s="36" t="s">
        <v>3979</v>
      </c>
      <c r="D1314" s="8"/>
      <c r="E1314" s="45" t="s">
        <v>3</v>
      </c>
      <c r="F1314" s="42">
        <v>12915.787999999999</v>
      </c>
    </row>
    <row r="1315" spans="2:6">
      <c r="B1315" s="8">
        <v>161</v>
      </c>
      <c r="C1315" s="36" t="s">
        <v>3980</v>
      </c>
      <c r="D1315" s="8"/>
      <c r="E1315" s="45" t="s">
        <v>3</v>
      </c>
      <c r="F1315" s="42">
        <v>21301.311999999998</v>
      </c>
    </row>
    <row r="1316" spans="2:6">
      <c r="B1316" s="8">
        <v>162</v>
      </c>
      <c r="C1316" s="36" t="s">
        <v>3981</v>
      </c>
      <c r="D1316" s="8"/>
      <c r="E1316" s="45" t="s">
        <v>4148</v>
      </c>
      <c r="F1316" s="42">
        <v>4813.0719999999992</v>
      </c>
    </row>
    <row r="1317" spans="2:6">
      <c r="B1317" s="8">
        <v>163</v>
      </c>
      <c r="C1317" s="36" t="s">
        <v>3982</v>
      </c>
      <c r="D1317" s="8"/>
      <c r="E1317" s="45" t="s">
        <v>4148</v>
      </c>
      <c r="F1317" s="42">
        <v>3839.2519999999995</v>
      </c>
    </row>
    <row r="1318" spans="2:6">
      <c r="B1318" s="8">
        <v>164</v>
      </c>
      <c r="C1318" s="36" t="s">
        <v>3983</v>
      </c>
      <c r="D1318" s="8"/>
      <c r="E1318" s="45" t="s">
        <v>3</v>
      </c>
      <c r="F1318" s="42">
        <v>24133.393999999997</v>
      </c>
    </row>
    <row r="1319" spans="2:6">
      <c r="B1319" s="8">
        <v>165</v>
      </c>
      <c r="C1319" s="36" t="s">
        <v>3984</v>
      </c>
      <c r="D1319" s="8"/>
      <c r="E1319" s="45" t="s">
        <v>3</v>
      </c>
      <c r="F1319" s="42">
        <v>21111.883999999998</v>
      </c>
    </row>
    <row r="1320" spans="2:6">
      <c r="B1320" s="8">
        <v>166</v>
      </c>
      <c r="C1320" s="36" t="s">
        <v>3985</v>
      </c>
      <c r="D1320" s="8"/>
      <c r="E1320" s="45" t="s">
        <v>3</v>
      </c>
      <c r="F1320" s="42">
        <v>20544.933999999997</v>
      </c>
    </row>
    <row r="1321" spans="2:6">
      <c r="B1321" s="8">
        <v>167</v>
      </c>
      <c r="C1321" s="36" t="s">
        <v>3986</v>
      </c>
      <c r="D1321" s="8"/>
      <c r="E1321" s="45" t="s">
        <v>3</v>
      </c>
      <c r="F1321" s="42">
        <v>25376.681999999997</v>
      </c>
    </row>
    <row r="1322" spans="2:6">
      <c r="B1322" s="8">
        <v>168</v>
      </c>
      <c r="C1322" s="36" t="s">
        <v>3987</v>
      </c>
      <c r="D1322" s="8"/>
      <c r="E1322" s="45" t="s">
        <v>3</v>
      </c>
      <c r="F1322" s="42">
        <v>31072.861999999997</v>
      </c>
    </row>
    <row r="1323" spans="2:6">
      <c r="B1323" s="8">
        <v>169</v>
      </c>
      <c r="C1323" s="36" t="s">
        <v>3988</v>
      </c>
      <c r="D1323" s="8"/>
      <c r="E1323" s="45" t="s">
        <v>3</v>
      </c>
      <c r="F1323" s="42">
        <v>32066.691999999995</v>
      </c>
    </row>
    <row r="1324" spans="2:6">
      <c r="B1324" s="8">
        <v>170</v>
      </c>
      <c r="C1324" s="36" t="s">
        <v>3989</v>
      </c>
      <c r="D1324" s="8"/>
      <c r="E1324" s="45" t="s">
        <v>3</v>
      </c>
      <c r="F1324" s="42">
        <v>24185.42</v>
      </c>
    </row>
    <row r="1325" spans="2:6">
      <c r="B1325" s="8">
        <v>171</v>
      </c>
      <c r="C1325" s="36" t="s">
        <v>3990</v>
      </c>
      <c r="D1325" s="8"/>
      <c r="E1325" s="45" t="s">
        <v>3</v>
      </c>
      <c r="F1325" s="42">
        <v>36727.687999999995</v>
      </c>
    </row>
    <row r="1326" spans="2:6">
      <c r="B1326" s="8">
        <v>172</v>
      </c>
      <c r="C1326" s="36" t="s">
        <v>3991</v>
      </c>
      <c r="D1326" s="8"/>
      <c r="E1326" s="45" t="s">
        <v>3</v>
      </c>
      <c r="F1326" s="42">
        <v>36143.395999999993</v>
      </c>
    </row>
    <row r="1327" spans="2:6">
      <c r="B1327" s="8">
        <v>173</v>
      </c>
      <c r="C1327" s="36" t="s">
        <v>3992</v>
      </c>
      <c r="D1327" s="8"/>
      <c r="E1327" s="45" t="s">
        <v>3</v>
      </c>
      <c r="F1327" s="42">
        <v>56928.45</v>
      </c>
    </row>
    <row r="1328" spans="2:6">
      <c r="B1328" s="8">
        <v>174</v>
      </c>
      <c r="C1328" s="36" t="s">
        <v>3993</v>
      </c>
      <c r="D1328" s="8"/>
      <c r="E1328" s="45" t="s">
        <v>3</v>
      </c>
      <c r="F1328" s="42">
        <v>73764.863999999987</v>
      </c>
    </row>
    <row r="1329" spans="2:10">
      <c r="B1329" s="8">
        <v>175</v>
      </c>
      <c r="C1329" s="36" t="s">
        <v>3994</v>
      </c>
      <c r="D1329" s="8"/>
      <c r="E1329" s="45" t="s">
        <v>3</v>
      </c>
      <c r="F1329" s="42">
        <v>66251.775999999998</v>
      </c>
    </row>
    <row r="1330" spans="2:10">
      <c r="B1330" s="8">
        <v>176</v>
      </c>
      <c r="C1330" s="36" t="s">
        <v>3995</v>
      </c>
      <c r="D1330" s="8"/>
      <c r="E1330" s="45" t="s">
        <v>3</v>
      </c>
      <c r="F1330" s="42">
        <v>62896.765999999996</v>
      </c>
    </row>
    <row r="1331" spans="2:10">
      <c r="B1331" s="8">
        <v>177</v>
      </c>
      <c r="C1331" s="36" t="s">
        <v>3996</v>
      </c>
      <c r="D1331" s="8"/>
      <c r="E1331" s="45" t="s">
        <v>3</v>
      </c>
      <c r="F1331" s="42">
        <f>J1331</f>
        <v>5778.887999999999</v>
      </c>
      <c r="G1331" s="9">
        <v>4332</v>
      </c>
      <c r="H1331" s="9">
        <v>1.1599999999999999</v>
      </c>
      <c r="I1331" s="9">
        <v>1.1499999999999999</v>
      </c>
      <c r="J1331" s="9">
        <f>G1331*H1331*I1331</f>
        <v>5778.887999999999</v>
      </c>
    </row>
    <row r="1332" spans="2:10">
      <c r="B1332" s="8">
        <v>178</v>
      </c>
      <c r="C1332" s="36" t="s">
        <v>3997</v>
      </c>
      <c r="D1332" s="8"/>
      <c r="E1332" s="45" t="s">
        <v>3</v>
      </c>
      <c r="F1332" s="42">
        <f t="shared" ref="F1332:F1338" si="0">J1332</f>
        <v>5778.887999999999</v>
      </c>
      <c r="G1332" s="9">
        <v>4332</v>
      </c>
      <c r="H1332" s="9">
        <v>1.1599999999999999</v>
      </c>
      <c r="I1332" s="9">
        <v>1.1499999999999999</v>
      </c>
      <c r="J1332" s="9">
        <f t="shared" ref="J1332:J1338" si="1">G1332*H1332*I1332</f>
        <v>5778.887999999999</v>
      </c>
    </row>
    <row r="1333" spans="2:10">
      <c r="B1333" s="8">
        <v>179</v>
      </c>
      <c r="C1333" s="36" t="s">
        <v>3998</v>
      </c>
      <c r="D1333" s="8"/>
      <c r="E1333" s="45" t="s">
        <v>3</v>
      </c>
      <c r="F1333" s="42">
        <f t="shared" si="0"/>
        <v>7038.1839999999993</v>
      </c>
      <c r="G1333" s="9">
        <v>5276</v>
      </c>
      <c r="H1333" s="9">
        <v>1.1599999999999999</v>
      </c>
      <c r="I1333" s="9">
        <v>1.1499999999999999</v>
      </c>
      <c r="J1333" s="9">
        <f t="shared" si="1"/>
        <v>7038.1839999999993</v>
      </c>
    </row>
    <row r="1334" spans="2:10">
      <c r="B1334" s="8">
        <v>180</v>
      </c>
      <c r="C1334" s="36" t="s">
        <v>3999</v>
      </c>
      <c r="D1334" s="8"/>
      <c r="E1334" s="45" t="s">
        <v>3</v>
      </c>
      <c r="F1334" s="42">
        <f t="shared" si="0"/>
        <v>12005.999999999998</v>
      </c>
      <c r="G1334" s="9">
        <v>9000</v>
      </c>
      <c r="H1334" s="9">
        <v>1.1599999999999999</v>
      </c>
      <c r="I1334" s="9">
        <v>1.1499999999999999</v>
      </c>
      <c r="J1334" s="9">
        <f t="shared" si="1"/>
        <v>12005.999999999998</v>
      </c>
    </row>
    <row r="1335" spans="2:10">
      <c r="B1335" s="8">
        <v>181</v>
      </c>
      <c r="C1335" s="36" t="s">
        <v>4000</v>
      </c>
      <c r="D1335" s="8"/>
      <c r="E1335" s="45" t="s">
        <v>3</v>
      </c>
      <c r="F1335" s="42">
        <f t="shared" si="0"/>
        <v>8348.1719999999987</v>
      </c>
      <c r="G1335" s="9">
        <v>6258</v>
      </c>
      <c r="H1335" s="9">
        <v>1.1599999999999999</v>
      </c>
      <c r="I1335" s="9">
        <v>1.1499999999999999</v>
      </c>
      <c r="J1335" s="9">
        <f t="shared" si="1"/>
        <v>8348.1719999999987</v>
      </c>
    </row>
    <row r="1336" spans="2:10">
      <c r="B1336" s="8">
        <v>182</v>
      </c>
      <c r="C1336" s="36" t="s">
        <v>4001</v>
      </c>
      <c r="D1336" s="8"/>
      <c r="E1336" s="45" t="s">
        <v>3</v>
      </c>
      <c r="F1336" s="42">
        <f t="shared" si="0"/>
        <v>8348.1719999999987</v>
      </c>
      <c r="G1336" s="9">
        <v>6258</v>
      </c>
      <c r="H1336" s="9">
        <v>1.1599999999999999</v>
      </c>
      <c r="I1336" s="9">
        <v>1.1499999999999999</v>
      </c>
      <c r="J1336" s="9">
        <f t="shared" si="1"/>
        <v>8348.1719999999987</v>
      </c>
    </row>
    <row r="1337" spans="2:10">
      <c r="B1337" s="8">
        <v>183</v>
      </c>
      <c r="C1337" s="36" t="s">
        <v>4002</v>
      </c>
      <c r="D1337" s="8"/>
      <c r="E1337" s="45" t="s">
        <v>3</v>
      </c>
      <c r="F1337" s="42">
        <f t="shared" si="0"/>
        <v>9570.116</v>
      </c>
      <c r="G1337" s="9">
        <v>7174</v>
      </c>
      <c r="H1337" s="9">
        <v>1.1599999999999999</v>
      </c>
      <c r="I1337" s="9">
        <v>1.1499999999999999</v>
      </c>
      <c r="J1337" s="9">
        <f t="shared" si="1"/>
        <v>9570.116</v>
      </c>
    </row>
    <row r="1338" spans="2:10">
      <c r="B1338" s="8">
        <v>184</v>
      </c>
      <c r="C1338" s="36" t="s">
        <v>4003</v>
      </c>
      <c r="D1338" s="8"/>
      <c r="E1338" s="45" t="s">
        <v>3</v>
      </c>
      <c r="F1338" s="42">
        <f t="shared" si="0"/>
        <v>13281.303999999998</v>
      </c>
      <c r="G1338" s="9">
        <v>9956</v>
      </c>
      <c r="H1338" s="9">
        <v>1.1599999999999999</v>
      </c>
      <c r="I1338" s="9">
        <v>1.1499999999999999</v>
      </c>
      <c r="J1338" s="9">
        <f t="shared" si="1"/>
        <v>13281.303999999998</v>
      </c>
    </row>
    <row r="1339" spans="2:10">
      <c r="B1339" s="8">
        <v>185</v>
      </c>
      <c r="C1339" s="36" t="s">
        <v>4004</v>
      </c>
      <c r="D1339" s="8"/>
      <c r="E1339" s="45" t="s">
        <v>3</v>
      </c>
      <c r="F1339" s="42">
        <v>20154.071999999996</v>
      </c>
    </row>
    <row r="1340" spans="2:10">
      <c r="B1340" s="8">
        <v>186</v>
      </c>
      <c r="C1340" s="36" t="s">
        <v>4005</v>
      </c>
      <c r="D1340" s="8"/>
      <c r="E1340" s="45" t="s">
        <v>3</v>
      </c>
      <c r="F1340" s="42">
        <v>25982.317999999996</v>
      </c>
    </row>
    <row r="1341" spans="2:10">
      <c r="B1341" s="8">
        <v>187</v>
      </c>
      <c r="C1341" s="36" t="s">
        <v>4006</v>
      </c>
      <c r="D1341" s="8"/>
      <c r="E1341" s="45" t="s">
        <v>3</v>
      </c>
      <c r="F1341" s="42">
        <v>24185.42</v>
      </c>
    </row>
    <row r="1342" spans="2:10">
      <c r="B1342" s="8">
        <v>188</v>
      </c>
      <c r="C1342" s="36" t="s">
        <v>4007</v>
      </c>
      <c r="D1342" s="8"/>
      <c r="E1342" s="45" t="s">
        <v>3</v>
      </c>
      <c r="F1342" s="42">
        <v>47461.051999999996</v>
      </c>
    </row>
    <row r="1343" spans="2:10">
      <c r="B1343" s="8">
        <v>189</v>
      </c>
      <c r="C1343" s="36" t="s">
        <v>4008</v>
      </c>
      <c r="D1343" s="8"/>
      <c r="E1343" s="46" t="s">
        <v>3</v>
      </c>
      <c r="F1343" s="42">
        <v>26217.101999999995</v>
      </c>
    </row>
    <row r="1344" spans="2:10">
      <c r="B1344" s="8">
        <v>190</v>
      </c>
      <c r="C1344" s="36" t="s">
        <v>4009</v>
      </c>
      <c r="D1344" s="8"/>
      <c r="E1344" s="46" t="s">
        <v>3</v>
      </c>
      <c r="F1344" s="42">
        <v>32743.029999999995</v>
      </c>
    </row>
    <row r="1345" spans="2:10">
      <c r="B1345" s="8">
        <v>191</v>
      </c>
      <c r="C1345" s="36" t="s">
        <v>4010</v>
      </c>
      <c r="D1345" s="8"/>
      <c r="E1345" s="46" t="s">
        <v>3</v>
      </c>
      <c r="F1345" s="42">
        <v>73866.247999999992</v>
      </c>
    </row>
    <row r="1346" spans="2:10">
      <c r="B1346" s="8">
        <v>192</v>
      </c>
      <c r="C1346" s="36" t="s">
        <v>4011</v>
      </c>
      <c r="D1346" s="8"/>
      <c r="E1346" s="46" t="s">
        <v>3</v>
      </c>
      <c r="F1346" s="42">
        <f>J1346</f>
        <v>98537.243999999992</v>
      </c>
      <c r="G1346" s="9">
        <v>73866</v>
      </c>
      <c r="H1346" s="9">
        <v>1.1599999999999999</v>
      </c>
      <c r="I1346" s="9">
        <v>1.1499999999999999</v>
      </c>
      <c r="J1346" s="9">
        <f>G1346*H1346*I1346</f>
        <v>98537.243999999992</v>
      </c>
    </row>
    <row r="1347" spans="2:10">
      <c r="B1347" s="8">
        <v>193</v>
      </c>
      <c r="C1347" s="36" t="s">
        <v>4012</v>
      </c>
      <c r="D1347" s="8"/>
      <c r="E1347" s="46" t="s">
        <v>3</v>
      </c>
      <c r="F1347" s="42">
        <f>J1347</f>
        <v>107469.70799999998</v>
      </c>
      <c r="G1347" s="9">
        <v>80562</v>
      </c>
      <c r="H1347" s="9">
        <v>1.1599999999999999</v>
      </c>
      <c r="I1347" s="9">
        <v>1.1499999999999999</v>
      </c>
      <c r="J1347" s="9">
        <f>G1347*H1347*I1347</f>
        <v>107469.70799999998</v>
      </c>
    </row>
    <row r="1348" spans="2:10">
      <c r="B1348" s="8">
        <v>194</v>
      </c>
      <c r="C1348" s="36" t="s">
        <v>4013</v>
      </c>
      <c r="D1348" s="8"/>
      <c r="E1348" s="46" t="s">
        <v>4014</v>
      </c>
      <c r="F1348" s="42">
        <v>212105.99999999997</v>
      </c>
    </row>
    <row r="1349" spans="2:10">
      <c r="B1349" s="8">
        <v>195</v>
      </c>
      <c r="C1349" s="36" t="s">
        <v>4015</v>
      </c>
      <c r="D1349" s="8"/>
      <c r="E1349" s="46" t="s">
        <v>4014</v>
      </c>
      <c r="F1349" s="42">
        <v>10900</v>
      </c>
      <c r="G1349" s="9">
        <v>9500</v>
      </c>
      <c r="H1349" s="9">
        <v>1.1599999999999999</v>
      </c>
      <c r="I1349" s="9">
        <v>1.1499999999999999</v>
      </c>
      <c r="J1349" s="9">
        <f>G1349*H1349*I1349</f>
        <v>12672.999999999998</v>
      </c>
    </row>
    <row r="1350" spans="2:10">
      <c r="B1350" s="8">
        <v>196</v>
      </c>
      <c r="C1350" s="36" t="s">
        <v>4016</v>
      </c>
      <c r="D1350" s="8"/>
      <c r="E1350" s="46" t="s">
        <v>4014</v>
      </c>
      <c r="F1350" s="42">
        <v>62697.999999999993</v>
      </c>
    </row>
    <row r="1351" spans="2:10">
      <c r="B1351" s="8">
        <v>197</v>
      </c>
      <c r="C1351" s="36" t="s">
        <v>4017</v>
      </c>
      <c r="D1351" s="8"/>
      <c r="E1351" s="46" t="s">
        <v>1780</v>
      </c>
      <c r="F1351" s="42">
        <v>215739.99999999997</v>
      </c>
    </row>
    <row r="1352" spans="2:10">
      <c r="B1352" s="8">
        <v>198</v>
      </c>
      <c r="C1352" s="36" t="s">
        <v>4018</v>
      </c>
      <c r="D1352" s="8"/>
      <c r="E1352" s="45" t="s">
        <v>3</v>
      </c>
      <c r="F1352" s="42">
        <f>J1352</f>
        <v>150341.79999999996</v>
      </c>
      <c r="G1352" s="9">
        <v>112700</v>
      </c>
      <c r="H1352" s="9">
        <v>1.1599999999999999</v>
      </c>
      <c r="I1352" s="9">
        <v>1.1499999999999999</v>
      </c>
      <c r="J1352" s="9">
        <f>G1352*H1352*I1352</f>
        <v>150341.79999999996</v>
      </c>
    </row>
    <row r="1353" spans="2:10">
      <c r="B1353" s="8">
        <v>199</v>
      </c>
      <c r="C1353" s="36" t="s">
        <v>4019</v>
      </c>
      <c r="D1353" s="8"/>
      <c r="E1353" s="45" t="s">
        <v>4020</v>
      </c>
      <c r="F1353" s="42">
        <v>640000</v>
      </c>
      <c r="H1353" s="9">
        <v>1.1599999999999999</v>
      </c>
      <c r="I1353" s="9">
        <v>1.1499999999999999</v>
      </c>
      <c r="J1353" s="9">
        <f>G1353*H1353*I1353</f>
        <v>0</v>
      </c>
    </row>
    <row r="1354" spans="2:10">
      <c r="B1354" s="8">
        <v>200</v>
      </c>
      <c r="C1354" s="36" t="s">
        <v>4021</v>
      </c>
      <c r="D1354" s="8"/>
      <c r="E1354" s="45" t="s">
        <v>3</v>
      </c>
      <c r="F1354" s="42">
        <v>7203.5999999999995</v>
      </c>
    </row>
    <row r="1355" spans="2:10">
      <c r="B1355" s="8">
        <v>201</v>
      </c>
      <c r="C1355" s="36" t="s">
        <v>4022</v>
      </c>
      <c r="D1355" s="8"/>
      <c r="E1355" s="45" t="s">
        <v>3</v>
      </c>
      <c r="F1355" s="42">
        <f>J1355</f>
        <v>224111.99999999997</v>
      </c>
      <c r="G1355" s="9">
        <v>168000</v>
      </c>
      <c r="H1355" s="9">
        <v>1.1599999999999999</v>
      </c>
      <c r="I1355" s="9">
        <v>1.1499999999999999</v>
      </c>
      <c r="J1355" s="9">
        <f>G1355*H1355*I1355</f>
        <v>224111.99999999997</v>
      </c>
    </row>
    <row r="1356" spans="2:10">
      <c r="B1356" s="8">
        <v>202</v>
      </c>
      <c r="C1356" s="36" t="s">
        <v>4023</v>
      </c>
      <c r="D1356" s="8"/>
      <c r="E1356" s="45" t="s">
        <v>3</v>
      </c>
      <c r="F1356" s="42">
        <v>15074.199999999999</v>
      </c>
    </row>
    <row r="1357" spans="2:10">
      <c r="B1357" s="8">
        <v>203</v>
      </c>
      <c r="C1357" s="36" t="s">
        <v>4024</v>
      </c>
      <c r="D1357" s="8"/>
      <c r="E1357" s="45" t="s">
        <v>3</v>
      </c>
      <c r="F1357" s="42">
        <v>16349.503999999999</v>
      </c>
    </row>
    <row r="1358" spans="2:10">
      <c r="B1358" s="8">
        <v>204</v>
      </c>
      <c r="C1358" s="36" t="s">
        <v>4025</v>
      </c>
      <c r="D1358" s="8"/>
      <c r="E1358" s="45" t="s">
        <v>3</v>
      </c>
      <c r="F1358" s="42">
        <f>J1358</f>
        <v>21810.238335999995</v>
      </c>
      <c r="G1358" s="47">
        <f>F1357</f>
        <v>16349.503999999999</v>
      </c>
      <c r="H1358" s="9">
        <v>1.1599999999999999</v>
      </c>
      <c r="I1358" s="9">
        <v>1.1499999999999999</v>
      </c>
      <c r="J1358" s="9">
        <f>G1358*H1358*I1358</f>
        <v>21810.238335999995</v>
      </c>
    </row>
    <row r="1359" spans="2:10">
      <c r="B1359" s="8">
        <v>205</v>
      </c>
      <c r="C1359" s="36" t="s">
        <v>4026</v>
      </c>
      <c r="D1359" s="8"/>
      <c r="E1359" s="45" t="s">
        <v>3</v>
      </c>
      <c r="F1359" s="42">
        <f>J1359</f>
        <v>46690</v>
      </c>
      <c r="G1359" s="9">
        <v>35000</v>
      </c>
      <c r="H1359" s="9">
        <v>1.1599999999999999</v>
      </c>
      <c r="I1359" s="9">
        <v>1.1499999999999999</v>
      </c>
      <c r="J1359" s="9">
        <f>G1359*H1359*I1359</f>
        <v>46690</v>
      </c>
    </row>
    <row r="1360" spans="2:10">
      <c r="B1360" s="8">
        <v>206</v>
      </c>
      <c r="C1360" s="36" t="s">
        <v>4027</v>
      </c>
      <c r="D1360" s="8"/>
      <c r="E1360" s="45" t="s">
        <v>3</v>
      </c>
      <c r="F1360" s="42">
        <v>50101.037999999993</v>
      </c>
    </row>
    <row r="1361" spans="2:6">
      <c r="B1361" s="8">
        <v>207</v>
      </c>
      <c r="C1361" s="36" t="s">
        <v>4028</v>
      </c>
      <c r="D1361" s="8"/>
      <c r="E1361" s="45" t="s">
        <v>3</v>
      </c>
      <c r="F1361" s="42">
        <v>49690.165999999997</v>
      </c>
    </row>
    <row r="1362" spans="2:6">
      <c r="B1362" s="8">
        <v>208</v>
      </c>
      <c r="C1362" s="36" t="s">
        <v>4029</v>
      </c>
      <c r="D1362" s="8"/>
      <c r="E1362" s="45" t="s">
        <v>3</v>
      </c>
      <c r="F1362" s="42">
        <v>67274.953999999998</v>
      </c>
    </row>
    <row r="1363" spans="2:6">
      <c r="B1363" s="8">
        <v>209</v>
      </c>
      <c r="C1363" s="36" t="s">
        <v>4030</v>
      </c>
      <c r="D1363" s="8"/>
      <c r="E1363" s="45" t="s">
        <v>3</v>
      </c>
      <c r="F1363" s="42">
        <v>131844.55599999998</v>
      </c>
    </row>
    <row r="1364" spans="2:6">
      <c r="B1364" s="8">
        <v>210</v>
      </c>
      <c r="C1364" s="36" t="s">
        <v>4031</v>
      </c>
      <c r="D1364" s="8"/>
      <c r="E1364" s="45" t="s">
        <v>3</v>
      </c>
      <c r="F1364" s="42">
        <v>22951.469999999998</v>
      </c>
    </row>
    <row r="1365" spans="2:6">
      <c r="B1365" s="8">
        <v>211</v>
      </c>
      <c r="C1365" s="36" t="s">
        <v>4032</v>
      </c>
      <c r="D1365" s="8"/>
      <c r="E1365" s="45" t="s">
        <v>3</v>
      </c>
      <c r="F1365" s="42">
        <v>24192.089999999997</v>
      </c>
    </row>
    <row r="1366" spans="2:6">
      <c r="B1366" s="8">
        <v>212</v>
      </c>
      <c r="C1366" s="36" t="s">
        <v>4033</v>
      </c>
      <c r="D1366" s="8"/>
      <c r="E1366" s="45" t="s">
        <v>3</v>
      </c>
      <c r="F1366" s="42">
        <v>32586.951999999997</v>
      </c>
    </row>
    <row r="1367" spans="2:6">
      <c r="B1367" s="8">
        <v>213</v>
      </c>
      <c r="C1367" s="36" t="s">
        <v>4034</v>
      </c>
      <c r="D1367" s="8"/>
      <c r="E1367" s="45" t="s">
        <v>3</v>
      </c>
      <c r="F1367" s="42">
        <v>64832.399999999994</v>
      </c>
    </row>
    <row r="1368" spans="2:6">
      <c r="B1368" s="8">
        <v>214</v>
      </c>
      <c r="C1368" s="36" t="s">
        <v>4035</v>
      </c>
      <c r="D1368" s="8"/>
      <c r="E1368" s="45" t="s">
        <v>3</v>
      </c>
      <c r="F1368" s="42">
        <v>64832.399999999994</v>
      </c>
    </row>
    <row r="1369" spans="2:6">
      <c r="B1369" s="8">
        <v>215</v>
      </c>
      <c r="C1369" s="36" t="s">
        <v>4036</v>
      </c>
      <c r="D1369" s="8"/>
      <c r="E1369" s="45" t="s">
        <v>3</v>
      </c>
      <c r="F1369" s="42">
        <v>80506.899999999994</v>
      </c>
    </row>
    <row r="1370" spans="2:6">
      <c r="B1370" s="8">
        <v>216</v>
      </c>
      <c r="C1370" s="36" t="s">
        <v>4037</v>
      </c>
      <c r="D1370" s="8"/>
      <c r="E1370" s="45" t="s">
        <v>3</v>
      </c>
      <c r="F1370" s="42">
        <v>43354.999999999993</v>
      </c>
    </row>
    <row r="1371" spans="2:6">
      <c r="B1371" s="8">
        <v>217</v>
      </c>
      <c r="C1371" s="36" t="s">
        <v>4038</v>
      </c>
      <c r="D1371" s="8"/>
      <c r="E1371" s="45" t="s">
        <v>3</v>
      </c>
      <c r="F1371" s="42">
        <v>48557.599999999991</v>
      </c>
    </row>
    <row r="1372" spans="2:6">
      <c r="B1372" s="8">
        <v>218</v>
      </c>
      <c r="C1372" s="36" t="s">
        <v>4039</v>
      </c>
      <c r="D1372" s="8"/>
      <c r="E1372" s="45" t="s">
        <v>3</v>
      </c>
      <c r="F1372" s="42">
        <v>75584.439999999988</v>
      </c>
    </row>
    <row r="1373" spans="2:6">
      <c r="B1373" s="8">
        <v>219</v>
      </c>
      <c r="C1373" s="36" t="s">
        <v>4040</v>
      </c>
      <c r="D1373" s="8"/>
      <c r="E1373" s="45" t="s">
        <v>3</v>
      </c>
      <c r="F1373" s="42">
        <v>96448.199999999983</v>
      </c>
    </row>
    <row r="1374" spans="2:6">
      <c r="B1374" s="8">
        <v>220</v>
      </c>
      <c r="C1374" s="36" t="s">
        <v>4041</v>
      </c>
      <c r="D1374" s="8"/>
      <c r="E1374" s="45" t="s">
        <v>3</v>
      </c>
      <c r="F1374" s="42">
        <v>301483.99999999994</v>
      </c>
    </row>
    <row r="1375" spans="2:6">
      <c r="B1375" s="8">
        <v>221</v>
      </c>
      <c r="C1375" s="36" t="s">
        <v>4042</v>
      </c>
      <c r="D1375" s="8"/>
      <c r="E1375" s="45" t="s">
        <v>3</v>
      </c>
      <c r="F1375" s="42">
        <v>56361.499999999993</v>
      </c>
    </row>
    <row r="1376" spans="2:6">
      <c r="B1376" s="8">
        <v>222</v>
      </c>
      <c r="C1376" s="36" t="s">
        <v>4043</v>
      </c>
      <c r="D1376" s="8"/>
      <c r="E1376" s="45" t="s">
        <v>3</v>
      </c>
      <c r="F1376" s="42">
        <v>75584.439999999988</v>
      </c>
    </row>
    <row r="1377" spans="2:6">
      <c r="B1377" s="8">
        <v>223</v>
      </c>
      <c r="C1377" s="36" t="s">
        <v>4044</v>
      </c>
      <c r="D1377" s="8"/>
      <c r="E1377" s="45" t="s">
        <v>3</v>
      </c>
      <c r="F1377" s="42">
        <v>96381.499999999985</v>
      </c>
    </row>
    <row r="1378" spans="2:6">
      <c r="B1378" s="8">
        <v>224</v>
      </c>
      <c r="C1378" s="36" t="s">
        <v>4045</v>
      </c>
      <c r="D1378" s="8"/>
      <c r="E1378" s="46" t="s">
        <v>3</v>
      </c>
      <c r="F1378" s="42">
        <v>9151.24</v>
      </c>
    </row>
    <row r="1379" spans="2:6">
      <c r="B1379" s="8">
        <v>225</v>
      </c>
      <c r="C1379" s="36" t="s">
        <v>4046</v>
      </c>
      <c r="D1379" s="8"/>
      <c r="E1379" s="46" t="s">
        <v>3</v>
      </c>
      <c r="F1379" s="42">
        <v>25752.869999999995</v>
      </c>
    </row>
    <row r="1380" spans="2:6">
      <c r="B1380" s="8">
        <v>226</v>
      </c>
      <c r="C1380" s="36" t="s">
        <v>4047</v>
      </c>
      <c r="D1380" s="8"/>
      <c r="E1380" s="46" t="s">
        <v>3</v>
      </c>
      <c r="F1380" s="42">
        <v>9151.24</v>
      </c>
    </row>
    <row r="1381" spans="2:6">
      <c r="B1381" s="8">
        <v>227</v>
      </c>
      <c r="C1381" s="36" t="s">
        <v>4048</v>
      </c>
      <c r="D1381" s="8"/>
      <c r="E1381" s="46" t="s">
        <v>3</v>
      </c>
      <c r="F1381" s="42">
        <v>25752.869999999995</v>
      </c>
    </row>
    <row r="1382" spans="2:6">
      <c r="B1382" s="8">
        <v>228</v>
      </c>
      <c r="C1382" s="36" t="s">
        <v>4049</v>
      </c>
      <c r="D1382" s="8"/>
      <c r="E1382" s="46" t="s">
        <v>3</v>
      </c>
      <c r="F1382" s="42">
        <v>72302.799999999988</v>
      </c>
    </row>
    <row r="1383" spans="2:6">
      <c r="B1383" s="8">
        <v>229</v>
      </c>
      <c r="C1383" s="36" t="s">
        <v>4050</v>
      </c>
      <c r="D1383" s="8"/>
      <c r="E1383" s="46" t="s">
        <v>3</v>
      </c>
      <c r="F1383" s="42">
        <v>208370.8</v>
      </c>
    </row>
    <row r="1384" spans="2:6">
      <c r="B1384" s="8">
        <v>230</v>
      </c>
      <c r="C1384" s="36" t="s">
        <v>4051</v>
      </c>
      <c r="D1384" s="8"/>
      <c r="E1384" s="45" t="s">
        <v>2310</v>
      </c>
      <c r="F1384" s="42">
        <v>2613.3059999999996</v>
      </c>
    </row>
    <row r="1385" spans="2:6">
      <c r="B1385" s="8">
        <v>231</v>
      </c>
      <c r="C1385" s="36" t="s">
        <v>4052</v>
      </c>
      <c r="D1385" s="8"/>
      <c r="E1385" s="45" t="s">
        <v>2310</v>
      </c>
      <c r="F1385" s="42">
        <v>1803.5679999999998</v>
      </c>
    </row>
    <row r="1386" spans="2:6">
      <c r="B1386" s="8">
        <v>232</v>
      </c>
      <c r="C1386" s="36" t="s">
        <v>4053</v>
      </c>
      <c r="D1386" s="8"/>
      <c r="E1386" s="45" t="s">
        <v>2310</v>
      </c>
      <c r="F1386" s="42">
        <v>1253.9599999999998</v>
      </c>
    </row>
    <row r="1387" spans="2:6">
      <c r="B1387" s="8">
        <v>233</v>
      </c>
      <c r="C1387" s="36" t="s">
        <v>4054</v>
      </c>
      <c r="D1387" s="8"/>
      <c r="E1387" s="45" t="s">
        <v>2310</v>
      </c>
      <c r="F1387" s="42">
        <v>7043.5199999999995</v>
      </c>
    </row>
    <row r="1388" spans="2:6">
      <c r="B1388" s="8">
        <v>234</v>
      </c>
      <c r="C1388" s="36" t="s">
        <v>4055</v>
      </c>
      <c r="D1388" s="8"/>
      <c r="E1388" s="45" t="s">
        <v>2310</v>
      </c>
      <c r="F1388" s="42">
        <v>4027.3459999999995</v>
      </c>
    </row>
    <row r="1389" spans="2:6">
      <c r="B1389" s="8">
        <v>235</v>
      </c>
      <c r="C1389" s="36" t="s">
        <v>4056</v>
      </c>
      <c r="D1389" s="8"/>
      <c r="E1389" s="45" t="s">
        <v>2310</v>
      </c>
      <c r="F1389" s="42">
        <v>11272.3</v>
      </c>
    </row>
    <row r="1390" spans="2:6">
      <c r="B1390" s="8">
        <v>236</v>
      </c>
      <c r="C1390" s="36" t="s">
        <v>4057</v>
      </c>
      <c r="D1390" s="8"/>
      <c r="E1390" s="45" t="s">
        <v>2310</v>
      </c>
      <c r="F1390" s="42">
        <v>18409.199999999997</v>
      </c>
    </row>
    <row r="1391" spans="2:6">
      <c r="B1391" s="8">
        <v>237</v>
      </c>
      <c r="C1391" s="36" t="s">
        <v>4058</v>
      </c>
      <c r="D1391" s="8"/>
      <c r="E1391" s="45" t="s">
        <v>2310</v>
      </c>
      <c r="F1391" s="42">
        <v>23011.499999999996</v>
      </c>
    </row>
    <row r="1392" spans="2:6">
      <c r="B1392" s="8">
        <v>238</v>
      </c>
      <c r="C1392" s="36" t="s">
        <v>4059</v>
      </c>
      <c r="D1392" s="8"/>
      <c r="E1392" s="45" t="s">
        <v>2310</v>
      </c>
      <c r="F1392" s="42">
        <v>36064.689999999995</v>
      </c>
    </row>
    <row r="1393" spans="2:10">
      <c r="B1393" s="8">
        <v>239</v>
      </c>
      <c r="C1393" s="36" t="s">
        <v>4060</v>
      </c>
      <c r="D1393" s="8"/>
      <c r="E1393" s="45" t="s">
        <v>2310</v>
      </c>
      <c r="F1393" s="42">
        <v>44915.779999999992</v>
      </c>
    </row>
    <row r="1394" spans="2:10">
      <c r="B1394" s="8">
        <v>240</v>
      </c>
      <c r="C1394" s="36" t="s">
        <v>4061</v>
      </c>
      <c r="D1394" s="8"/>
      <c r="E1394" s="45" t="s">
        <v>2310</v>
      </c>
      <c r="F1394" s="42">
        <v>93199.909999999989</v>
      </c>
    </row>
    <row r="1395" spans="2:10">
      <c r="B1395" s="8">
        <v>241</v>
      </c>
      <c r="C1395" s="36" t="s">
        <v>4062</v>
      </c>
      <c r="D1395" s="8"/>
      <c r="E1395" s="45" t="s">
        <v>2310</v>
      </c>
      <c r="F1395" s="42">
        <v>10591.96</v>
      </c>
    </row>
    <row r="1396" spans="2:10">
      <c r="B1396" s="8">
        <v>242</v>
      </c>
      <c r="C1396" s="36" t="s">
        <v>4063</v>
      </c>
      <c r="D1396" s="8"/>
      <c r="E1396" s="46" t="s">
        <v>3</v>
      </c>
      <c r="F1396" s="42">
        <v>10538.599999999999</v>
      </c>
    </row>
    <row r="1397" spans="2:10">
      <c r="B1397" s="8">
        <v>243</v>
      </c>
      <c r="C1397" s="36" t="s">
        <v>4064</v>
      </c>
      <c r="D1397" s="8"/>
      <c r="E1397" s="46" t="s">
        <v>3</v>
      </c>
      <c r="F1397" s="42">
        <v>21177.249999999996</v>
      </c>
    </row>
    <row r="1398" spans="2:10">
      <c r="B1398" s="8">
        <v>244</v>
      </c>
      <c r="C1398" s="36" t="s">
        <v>4065</v>
      </c>
      <c r="D1398" s="8"/>
      <c r="E1398" s="46" t="s">
        <v>3</v>
      </c>
      <c r="F1398" s="42">
        <v>911.12199999999984</v>
      </c>
    </row>
    <row r="1399" spans="2:10">
      <c r="B1399" s="8">
        <v>245</v>
      </c>
      <c r="C1399" s="36" t="s">
        <v>4066</v>
      </c>
      <c r="D1399" s="8"/>
      <c r="E1399" s="46" t="s">
        <v>3</v>
      </c>
      <c r="F1399" s="42">
        <v>1960.9799999999998</v>
      </c>
    </row>
    <row r="1400" spans="2:10">
      <c r="B1400" s="8">
        <v>246</v>
      </c>
      <c r="C1400" s="36" t="s">
        <v>4067</v>
      </c>
      <c r="D1400" s="8"/>
      <c r="E1400" s="46" t="s">
        <v>3</v>
      </c>
      <c r="F1400" s="42">
        <v>1078538.9999999998</v>
      </c>
    </row>
    <row r="1401" spans="2:10">
      <c r="B1401" s="8">
        <v>247</v>
      </c>
      <c r="C1401" s="36" t="s">
        <v>4068</v>
      </c>
      <c r="D1401" s="8"/>
      <c r="E1401" s="46" t="s">
        <v>3</v>
      </c>
      <c r="F1401" s="42">
        <v>367783.8</v>
      </c>
    </row>
    <row r="1402" spans="2:10">
      <c r="B1402" s="8">
        <v>248</v>
      </c>
      <c r="C1402" s="36" t="s">
        <v>4069</v>
      </c>
      <c r="D1402" s="8"/>
      <c r="E1402" s="45" t="s">
        <v>3</v>
      </c>
      <c r="F1402" s="42">
        <v>417808.79999999993</v>
      </c>
    </row>
    <row r="1403" spans="2:10">
      <c r="B1403" s="8">
        <v>249</v>
      </c>
      <c r="C1403" s="36" t="s">
        <v>4070</v>
      </c>
      <c r="D1403" s="8"/>
      <c r="E1403" s="45" t="s">
        <v>3</v>
      </c>
      <c r="F1403" s="42">
        <v>20426.207999999999</v>
      </c>
    </row>
    <row r="1404" spans="2:10">
      <c r="B1404" s="8">
        <v>250</v>
      </c>
      <c r="C1404" s="36" t="s">
        <v>4071</v>
      </c>
      <c r="D1404" s="8"/>
      <c r="E1404" s="45" t="s">
        <v>3</v>
      </c>
      <c r="F1404" s="42">
        <f>J1404</f>
        <v>136468.19999999998</v>
      </c>
      <c r="G1404" s="48">
        <v>102300</v>
      </c>
      <c r="H1404" s="48">
        <v>1.1599999999999999</v>
      </c>
      <c r="I1404" s="48">
        <v>1.1499999999999999</v>
      </c>
      <c r="J1404" s="48">
        <f>G1404*H1404*I1404</f>
        <v>136468.19999999998</v>
      </c>
    </row>
    <row r="1405" spans="2:10" ht="26.4">
      <c r="B1405" s="8">
        <v>251</v>
      </c>
      <c r="C1405" s="36" t="s">
        <v>4072</v>
      </c>
      <c r="D1405" s="8"/>
      <c r="E1405" s="45" t="s">
        <v>3</v>
      </c>
      <c r="F1405" s="42">
        <v>78779.37</v>
      </c>
    </row>
    <row r="1406" spans="2:10" ht="26.4">
      <c r="B1406" s="8">
        <v>252</v>
      </c>
      <c r="C1406" s="36" t="s">
        <v>4073</v>
      </c>
      <c r="D1406" s="8"/>
      <c r="E1406" s="45" t="s">
        <v>3</v>
      </c>
      <c r="F1406" s="42">
        <v>309487.99999999994</v>
      </c>
    </row>
    <row r="1407" spans="2:10">
      <c r="B1407" s="8">
        <v>253</v>
      </c>
      <c r="C1407" s="36" t="s">
        <v>4074</v>
      </c>
      <c r="D1407" s="8"/>
      <c r="E1407" s="45" t="s">
        <v>3</v>
      </c>
      <c r="F1407" s="42">
        <v>366049.6</v>
      </c>
    </row>
    <row r="1408" spans="2:10" ht="26.4">
      <c r="B1408" s="8">
        <v>254</v>
      </c>
      <c r="C1408" s="36" t="s">
        <v>4075</v>
      </c>
      <c r="D1408" s="8"/>
      <c r="E1408" s="45" t="s">
        <v>3</v>
      </c>
      <c r="F1408" s="42">
        <v>117918.93</v>
      </c>
    </row>
    <row r="1409" spans="2:10">
      <c r="B1409" s="8">
        <v>255</v>
      </c>
      <c r="C1409" s="36" t="s">
        <v>4076</v>
      </c>
      <c r="D1409" s="8"/>
      <c r="E1409" s="46" t="s">
        <v>3</v>
      </c>
      <c r="F1409" s="42">
        <f>J1409</f>
        <v>66699.999999999985</v>
      </c>
      <c r="G1409" s="48">
        <v>50000</v>
      </c>
      <c r="H1409" s="48">
        <v>1.1599999999999999</v>
      </c>
      <c r="I1409" s="48">
        <v>1.1499999999999999</v>
      </c>
      <c r="J1409" s="48">
        <f>G1409*H1409*I1409</f>
        <v>66699.999999999985</v>
      </c>
    </row>
    <row r="1410" spans="2:10">
      <c r="B1410" s="8">
        <v>256</v>
      </c>
      <c r="C1410" s="36" t="s">
        <v>4077</v>
      </c>
      <c r="D1410" s="8"/>
      <c r="E1410" s="46" t="s">
        <v>3</v>
      </c>
      <c r="F1410" s="42">
        <v>14673.999999999998</v>
      </c>
    </row>
    <row r="1411" spans="2:10" ht="26.4">
      <c r="B1411" s="8">
        <v>257</v>
      </c>
      <c r="C1411" s="36" t="s">
        <v>4078</v>
      </c>
      <c r="D1411" s="8"/>
      <c r="E1411" s="46" t="s">
        <v>3</v>
      </c>
      <c r="F1411" s="42">
        <v>346306.39999999997</v>
      </c>
    </row>
    <row r="1412" spans="2:10" ht="26.4">
      <c r="B1412" s="8">
        <v>258</v>
      </c>
      <c r="C1412" s="36" t="s">
        <v>4079</v>
      </c>
      <c r="D1412" s="8"/>
      <c r="E1412" s="46" t="s">
        <v>3</v>
      </c>
      <c r="F1412" s="42">
        <v>436184.64999999997</v>
      </c>
    </row>
    <row r="1413" spans="2:10" ht="26.4">
      <c r="B1413" s="8">
        <v>259</v>
      </c>
      <c r="C1413" s="36" t="s">
        <v>4080</v>
      </c>
      <c r="D1413" s="8"/>
      <c r="E1413" s="46" t="s">
        <v>3</v>
      </c>
      <c r="F1413" s="42">
        <v>474337.04999999993</v>
      </c>
    </row>
    <row r="1414" spans="2:10" ht="26.4">
      <c r="B1414" s="8">
        <v>260</v>
      </c>
      <c r="C1414" s="36" t="s">
        <v>4081</v>
      </c>
      <c r="D1414" s="8"/>
      <c r="E1414" s="46" t="s">
        <v>3</v>
      </c>
      <c r="F1414" s="42">
        <v>586413.05999999994</v>
      </c>
    </row>
    <row r="1415" spans="2:10" ht="26.4">
      <c r="B1415" s="8">
        <v>261</v>
      </c>
      <c r="C1415" s="36" t="s">
        <v>4082</v>
      </c>
      <c r="D1415" s="8"/>
      <c r="E1415" s="46" t="s">
        <v>3</v>
      </c>
      <c r="F1415" s="42">
        <v>637585.29999999993</v>
      </c>
    </row>
    <row r="1416" spans="2:10">
      <c r="B1416" s="8">
        <v>262</v>
      </c>
      <c r="C1416" s="36" t="s">
        <v>4083</v>
      </c>
      <c r="D1416" s="8"/>
      <c r="E1416" s="45" t="s">
        <v>3</v>
      </c>
      <c r="F1416" s="42">
        <v>36017.999999999993</v>
      </c>
    </row>
    <row r="1417" spans="2:10">
      <c r="B1417" s="8">
        <v>263</v>
      </c>
      <c r="C1417" s="36" t="s">
        <v>4084</v>
      </c>
      <c r="D1417" s="8"/>
      <c r="E1417" s="45" t="s">
        <v>3</v>
      </c>
      <c r="F1417" s="42">
        <v>712.35599999999988</v>
      </c>
    </row>
    <row r="1418" spans="2:10">
      <c r="B1418" s="8">
        <v>264</v>
      </c>
      <c r="C1418" s="36" t="s">
        <v>4085</v>
      </c>
      <c r="D1418" s="8"/>
      <c r="E1418" s="45" t="s">
        <v>3</v>
      </c>
      <c r="F1418" s="42">
        <v>3743.2039999999997</v>
      </c>
    </row>
    <row r="1419" spans="2:10">
      <c r="B1419" s="8">
        <v>265</v>
      </c>
      <c r="C1419" s="36" t="s">
        <v>4086</v>
      </c>
      <c r="D1419" s="8"/>
      <c r="E1419" s="45" t="s">
        <v>3</v>
      </c>
      <c r="F1419" s="42">
        <v>3655.1599999999994</v>
      </c>
    </row>
    <row r="1420" spans="2:10">
      <c r="B1420" s="8">
        <v>266</v>
      </c>
      <c r="C1420" s="36" t="s">
        <v>4087</v>
      </c>
      <c r="D1420" s="8"/>
      <c r="E1420" s="45" t="s">
        <v>3</v>
      </c>
      <c r="F1420" s="42">
        <v>5286.6419999999998</v>
      </c>
    </row>
    <row r="1421" spans="2:10">
      <c r="B1421" s="8">
        <v>267</v>
      </c>
      <c r="C1421" s="36" t="s">
        <v>4088</v>
      </c>
      <c r="D1421" s="8"/>
      <c r="E1421" s="45" t="s">
        <v>3</v>
      </c>
      <c r="F1421" s="42">
        <v>2347.8399999999997</v>
      </c>
    </row>
    <row r="1422" spans="2:10">
      <c r="B1422" s="8">
        <v>268</v>
      </c>
      <c r="C1422" s="36" t="s">
        <v>4089</v>
      </c>
      <c r="D1422" s="8"/>
      <c r="E1422" s="45" t="s">
        <v>3</v>
      </c>
      <c r="F1422" s="42">
        <v>15674.499999999998</v>
      </c>
    </row>
    <row r="1423" spans="2:10">
      <c r="B1423" s="8">
        <v>269</v>
      </c>
      <c r="C1423" s="36" t="s">
        <v>4090</v>
      </c>
      <c r="D1423" s="8"/>
      <c r="E1423" s="45" t="s">
        <v>3</v>
      </c>
      <c r="F1423" s="42">
        <v>42554.6</v>
      </c>
    </row>
    <row r="1424" spans="2:10">
      <c r="B1424" s="8">
        <v>270</v>
      </c>
      <c r="C1424" s="36" t="s">
        <v>4091</v>
      </c>
      <c r="D1424" s="8"/>
      <c r="E1424" s="46" t="s">
        <v>3</v>
      </c>
      <c r="F1424" s="42">
        <f>+J1424*1.5</f>
        <v>2070600</v>
      </c>
      <c r="G1424" s="48">
        <v>700000</v>
      </c>
      <c r="H1424" s="48">
        <v>1.1599999999999999</v>
      </c>
      <c r="I1424" s="49">
        <v>1.7</v>
      </c>
      <c r="J1424" s="48">
        <f>G1424*H1424*I1424</f>
        <v>1380400</v>
      </c>
    </row>
    <row r="1425" spans="2:10">
      <c r="B1425" s="8">
        <v>271</v>
      </c>
      <c r="C1425" s="36" t="s">
        <v>4092</v>
      </c>
      <c r="D1425" s="8"/>
      <c r="E1425" s="46" t="s">
        <v>3</v>
      </c>
      <c r="F1425" s="42">
        <f>J1425</f>
        <v>790320</v>
      </c>
      <c r="G1425" s="48">
        <v>480000</v>
      </c>
      <c r="H1425" s="48">
        <v>1.1599999999999999</v>
      </c>
      <c r="I1425" s="48">
        <v>1.1499999999999999</v>
      </c>
      <c r="J1425" s="48">
        <f>G1425*H1425*I1425+150000</f>
        <v>790320</v>
      </c>
    </row>
    <row r="1426" spans="2:10">
      <c r="B1426" s="8">
        <v>272</v>
      </c>
      <c r="C1426" s="36" t="s">
        <v>4093</v>
      </c>
      <c r="D1426" s="8"/>
      <c r="E1426" s="46" t="s">
        <v>3</v>
      </c>
      <c r="F1426" s="42">
        <f>J1426</f>
        <v>1083800</v>
      </c>
      <c r="G1426" s="48">
        <v>700000</v>
      </c>
      <c r="H1426" s="48">
        <v>1.1599999999999999</v>
      </c>
      <c r="I1426" s="48">
        <v>1.1499999999999999</v>
      </c>
      <c r="J1426" s="48">
        <f>G1426*H1426*I1426+150000</f>
        <v>1083800</v>
      </c>
    </row>
    <row r="1427" spans="2:10">
      <c r="B1427" s="8">
        <v>273</v>
      </c>
      <c r="C1427" s="36" t="s">
        <v>4094</v>
      </c>
      <c r="D1427" s="8"/>
      <c r="E1427" s="45" t="s">
        <v>3</v>
      </c>
      <c r="F1427" s="42">
        <v>111255.59999999999</v>
      </c>
      <c r="G1427" s="48"/>
      <c r="H1427" s="48"/>
      <c r="I1427" s="48"/>
      <c r="J1427" s="48"/>
    </row>
    <row r="1428" spans="2:10">
      <c r="B1428" s="8">
        <v>274</v>
      </c>
      <c r="C1428" s="7" t="s">
        <v>4095</v>
      </c>
      <c r="D1428" s="8"/>
      <c r="E1428" s="45" t="s">
        <v>3</v>
      </c>
      <c r="F1428" s="20">
        <f>J1428</f>
        <v>153196.55999999997</v>
      </c>
      <c r="G1428" s="48">
        <v>114840</v>
      </c>
      <c r="H1428" s="48">
        <v>1.1599999999999999</v>
      </c>
      <c r="I1428" s="48">
        <v>1.1499999999999999</v>
      </c>
      <c r="J1428" s="48">
        <f>G1428*H1428*I1428</f>
        <v>153196.55999999997</v>
      </c>
    </row>
    <row r="1429" spans="2:10">
      <c r="C1429" s="43"/>
      <c r="D1429" s="43"/>
      <c r="E1429" s="2"/>
      <c r="F1429" s="44"/>
    </row>
    <row r="1430" spans="2:10">
      <c r="C1430" s="43"/>
      <c r="D1430" s="43"/>
      <c r="E1430" s="2"/>
      <c r="F1430" s="44"/>
    </row>
    <row r="1431" spans="2:10">
      <c r="C1431" s="43"/>
      <c r="D1431" s="43"/>
      <c r="E1431" s="2"/>
      <c r="F1431" s="44"/>
    </row>
    <row r="1432" spans="2:10">
      <c r="C1432" s="43"/>
      <c r="D1432" s="43"/>
      <c r="E1432" s="2"/>
      <c r="F1432" s="44"/>
    </row>
    <row r="1433" spans="2:10">
      <c r="E1433" s="2"/>
      <c r="F1433" s="44"/>
    </row>
    <row r="1434" spans="2:10">
      <c r="E1434" s="2"/>
      <c r="F1434" s="44"/>
    </row>
  </sheetData>
  <conditionalFormatting sqref="C6:C1429">
    <cfRule type="cellIs" dxfId="139" priority="140" stopIfTrue="1" operator="greaterThan">
      <formula>0</formula>
    </cfRule>
  </conditionalFormatting>
  <conditionalFormatting sqref="C88:C89 C963:C965">
    <cfRule type="cellIs" dxfId="138" priority="139" stopIfTrue="1" operator="greaterThan">
      <formula>0</formula>
    </cfRule>
  </conditionalFormatting>
  <conditionalFormatting sqref="C732">
    <cfRule type="duplicateValues" dxfId="137" priority="138"/>
  </conditionalFormatting>
  <conditionalFormatting sqref="C1267">
    <cfRule type="duplicateValues" dxfId="136" priority="137"/>
  </conditionalFormatting>
  <conditionalFormatting sqref="C1147">
    <cfRule type="duplicateValues" dxfId="135" priority="136"/>
  </conditionalFormatting>
  <conditionalFormatting sqref="C1196">
    <cfRule type="duplicateValues" dxfId="134" priority="135"/>
  </conditionalFormatting>
  <conditionalFormatting sqref="C524">
    <cfRule type="duplicateValues" dxfId="133" priority="134"/>
  </conditionalFormatting>
  <conditionalFormatting sqref="C532">
    <cfRule type="duplicateValues" dxfId="132" priority="133"/>
  </conditionalFormatting>
  <conditionalFormatting sqref="C811:C822">
    <cfRule type="duplicateValues" dxfId="131" priority="132"/>
  </conditionalFormatting>
  <conditionalFormatting sqref="C1117">
    <cfRule type="duplicateValues" dxfId="130" priority="131"/>
  </conditionalFormatting>
  <conditionalFormatting sqref="C287">
    <cfRule type="duplicateValues" dxfId="129" priority="130"/>
  </conditionalFormatting>
  <conditionalFormatting sqref="C725:C731">
    <cfRule type="duplicateValues" dxfId="128" priority="129"/>
  </conditionalFormatting>
  <conditionalFormatting sqref="C655:C661">
    <cfRule type="duplicateValues" dxfId="127" priority="128"/>
  </conditionalFormatting>
  <conditionalFormatting sqref="C343">
    <cfRule type="duplicateValues" dxfId="126" priority="127"/>
  </conditionalFormatting>
  <conditionalFormatting sqref="C159:C160 C83:C84 C155 C162 C25:C28 C288:C289 C123:C139 C339 C341 C344:C349 C313:C314 C87:C92 C61:C64 C71:C74 C68:C69 C99:C120 C141:C148 C263:C286 C400:C402 C404:C417 C612:C636 C525:C531 C639:C640 C607:C610 C195 C326:C335 C387:C392 C320 C164:C167 C175 C177:C192 C76:C81 C170 C355:C357 C151:C153 C441:C466 C435:C439 C713 C35:C52 C207:C261 C470:C523 C533:C589 C361:C385 C424:C427 C715:C721 C7:C23">
    <cfRule type="duplicateValues" dxfId="125" priority="126"/>
  </conditionalFormatting>
  <conditionalFormatting sqref="C1214:C1227 C1022 C955:C956 C796:C801 C1024:C1039 C1049:C1054 C355:C357 C1229 C341 C344:C349 C313:C314 C1057:C1067 C826:C835 C61:C64 C71:C74 C68:C69 C99:C139 C938:C945 C141:C148 C263:C286 C400:C402 C404:C417 C858:C861 C525:C531 C950:C952 C662:C663 C674:C691 C1019:C1020 C704 C1017 C441:C466 C863:C870 C872:C873 C885:C888 C890:C903 C1093 C998:C1013 C875:C883 C1097:C1103 C823:C824 C1144:C1146 C766:C774 C387:C392 C1086:C1091 C195 C808:C810 C339 C320 C698:C702 C924:C935 C151:C167 C175 C177:C192 C76:C92 C170 C947:C948 C1118:C1130 C962:C988 C1232:C1269 C326:C335 C711:C721 C435:C439 C607:C610 C706 C990:C995 C1135:C1142 C1197:C1200 C612:C654 C696 C837:C854 C1148:C1183 C288:C289 C207:C261 C470:C523 C1042:C1047 C533:C589 C732:C739 C913:C922 C1105:C1116 C361:C385 C747:C763 C1187:C1195 C424:C427 C1293:C1298 C6:C52">
    <cfRule type="duplicateValues" dxfId="124" priority="125"/>
  </conditionalFormatting>
  <conditionalFormatting sqref="C340">
    <cfRule type="duplicateValues" dxfId="123" priority="124"/>
  </conditionalFormatting>
  <conditionalFormatting sqref="C1270:C1292">
    <cfRule type="duplicateValues" dxfId="122" priority="123"/>
  </conditionalFormatting>
  <conditionalFormatting sqref="C1299:C1303">
    <cfRule type="duplicateValues" dxfId="121" priority="122"/>
  </conditionalFormatting>
  <conditionalFormatting sqref="C342">
    <cfRule type="duplicateValues" dxfId="120" priority="121"/>
  </conditionalFormatting>
  <conditionalFormatting sqref="C764:C765">
    <cfRule type="duplicateValues" dxfId="119" priority="120"/>
  </conditionalFormatting>
  <conditionalFormatting sqref="C351:C353">
    <cfRule type="duplicateValues" dxfId="118" priority="119"/>
  </conditionalFormatting>
  <conditionalFormatting sqref="C53">
    <cfRule type="duplicateValues" dxfId="117" priority="118"/>
  </conditionalFormatting>
  <conditionalFormatting sqref="C54">
    <cfRule type="duplicateValues" dxfId="116" priority="117"/>
  </conditionalFormatting>
  <conditionalFormatting sqref="C55">
    <cfRule type="duplicateValues" dxfId="115" priority="116"/>
  </conditionalFormatting>
  <conditionalFormatting sqref="C56">
    <cfRule type="duplicateValues" dxfId="114" priority="115"/>
  </conditionalFormatting>
  <conditionalFormatting sqref="C57">
    <cfRule type="duplicateValues" dxfId="113" priority="114"/>
  </conditionalFormatting>
  <conditionalFormatting sqref="C58:C60">
    <cfRule type="duplicateValues" dxfId="112" priority="113"/>
  </conditionalFormatting>
  <conditionalFormatting sqref="C70">
    <cfRule type="duplicateValues" dxfId="111" priority="112"/>
  </conditionalFormatting>
  <conditionalFormatting sqref="C65">
    <cfRule type="duplicateValues" dxfId="110" priority="111"/>
  </conditionalFormatting>
  <conditionalFormatting sqref="C310:C312 C293:C303 C305">
    <cfRule type="duplicateValues" dxfId="109" priority="110"/>
  </conditionalFormatting>
  <conditionalFormatting sqref="C66:C67">
    <cfRule type="duplicateValues" dxfId="108" priority="109"/>
  </conditionalFormatting>
  <conditionalFormatting sqref="C93:C98">
    <cfRule type="duplicateValues" dxfId="107" priority="108"/>
  </conditionalFormatting>
  <conditionalFormatting sqref="C140">
    <cfRule type="duplicateValues" dxfId="106" priority="107"/>
  </conditionalFormatting>
  <conditionalFormatting sqref="C262">
    <cfRule type="duplicateValues" dxfId="105" priority="106"/>
  </conditionalFormatting>
  <conditionalFormatting sqref="C418:C419">
    <cfRule type="duplicateValues" dxfId="104" priority="105"/>
  </conditionalFormatting>
  <conditionalFormatting sqref="C420:C422">
    <cfRule type="duplicateValues" dxfId="103" priority="104"/>
  </conditionalFormatting>
  <conditionalFormatting sqref="C423">
    <cfRule type="duplicateValues" dxfId="102" priority="103"/>
  </conditionalFormatting>
  <conditionalFormatting sqref="C428">
    <cfRule type="duplicateValues" dxfId="101" priority="102"/>
  </conditionalFormatting>
  <conditionalFormatting sqref="C440">
    <cfRule type="duplicateValues" dxfId="100" priority="101"/>
  </conditionalFormatting>
  <conditionalFormatting sqref="C467:C469">
    <cfRule type="duplicateValues" dxfId="99" priority="100"/>
  </conditionalFormatting>
  <conditionalFormatting sqref="C611">
    <cfRule type="duplicateValues" dxfId="98" priority="99"/>
  </conditionalFormatting>
  <conditionalFormatting sqref="C664:C665">
    <cfRule type="duplicateValues" dxfId="97" priority="98"/>
  </conditionalFormatting>
  <conditionalFormatting sqref="C666:C667">
    <cfRule type="duplicateValues" dxfId="96" priority="97"/>
  </conditionalFormatting>
  <conditionalFormatting sqref="C670:C671">
    <cfRule type="duplicateValues" dxfId="95" priority="96"/>
  </conditionalFormatting>
  <conditionalFormatting sqref="C672">
    <cfRule type="duplicateValues" dxfId="94" priority="95"/>
  </conditionalFormatting>
  <conditionalFormatting sqref="C673:C674">
    <cfRule type="duplicateValues" dxfId="93" priority="94"/>
  </conditionalFormatting>
  <conditionalFormatting sqref="C692:C695">
    <cfRule type="duplicateValues" dxfId="92" priority="93"/>
  </conditionalFormatting>
  <conditionalFormatting sqref="C697">
    <cfRule type="duplicateValues" dxfId="91" priority="92"/>
  </conditionalFormatting>
  <conditionalFormatting sqref="C705">
    <cfRule type="duplicateValues" dxfId="90" priority="91"/>
  </conditionalFormatting>
  <conditionalFormatting sqref="C707">
    <cfRule type="duplicateValues" dxfId="89" priority="90"/>
  </conditionalFormatting>
  <conditionalFormatting sqref="C708">
    <cfRule type="duplicateValues" dxfId="88" priority="89"/>
  </conditionalFormatting>
  <conditionalFormatting sqref="C709">
    <cfRule type="duplicateValues" dxfId="87" priority="88"/>
  </conditionalFormatting>
  <conditionalFormatting sqref="C710">
    <cfRule type="duplicateValues" dxfId="86" priority="87"/>
  </conditionalFormatting>
  <conditionalFormatting sqref="C776:C783">
    <cfRule type="duplicateValues" dxfId="85" priority="86"/>
  </conditionalFormatting>
  <conditionalFormatting sqref="C786:C787">
    <cfRule type="duplicateValues" dxfId="84" priority="85"/>
  </conditionalFormatting>
  <conditionalFormatting sqref="C784:C785">
    <cfRule type="duplicateValues" dxfId="83" priority="84"/>
  </conditionalFormatting>
  <conditionalFormatting sqref="C791">
    <cfRule type="duplicateValues" dxfId="82" priority="83"/>
  </conditionalFormatting>
  <conditionalFormatting sqref="C792:C795">
    <cfRule type="duplicateValues" dxfId="81" priority="82"/>
  </conditionalFormatting>
  <conditionalFormatting sqref="C788:C790">
    <cfRule type="duplicateValues" dxfId="80" priority="81"/>
  </conditionalFormatting>
  <conditionalFormatting sqref="C802:C806">
    <cfRule type="duplicateValues" dxfId="79" priority="80"/>
  </conditionalFormatting>
  <conditionalFormatting sqref="C836">
    <cfRule type="duplicateValues" dxfId="78" priority="79"/>
  </conditionalFormatting>
  <conditionalFormatting sqref="C854:C857">
    <cfRule type="duplicateValues" dxfId="77" priority="78"/>
  </conditionalFormatting>
  <conditionalFormatting sqref="C862">
    <cfRule type="duplicateValues" dxfId="76" priority="77"/>
  </conditionalFormatting>
  <conditionalFormatting sqref="C871">
    <cfRule type="duplicateValues" dxfId="75" priority="76"/>
  </conditionalFormatting>
  <conditionalFormatting sqref="C884">
    <cfRule type="duplicateValues" dxfId="74" priority="75"/>
  </conditionalFormatting>
  <conditionalFormatting sqref="C923">
    <cfRule type="duplicateValues" dxfId="73" priority="74"/>
  </conditionalFormatting>
  <conditionalFormatting sqref="C935:C937">
    <cfRule type="duplicateValues" dxfId="72" priority="73"/>
  </conditionalFormatting>
  <conditionalFormatting sqref="C938">
    <cfRule type="duplicateValues" dxfId="71" priority="72"/>
  </conditionalFormatting>
  <conditionalFormatting sqref="C960:C962">
    <cfRule type="duplicateValues" dxfId="70" priority="71"/>
  </conditionalFormatting>
  <conditionalFormatting sqref="C996">
    <cfRule type="duplicateValues" dxfId="69" priority="70"/>
  </conditionalFormatting>
  <conditionalFormatting sqref="C997">
    <cfRule type="duplicateValues" dxfId="68" priority="69"/>
  </conditionalFormatting>
  <conditionalFormatting sqref="C1015:C1016">
    <cfRule type="duplicateValues" dxfId="67" priority="68"/>
  </conditionalFormatting>
  <conditionalFormatting sqref="C1048">
    <cfRule type="duplicateValues" dxfId="66" priority="67"/>
  </conditionalFormatting>
  <conditionalFormatting sqref="C1068:C1083">
    <cfRule type="duplicateValues" dxfId="65" priority="66"/>
  </conditionalFormatting>
  <conditionalFormatting sqref="C1085">
    <cfRule type="duplicateValues" dxfId="64" priority="65"/>
  </conditionalFormatting>
  <conditionalFormatting sqref="C1092">
    <cfRule type="duplicateValues" dxfId="63" priority="64"/>
  </conditionalFormatting>
  <conditionalFormatting sqref="C1095:C1096">
    <cfRule type="duplicateValues" dxfId="62" priority="63"/>
  </conditionalFormatting>
  <conditionalFormatting sqref="C1104">
    <cfRule type="duplicateValues" dxfId="61" priority="62"/>
  </conditionalFormatting>
  <conditionalFormatting sqref="C1134">
    <cfRule type="duplicateValues" dxfId="60" priority="61"/>
  </conditionalFormatting>
  <conditionalFormatting sqref="C1131">
    <cfRule type="duplicateValues" dxfId="59" priority="60"/>
  </conditionalFormatting>
  <conditionalFormatting sqref="C1132:C1133">
    <cfRule type="duplicateValues" dxfId="58" priority="59"/>
  </conditionalFormatting>
  <conditionalFormatting sqref="C1084">
    <cfRule type="duplicateValues" dxfId="57" priority="58"/>
  </conditionalFormatting>
  <conditionalFormatting sqref="C590:C606">
    <cfRule type="duplicateValues" dxfId="56" priority="57"/>
  </conditionalFormatting>
  <conditionalFormatting sqref="C290:C292">
    <cfRule type="duplicateValues" dxfId="55" priority="56"/>
  </conditionalFormatting>
  <conditionalFormatting sqref="C742">
    <cfRule type="duplicateValues" dxfId="54" priority="55"/>
  </conditionalFormatting>
  <conditionalFormatting sqref="C740:C741 C743:C746">
    <cfRule type="duplicateValues" dxfId="53" priority="54"/>
  </conditionalFormatting>
  <conditionalFormatting sqref="C740:C741">
    <cfRule type="duplicateValues" dxfId="52" priority="53"/>
  </conditionalFormatting>
  <conditionalFormatting sqref="C1231">
    <cfRule type="duplicateValues" dxfId="51" priority="52"/>
  </conditionalFormatting>
  <conditionalFormatting sqref="C1228">
    <cfRule type="duplicateValues" dxfId="50" priority="51"/>
  </conditionalFormatting>
  <conditionalFormatting sqref="C1230">
    <cfRule type="duplicateValues" dxfId="49" priority="50"/>
  </conditionalFormatting>
  <conditionalFormatting sqref="C149:C150">
    <cfRule type="duplicateValues" dxfId="48" priority="49"/>
  </conditionalFormatting>
  <conditionalFormatting sqref="C403">
    <cfRule type="duplicateValues" dxfId="47" priority="48"/>
  </conditionalFormatting>
  <conditionalFormatting sqref="C807">
    <cfRule type="duplicateValues" dxfId="46" priority="47"/>
  </conditionalFormatting>
  <conditionalFormatting sqref="C322">
    <cfRule type="duplicateValues" dxfId="45" priority="46"/>
  </conditionalFormatting>
  <conditionalFormatting sqref="C323:C324">
    <cfRule type="duplicateValues" dxfId="44" priority="45"/>
  </conditionalFormatting>
  <conditionalFormatting sqref="C321">
    <cfRule type="duplicateValues" dxfId="43" priority="44"/>
  </conditionalFormatting>
  <conditionalFormatting sqref="C306:C309">
    <cfRule type="duplicateValues" dxfId="42" priority="43"/>
  </conditionalFormatting>
  <conditionalFormatting sqref="C386">
    <cfRule type="duplicateValues" dxfId="41" priority="42"/>
  </conditionalFormatting>
  <conditionalFormatting sqref="C304">
    <cfRule type="duplicateValues" dxfId="40" priority="41"/>
  </conditionalFormatting>
  <conditionalFormatting sqref="C703">
    <cfRule type="duplicateValues" dxfId="39" priority="40"/>
  </conditionalFormatting>
  <conditionalFormatting sqref="C315:C319">
    <cfRule type="duplicateValues" dxfId="38" priority="39"/>
  </conditionalFormatting>
  <conditionalFormatting sqref="C354">
    <cfRule type="duplicateValues" dxfId="37" priority="38"/>
  </conditionalFormatting>
  <conditionalFormatting sqref="C358:C360">
    <cfRule type="duplicateValues" dxfId="36" priority="37"/>
  </conditionalFormatting>
  <conditionalFormatting sqref="C193">
    <cfRule type="duplicateValues" dxfId="35" priority="36"/>
  </conditionalFormatting>
  <conditionalFormatting sqref="C194">
    <cfRule type="duplicateValues" dxfId="34" priority="35"/>
  </conditionalFormatting>
  <conditionalFormatting sqref="C196:C206">
    <cfRule type="duplicateValues" dxfId="33" priority="34"/>
  </conditionalFormatting>
  <conditionalFormatting sqref="C1094">
    <cfRule type="duplicateValues" dxfId="32" priority="33"/>
  </conditionalFormatting>
  <conditionalFormatting sqref="C171:C174">
    <cfRule type="duplicateValues" dxfId="31" priority="32"/>
  </conditionalFormatting>
  <conditionalFormatting sqref="C171">
    <cfRule type="duplicateValues" dxfId="30" priority="31"/>
  </conditionalFormatting>
  <conditionalFormatting sqref="C176">
    <cfRule type="duplicateValues" dxfId="29" priority="30"/>
  </conditionalFormatting>
  <conditionalFormatting sqref="C75">
    <cfRule type="duplicateValues" dxfId="28" priority="29"/>
  </conditionalFormatting>
  <conditionalFormatting sqref="C168:C169">
    <cfRule type="duplicateValues" dxfId="27" priority="28"/>
  </conditionalFormatting>
  <conditionalFormatting sqref="C350">
    <cfRule type="duplicateValues" dxfId="26" priority="27"/>
  </conditionalFormatting>
  <conditionalFormatting sqref="C668:C669">
    <cfRule type="duplicateValues" dxfId="25" priority="26"/>
  </conditionalFormatting>
  <conditionalFormatting sqref="C889">
    <cfRule type="duplicateValues" dxfId="24" priority="25"/>
  </conditionalFormatting>
  <conditionalFormatting sqref="C325">
    <cfRule type="duplicateValues" dxfId="23" priority="24"/>
  </conditionalFormatting>
  <conditionalFormatting sqref="C775">
    <cfRule type="duplicateValues" dxfId="22" priority="23"/>
  </conditionalFormatting>
  <conditionalFormatting sqref="C937">
    <cfRule type="duplicateValues" dxfId="21" priority="22"/>
  </conditionalFormatting>
  <conditionalFormatting sqref="C946">
    <cfRule type="duplicateValues" dxfId="20" priority="21"/>
  </conditionalFormatting>
  <conditionalFormatting sqref="C722:C724">
    <cfRule type="duplicateValues" dxfId="19" priority="20"/>
  </conditionalFormatting>
  <conditionalFormatting sqref="C393:C399">
    <cfRule type="duplicateValues" dxfId="18" priority="19"/>
  </conditionalFormatting>
  <conditionalFormatting sqref="C336:C338">
    <cfRule type="duplicateValues" dxfId="17" priority="18"/>
  </conditionalFormatting>
  <conditionalFormatting sqref="C825:C826">
    <cfRule type="duplicateValues" dxfId="16" priority="17"/>
  </conditionalFormatting>
  <conditionalFormatting sqref="C874">
    <cfRule type="duplicateValues" dxfId="15" priority="16"/>
  </conditionalFormatting>
  <conditionalFormatting sqref="C957:C959">
    <cfRule type="duplicateValues" dxfId="14" priority="15"/>
  </conditionalFormatting>
  <conditionalFormatting sqref="C1040:C1041">
    <cfRule type="duplicateValues" dxfId="13" priority="14"/>
  </conditionalFormatting>
  <conditionalFormatting sqref="C1055:C1056">
    <cfRule type="duplicateValues" dxfId="12" priority="13"/>
  </conditionalFormatting>
  <conditionalFormatting sqref="C1143">
    <cfRule type="duplicateValues" dxfId="11" priority="12"/>
  </conditionalFormatting>
  <conditionalFormatting sqref="C197:C206">
    <cfRule type="duplicateValues" dxfId="10" priority="11"/>
  </conditionalFormatting>
  <conditionalFormatting sqref="C230">
    <cfRule type="duplicateValues" dxfId="9" priority="10"/>
  </conditionalFormatting>
  <conditionalFormatting sqref="C429:C434">
    <cfRule type="duplicateValues" dxfId="8" priority="9"/>
  </conditionalFormatting>
  <conditionalFormatting sqref="C589">
    <cfRule type="duplicateValues" dxfId="7" priority="8"/>
  </conditionalFormatting>
  <conditionalFormatting sqref="C858:C861 C706 C154 C161 C25:C27 C288:C289 C339 C341 C344:C349 C313:C314 C711:C721 C826:C835 C355:C357 C86:C92 C61:C64 C71:C74 C68:C69 C99:C119 C141:C148 C263:C286 C400:C402 C404:C417 C607:C610 C156:C159 C662:C663 C1148:C1183 C1086:C1091 C704 C1232:C1266 C441:C466 C863:C870 C872:C873 C875:C883 C885:C888 C1049:C1054 C1057:C1067 C796:C801 C808:C810 C998:C1014 C1097:C1103 C696 C1144:C1146 C766:C774 C1229 C938:C945 C195 C1118:C1130 C326:C335 C924:C935 C320 C698:C702 C525:C531 C163:C167 C175 C177:C192 C76:C80 C170 C947:C956 C1135:C1142 C962:C995 C121:C139 C151:C152 C387:C392 C435:C439 C674:C691 C1197:C1200 C1093 C612:C654 C823:C824 C837:C854 C1017:C1039 C82:C83 C34:C52 C207:C261 C470:C523 C1042:C1047 C533:C589 C732:C739 C890:C922 C1105:C1116 C361:C385 C747:C763 C1187:C1195 C424:C427 C1214:C1227 C6:C23">
    <cfRule type="duplicateValues" dxfId="6" priority="7"/>
  </conditionalFormatting>
  <conditionalFormatting sqref="C1201:C1213">
    <cfRule type="duplicateValues" dxfId="5" priority="6"/>
  </conditionalFormatting>
  <conditionalFormatting sqref="C1253:C1255">
    <cfRule type="duplicateValues" dxfId="4" priority="5"/>
  </conditionalFormatting>
  <conditionalFormatting sqref="C117:C119">
    <cfRule type="duplicateValues" dxfId="3" priority="4"/>
  </conditionalFormatting>
  <conditionalFormatting sqref="C1304">
    <cfRule type="duplicateValues" dxfId="2" priority="3"/>
  </conditionalFormatting>
  <conditionalFormatting sqref="C1305:C1428">
    <cfRule type="cellIs" dxfId="1" priority="2" stopIfTrue="1" operator="greaterThan">
      <formula>0</formula>
    </cfRule>
  </conditionalFormatting>
  <conditionalFormatting sqref="C1305:C1428">
    <cfRule type="duplicateValues" dxfId="0" priority="1"/>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10</vt:i4>
      </vt:variant>
    </vt:vector>
  </HeadingPairs>
  <TitlesOfParts>
    <vt:vector size="25" baseType="lpstr">
      <vt:lpstr>ENTREGA</vt:lpstr>
      <vt:lpstr>COSTOS</vt:lpstr>
      <vt:lpstr>INDEXADO</vt:lpstr>
      <vt:lpstr>APU</vt:lpstr>
      <vt:lpstr>Materiales </vt:lpstr>
      <vt:lpstr>Luminarias </vt:lpstr>
      <vt:lpstr>Mano Obra</vt:lpstr>
      <vt:lpstr>Equip, Herr y Transp</vt:lpstr>
      <vt:lpstr>Presupuesto EPP</vt:lpstr>
      <vt:lpstr>RELACION EXTRA</vt:lpstr>
      <vt:lpstr>Listas</vt:lpstr>
      <vt:lpstr>Hoja1</vt:lpstr>
      <vt:lpstr>Directorio</vt:lpstr>
      <vt:lpstr>Hoja2</vt:lpstr>
      <vt:lpstr>Lista Maestra Materiales</vt:lpstr>
      <vt:lpstr>APU!Área_de_impresión</vt:lpstr>
      <vt:lpstr>COSTOS!Área_de_impresión</vt:lpstr>
      <vt:lpstr>her</vt:lpstr>
      <vt:lpstr>'Lista Maestra Materiales'!MAT</vt:lpstr>
      <vt:lpstr>MAT</vt:lpstr>
      <vt:lpstr>'Lista Maestra Materiales'!Mate</vt:lpstr>
      <vt:lpstr>Mate</vt:lpstr>
      <vt:lpstr>'Lista Maestra Materiales'!MATERIALES</vt:lpstr>
      <vt:lpstr>MATERIALES</vt:lpstr>
      <vt:lpstr>mo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Rumba Habana</dc:creator>
  <cp:lastModifiedBy>user</cp:lastModifiedBy>
  <cp:lastPrinted>2021-08-24T16:30:01Z</cp:lastPrinted>
  <dcterms:created xsi:type="dcterms:W3CDTF">2013-03-16T15:58:16Z</dcterms:created>
  <dcterms:modified xsi:type="dcterms:W3CDTF">2022-11-24T14:22:27Z</dcterms:modified>
</cp:coreProperties>
</file>